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gsretail-my.sharepoint.com/personal/jskim_gsretail_com/Documents/업무/재승인/2026 DATA재승인/재무제표/"/>
    </mc:Choice>
  </mc:AlternateContent>
  <xr:revisionPtr revIDLastSave="28" documentId="8_{BD65BBF8-EA8E-46A6-8DE2-871175ECC764}" xr6:coauthVersionLast="47" xr6:coauthVersionMax="47" xr10:uidLastSave="{BBDA8BF1-97A8-4E49-95B9-A37CEF357ACC}"/>
  <bookViews>
    <workbookView xWindow="-120" yWindow="-120" windowWidth="29040" windowHeight="15720" tabRatio="949" xr2:uid="{B3AD9DDC-40C1-4B2F-BDE2-BDD0362C6EE7}"/>
  </bookViews>
  <sheets>
    <sheet name="▶ REPORT" sheetId="1" r:id="rId1"/>
    <sheet name="1. 요약재무제표" sheetId="2" r:id="rId2"/>
    <sheet name="2. 추정_요약재무제표" sheetId="3" r:id="rId3"/>
    <sheet name="3. 자금조달운영계획" sheetId="4" r:id="rId4"/>
    <sheet name="4. 자금조달운영계획_근거" sheetId="5" r:id="rId5"/>
    <sheet name="5. 첨부_추정재무상태표" sheetId="6" r:id="rId6"/>
    <sheet name="6. 첨부_추정손익계산서" sheetId="7" r:id="rId7"/>
    <sheet name="7. 첨부_추정현금흐름표" sheetId="8" r:id="rId8"/>
    <sheet name="▶ 합산" sheetId="9" state="hidden" r:id="rId9"/>
    <sheet name="7-1. FS" sheetId="10" state="hidden" r:id="rId10"/>
    <sheet name="▶ 홈쇼핑" sheetId="11" r:id="rId11"/>
    <sheet name="8. 추정 BS" sheetId="12" r:id="rId12"/>
    <sheet name="9. 추정 IS" sheetId="13" r:id="rId13"/>
    <sheet name="9-1. 추정 투자_삭제" sheetId="14" state="hidden" r:id="rId14"/>
    <sheet name="10. 추정 CF" sheetId="21" r:id="rId15"/>
    <sheet name="▶ 리테일" sheetId="15" state="hidden" r:id="rId16"/>
    <sheet name="11. 추정 BS" sheetId="16" state="hidden" r:id="rId17"/>
    <sheet name="12. 추정 IS" sheetId="17" state="hidden" r:id="rId18"/>
    <sheet name="12-1. 추정 투자_삭제" sheetId="18" state="hidden" r:id="rId19"/>
    <sheet name="13. 추정 CF" sheetId="20" state="hidden" r:id="rId20"/>
    <sheet name="전사합(개별)" sheetId="24" state="hidden" r:id="rId21"/>
    <sheet name="홈쇼핑" sheetId="22" state="hidden" r:id="rId22"/>
    <sheet name="SAP BS" sheetId="23" state="hidden" r:id="rId23"/>
    <sheet name="SI본사부담" sheetId="25" state="hidden" r:id="rId24"/>
    <sheet name="기타조정" sheetId="26" state="hidden" r:id="rId25"/>
  </sheets>
  <definedNames>
    <definedName name="_xlnm._FilterDatabase" localSheetId="0" hidden="1">'▶ REPORT'!$A$196:$A$196</definedName>
    <definedName name="_xlnm._FilterDatabase" localSheetId="14" hidden="1">'10. 추정 CF'!$A$3:$N$40</definedName>
    <definedName name="_xlnm._FilterDatabase" localSheetId="16" hidden="1">'11. 추정 BS'!$B$3:$N$141</definedName>
    <definedName name="_xlnm._FilterDatabase" localSheetId="11" hidden="1">'8. 추정 BS'!$B$3:$S$68</definedName>
    <definedName name="_xlnm._FilterDatabase" localSheetId="12" hidden="1">'9. 추정 IS'!$B$4:$S$100</definedName>
    <definedName name="_xlnm._FilterDatabase" localSheetId="22" hidden="1">'SAP BS'!$A$1:$C$3326</definedName>
    <definedName name="_xlnm._FilterDatabase" localSheetId="20" hidden="1">'전사합(개별)'!$A$5:$AE$1239</definedName>
    <definedName name="_xlnm._FilterDatabase" localSheetId="21" hidden="1">홈쇼핑!$AB$5:$AD$1239</definedName>
    <definedName name="_xlnm.Print_Area" localSheetId="1">'1. 요약재무제표'!$A$1:$Q$50</definedName>
    <definedName name="_xlnm.Print_Area" localSheetId="2">'2. 추정_요약재무제표'!$A$1:$U$46</definedName>
    <definedName name="_xlnm.Print_Area" localSheetId="6">'6. 첨부_추정손익계산서'!$A$1:$O$49</definedName>
    <definedName name="_xlnm.Print_Area" localSheetId="12">'9. 추정 IS'!$A$1:$S$100</definedName>
    <definedName name="rCOPY">'8. 추정 BS'!$F$65:$K$65</definedName>
    <definedName name="rCOPY_RT">'11. 추정 BS'!$D$144:$K$144</definedName>
    <definedName name="rPASTE">'8. 추정 BS'!$F$8:$K$8</definedName>
    <definedName name="rPASTE_RT">'11. 추정 BS'!$D$18:$K$18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2" l="1"/>
  <c r="N17" i="2"/>
  <c r="L17" i="2"/>
  <c r="J17" i="2"/>
  <c r="H17" i="2"/>
  <c r="G55" i="13"/>
  <c r="E17" i="3"/>
  <c r="E16" i="3"/>
  <c r="E15" i="3"/>
  <c r="E14" i="3"/>
  <c r="E13" i="3"/>
  <c r="E11" i="3"/>
  <c r="E10" i="3"/>
  <c r="E8" i="3"/>
  <c r="E7" i="3"/>
  <c r="J91" i="13" l="1"/>
  <c r="AA775" i="22"/>
  <c r="AB775" i="22" s="1"/>
  <c r="AA1138" i="22"/>
  <c r="AB1138" i="22" s="1"/>
  <c r="BA105" i="17"/>
  <c r="BA106" i="17"/>
  <c r="BA25" i="16" a="1"/>
  <c r="BA25" i="16" s="1"/>
  <c r="BC106" i="17"/>
  <c r="AZ106" i="17" s="1"/>
  <c r="BC105" i="17"/>
  <c r="AZ105" i="17" s="1"/>
  <c r="BC104" i="17"/>
  <c r="BC107" i="17" s="1"/>
  <c r="BC109" i="17" s="1"/>
  <c r="BC111" i="17" s="1"/>
  <c r="BB111" i="17"/>
  <c r="BB110" i="17"/>
  <c r="BB109" i="17"/>
  <c r="BB108" i="17"/>
  <c r="BB107" i="17"/>
  <c r="BB106" i="17"/>
  <c r="BB105" i="17"/>
  <c r="BB104" i="17"/>
  <c r="BB103" i="17"/>
  <c r="BB102" i="17"/>
  <c r="BB101" i="17"/>
  <c r="BB100" i="17"/>
  <c r="BB99" i="17"/>
  <c r="BB98" i="17"/>
  <c r="BB97" i="17"/>
  <c r="BB96" i="17"/>
  <c r="BB95" i="17"/>
  <c r="BB94" i="17"/>
  <c r="BB93" i="17"/>
  <c r="BB92" i="17"/>
  <c r="BB91" i="17"/>
  <c r="BB90" i="17"/>
  <c r="BB89" i="17"/>
  <c r="BB88" i="17"/>
  <c r="BB87" i="17"/>
  <c r="BB86" i="17"/>
  <c r="BB85" i="17"/>
  <c r="BB84" i="17"/>
  <c r="BB83" i="17"/>
  <c r="BB82" i="17"/>
  <c r="BB81" i="17"/>
  <c r="BB80" i="17"/>
  <c r="BB79" i="17"/>
  <c r="BB78" i="17"/>
  <c r="BB77" i="17"/>
  <c r="BB76" i="17"/>
  <c r="BB75" i="17"/>
  <c r="BB74" i="17"/>
  <c r="BB73" i="17"/>
  <c r="BB72" i="17"/>
  <c r="BB71" i="17"/>
  <c r="BB70" i="17"/>
  <c r="BB69" i="17"/>
  <c r="BB68" i="17"/>
  <c r="BB67" i="17"/>
  <c r="BB66" i="17"/>
  <c r="BB65" i="17"/>
  <c r="BB64" i="17"/>
  <c r="BB63" i="17"/>
  <c r="BB62" i="17"/>
  <c r="BB61" i="17"/>
  <c r="BB60" i="17"/>
  <c r="BB59" i="17"/>
  <c r="BB58" i="17"/>
  <c r="BB57" i="17"/>
  <c r="BB56" i="17"/>
  <c r="BB55" i="17"/>
  <c r="BB54" i="17"/>
  <c r="BB53" i="17"/>
  <c r="BB52" i="17"/>
  <c r="BB51" i="17"/>
  <c r="BB50" i="17"/>
  <c r="BB49" i="17"/>
  <c r="BB48" i="17"/>
  <c r="BB47" i="17"/>
  <c r="BB46" i="17"/>
  <c r="BB45" i="17"/>
  <c r="BB44" i="17"/>
  <c r="BB43" i="17"/>
  <c r="BB42" i="17"/>
  <c r="BB41" i="17"/>
  <c r="BB40" i="17"/>
  <c r="BB39" i="17"/>
  <c r="BB38" i="17"/>
  <c r="BB37" i="17"/>
  <c r="BB36" i="17"/>
  <c r="BB35" i="17"/>
  <c r="BB34" i="17"/>
  <c r="BB33" i="17"/>
  <c r="BB32" i="17"/>
  <c r="BB30" i="17"/>
  <c r="BB29" i="17"/>
  <c r="BB28" i="17"/>
  <c r="BB27" i="17"/>
  <c r="BB26" i="17"/>
  <c r="BB25" i="17"/>
  <c r="BB24" i="17"/>
  <c r="BB23" i="17"/>
  <c r="BB22" i="17"/>
  <c r="BB21" i="17"/>
  <c r="BB19" i="17"/>
  <c r="AZ20" i="17"/>
  <c r="AZ31" i="17"/>
  <c r="BE31" i="17" s="1"/>
  <c r="BG17" i="2"/>
  <c r="BG16" i="2"/>
  <c r="BG15" i="2"/>
  <c r="BG14" i="2"/>
  <c r="BG13" i="2"/>
  <c r="BG12" i="2"/>
  <c r="BG11" i="2"/>
  <c r="BG10" i="2"/>
  <c r="BG9" i="2"/>
  <c r="BG8" i="2"/>
  <c r="BG7" i="2"/>
  <c r="BG6" i="2"/>
  <c r="BA15" i="2"/>
  <c r="BA17" i="2"/>
  <c r="BA16" i="2"/>
  <c r="BA14" i="2"/>
  <c r="BA13" i="2"/>
  <c r="BA12" i="2"/>
  <c r="BA11" i="2"/>
  <c r="BA10" i="2"/>
  <c r="BA9" i="2"/>
  <c r="BA8" i="2"/>
  <c r="AZ104" i="17" l="1"/>
  <c r="Q158" i="16"/>
  <c r="P158" i="16"/>
  <c r="O158" i="16"/>
  <c r="N158" i="16"/>
  <c r="M158" i="16"/>
  <c r="L158" i="16"/>
  <c r="K158" i="16"/>
  <c r="J158" i="16"/>
  <c r="L59" i="13"/>
  <c r="L58" i="13"/>
  <c r="K81" i="13"/>
  <c r="AB18" i="13"/>
  <c r="AA18" i="13"/>
  <c r="Z18" i="13"/>
  <c r="AB35" i="13"/>
  <c r="AB34" i="13"/>
  <c r="AB33" i="13"/>
  <c r="AB32" i="13"/>
  <c r="AB31" i="13"/>
  <c r="AC31" i="13" s="1"/>
  <c r="AA35" i="13"/>
  <c r="AA34" i="13"/>
  <c r="AA33" i="13"/>
  <c r="AA32" i="13"/>
  <c r="AA31" i="13"/>
  <c r="M59" i="13" l="1"/>
  <c r="M58" i="13"/>
  <c r="K57" i="13"/>
  <c r="J57" i="13"/>
  <c r="I57" i="13"/>
  <c r="H57" i="13"/>
  <c r="N58" i="13" l="1"/>
  <c r="N59" i="13"/>
  <c r="P34" i="5"/>
  <c r="L6" i="16"/>
  <c r="M6" i="16" s="1"/>
  <c r="N6" i="16" s="1"/>
  <c r="D6" i="18"/>
  <c r="E6" i="18"/>
  <c r="F6" i="18"/>
  <c r="G6" i="18"/>
  <c r="AU92" i="16"/>
  <c r="AV92" i="16" s="1"/>
  <c r="AW92" i="16" s="1"/>
  <c r="AX92" i="16" s="1"/>
  <c r="AY92" i="16" s="1"/>
  <c r="E34" i="21"/>
  <c r="F34" i="21"/>
  <c r="G34" i="21"/>
  <c r="AS92" i="16"/>
  <c r="AS93" i="16" s="1"/>
  <c r="Q131" i="17"/>
  <c r="P131" i="17"/>
  <c r="O131" i="17"/>
  <c r="N131" i="17"/>
  <c r="M131" i="17"/>
  <c r="Q130" i="17"/>
  <c r="P130" i="17"/>
  <c r="O130" i="17"/>
  <c r="N130" i="17"/>
  <c r="M130" i="17"/>
  <c r="Q129" i="17"/>
  <c r="P129" i="17"/>
  <c r="O129" i="17"/>
  <c r="N129" i="17"/>
  <c r="M129" i="17"/>
  <c r="L131" i="17"/>
  <c r="L130" i="17"/>
  <c r="L129" i="17"/>
  <c r="K16" i="17"/>
  <c r="L7" i="13"/>
  <c r="L9" i="13"/>
  <c r="K11" i="13"/>
  <c r="K7" i="13"/>
  <c r="AL2" i="13"/>
  <c r="AM1" i="13" s="1"/>
  <c r="L14" i="13"/>
  <c r="AM2" i="13"/>
  <c r="AN4" i="13" s="1"/>
  <c r="M9" i="13" l="1"/>
  <c r="O59" i="13"/>
  <c r="L29" i="13"/>
  <c r="O58" i="13"/>
  <c r="L56" i="13"/>
  <c r="M7" i="13"/>
  <c r="M14" i="13"/>
  <c r="O6" i="16"/>
  <c r="P6" i="16" s="1"/>
  <c r="Q6" i="16" s="1"/>
  <c r="AO1" i="13"/>
  <c r="AN1" i="13"/>
  <c r="I8" i="13"/>
  <c r="J8" i="13"/>
  <c r="K8" i="13"/>
  <c r="H8" i="13"/>
  <c r="I15" i="13"/>
  <c r="J15" i="13"/>
  <c r="K15" i="13"/>
  <c r="H15" i="13"/>
  <c r="I12" i="13"/>
  <c r="J12" i="13"/>
  <c r="K12" i="13"/>
  <c r="H12" i="13"/>
  <c r="I10" i="13"/>
  <c r="J10" i="13"/>
  <c r="K10" i="13"/>
  <c r="H10" i="13"/>
  <c r="N7" i="13" l="1"/>
  <c r="O7" i="13" s="1"/>
  <c r="M29" i="13"/>
  <c r="P58" i="13"/>
  <c r="L57" i="13"/>
  <c r="P59" i="13"/>
  <c r="N9" i="13"/>
  <c r="N14" i="13"/>
  <c r="N29" i="13" s="1"/>
  <c r="AN2" i="13"/>
  <c r="AO4" i="13" s="1"/>
  <c r="T145" i="17"/>
  <c r="AY145" i="17" s="1"/>
  <c r="AY138" i="17"/>
  <c r="AY139" i="17"/>
  <c r="BA146" i="17"/>
  <c r="BA147" i="17" s="1"/>
  <c r="AY140" i="17"/>
  <c r="AY137" i="17"/>
  <c r="AY135" i="17"/>
  <c r="AY134" i="17"/>
  <c r="AY133" i="17"/>
  <c r="AY131" i="17"/>
  <c r="AY130" i="17"/>
  <c r="AY129" i="17"/>
  <c r="AY128" i="17"/>
  <c r="T132" i="17"/>
  <c r="AY132" i="17" s="1"/>
  <c r="O14" i="13" l="1"/>
  <c r="O29" i="13" s="1"/>
  <c r="Q59" i="13"/>
  <c r="O9" i="13"/>
  <c r="Q58" i="13"/>
  <c r="M56" i="13"/>
  <c r="P7" i="13"/>
  <c r="AP1" i="13"/>
  <c r="N11" i="13"/>
  <c r="J38" i="12"/>
  <c r="J26" i="12"/>
  <c r="E143" i="13"/>
  <c r="G143" i="13"/>
  <c r="H143" i="13"/>
  <c r="I143" i="13"/>
  <c r="J143" i="13"/>
  <c r="K143" i="13"/>
  <c r="H144" i="13"/>
  <c r="I144" i="13"/>
  <c r="J144" i="13"/>
  <c r="L90" i="13"/>
  <c r="Q119" i="13"/>
  <c r="P119" i="13"/>
  <c r="O119" i="13"/>
  <c r="N119" i="13"/>
  <c r="M119" i="13"/>
  <c r="M120" i="13" s="1"/>
  <c r="D120" i="13"/>
  <c r="E120" i="13"/>
  <c r="I120" i="13"/>
  <c r="J120" i="13"/>
  <c r="K120" i="13"/>
  <c r="L120" i="13"/>
  <c r="F17" i="12"/>
  <c r="G17" i="12"/>
  <c r="H17" i="12"/>
  <c r="F61" i="13"/>
  <c r="G61" i="13"/>
  <c r="H61" i="13"/>
  <c r="I61" i="13"/>
  <c r="J61" i="13"/>
  <c r="K61" i="13"/>
  <c r="J81" i="13"/>
  <c r="H81" i="13"/>
  <c r="G81" i="13"/>
  <c r="F81" i="13"/>
  <c r="K131" i="13"/>
  <c r="P14" i="13" l="1"/>
  <c r="Q14" i="13" s="1"/>
  <c r="M122" i="13"/>
  <c r="M90" i="13"/>
  <c r="P9" i="13"/>
  <c r="J122" i="13"/>
  <c r="M57" i="13"/>
  <c r="L142" i="13"/>
  <c r="K144" i="13" s="1"/>
  <c r="L122" i="13"/>
  <c r="K122" i="13"/>
  <c r="Q7" i="13"/>
  <c r="Q120" i="13"/>
  <c r="N120" i="13"/>
  <c r="O120" i="13"/>
  <c r="P120" i="13"/>
  <c r="L59" i="17"/>
  <c r="M59" i="17" s="1"/>
  <c r="N59" i="17" s="1"/>
  <c r="O59" i="17" s="1"/>
  <c r="P59" i="17" s="1"/>
  <c r="Q59" i="17" s="1"/>
  <c r="G154" i="13"/>
  <c r="C162" i="13"/>
  <c r="C161" i="13"/>
  <c r="C160" i="13"/>
  <c r="AA75" i="13"/>
  <c r="L143" i="13" l="1"/>
  <c r="P29" i="13"/>
  <c r="Q122" i="13"/>
  <c r="Q9" i="13"/>
  <c r="M142" i="13"/>
  <c r="M143" i="13" s="1"/>
  <c r="Q29" i="13"/>
  <c r="H154" i="13"/>
  <c r="N90" i="13"/>
  <c r="P122" i="13"/>
  <c r="O122" i="13"/>
  <c r="N122" i="13"/>
  <c r="N56" i="13"/>
  <c r="AA59" i="13"/>
  <c r="Z59" i="13"/>
  <c r="L144" i="13" l="1"/>
  <c r="I154" i="13"/>
  <c r="N57" i="13"/>
  <c r="N142" i="13"/>
  <c r="O90" i="13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B122" i="10" s="1"/>
  <c r="G121" i="10"/>
  <c r="F121" i="10"/>
  <c r="E121" i="10"/>
  <c r="D121" i="10"/>
  <c r="C121" i="10"/>
  <c r="B121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B119" i="10" s="1"/>
  <c r="R118" i="10"/>
  <c r="Q118" i="10"/>
  <c r="P118" i="10"/>
  <c r="O118" i="10"/>
  <c r="AA116" i="10"/>
  <c r="Z116" i="10"/>
  <c r="Y116" i="10"/>
  <c r="X116" i="10"/>
  <c r="W116" i="10"/>
  <c r="AJ116" i="10" s="1"/>
  <c r="V116" i="10"/>
  <c r="AI116" i="10" s="1"/>
  <c r="U116" i="10"/>
  <c r="AH116" i="10" s="1"/>
  <c r="T116" i="10"/>
  <c r="AG116" i="10" s="1"/>
  <c r="R116" i="10"/>
  <c r="AE116" i="10" s="1"/>
  <c r="Q116" i="10"/>
  <c r="AD116" i="10" s="1"/>
  <c r="O116" i="10"/>
  <c r="B115" i="10"/>
  <c r="AB115" i="10" s="1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B114" i="10" s="1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B113" i="10" s="1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B110" i="10" s="1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B108" i="10" s="1"/>
  <c r="S37" i="4" s="1"/>
  <c r="C107" i="10"/>
  <c r="B107" i="10"/>
  <c r="AB107" i="10" s="1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B105" i="10" s="1"/>
  <c r="S28" i="4" s="1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B101" i="10" s="1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B98" i="10" s="1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B97" i="10" s="1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B95" i="10" s="1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B121" i="10"/>
  <c r="AB116" i="10"/>
  <c r="AN116" i="10"/>
  <c r="AM116" i="10"/>
  <c r="AL116" i="10"/>
  <c r="AK116" i="10"/>
  <c r="AB94" i="10"/>
  <c r="G81" i="10"/>
  <c r="F81" i="10"/>
  <c r="E81" i="10"/>
  <c r="D81" i="10"/>
  <c r="C81" i="10"/>
  <c r="B81" i="10"/>
  <c r="AB81" i="10" s="1"/>
  <c r="G69" i="10"/>
  <c r="AG69" i="10" s="1"/>
  <c r="V33" i="7" s="1"/>
  <c r="H33" i="7" s="1"/>
  <c r="F69" i="10"/>
  <c r="AF69" i="10" s="1"/>
  <c r="U33" i="7" s="1"/>
  <c r="G33" i="7" s="1"/>
  <c r="E69" i="10"/>
  <c r="AE69" i="10" s="1"/>
  <c r="T33" i="7" s="1"/>
  <c r="F33" i="7" s="1"/>
  <c r="D69" i="10"/>
  <c r="AD69" i="10" s="1"/>
  <c r="S33" i="7" s="1"/>
  <c r="E33" i="7" s="1"/>
  <c r="C69" i="10"/>
  <c r="AC69" i="10" s="1"/>
  <c r="R33" i="7" s="1"/>
  <c r="D33" i="7" s="1"/>
  <c r="B69" i="10"/>
  <c r="AB69" i="10" s="1"/>
  <c r="Q33" i="7" s="1"/>
  <c r="G68" i="10"/>
  <c r="AG68" i="10" s="1"/>
  <c r="V32" i="7" s="1"/>
  <c r="H32" i="7" s="1"/>
  <c r="F68" i="10"/>
  <c r="AF68" i="10" s="1"/>
  <c r="U32" i="7" s="1"/>
  <c r="G32" i="7" s="1"/>
  <c r="E68" i="10"/>
  <c r="AE68" i="10" s="1"/>
  <c r="T32" i="7" s="1"/>
  <c r="F32" i="7" s="1"/>
  <c r="D68" i="10"/>
  <c r="AD68" i="10" s="1"/>
  <c r="S32" i="7" s="1"/>
  <c r="E32" i="7" s="1"/>
  <c r="C68" i="10"/>
  <c r="AC68" i="10" s="1"/>
  <c r="R32" i="7" s="1"/>
  <c r="D32" i="7" s="1"/>
  <c r="B68" i="10"/>
  <c r="AB68" i="10" s="1"/>
  <c r="Q32" i="7" s="1"/>
  <c r="G66" i="10"/>
  <c r="AG66" i="10" s="1"/>
  <c r="V30" i="7" s="1"/>
  <c r="H30" i="7" s="1"/>
  <c r="F66" i="10"/>
  <c r="AF66" i="10" s="1"/>
  <c r="U30" i="7" s="1"/>
  <c r="G30" i="7" s="1"/>
  <c r="E66" i="10"/>
  <c r="AE66" i="10" s="1"/>
  <c r="T30" i="7" s="1"/>
  <c r="F30" i="7" s="1"/>
  <c r="D66" i="10"/>
  <c r="AD66" i="10" s="1"/>
  <c r="S30" i="7" s="1"/>
  <c r="E30" i="7" s="1"/>
  <c r="C66" i="10"/>
  <c r="AC66" i="10" s="1"/>
  <c r="R30" i="7" s="1"/>
  <c r="D30" i="7" s="1"/>
  <c r="B66" i="10"/>
  <c r="AB66" i="10" s="1"/>
  <c r="Q30" i="7" s="1"/>
  <c r="G64" i="10"/>
  <c r="AG64" i="10" s="1"/>
  <c r="V28" i="7" s="1"/>
  <c r="H28" i="7" s="1"/>
  <c r="F64" i="10"/>
  <c r="AF64" i="10" s="1"/>
  <c r="U28" i="7" s="1"/>
  <c r="G28" i="7" s="1"/>
  <c r="E64" i="10"/>
  <c r="AE64" i="10" s="1"/>
  <c r="T28" i="7" s="1"/>
  <c r="F28" i="7" s="1"/>
  <c r="D64" i="10"/>
  <c r="AD64" i="10" s="1"/>
  <c r="S28" i="7" s="1"/>
  <c r="E28" i="7" s="1"/>
  <c r="C64" i="10"/>
  <c r="AC64" i="10" s="1"/>
  <c r="R28" i="7" s="1"/>
  <c r="D28" i="7" s="1"/>
  <c r="B64" i="10"/>
  <c r="AB64" i="10" s="1"/>
  <c r="Q28" i="7" s="1"/>
  <c r="N63" i="10"/>
  <c r="AN63" i="10" s="1"/>
  <c r="AC27" i="7" s="1"/>
  <c r="O27" i="7" s="1"/>
  <c r="M63" i="10"/>
  <c r="AM63" i="10" s="1"/>
  <c r="AB27" i="7" s="1"/>
  <c r="N27" i="7" s="1"/>
  <c r="L63" i="10"/>
  <c r="AL63" i="10" s="1"/>
  <c r="AA27" i="7" s="1"/>
  <c r="M27" i="7" s="1"/>
  <c r="K63" i="10"/>
  <c r="AK63" i="10" s="1"/>
  <c r="Z27" i="7" s="1"/>
  <c r="L27" i="7" s="1"/>
  <c r="J63" i="10"/>
  <c r="AJ63" i="10" s="1"/>
  <c r="Y27" i="7" s="1"/>
  <c r="K27" i="7" s="1"/>
  <c r="I63" i="10"/>
  <c r="AI63" i="10" s="1"/>
  <c r="X27" i="7" s="1"/>
  <c r="J27" i="7" s="1"/>
  <c r="H63" i="10"/>
  <c r="AH63" i="10" s="1"/>
  <c r="W27" i="7" s="1"/>
  <c r="I27" i="7" s="1"/>
  <c r="G63" i="10"/>
  <c r="AG63" i="10" s="1"/>
  <c r="V27" i="7" s="1"/>
  <c r="H27" i="7" s="1"/>
  <c r="F63" i="10"/>
  <c r="AF63" i="10" s="1"/>
  <c r="U27" i="7" s="1"/>
  <c r="G27" i="7" s="1"/>
  <c r="E63" i="10"/>
  <c r="AE63" i="10" s="1"/>
  <c r="T27" i="7" s="1"/>
  <c r="F27" i="7" s="1"/>
  <c r="D63" i="10"/>
  <c r="AD63" i="10" s="1"/>
  <c r="S27" i="7" s="1"/>
  <c r="E27" i="7" s="1"/>
  <c r="C63" i="10"/>
  <c r="AC63" i="10" s="1"/>
  <c r="R27" i="7" s="1"/>
  <c r="D27" i="7" s="1"/>
  <c r="B63" i="10"/>
  <c r="AB63" i="10" s="1"/>
  <c r="Q27" i="7" s="1"/>
  <c r="C27" i="7" s="1"/>
  <c r="G62" i="10"/>
  <c r="F62" i="10"/>
  <c r="E62" i="10"/>
  <c r="D62" i="10"/>
  <c r="C62" i="10"/>
  <c r="B62" i="10"/>
  <c r="N60" i="10"/>
  <c r="AN60" i="10" s="1"/>
  <c r="AC24" i="7" s="1"/>
  <c r="O24" i="7" s="1"/>
  <c r="M60" i="10"/>
  <c r="AM60" i="10" s="1"/>
  <c r="AB24" i="7" s="1"/>
  <c r="N24" i="7" s="1"/>
  <c r="L60" i="10"/>
  <c r="AL60" i="10" s="1"/>
  <c r="AA24" i="7" s="1"/>
  <c r="M24" i="7" s="1"/>
  <c r="K60" i="10"/>
  <c r="AK60" i="10" s="1"/>
  <c r="Z24" i="7" s="1"/>
  <c r="L24" i="7" s="1"/>
  <c r="J60" i="10"/>
  <c r="AJ60" i="10" s="1"/>
  <c r="Y24" i="7" s="1"/>
  <c r="K24" i="7" s="1"/>
  <c r="I60" i="10"/>
  <c r="AI60" i="10" s="1"/>
  <c r="X24" i="7" s="1"/>
  <c r="J24" i="7" s="1"/>
  <c r="H60" i="10"/>
  <c r="AH60" i="10" s="1"/>
  <c r="W24" i="7" s="1"/>
  <c r="I24" i="7" s="1"/>
  <c r="G60" i="10"/>
  <c r="AG60" i="10" s="1"/>
  <c r="V24" i="7" s="1"/>
  <c r="H24" i="7" s="1"/>
  <c r="F60" i="10"/>
  <c r="AF60" i="10" s="1"/>
  <c r="U24" i="7" s="1"/>
  <c r="G24" i="7" s="1"/>
  <c r="E60" i="10"/>
  <c r="AE60" i="10" s="1"/>
  <c r="T24" i="7" s="1"/>
  <c r="F24" i="7" s="1"/>
  <c r="D60" i="10"/>
  <c r="AD60" i="10" s="1"/>
  <c r="S24" i="7" s="1"/>
  <c r="E24" i="7" s="1"/>
  <c r="C60" i="10"/>
  <c r="AC60" i="10" s="1"/>
  <c r="R24" i="7" s="1"/>
  <c r="D24" i="7" s="1"/>
  <c r="B60" i="10"/>
  <c r="AB60" i="10" s="1"/>
  <c r="Q24" i="7" s="1"/>
  <c r="G59" i="10"/>
  <c r="AG59" i="10" s="1"/>
  <c r="V23" i="7" s="1"/>
  <c r="H23" i="7" s="1"/>
  <c r="F59" i="10"/>
  <c r="AF59" i="10" s="1"/>
  <c r="U23" i="7" s="1"/>
  <c r="G23" i="7" s="1"/>
  <c r="E59" i="10"/>
  <c r="AE59" i="10" s="1"/>
  <c r="T23" i="7" s="1"/>
  <c r="F23" i="7" s="1"/>
  <c r="D59" i="10"/>
  <c r="AD59" i="10" s="1"/>
  <c r="S23" i="7" s="1"/>
  <c r="E23" i="7" s="1"/>
  <c r="C59" i="10"/>
  <c r="AC59" i="10" s="1"/>
  <c r="R23" i="7" s="1"/>
  <c r="D23" i="7" s="1"/>
  <c r="B59" i="10"/>
  <c r="AB59" i="10" s="1"/>
  <c r="Q23" i="7" s="1"/>
  <c r="G58" i="10"/>
  <c r="AG58" i="10" s="1"/>
  <c r="F58" i="10"/>
  <c r="AF58" i="10" s="1"/>
  <c r="E58" i="10"/>
  <c r="AE58" i="10" s="1"/>
  <c r="D58" i="10"/>
  <c r="AD58" i="10" s="1"/>
  <c r="C58" i="10"/>
  <c r="AC58" i="10" s="1"/>
  <c r="B58" i="10"/>
  <c r="AB58" i="10" s="1"/>
  <c r="G47" i="10"/>
  <c r="AG47" i="10" s="1"/>
  <c r="V11" i="7" s="1"/>
  <c r="H11" i="7" s="1"/>
  <c r="F47" i="10"/>
  <c r="AF47" i="10" s="1"/>
  <c r="U11" i="7" s="1"/>
  <c r="G11" i="7" s="1"/>
  <c r="E47" i="10"/>
  <c r="AE47" i="10" s="1"/>
  <c r="T11" i="7" s="1"/>
  <c r="F11" i="7" s="1"/>
  <c r="D47" i="10"/>
  <c r="AD47" i="10" s="1"/>
  <c r="S11" i="7" s="1"/>
  <c r="E11" i="7" s="1"/>
  <c r="C47" i="10"/>
  <c r="AC47" i="10" s="1"/>
  <c r="R11" i="7" s="1"/>
  <c r="D11" i="7" s="1"/>
  <c r="B47" i="10"/>
  <c r="AB47" i="10" s="1"/>
  <c r="Q11" i="7" s="1"/>
  <c r="C11" i="7" s="1"/>
  <c r="N46" i="10"/>
  <c r="AN46" i="10" s="1"/>
  <c r="AC10" i="7" s="1"/>
  <c r="O10" i="7" s="1"/>
  <c r="M46" i="10"/>
  <c r="AM46" i="10" s="1"/>
  <c r="AB10" i="7" s="1"/>
  <c r="N10" i="7" s="1"/>
  <c r="L46" i="10"/>
  <c r="AL46" i="10" s="1"/>
  <c r="AA10" i="7" s="1"/>
  <c r="M10" i="7" s="1"/>
  <c r="K46" i="10"/>
  <c r="AK46" i="10" s="1"/>
  <c r="Z10" i="7" s="1"/>
  <c r="L10" i="7" s="1"/>
  <c r="G46" i="10"/>
  <c r="AG46" i="10" s="1"/>
  <c r="V10" i="7" s="1"/>
  <c r="H10" i="7" s="1"/>
  <c r="F46" i="10"/>
  <c r="AF46" i="10" s="1"/>
  <c r="U10" i="7" s="1"/>
  <c r="G10" i="7" s="1"/>
  <c r="E46" i="10"/>
  <c r="AE46" i="10" s="1"/>
  <c r="T10" i="7" s="1"/>
  <c r="F10" i="7" s="1"/>
  <c r="D46" i="10"/>
  <c r="AD46" i="10" s="1"/>
  <c r="S10" i="7" s="1"/>
  <c r="E10" i="7" s="1"/>
  <c r="C46" i="10"/>
  <c r="AC46" i="10" s="1"/>
  <c r="R10" i="7" s="1"/>
  <c r="D10" i="7" s="1"/>
  <c r="B46" i="10"/>
  <c r="AB46" i="10" s="1"/>
  <c r="Q10" i="7" s="1"/>
  <c r="C10" i="7" s="1"/>
  <c r="G45" i="10"/>
  <c r="AG45" i="10" s="1"/>
  <c r="V9" i="7" s="1"/>
  <c r="H9" i="7" s="1"/>
  <c r="F45" i="10"/>
  <c r="AF45" i="10" s="1"/>
  <c r="U9" i="7" s="1"/>
  <c r="G9" i="7" s="1"/>
  <c r="E45" i="10"/>
  <c r="AE45" i="10" s="1"/>
  <c r="T9" i="7" s="1"/>
  <c r="F9" i="7" s="1"/>
  <c r="D45" i="10"/>
  <c r="AD45" i="10" s="1"/>
  <c r="S9" i="7" s="1"/>
  <c r="E9" i="7" s="1"/>
  <c r="C45" i="10"/>
  <c r="AC45" i="10" s="1"/>
  <c r="R9" i="7" s="1"/>
  <c r="D9" i="7" s="1"/>
  <c r="B45" i="10"/>
  <c r="AB45" i="10" s="1"/>
  <c r="Q9" i="7" s="1"/>
  <c r="C9" i="7" s="1"/>
  <c r="G44" i="10"/>
  <c r="AG44" i="10" s="1"/>
  <c r="V8" i="7" s="1"/>
  <c r="H8" i="7" s="1"/>
  <c r="F44" i="10"/>
  <c r="AF44" i="10" s="1"/>
  <c r="U8" i="7" s="1"/>
  <c r="G8" i="7" s="1"/>
  <c r="E44" i="10"/>
  <c r="AE44" i="10" s="1"/>
  <c r="T8" i="7" s="1"/>
  <c r="F8" i="7" s="1"/>
  <c r="D44" i="10"/>
  <c r="AD44" i="10" s="1"/>
  <c r="S8" i="7" s="1"/>
  <c r="E8" i="7" s="1"/>
  <c r="C44" i="10"/>
  <c r="AC44" i="10" s="1"/>
  <c r="R8" i="7" s="1"/>
  <c r="D8" i="7" s="1"/>
  <c r="B44" i="10"/>
  <c r="AB44" i="10" s="1"/>
  <c r="Q8" i="7" s="1"/>
  <c r="C8" i="7" s="1"/>
  <c r="G43" i="10"/>
  <c r="F43" i="10"/>
  <c r="E43" i="10"/>
  <c r="D43" i="10"/>
  <c r="C43" i="10"/>
  <c r="B43" i="10"/>
  <c r="AB79" i="10"/>
  <c r="Q45" i="7" s="1"/>
  <c r="C45" i="7" s="1"/>
  <c r="AB76" i="10"/>
  <c r="Q42" i="7" s="1"/>
  <c r="AB72" i="10"/>
  <c r="Q36" i="7" s="1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AB54" i="10"/>
  <c r="Q18" i="7" s="1"/>
  <c r="AB51" i="10"/>
  <c r="Q15" i="7" s="1"/>
  <c r="AB48" i="10"/>
  <c r="Q12" i="7" s="1"/>
  <c r="C12" i="7" s="1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G56" i="12"/>
  <c r="G27" i="10"/>
  <c r="F27" i="10"/>
  <c r="E27" i="10"/>
  <c r="D27" i="10"/>
  <c r="C27" i="10"/>
  <c r="B27" i="10"/>
  <c r="AB27" i="10" s="1"/>
  <c r="AD29" i="6" s="1"/>
  <c r="C29" i="6" s="1"/>
  <c r="S25" i="10"/>
  <c r="R25" i="10"/>
  <c r="Q25" i="10"/>
  <c r="P25" i="10"/>
  <c r="O25" i="10"/>
  <c r="G25" i="10"/>
  <c r="F25" i="10"/>
  <c r="E25" i="10"/>
  <c r="D25" i="10"/>
  <c r="C25" i="10"/>
  <c r="B25" i="10"/>
  <c r="AB25" i="10" s="1"/>
  <c r="AD27" i="6" s="1"/>
  <c r="C27" i="6" s="1"/>
  <c r="AA24" i="10"/>
  <c r="Z24" i="10"/>
  <c r="Y24" i="10"/>
  <c r="X24" i="10"/>
  <c r="W24" i="10"/>
  <c r="V24" i="10"/>
  <c r="U24" i="10"/>
  <c r="S24" i="10"/>
  <c r="R24" i="10"/>
  <c r="Q24" i="10"/>
  <c r="P24" i="10"/>
  <c r="O24" i="10"/>
  <c r="G24" i="10"/>
  <c r="F24" i="10"/>
  <c r="E24" i="10"/>
  <c r="D24" i="10"/>
  <c r="C24" i="10"/>
  <c r="B24" i="10"/>
  <c r="AB24" i="10" s="1"/>
  <c r="AD26" i="6" s="1"/>
  <c r="C26" i="6" s="1"/>
  <c r="S23" i="10"/>
  <c r="R23" i="10"/>
  <c r="Q23" i="10"/>
  <c r="P23" i="10"/>
  <c r="O23" i="10"/>
  <c r="G22" i="10"/>
  <c r="AG22" i="10" s="1"/>
  <c r="AI24" i="6" s="1"/>
  <c r="M24" i="6" s="1"/>
  <c r="F22" i="10"/>
  <c r="AF22" i="10" s="1"/>
  <c r="AH24" i="6" s="1"/>
  <c r="K24" i="6" s="1"/>
  <c r="E22" i="10"/>
  <c r="AE22" i="10" s="1"/>
  <c r="AG24" i="6" s="1"/>
  <c r="I24" i="6" s="1"/>
  <c r="D22" i="10"/>
  <c r="AD22" i="10" s="1"/>
  <c r="AF24" i="6" s="1"/>
  <c r="G24" i="6" s="1"/>
  <c r="C22" i="10"/>
  <c r="AC22" i="10" s="1"/>
  <c r="AE24" i="6" s="1"/>
  <c r="E24" i="6" s="1"/>
  <c r="B22" i="10"/>
  <c r="AB22" i="10" s="1"/>
  <c r="AD24" i="6" s="1"/>
  <c r="C24" i="6" s="1"/>
  <c r="S21" i="10"/>
  <c r="R21" i="10"/>
  <c r="Q21" i="10"/>
  <c r="P21" i="10"/>
  <c r="O21" i="10"/>
  <c r="G21" i="10"/>
  <c r="F21" i="10"/>
  <c r="E21" i="10"/>
  <c r="D21" i="10"/>
  <c r="C21" i="10"/>
  <c r="B21" i="10"/>
  <c r="AB21" i="10" s="1"/>
  <c r="AD23" i="6" s="1"/>
  <c r="C23" i="6" s="1"/>
  <c r="G20" i="10"/>
  <c r="F20" i="10"/>
  <c r="E20" i="10"/>
  <c r="D20" i="10"/>
  <c r="C20" i="10"/>
  <c r="G19" i="10"/>
  <c r="F19" i="10"/>
  <c r="E19" i="10"/>
  <c r="D19" i="10"/>
  <c r="C19" i="10"/>
  <c r="B19" i="10"/>
  <c r="AB19" i="10" s="1"/>
  <c r="AD21" i="6" s="1"/>
  <c r="C21" i="6" s="1"/>
  <c r="S15" i="10"/>
  <c r="R15" i="10"/>
  <c r="Q15" i="10"/>
  <c r="P15" i="10"/>
  <c r="O15" i="10"/>
  <c r="S14" i="10"/>
  <c r="R14" i="10"/>
  <c r="Q14" i="10"/>
  <c r="P14" i="10"/>
  <c r="O14" i="10"/>
  <c r="W13" i="10"/>
  <c r="V13" i="10"/>
  <c r="U13" i="10"/>
  <c r="S13" i="10"/>
  <c r="R13" i="10"/>
  <c r="Q13" i="10"/>
  <c r="P13" i="10"/>
  <c r="O13" i="10"/>
  <c r="W11" i="10"/>
  <c r="V11" i="10"/>
  <c r="U11" i="10"/>
  <c r="S11" i="10"/>
  <c r="R11" i="10"/>
  <c r="Q11" i="10"/>
  <c r="P11" i="10"/>
  <c r="O11" i="10"/>
  <c r="G11" i="10"/>
  <c r="F11" i="10"/>
  <c r="AF11" i="10" s="1"/>
  <c r="AH13" i="6" s="1"/>
  <c r="K13" i="6" s="1"/>
  <c r="E11" i="10"/>
  <c r="D11" i="10"/>
  <c r="C11" i="10"/>
  <c r="B11" i="10"/>
  <c r="AB11" i="10" s="1"/>
  <c r="AD13" i="6" s="1"/>
  <c r="C13" i="6" s="1"/>
  <c r="G10" i="10"/>
  <c r="F10" i="10"/>
  <c r="E10" i="10"/>
  <c r="D10" i="10"/>
  <c r="C10" i="10"/>
  <c r="B10" i="10"/>
  <c r="AB10" i="10" s="1"/>
  <c r="AD12" i="6" s="1"/>
  <c r="C12" i="6" s="1"/>
  <c r="G9" i="10"/>
  <c r="F9" i="10"/>
  <c r="E9" i="10"/>
  <c r="D9" i="10"/>
  <c r="C9" i="10"/>
  <c r="B9" i="10"/>
  <c r="AB9" i="10" s="1"/>
  <c r="AD11" i="6" s="1"/>
  <c r="C11" i="6" s="1"/>
  <c r="G8" i="10"/>
  <c r="F8" i="10"/>
  <c r="E8" i="10"/>
  <c r="D8" i="10"/>
  <c r="C8" i="10"/>
  <c r="B8" i="10"/>
  <c r="AB8" i="10" s="1"/>
  <c r="AD10" i="6" s="1"/>
  <c r="C10" i="6" s="1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B20" i="10"/>
  <c r="AD22" i="6" s="1"/>
  <c r="C22" i="6" s="1"/>
  <c r="M38" i="2"/>
  <c r="N38" i="2" s="1"/>
  <c r="K38" i="2"/>
  <c r="L38" i="2" s="1"/>
  <c r="I38" i="2"/>
  <c r="J38" i="2" s="1"/>
  <c r="G38" i="2"/>
  <c r="H38" i="2" s="1"/>
  <c r="M31" i="2"/>
  <c r="N31" i="2" s="1"/>
  <c r="K31" i="2"/>
  <c r="L31" i="2" s="1"/>
  <c r="I31" i="2"/>
  <c r="J31" i="2" s="1"/>
  <c r="G31" i="2"/>
  <c r="H31" i="2" s="1"/>
  <c r="O33" i="2"/>
  <c r="M33" i="2"/>
  <c r="K33" i="2"/>
  <c r="I33" i="2"/>
  <c r="G33" i="2"/>
  <c r="M27" i="2"/>
  <c r="K27" i="2"/>
  <c r="I27" i="2"/>
  <c r="G27" i="2"/>
  <c r="H27" i="2" s="1"/>
  <c r="O25" i="2"/>
  <c r="M25" i="2"/>
  <c r="K25" i="2"/>
  <c r="I25" i="2"/>
  <c r="G25" i="2"/>
  <c r="O24" i="2"/>
  <c r="M24" i="2"/>
  <c r="K24" i="2"/>
  <c r="I24" i="2"/>
  <c r="G24" i="2"/>
  <c r="O23" i="2"/>
  <c r="M23" i="2"/>
  <c r="K23" i="2"/>
  <c r="I23" i="2"/>
  <c r="G23" i="2"/>
  <c r="O21" i="2"/>
  <c r="M21" i="2"/>
  <c r="K21" i="2"/>
  <c r="I21" i="2"/>
  <c r="G21" i="2"/>
  <c r="O20" i="2"/>
  <c r="M20" i="2"/>
  <c r="K20" i="2"/>
  <c r="I20" i="2"/>
  <c r="G20" i="2"/>
  <c r="M18" i="2"/>
  <c r="K18" i="2"/>
  <c r="I18" i="2"/>
  <c r="G18" i="2"/>
  <c r="O17" i="2"/>
  <c r="O16" i="2"/>
  <c r="O15" i="2"/>
  <c r="O14" i="2"/>
  <c r="O13" i="2"/>
  <c r="O11" i="2"/>
  <c r="O10" i="2"/>
  <c r="O8" i="2"/>
  <c r="BA7" i="2"/>
  <c r="O7" i="2" s="1"/>
  <c r="BA6" i="2"/>
  <c r="M17" i="2"/>
  <c r="M16" i="2"/>
  <c r="M15" i="2"/>
  <c r="M14" i="2"/>
  <c r="M13" i="2"/>
  <c r="M12" i="2"/>
  <c r="AZ12" i="2" s="1"/>
  <c r="M11" i="2"/>
  <c r="M10" i="2"/>
  <c r="M9" i="2"/>
  <c r="M8" i="2"/>
  <c r="M7" i="2"/>
  <c r="K17" i="2"/>
  <c r="K16" i="2"/>
  <c r="K15" i="2"/>
  <c r="K14" i="2"/>
  <c r="K13" i="2"/>
  <c r="K12" i="2"/>
  <c r="K11" i="2"/>
  <c r="K10" i="2"/>
  <c r="K9" i="2"/>
  <c r="K8" i="2"/>
  <c r="K7" i="2"/>
  <c r="I17" i="2"/>
  <c r="I16" i="2"/>
  <c r="I15" i="2"/>
  <c r="I14" i="2"/>
  <c r="I13" i="2"/>
  <c r="I12" i="2"/>
  <c r="I11" i="2"/>
  <c r="I10" i="2"/>
  <c r="I9" i="2"/>
  <c r="I8" i="2"/>
  <c r="I7" i="2"/>
  <c r="E24" i="2"/>
  <c r="G17" i="2"/>
  <c r="G16" i="2"/>
  <c r="G15" i="2"/>
  <c r="G14" i="2"/>
  <c r="G13" i="2"/>
  <c r="G11" i="2"/>
  <c r="G10" i="2"/>
  <c r="G8" i="2"/>
  <c r="G7" i="2"/>
  <c r="BD111" i="17"/>
  <c r="BA111" i="17"/>
  <c r="BD110" i="17"/>
  <c r="BA110" i="17"/>
  <c r="AZ110" i="17" s="1"/>
  <c r="BD109" i="17"/>
  <c r="BA109" i="17"/>
  <c r="BD108" i="17"/>
  <c r="BA108" i="17"/>
  <c r="AZ108" i="17" s="1"/>
  <c r="BD107" i="17"/>
  <c r="BA107" i="17"/>
  <c r="BD106" i="17"/>
  <c r="BE106" i="17" s="1"/>
  <c r="BD105" i="17"/>
  <c r="BD104" i="17"/>
  <c r="BA104" i="17"/>
  <c r="BD103" i="17"/>
  <c r="BA103" i="17"/>
  <c r="AZ103" i="17" s="1"/>
  <c r="BD102" i="17"/>
  <c r="BA102" i="17"/>
  <c r="AZ102" i="17" s="1"/>
  <c r="BD101" i="17"/>
  <c r="BA101" i="17"/>
  <c r="AZ101" i="17" s="1"/>
  <c r="BF101" i="17" s="1"/>
  <c r="BD100" i="17"/>
  <c r="BA100" i="17"/>
  <c r="AZ100" i="17" s="1"/>
  <c r="BD99" i="17"/>
  <c r="BA99" i="17"/>
  <c r="AZ99" i="17" s="1"/>
  <c r="BD98" i="17"/>
  <c r="BA98" i="17"/>
  <c r="AZ98" i="17" s="1"/>
  <c r="BD97" i="17"/>
  <c r="BA97" i="17"/>
  <c r="AZ97" i="17" s="1"/>
  <c r="BF97" i="17" s="1"/>
  <c r="BD96" i="17"/>
  <c r="BA96" i="17"/>
  <c r="AZ96" i="17" s="1"/>
  <c r="BD95" i="17"/>
  <c r="BA95" i="17"/>
  <c r="AZ95" i="17" s="1"/>
  <c r="BD94" i="17"/>
  <c r="BA94" i="17"/>
  <c r="AZ94" i="17" s="1"/>
  <c r="BD93" i="17"/>
  <c r="BA93" i="17"/>
  <c r="AZ93" i="17" s="1"/>
  <c r="BD92" i="17"/>
  <c r="BA92" i="17"/>
  <c r="AZ92" i="17" s="1"/>
  <c r="BD91" i="17"/>
  <c r="BA91" i="17"/>
  <c r="AZ91" i="17" s="1"/>
  <c r="BD90" i="17"/>
  <c r="BA90" i="17"/>
  <c r="AZ90" i="17" s="1"/>
  <c r="BD89" i="17"/>
  <c r="BA89" i="17"/>
  <c r="AZ89" i="17" s="1"/>
  <c r="BD88" i="17"/>
  <c r="BA88" i="17"/>
  <c r="AZ88" i="17" s="1"/>
  <c r="BD87" i="17"/>
  <c r="BA87" i="17"/>
  <c r="AZ87" i="17" s="1"/>
  <c r="BD86" i="17"/>
  <c r="BA86" i="17"/>
  <c r="AZ86" i="17" s="1"/>
  <c r="BD85" i="17"/>
  <c r="BA85" i="17"/>
  <c r="AZ85" i="17" s="1"/>
  <c r="BD84" i="17"/>
  <c r="BA84" i="17"/>
  <c r="AZ84" i="17" s="1"/>
  <c r="BD83" i="17"/>
  <c r="BA83" i="17"/>
  <c r="AZ83" i="17" s="1"/>
  <c r="BD82" i="17"/>
  <c r="BA82" i="17"/>
  <c r="AZ82" i="17" s="1"/>
  <c r="BD81" i="17"/>
  <c r="BA81" i="17"/>
  <c r="AZ81" i="17" s="1"/>
  <c r="BD80" i="17"/>
  <c r="BA80" i="17"/>
  <c r="AZ80" i="17" s="1"/>
  <c r="BD79" i="17"/>
  <c r="BA79" i="17"/>
  <c r="AZ79" i="17" s="1"/>
  <c r="BD78" i="17"/>
  <c r="BA78" i="17"/>
  <c r="AZ78" i="17" s="1"/>
  <c r="BD77" i="17"/>
  <c r="BA77" i="17"/>
  <c r="AZ77" i="17" s="1"/>
  <c r="BD76" i="17"/>
  <c r="BA76" i="17"/>
  <c r="AZ76" i="17" s="1"/>
  <c r="BD75" i="17"/>
  <c r="BA75" i="17"/>
  <c r="AZ75" i="17" s="1"/>
  <c r="BD74" i="17"/>
  <c r="BA74" i="17"/>
  <c r="AZ74" i="17" s="1"/>
  <c r="BD73" i="17"/>
  <c r="BA73" i="17"/>
  <c r="AZ73" i="17" s="1"/>
  <c r="BD72" i="17"/>
  <c r="BA72" i="17"/>
  <c r="AZ72" i="17" s="1"/>
  <c r="BD71" i="17"/>
  <c r="BA71" i="17"/>
  <c r="AZ71" i="17" s="1"/>
  <c r="BD70" i="17"/>
  <c r="BA70" i="17"/>
  <c r="AZ70" i="17" s="1"/>
  <c r="BD69" i="17"/>
  <c r="BA69" i="17"/>
  <c r="AZ69" i="17" s="1"/>
  <c r="BD68" i="17"/>
  <c r="BA68" i="17"/>
  <c r="AZ68" i="17" s="1"/>
  <c r="BD67" i="17"/>
  <c r="BA67" i="17"/>
  <c r="AZ67" i="17" s="1"/>
  <c r="BD66" i="17"/>
  <c r="BA66" i="17"/>
  <c r="AZ66" i="17" s="1"/>
  <c r="BD65" i="17"/>
  <c r="BA65" i="17"/>
  <c r="AZ65" i="17" s="1"/>
  <c r="BD64" i="17"/>
  <c r="BA64" i="17"/>
  <c r="AZ64" i="17" s="1"/>
  <c r="BD63" i="17"/>
  <c r="BA63" i="17"/>
  <c r="AZ63" i="17" s="1"/>
  <c r="BD62" i="17"/>
  <c r="BA62" i="17"/>
  <c r="AZ62" i="17" s="1"/>
  <c r="BD61" i="17"/>
  <c r="BA61" i="17"/>
  <c r="AZ61" i="17" s="1"/>
  <c r="BD60" i="17"/>
  <c r="BA60" i="17"/>
  <c r="AZ60" i="17" s="1"/>
  <c r="BD59" i="17"/>
  <c r="BA59" i="17"/>
  <c r="AZ59" i="17" s="1"/>
  <c r="BD58" i="17"/>
  <c r="BA58" i="17"/>
  <c r="AZ58" i="17" s="1"/>
  <c r="BD57" i="17"/>
  <c r="BA57" i="17"/>
  <c r="AZ57" i="17" s="1"/>
  <c r="BD56" i="17"/>
  <c r="BA56" i="17"/>
  <c r="AZ56" i="17" s="1"/>
  <c r="BD55" i="17"/>
  <c r="BA55" i="17"/>
  <c r="AZ55" i="17" s="1"/>
  <c r="BD54" i="17"/>
  <c r="BA54" i="17"/>
  <c r="AZ54" i="17" s="1"/>
  <c r="BD53" i="17"/>
  <c r="BA53" i="17"/>
  <c r="AZ53" i="17" s="1"/>
  <c r="BD52" i="17"/>
  <c r="BA52" i="17"/>
  <c r="AZ52" i="17" s="1"/>
  <c r="BD51" i="17"/>
  <c r="BA51" i="17"/>
  <c r="AZ51" i="17" s="1"/>
  <c r="BD50" i="17"/>
  <c r="BA50" i="17"/>
  <c r="AZ50" i="17" s="1"/>
  <c r="BD49" i="17"/>
  <c r="BA49" i="17"/>
  <c r="AZ49" i="17" s="1"/>
  <c r="BD48" i="17"/>
  <c r="BA48" i="17"/>
  <c r="AZ48" i="17" s="1"/>
  <c r="BD47" i="17"/>
  <c r="BA47" i="17"/>
  <c r="AZ47" i="17" s="1"/>
  <c r="BD46" i="17"/>
  <c r="BA46" i="17"/>
  <c r="AZ46" i="17" s="1"/>
  <c r="BD45" i="17"/>
  <c r="BA45" i="17"/>
  <c r="AZ45" i="17" s="1"/>
  <c r="BD44" i="17"/>
  <c r="BA44" i="17"/>
  <c r="AZ44" i="17" s="1"/>
  <c r="BD43" i="17"/>
  <c r="BA43" i="17"/>
  <c r="AZ43" i="17" s="1"/>
  <c r="BD42" i="17"/>
  <c r="BA42" i="17"/>
  <c r="AZ42" i="17" s="1"/>
  <c r="BD41" i="17"/>
  <c r="BA41" i="17"/>
  <c r="AZ41" i="17" s="1"/>
  <c r="BD40" i="17"/>
  <c r="BA40" i="17"/>
  <c r="AZ40" i="17" s="1"/>
  <c r="BA30" i="2" s="1"/>
  <c r="BD39" i="17"/>
  <c r="BA39" i="17"/>
  <c r="AZ39" i="17" s="1"/>
  <c r="BD38" i="17"/>
  <c r="BA38" i="17"/>
  <c r="AZ38" i="17" s="1"/>
  <c r="BD37" i="17"/>
  <c r="BA37" i="17"/>
  <c r="AZ37" i="17" s="1"/>
  <c r="BD36" i="17"/>
  <c r="BA36" i="17"/>
  <c r="AZ36" i="17" s="1"/>
  <c r="BD35" i="17"/>
  <c r="BA35" i="17"/>
  <c r="AZ35" i="17" s="1"/>
  <c r="BD34" i="17"/>
  <c r="BA34" i="17"/>
  <c r="AZ34" i="17" s="1"/>
  <c r="BD33" i="17"/>
  <c r="BA33" i="17"/>
  <c r="AZ33" i="17" s="1"/>
  <c r="BD32" i="17"/>
  <c r="BA32" i="17"/>
  <c r="AZ32" i="17" s="1"/>
  <c r="BD30" i="17"/>
  <c r="BA30" i="17"/>
  <c r="AZ30" i="17" s="1"/>
  <c r="BD29" i="17"/>
  <c r="BA29" i="17"/>
  <c r="AZ29" i="17" s="1"/>
  <c r="BD28" i="17"/>
  <c r="BA28" i="17"/>
  <c r="AZ28" i="17" s="1"/>
  <c r="BD27" i="17"/>
  <c r="BA27" i="17"/>
  <c r="AZ27" i="17" s="1"/>
  <c r="BD26" i="17"/>
  <c r="BA26" i="17"/>
  <c r="AZ26" i="17" s="1"/>
  <c r="BD25" i="17"/>
  <c r="BA25" i="17"/>
  <c r="AZ25" i="17" s="1"/>
  <c r="BD24" i="17"/>
  <c r="BA24" i="17"/>
  <c r="AZ24" i="17" s="1"/>
  <c r="BD23" i="17"/>
  <c r="BA23" i="17"/>
  <c r="AZ23" i="17" s="1"/>
  <c r="BD22" i="17"/>
  <c r="BA22" i="17"/>
  <c r="AZ22" i="17" s="1"/>
  <c r="BD21" i="17"/>
  <c r="BA21" i="17"/>
  <c r="AZ21" i="17" s="1"/>
  <c r="BD19" i="17"/>
  <c r="BA19" i="17"/>
  <c r="AZ19" i="17" s="1"/>
  <c r="BC140" i="16"/>
  <c r="BB140" i="16"/>
  <c r="BC139" i="16"/>
  <c r="BB139" i="16"/>
  <c r="BC138" i="16"/>
  <c r="BB138" i="16"/>
  <c r="BC137" i="16"/>
  <c r="BB137" i="16"/>
  <c r="BC136" i="16"/>
  <c r="BB136" i="16"/>
  <c r="BC135" i="16"/>
  <c r="BB135" i="16"/>
  <c r="BC134" i="16"/>
  <c r="BB134" i="16"/>
  <c r="BC133" i="16"/>
  <c r="BB133" i="16"/>
  <c r="BC132" i="16"/>
  <c r="BB132" i="16"/>
  <c r="BC131" i="16"/>
  <c r="BB131" i="16"/>
  <c r="BC130" i="16"/>
  <c r="BB130" i="16"/>
  <c r="BC129" i="16"/>
  <c r="BB129" i="16"/>
  <c r="BC128" i="16"/>
  <c r="BB128" i="16"/>
  <c r="BC127" i="16"/>
  <c r="BB127" i="16"/>
  <c r="BC126" i="16"/>
  <c r="BB126" i="16"/>
  <c r="BC125" i="16"/>
  <c r="BB125" i="16"/>
  <c r="BC124" i="16"/>
  <c r="BB124" i="16"/>
  <c r="BC123" i="16"/>
  <c r="BB123" i="16"/>
  <c r="BC122" i="16"/>
  <c r="BB122" i="16"/>
  <c r="BC121" i="16"/>
  <c r="BB121" i="16"/>
  <c r="BC120" i="16"/>
  <c r="BB120" i="16"/>
  <c r="BC119" i="16"/>
  <c r="BB119" i="16"/>
  <c r="BC118" i="16"/>
  <c r="BB118" i="16"/>
  <c r="BC117" i="16"/>
  <c r="BB117" i="16"/>
  <c r="BC116" i="16"/>
  <c r="BB116" i="16"/>
  <c r="BC115" i="16"/>
  <c r="BB115" i="16"/>
  <c r="BC114" i="16"/>
  <c r="BB114" i="16"/>
  <c r="BC113" i="16"/>
  <c r="BB113" i="16"/>
  <c r="BC112" i="16"/>
  <c r="BB112" i="16"/>
  <c r="BC111" i="16"/>
  <c r="BB111" i="16"/>
  <c r="BC110" i="16"/>
  <c r="BB110" i="16"/>
  <c r="BC109" i="16"/>
  <c r="BB109" i="16"/>
  <c r="BC108" i="16"/>
  <c r="BB108" i="16"/>
  <c r="BC107" i="16"/>
  <c r="BB107" i="16"/>
  <c r="BC106" i="16"/>
  <c r="BB106" i="16"/>
  <c r="BC105" i="16"/>
  <c r="BB105" i="16"/>
  <c r="BC104" i="16"/>
  <c r="BB104" i="16"/>
  <c r="BC103" i="16"/>
  <c r="BB103" i="16"/>
  <c r="BC102" i="16"/>
  <c r="BB102" i="16"/>
  <c r="BC101" i="16"/>
  <c r="BB101" i="16"/>
  <c r="BC100" i="16"/>
  <c r="BB100" i="16"/>
  <c r="BC99" i="16"/>
  <c r="BB99" i="16"/>
  <c r="BC98" i="16"/>
  <c r="BB98" i="16"/>
  <c r="BC97" i="16"/>
  <c r="BB97" i="16"/>
  <c r="BC96" i="16"/>
  <c r="BB96" i="16"/>
  <c r="BC95" i="16"/>
  <c r="BB95" i="16"/>
  <c r="BC94" i="16"/>
  <c r="BB94" i="16"/>
  <c r="BC93" i="16"/>
  <c r="BB93" i="16"/>
  <c r="BC92" i="16"/>
  <c r="BB92" i="16"/>
  <c r="BC91" i="16"/>
  <c r="BB91" i="16"/>
  <c r="BC90" i="16"/>
  <c r="BB90" i="16"/>
  <c r="BC89" i="16"/>
  <c r="BB89" i="16"/>
  <c r="BC88" i="16"/>
  <c r="BB88" i="16"/>
  <c r="BC87" i="16"/>
  <c r="BB87" i="16"/>
  <c r="BC86" i="16"/>
  <c r="BB86" i="16"/>
  <c r="BC85" i="16"/>
  <c r="BB85" i="16"/>
  <c r="BC84" i="16"/>
  <c r="BB84" i="16"/>
  <c r="BC83" i="16"/>
  <c r="BB83" i="16"/>
  <c r="BC82" i="16"/>
  <c r="BB82" i="16"/>
  <c r="BC81" i="16"/>
  <c r="BB81" i="16"/>
  <c r="BC80" i="16"/>
  <c r="BB80" i="16"/>
  <c r="BC79" i="16"/>
  <c r="BB79" i="16"/>
  <c r="BC78" i="16"/>
  <c r="BB78" i="16"/>
  <c r="BC77" i="16"/>
  <c r="BB77" i="16"/>
  <c r="BC76" i="16"/>
  <c r="BB76" i="16"/>
  <c r="BC75" i="16"/>
  <c r="BB75" i="16"/>
  <c r="BC74" i="16"/>
  <c r="BB74" i="16"/>
  <c r="BC73" i="16"/>
  <c r="BB73" i="16"/>
  <c r="BC72" i="16"/>
  <c r="BB72" i="16"/>
  <c r="BC71" i="16"/>
  <c r="BB71" i="16"/>
  <c r="BC70" i="16"/>
  <c r="BB70" i="16"/>
  <c r="BC69" i="16"/>
  <c r="BB69" i="16"/>
  <c r="BC68" i="16"/>
  <c r="BB68" i="16"/>
  <c r="BC67" i="16"/>
  <c r="BB67" i="16"/>
  <c r="BC66" i="16"/>
  <c r="BB66" i="16"/>
  <c r="BC65" i="16"/>
  <c r="BB65" i="16"/>
  <c r="BC64" i="16"/>
  <c r="BB64" i="16"/>
  <c r="BC63" i="16"/>
  <c r="BB63" i="16"/>
  <c r="BC62" i="16"/>
  <c r="BB62" i="16"/>
  <c r="BC61" i="16"/>
  <c r="BB61" i="16"/>
  <c r="BC60" i="16"/>
  <c r="BB60" i="16"/>
  <c r="BC59" i="16"/>
  <c r="BB59" i="16"/>
  <c r="BC58" i="16"/>
  <c r="BB58" i="16"/>
  <c r="BC57" i="16"/>
  <c r="BB57" i="16"/>
  <c r="BC56" i="16"/>
  <c r="BB56" i="16"/>
  <c r="BC55" i="16"/>
  <c r="BB55" i="16"/>
  <c r="BC54" i="16"/>
  <c r="BB54" i="16"/>
  <c r="BC53" i="16"/>
  <c r="BB53" i="16"/>
  <c r="BC52" i="16"/>
  <c r="BB52" i="16"/>
  <c r="BC51" i="16"/>
  <c r="BB51" i="16"/>
  <c r="BC50" i="16"/>
  <c r="BB50" i="16"/>
  <c r="BC49" i="16"/>
  <c r="BB49" i="16"/>
  <c r="BC48" i="16"/>
  <c r="BB48" i="16"/>
  <c r="BC47" i="16"/>
  <c r="BB47" i="16"/>
  <c r="BC46" i="16"/>
  <c r="BB46" i="16"/>
  <c r="BC45" i="16"/>
  <c r="BB45" i="16"/>
  <c r="BC44" i="16"/>
  <c r="BB44" i="16"/>
  <c r="BC43" i="16"/>
  <c r="BB43" i="16"/>
  <c r="BC42" i="16"/>
  <c r="BB42" i="16"/>
  <c r="BC41" i="16"/>
  <c r="BB41" i="16"/>
  <c r="BC40" i="16"/>
  <c r="BB40" i="16"/>
  <c r="BC39" i="16"/>
  <c r="BB39" i="16"/>
  <c r="BC38" i="16"/>
  <c r="BC37" i="16" s="1"/>
  <c r="BB38" i="16"/>
  <c r="BB37" i="16" s="1"/>
  <c r="BC36" i="16"/>
  <c r="BB36" i="16"/>
  <c r="BC35" i="16"/>
  <c r="BB35" i="16"/>
  <c r="BC34" i="16"/>
  <c r="BB34" i="16"/>
  <c r="BC33" i="16"/>
  <c r="BB33" i="16"/>
  <c r="BC32" i="16"/>
  <c r="BB32" i="16"/>
  <c r="BC31" i="16"/>
  <c r="BB31" i="16"/>
  <c r="BC30" i="16"/>
  <c r="BB30" i="16"/>
  <c r="BC29" i="16"/>
  <c r="BB29" i="16"/>
  <c r="BC28" i="16"/>
  <c r="BB28" i="16"/>
  <c r="BC27" i="16"/>
  <c r="BB27" i="16"/>
  <c r="BC26" i="16"/>
  <c r="BB26" i="16"/>
  <c r="BC25" i="16"/>
  <c r="BB25" i="16"/>
  <c r="BC24" i="16"/>
  <c r="BB24" i="16"/>
  <c r="BC23" i="16"/>
  <c r="BB23" i="16"/>
  <c r="BC22" i="16"/>
  <c r="BB22" i="16"/>
  <c r="BC21" i="16"/>
  <c r="BB21" i="16"/>
  <c r="BC20" i="16"/>
  <c r="BB20" i="16"/>
  <c r="BC19" i="16"/>
  <c r="BB19" i="16"/>
  <c r="BC18" i="16"/>
  <c r="BB18" i="16"/>
  <c r="BC17" i="16"/>
  <c r="BB17" i="16"/>
  <c r="BC16" i="16"/>
  <c r="BB16" i="16"/>
  <c r="BC15" i="16"/>
  <c r="BB15" i="16"/>
  <c r="BC14" i="16"/>
  <c r="BB14" i="16"/>
  <c r="BC13" i="16"/>
  <c r="BB13" i="16"/>
  <c r="BC12" i="16"/>
  <c r="BB12" i="16"/>
  <c r="BC11" i="16"/>
  <c r="BB11" i="16"/>
  <c r="BC10" i="16"/>
  <c r="BB10" i="16"/>
  <c r="BC9" i="16"/>
  <c r="BB9" i="16"/>
  <c r="BC8" i="16"/>
  <c r="BB8" i="16"/>
  <c r="BC7" i="16"/>
  <c r="BB7" i="16"/>
  <c r="BC6" i="16"/>
  <c r="BB6" i="16"/>
  <c r="BC5" i="16"/>
  <c r="BB5" i="16"/>
  <c r="BC4" i="16"/>
  <c r="BB4" i="16"/>
  <c r="AO38" i="12"/>
  <c r="AN38" i="12"/>
  <c r="AJ38" i="12"/>
  <c r="AK38" i="12" s="1"/>
  <c r="AL38" i="12" s="1"/>
  <c r="AO9" i="12"/>
  <c r="AN9" i="12"/>
  <c r="AJ6" i="12"/>
  <c r="AK6" i="12" s="1"/>
  <c r="AJ10" i="12"/>
  <c r="AK10" i="12" s="1"/>
  <c r="AL10" i="12" s="1"/>
  <c r="AJ5" i="12"/>
  <c r="AK5" i="12" s="1"/>
  <c r="AL5" i="12" s="1"/>
  <c r="AU100" i="13"/>
  <c r="AV100" i="13" s="1"/>
  <c r="AU97" i="13"/>
  <c r="AV97" i="13" s="1"/>
  <c r="AU96" i="13"/>
  <c r="AV96" i="13" s="1"/>
  <c r="AW96" i="13" s="1"/>
  <c r="AU95" i="13"/>
  <c r="AV95" i="13" s="1"/>
  <c r="AW95" i="13" s="1"/>
  <c r="AU92" i="13"/>
  <c r="AV92" i="13" s="1"/>
  <c r="AU89" i="13"/>
  <c r="AV89" i="13" s="1"/>
  <c r="AU88" i="13"/>
  <c r="AV88" i="13" s="1"/>
  <c r="AW88" i="13" s="1"/>
  <c r="AU83" i="13"/>
  <c r="AV83" i="13" s="1"/>
  <c r="AU48" i="13"/>
  <c r="AV48" i="13" s="1"/>
  <c r="AU46" i="13"/>
  <c r="AV46" i="13" s="1"/>
  <c r="AU43" i="13"/>
  <c r="AV43" i="13" s="1"/>
  <c r="AU16" i="13"/>
  <c r="AV16" i="13" s="1"/>
  <c r="AJ61" i="12"/>
  <c r="AJ55" i="12"/>
  <c r="AK55" i="12" s="1"/>
  <c r="AJ44" i="12"/>
  <c r="AK44" i="12" s="1"/>
  <c r="AL44" i="12" s="1"/>
  <c r="AJ42" i="12"/>
  <c r="AK42" i="12" s="1"/>
  <c r="AJ36" i="12"/>
  <c r="AK36" i="12" s="1"/>
  <c r="AJ29" i="12"/>
  <c r="AK29" i="12" s="1"/>
  <c r="AJ28" i="12"/>
  <c r="AK28" i="12" s="1"/>
  <c r="AJ11" i="12"/>
  <c r="AK11" i="12" s="1"/>
  <c r="AJ4" i="12"/>
  <c r="C29" i="20"/>
  <c r="O115" i="10" s="1"/>
  <c r="R22" i="20"/>
  <c r="S22" i="20" s="1"/>
  <c r="T22" i="20" s="1"/>
  <c r="U22" i="20" s="1"/>
  <c r="V22" i="20" s="1"/>
  <c r="W22" i="20" s="1"/>
  <c r="X22" i="20" s="1"/>
  <c r="Y22" i="20" s="1"/>
  <c r="Q146" i="17"/>
  <c r="Q147" i="17" s="1"/>
  <c r="Q148" i="17" s="1"/>
  <c r="P146" i="17"/>
  <c r="P147" i="17" s="1"/>
  <c r="P148" i="17" s="1"/>
  <c r="O146" i="17"/>
  <c r="O147" i="17" s="1"/>
  <c r="O148" i="17" s="1"/>
  <c r="N146" i="17"/>
  <c r="N147" i="17" s="1"/>
  <c r="N148" i="17" s="1"/>
  <c r="M146" i="17"/>
  <c r="M147" i="17" s="1"/>
  <c r="M148" i="17" s="1"/>
  <c r="L146" i="17"/>
  <c r="L147" i="17" s="1"/>
  <c r="L148" i="17" s="1"/>
  <c r="K146" i="17"/>
  <c r="K147" i="17" s="1"/>
  <c r="K148" i="17" s="1"/>
  <c r="J146" i="17"/>
  <c r="J147" i="17" s="1"/>
  <c r="J148" i="17" s="1"/>
  <c r="C125" i="17"/>
  <c r="C124" i="17"/>
  <c r="C123" i="17"/>
  <c r="C122" i="17"/>
  <c r="D122" i="17" s="1"/>
  <c r="Q104" i="17"/>
  <c r="P104" i="17"/>
  <c r="O104" i="17"/>
  <c r="N104" i="17"/>
  <c r="M104" i="17"/>
  <c r="L104" i="17"/>
  <c r="K104" i="17"/>
  <c r="I104" i="17"/>
  <c r="H104" i="17"/>
  <c r="G104" i="17"/>
  <c r="F104" i="17"/>
  <c r="E104" i="17"/>
  <c r="D104" i="17"/>
  <c r="Q101" i="17"/>
  <c r="P101" i="17"/>
  <c r="O101" i="17"/>
  <c r="N101" i="17"/>
  <c r="M101" i="17"/>
  <c r="L101" i="17"/>
  <c r="K101" i="17"/>
  <c r="I101" i="17"/>
  <c r="H101" i="17"/>
  <c r="G101" i="17"/>
  <c r="F101" i="17"/>
  <c r="E101" i="17"/>
  <c r="D101" i="17"/>
  <c r="Q97" i="17"/>
  <c r="P97" i="17"/>
  <c r="O97" i="17"/>
  <c r="N97" i="17"/>
  <c r="M97" i="17"/>
  <c r="L97" i="17"/>
  <c r="K97" i="17"/>
  <c r="I97" i="17"/>
  <c r="H97" i="17"/>
  <c r="G97" i="17"/>
  <c r="F97" i="17"/>
  <c r="E97" i="17"/>
  <c r="D97" i="17"/>
  <c r="Q92" i="17"/>
  <c r="P92" i="17"/>
  <c r="O92" i="17"/>
  <c r="N92" i="17"/>
  <c r="M92" i="17"/>
  <c r="L92" i="17"/>
  <c r="K92" i="17"/>
  <c r="I92" i="17"/>
  <c r="H92" i="17"/>
  <c r="G92" i="17"/>
  <c r="F92" i="17"/>
  <c r="E92" i="17"/>
  <c r="D92" i="17"/>
  <c r="Q87" i="17"/>
  <c r="P87" i="17"/>
  <c r="O87" i="17"/>
  <c r="N87" i="17"/>
  <c r="M87" i="17"/>
  <c r="L87" i="17"/>
  <c r="K87" i="17"/>
  <c r="I87" i="17"/>
  <c r="H87" i="17"/>
  <c r="G87" i="17"/>
  <c r="F87" i="17"/>
  <c r="E87" i="17"/>
  <c r="D87" i="17"/>
  <c r="H72" i="17"/>
  <c r="H47" i="17" s="1"/>
  <c r="AO58" i="17"/>
  <c r="AN58" i="17"/>
  <c r="AM58" i="17"/>
  <c r="AO55" i="17"/>
  <c r="AN55" i="17"/>
  <c r="AM55" i="17"/>
  <c r="I47" i="17"/>
  <c r="G47" i="17"/>
  <c r="F47" i="17"/>
  <c r="E47" i="17"/>
  <c r="D47" i="17"/>
  <c r="I42" i="17"/>
  <c r="H42" i="17"/>
  <c r="G42" i="17"/>
  <c r="F42" i="17"/>
  <c r="E42" i="17"/>
  <c r="D42" i="17"/>
  <c r="AK35" i="17"/>
  <c r="AJ35" i="17"/>
  <c r="AI35" i="17"/>
  <c r="AH35" i="17"/>
  <c r="AG35" i="17"/>
  <c r="AF35" i="17"/>
  <c r="AE35" i="17"/>
  <c r="AC35" i="17"/>
  <c r="AB35" i="17"/>
  <c r="R83" i="10" s="1"/>
  <c r="AA35" i="17"/>
  <c r="Q83" i="10" s="1"/>
  <c r="Z35" i="17"/>
  <c r="Y35" i="17"/>
  <c r="X35" i="17"/>
  <c r="AC33" i="17"/>
  <c r="S81" i="10" s="1"/>
  <c r="AB33" i="17"/>
  <c r="AA33" i="17"/>
  <c r="Z33" i="17"/>
  <c r="Y33" i="17"/>
  <c r="O81" i="10" s="1"/>
  <c r="X33" i="17"/>
  <c r="AK31" i="17"/>
  <c r="AJ31" i="17"/>
  <c r="AI31" i="17"/>
  <c r="AH31" i="17"/>
  <c r="AG31" i="17"/>
  <c r="AF31" i="17"/>
  <c r="AE31" i="17"/>
  <c r="AC31" i="17"/>
  <c r="AB31" i="17"/>
  <c r="AA31" i="17"/>
  <c r="Z31" i="17"/>
  <c r="Y31" i="17"/>
  <c r="X31" i="17"/>
  <c r="AK30" i="17"/>
  <c r="AJ30" i="17"/>
  <c r="AI30" i="17"/>
  <c r="AH30" i="17"/>
  <c r="L9" i="20" s="1"/>
  <c r="L27" i="20" s="1"/>
  <c r="X113" i="10" s="1"/>
  <c r="AG30" i="17"/>
  <c r="AF30" i="17"/>
  <c r="AE30" i="17"/>
  <c r="I9" i="20" s="1"/>
  <c r="I27" i="20" s="1"/>
  <c r="U113" i="10" s="1"/>
  <c r="AC30" i="17"/>
  <c r="G9" i="20" s="1"/>
  <c r="G27" i="20" s="1"/>
  <c r="S113" i="10" s="1"/>
  <c r="AB30" i="17"/>
  <c r="F9" i="20" s="1"/>
  <c r="F27" i="20" s="1"/>
  <c r="R113" i="10" s="1"/>
  <c r="AE113" i="10" s="1"/>
  <c r="AA30" i="17"/>
  <c r="Z30" i="17"/>
  <c r="Y30" i="17"/>
  <c r="C9" i="20" s="1"/>
  <c r="O95" i="10" s="1"/>
  <c r="X30" i="17"/>
  <c r="I30" i="17"/>
  <c r="H30" i="17"/>
  <c r="G30" i="17"/>
  <c r="F30" i="17"/>
  <c r="E30" i="17"/>
  <c r="D30" i="17"/>
  <c r="AK29" i="17"/>
  <c r="AJ29" i="17"/>
  <c r="AI29" i="17"/>
  <c r="AH29" i="17"/>
  <c r="L8" i="20" s="1"/>
  <c r="X94" i="10" s="1"/>
  <c r="AG29" i="17"/>
  <c r="K8" i="20" s="1"/>
  <c r="W94" i="10" s="1"/>
  <c r="AF29" i="17"/>
  <c r="J8" i="20" s="1"/>
  <c r="V94" i="10" s="1"/>
  <c r="AE29" i="17"/>
  <c r="I8" i="20" s="1"/>
  <c r="U94" i="10" s="1"/>
  <c r="AC29" i="17"/>
  <c r="AB29" i="17"/>
  <c r="F9" i="18" s="1"/>
  <c r="F7" i="18" s="1"/>
  <c r="AA29" i="17"/>
  <c r="E9" i="18" s="1"/>
  <c r="E7" i="18" s="1"/>
  <c r="Z29" i="17"/>
  <c r="D9" i="18" s="1"/>
  <c r="D7" i="18" s="1"/>
  <c r="Y29" i="17"/>
  <c r="C9" i="18" s="1"/>
  <c r="C7" i="18" s="1"/>
  <c r="X29" i="17"/>
  <c r="AK27" i="17"/>
  <c r="AJ27" i="17"/>
  <c r="AI27" i="17"/>
  <c r="AH27" i="17"/>
  <c r="AG27" i="17"/>
  <c r="AF27" i="17"/>
  <c r="AE27" i="17"/>
  <c r="AC27" i="17"/>
  <c r="AB27" i="17"/>
  <c r="AA27" i="17"/>
  <c r="Z27" i="17"/>
  <c r="Y27" i="17"/>
  <c r="X27" i="17"/>
  <c r="AK26" i="17"/>
  <c r="AJ26" i="17"/>
  <c r="AI26" i="17"/>
  <c r="AH26" i="17"/>
  <c r="AG26" i="17"/>
  <c r="AF26" i="17"/>
  <c r="AE26" i="17"/>
  <c r="I12" i="20" s="1"/>
  <c r="I28" i="20" s="1"/>
  <c r="U114" i="10" s="1"/>
  <c r="AC26" i="17"/>
  <c r="G12" i="20" s="1"/>
  <c r="G28" i="20" s="1"/>
  <c r="S114" i="10" s="1"/>
  <c r="AB26" i="17"/>
  <c r="F12" i="20" s="1"/>
  <c r="F28" i="20" s="1"/>
  <c r="R114" i="10" s="1"/>
  <c r="AA26" i="17"/>
  <c r="Z26" i="17"/>
  <c r="Y26" i="17"/>
  <c r="C12" i="20" s="1"/>
  <c r="X26" i="17"/>
  <c r="AO25" i="17"/>
  <c r="AP25" i="17" s="1"/>
  <c r="AQ25" i="17" s="1"/>
  <c r="AR25" i="17" s="1"/>
  <c r="AS25" i="17" s="1"/>
  <c r="AT25" i="17" s="1"/>
  <c r="AU25" i="17" s="1"/>
  <c r="AV25" i="17" s="1"/>
  <c r="AW25" i="17" s="1"/>
  <c r="AN25" i="17"/>
  <c r="AM25" i="17"/>
  <c r="AK25" i="17"/>
  <c r="AJ25" i="17"/>
  <c r="AI25" i="17"/>
  <c r="AH25" i="17"/>
  <c r="AG25" i="17"/>
  <c r="K11" i="20" s="1"/>
  <c r="W97" i="10" s="1"/>
  <c r="AF25" i="17"/>
  <c r="J11" i="20" s="1"/>
  <c r="V97" i="10" s="1"/>
  <c r="AE25" i="17"/>
  <c r="AC25" i="17"/>
  <c r="G8" i="18" s="1"/>
  <c r="AB25" i="17"/>
  <c r="F11" i="20" s="1"/>
  <c r="F33" i="20" s="1"/>
  <c r="AA25" i="17"/>
  <c r="E11" i="20" s="1"/>
  <c r="Z25" i="17"/>
  <c r="D11" i="20" s="1"/>
  <c r="Y25" i="17"/>
  <c r="C11" i="20" s="1"/>
  <c r="C33" i="20" s="1"/>
  <c r="X25" i="17"/>
  <c r="AC22" i="17"/>
  <c r="G10" i="18" s="1"/>
  <c r="AB22" i="17"/>
  <c r="F10" i="18" s="1"/>
  <c r="AA22" i="17"/>
  <c r="E10" i="18" s="1"/>
  <c r="Z22" i="17"/>
  <c r="D10" i="18" s="1"/>
  <c r="Y22" i="17"/>
  <c r="C7" i="20" s="1"/>
  <c r="O93" i="10" s="1"/>
  <c r="X22" i="17"/>
  <c r="AC21" i="17"/>
  <c r="AA21" i="17"/>
  <c r="Z21" i="17"/>
  <c r="Y21" i="17"/>
  <c r="X21" i="17"/>
  <c r="AC20" i="17"/>
  <c r="AB20" i="17"/>
  <c r="AA20" i="17"/>
  <c r="Z20" i="17"/>
  <c r="Y20" i="17"/>
  <c r="X20" i="17"/>
  <c r="AC19" i="17"/>
  <c r="AB19" i="17"/>
  <c r="AA19" i="17"/>
  <c r="Z19" i="17"/>
  <c r="Y19" i="17"/>
  <c r="X19" i="17"/>
  <c r="I19" i="17"/>
  <c r="AQ10" i="16" s="1"/>
  <c r="H19" i="17"/>
  <c r="G19" i="17"/>
  <c r="F19" i="17"/>
  <c r="AN9" i="16" s="1"/>
  <c r="E19" i="17"/>
  <c r="D19" i="17"/>
  <c r="AU18" i="17"/>
  <c r="AT18" i="17"/>
  <c r="AS18" i="17"/>
  <c r="AR18" i="17"/>
  <c r="Q18" i="17"/>
  <c r="P18" i="17"/>
  <c r="O18" i="17"/>
  <c r="N18" i="17"/>
  <c r="M18" i="17"/>
  <c r="L18" i="17"/>
  <c r="K18" i="17"/>
  <c r="AV18" i="17" s="1"/>
  <c r="AU17" i="17"/>
  <c r="AT17" i="17"/>
  <c r="AS17" i="17"/>
  <c r="AR17" i="17"/>
  <c r="Q17" i="17"/>
  <c r="P17" i="17"/>
  <c r="O17" i="17"/>
  <c r="N17" i="17"/>
  <c r="M17" i="17"/>
  <c r="L17" i="17"/>
  <c r="K17" i="17"/>
  <c r="AU16" i="17"/>
  <c r="AT16" i="17"/>
  <c r="AS16" i="17"/>
  <c r="AR16" i="17"/>
  <c r="AC16" i="17"/>
  <c r="AB16" i="17"/>
  <c r="AA16" i="17"/>
  <c r="Q54" i="10" s="1"/>
  <c r="Z16" i="17"/>
  <c r="Y16" i="17"/>
  <c r="X16" i="17"/>
  <c r="Q16" i="17"/>
  <c r="P16" i="17"/>
  <c r="O16" i="17"/>
  <c r="N16" i="17"/>
  <c r="M16" i="17"/>
  <c r="L16" i="17"/>
  <c r="AV16" i="17"/>
  <c r="AC15" i="17"/>
  <c r="S51" i="10" s="1"/>
  <c r="AB15" i="17"/>
  <c r="AA15" i="17"/>
  <c r="Q51" i="10" s="1"/>
  <c r="Z15" i="17"/>
  <c r="P51" i="10" s="1"/>
  <c r="Y15" i="17"/>
  <c r="O51" i="10" s="1"/>
  <c r="O49" i="10" s="1"/>
  <c r="X15" i="17"/>
  <c r="J14" i="17"/>
  <c r="AD14" i="17" s="1"/>
  <c r="I14" i="17"/>
  <c r="AO18" i="17" s="1"/>
  <c r="AO23" i="17" s="1"/>
  <c r="AT23" i="17" s="1"/>
  <c r="H14" i="17"/>
  <c r="H161" i="17" s="1"/>
  <c r="G14" i="17"/>
  <c r="G162" i="17" s="1"/>
  <c r="F14" i="17"/>
  <c r="E14" i="17"/>
  <c r="Y14" i="17" s="1"/>
  <c r="D14" i="17"/>
  <c r="X14" i="17" s="1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N138" i="16"/>
  <c r="O138" i="16" s="1"/>
  <c r="P138" i="16" s="1"/>
  <c r="Q138" i="16" s="1"/>
  <c r="H137" i="16"/>
  <c r="I137" i="16" s="1"/>
  <c r="E130" i="16"/>
  <c r="F131" i="16" s="1"/>
  <c r="D130" i="16"/>
  <c r="X22" i="16" s="1"/>
  <c r="N129" i="16"/>
  <c r="O129" i="16" s="1"/>
  <c r="P129" i="16" s="1"/>
  <c r="Q129" i="16" s="1"/>
  <c r="N128" i="16"/>
  <c r="O128" i="16" s="1"/>
  <c r="P128" i="16" s="1"/>
  <c r="Q128" i="16" s="1"/>
  <c r="I122" i="16"/>
  <c r="S33" i="10" s="1"/>
  <c r="H122" i="16"/>
  <c r="R33" i="10" s="1"/>
  <c r="G122" i="16"/>
  <c r="Q33" i="10" s="1"/>
  <c r="F122" i="16"/>
  <c r="P33" i="10" s="1"/>
  <c r="E122" i="16"/>
  <c r="O33" i="10" s="1"/>
  <c r="D122" i="16"/>
  <c r="I118" i="16"/>
  <c r="S32" i="10" s="1"/>
  <c r="H118" i="16"/>
  <c r="R32" i="10" s="1"/>
  <c r="G118" i="16"/>
  <c r="Q32" i="10" s="1"/>
  <c r="F118" i="16"/>
  <c r="P32" i="10" s="1"/>
  <c r="E118" i="16"/>
  <c r="O32" i="10" s="1"/>
  <c r="D118" i="16"/>
  <c r="I114" i="16"/>
  <c r="S28" i="10" s="1"/>
  <c r="H114" i="16"/>
  <c r="R28" i="10" s="1"/>
  <c r="G114" i="16"/>
  <c r="F114" i="16"/>
  <c r="E114" i="16"/>
  <c r="D114" i="16"/>
  <c r="Q108" i="16"/>
  <c r="AA27" i="10" s="1"/>
  <c r="P108" i="16"/>
  <c r="Z27" i="10" s="1"/>
  <c r="O108" i="16"/>
  <c r="Y27" i="10" s="1"/>
  <c r="N108" i="16"/>
  <c r="X27" i="10" s="1"/>
  <c r="M108" i="16"/>
  <c r="W27" i="10" s="1"/>
  <c r="L108" i="16"/>
  <c r="V27" i="10" s="1"/>
  <c r="K108" i="16"/>
  <c r="U27" i="10" s="1"/>
  <c r="I108" i="16"/>
  <c r="S27" i="10" s="1"/>
  <c r="H108" i="16"/>
  <c r="R27" i="10" s="1"/>
  <c r="G108" i="16"/>
  <c r="Q27" i="10" s="1"/>
  <c r="F108" i="16"/>
  <c r="P27" i="10" s="1"/>
  <c r="E108" i="16"/>
  <c r="O27" i="10" s="1"/>
  <c r="D108" i="16"/>
  <c r="I102" i="16"/>
  <c r="AC15" i="16" s="1"/>
  <c r="N100" i="16"/>
  <c r="O100" i="16" s="1"/>
  <c r="P100" i="16" s="1"/>
  <c r="Q100" i="16" s="1"/>
  <c r="N98" i="16"/>
  <c r="O98" i="16" s="1"/>
  <c r="P98" i="16" s="1"/>
  <c r="Q98" i="16" s="1"/>
  <c r="N97" i="16"/>
  <c r="O97" i="16" s="1"/>
  <c r="P97" i="16" s="1"/>
  <c r="Q97" i="16" s="1"/>
  <c r="L96" i="16"/>
  <c r="M96" i="16" s="1"/>
  <c r="N96" i="16" s="1"/>
  <c r="O96" i="16" s="1"/>
  <c r="P96" i="16" s="1"/>
  <c r="Q96" i="16" s="1"/>
  <c r="AQ93" i="16"/>
  <c r="AP93" i="16"/>
  <c r="AO93" i="16"/>
  <c r="AN93" i="16"/>
  <c r="K76" i="16"/>
  <c r="AR92" i="16"/>
  <c r="AR94" i="16" s="1"/>
  <c r="AQ92" i="16"/>
  <c r="AP92" i="16"/>
  <c r="AO92" i="16"/>
  <c r="AN92" i="16"/>
  <c r="I92" i="16"/>
  <c r="H92" i="16"/>
  <c r="G92" i="16"/>
  <c r="F92" i="16"/>
  <c r="E92" i="16"/>
  <c r="D92" i="16"/>
  <c r="N89" i="16"/>
  <c r="O89" i="16" s="1"/>
  <c r="I87" i="16"/>
  <c r="H87" i="16"/>
  <c r="G87" i="16"/>
  <c r="F87" i="16"/>
  <c r="E87" i="16"/>
  <c r="D87" i="16"/>
  <c r="AQ85" i="16"/>
  <c r="AP85" i="16"/>
  <c r="AO85" i="16"/>
  <c r="AN85" i="16"/>
  <c r="AQ84" i="16"/>
  <c r="AP84" i="16"/>
  <c r="AO84" i="16"/>
  <c r="AN84" i="16"/>
  <c r="AQ83" i="16"/>
  <c r="AP83" i="16"/>
  <c r="AO83" i="16"/>
  <c r="AN83" i="16"/>
  <c r="AP81" i="16"/>
  <c r="AO81" i="16"/>
  <c r="N79" i="16"/>
  <c r="O79" i="16" s="1"/>
  <c r="P79" i="16" s="1"/>
  <c r="Q79" i="16" s="1"/>
  <c r="AQ78" i="16"/>
  <c r="AP78" i="16"/>
  <c r="AO78" i="16"/>
  <c r="AN78" i="16"/>
  <c r="N77" i="16"/>
  <c r="O77" i="16" s="1"/>
  <c r="P77" i="16" s="1"/>
  <c r="Q77" i="16" s="1"/>
  <c r="M76" i="16"/>
  <c r="L76" i="16"/>
  <c r="AQ75" i="16"/>
  <c r="AP75" i="16"/>
  <c r="AO75" i="16"/>
  <c r="AN75" i="16"/>
  <c r="AM75" i="16"/>
  <c r="I73" i="16"/>
  <c r="H73" i="16"/>
  <c r="G73" i="16"/>
  <c r="F73" i="16"/>
  <c r="E73" i="16"/>
  <c r="D73" i="16"/>
  <c r="AQ72" i="16"/>
  <c r="AP72" i="16"/>
  <c r="AO72" i="16"/>
  <c r="AN72" i="16"/>
  <c r="AQ71" i="16"/>
  <c r="AP71" i="16"/>
  <c r="AO71" i="16"/>
  <c r="AN71" i="16"/>
  <c r="N68" i="16"/>
  <c r="O68" i="16" s="1"/>
  <c r="P68" i="16" s="1"/>
  <c r="Q68" i="16" s="1"/>
  <c r="AQ67" i="16"/>
  <c r="AP67" i="16"/>
  <c r="AQ65" i="16" s="1"/>
  <c r="N67" i="16"/>
  <c r="O67" i="16" s="1"/>
  <c r="P67" i="16" s="1"/>
  <c r="Q67" i="16" s="1"/>
  <c r="AQ66" i="16"/>
  <c r="AP66" i="16"/>
  <c r="AO66" i="16"/>
  <c r="AN66" i="16"/>
  <c r="N66" i="16"/>
  <c r="O66" i="16" s="1"/>
  <c r="P66" i="16" s="1"/>
  <c r="Q66" i="16" s="1"/>
  <c r="I64" i="16"/>
  <c r="H64" i="16"/>
  <c r="G64" i="16"/>
  <c r="F64" i="16"/>
  <c r="E64" i="16"/>
  <c r="D64" i="16"/>
  <c r="AY63" i="16"/>
  <c r="AY64" i="16" s="1"/>
  <c r="AX63" i="16"/>
  <c r="AX64" i="16" s="1"/>
  <c r="AW63" i="16"/>
  <c r="AW64" i="16" s="1"/>
  <c r="AV63" i="16"/>
  <c r="AV64" i="16" s="1"/>
  <c r="AU63" i="16"/>
  <c r="AU64" i="16" s="1"/>
  <c r="AT63" i="16"/>
  <c r="AT64" i="16" s="1"/>
  <c r="AS63" i="16"/>
  <c r="AS64" i="16" s="1"/>
  <c r="AR63" i="16"/>
  <c r="AR64" i="16" s="1"/>
  <c r="AQ63" i="16"/>
  <c r="AQ64" i="16" s="1"/>
  <c r="N61" i="16"/>
  <c r="O61" i="16" s="1"/>
  <c r="P61" i="16" s="1"/>
  <c r="Q61" i="16" s="1"/>
  <c r="N60" i="16"/>
  <c r="O60" i="16" s="1"/>
  <c r="P60" i="16" s="1"/>
  <c r="Q60" i="16" s="1"/>
  <c r="N59" i="16"/>
  <c r="O59" i="16" s="1"/>
  <c r="P59" i="16" s="1"/>
  <c r="Q59" i="16" s="1"/>
  <c r="AQ58" i="16"/>
  <c r="AP58" i="16"/>
  <c r="AO58" i="16"/>
  <c r="AN58" i="16"/>
  <c r="N57" i="16"/>
  <c r="O57" i="16" s="1"/>
  <c r="P57" i="16" s="1"/>
  <c r="Q57" i="16" s="1"/>
  <c r="AU56" i="16"/>
  <c r="AT56" i="16"/>
  <c r="AS56" i="16"/>
  <c r="AQ56" i="16"/>
  <c r="AP56" i="16"/>
  <c r="AO56" i="16"/>
  <c r="AN56" i="16"/>
  <c r="AM56" i="16"/>
  <c r="N55" i="16"/>
  <c r="O55" i="16" s="1"/>
  <c r="P55" i="16" s="1"/>
  <c r="Q55" i="16" s="1"/>
  <c r="AY56" i="16" s="1"/>
  <c r="AQ54" i="16"/>
  <c r="AP54" i="16"/>
  <c r="AO54" i="16"/>
  <c r="AN54" i="16"/>
  <c r="AM54" i="16"/>
  <c r="AQ53" i="16"/>
  <c r="AP53" i="16"/>
  <c r="AO53" i="16"/>
  <c r="AN53" i="16"/>
  <c r="AM53" i="16"/>
  <c r="AQ51" i="16"/>
  <c r="AP51" i="16"/>
  <c r="AO51" i="16"/>
  <c r="AN51" i="16"/>
  <c r="N51" i="16"/>
  <c r="O51" i="16" s="1"/>
  <c r="P51" i="16" s="1"/>
  <c r="Q51" i="16" s="1"/>
  <c r="AQ50" i="16"/>
  <c r="AP50" i="16"/>
  <c r="AO50" i="16"/>
  <c r="AN50" i="16"/>
  <c r="N50" i="16"/>
  <c r="O50" i="16" s="1"/>
  <c r="P50" i="16" s="1"/>
  <c r="Q50" i="16" s="1"/>
  <c r="N49" i="16"/>
  <c r="O49" i="16" s="1"/>
  <c r="P49" i="16" s="1"/>
  <c r="Q49" i="16" s="1"/>
  <c r="AQ48" i="16"/>
  <c r="AP48" i="16"/>
  <c r="AO48" i="16"/>
  <c r="AN48" i="16"/>
  <c r="N48" i="16"/>
  <c r="O48" i="16" s="1"/>
  <c r="P48" i="16" s="1"/>
  <c r="Q48" i="16" s="1"/>
  <c r="N47" i="16"/>
  <c r="O47" i="16" s="1"/>
  <c r="P47" i="16" s="1"/>
  <c r="Q47" i="16" s="1"/>
  <c r="N46" i="16"/>
  <c r="O46" i="16" s="1"/>
  <c r="P46" i="16" s="1"/>
  <c r="Q46" i="16" s="1"/>
  <c r="N45" i="16"/>
  <c r="O45" i="16" s="1"/>
  <c r="P45" i="16" s="1"/>
  <c r="Q45" i="16" s="1"/>
  <c r="N44" i="16"/>
  <c r="O44" i="16" s="1"/>
  <c r="M43" i="16"/>
  <c r="L43" i="16"/>
  <c r="K43" i="16"/>
  <c r="I43" i="16"/>
  <c r="H43" i="16"/>
  <c r="G43" i="16"/>
  <c r="F43" i="16"/>
  <c r="E43" i="16"/>
  <c r="D43" i="16"/>
  <c r="N42" i="16"/>
  <c r="O42" i="16" s="1"/>
  <c r="P42" i="16" s="1"/>
  <c r="Q42" i="16" s="1"/>
  <c r="AD40" i="16"/>
  <c r="H37" i="20" s="1"/>
  <c r="T123" i="10" s="1"/>
  <c r="AC40" i="16"/>
  <c r="G37" i="20" s="1"/>
  <c r="S123" i="10" s="1"/>
  <c r="AB40" i="16"/>
  <c r="F37" i="20" s="1"/>
  <c r="R123" i="10" s="1"/>
  <c r="AA40" i="16"/>
  <c r="E37" i="20" s="1"/>
  <c r="Q123" i="10" s="1"/>
  <c r="Z40" i="16"/>
  <c r="D37" i="20" s="1"/>
  <c r="P123" i="10" s="1"/>
  <c r="Y40" i="16"/>
  <c r="C37" i="20" s="1"/>
  <c r="O123" i="10" s="1"/>
  <c r="X40" i="16"/>
  <c r="N40" i="16"/>
  <c r="O40" i="16" s="1"/>
  <c r="P40" i="16" s="1"/>
  <c r="Q40" i="16" s="1"/>
  <c r="Y39" i="16"/>
  <c r="X39" i="16"/>
  <c r="N39" i="16"/>
  <c r="AK38" i="16"/>
  <c r="O22" i="20" s="1"/>
  <c r="AA108" i="10" s="1"/>
  <c r="AJ38" i="16"/>
  <c r="N22" i="20" s="1"/>
  <c r="Z108" i="10" s="1"/>
  <c r="AI38" i="16"/>
  <c r="M22" i="20" s="1"/>
  <c r="Y108" i="10" s="1"/>
  <c r="AH38" i="16"/>
  <c r="L22" i="20" s="1"/>
  <c r="X108" i="10" s="1"/>
  <c r="AG38" i="16"/>
  <c r="K22" i="20" s="1"/>
  <c r="W108" i="10" s="1"/>
  <c r="AF38" i="16"/>
  <c r="J22" i="20" s="1"/>
  <c r="V108" i="10" s="1"/>
  <c r="AE38" i="16"/>
  <c r="I22" i="20" s="1"/>
  <c r="U108" i="10" s="1"/>
  <c r="AC38" i="16"/>
  <c r="G22" i="20" s="1"/>
  <c r="S108" i="10" s="1"/>
  <c r="AB38" i="16"/>
  <c r="F22" i="20" s="1"/>
  <c r="R108" i="10" s="1"/>
  <c r="AA38" i="16"/>
  <c r="E22" i="20" s="1"/>
  <c r="Q108" i="10" s="1"/>
  <c r="Z38" i="16"/>
  <c r="D22" i="20" s="1"/>
  <c r="P108" i="10" s="1"/>
  <c r="Y38" i="16"/>
  <c r="C22" i="20" s="1"/>
  <c r="O108" i="10" s="1"/>
  <c r="X38" i="16"/>
  <c r="N38" i="16"/>
  <c r="O38" i="16" s="1"/>
  <c r="P38" i="16" s="1"/>
  <c r="Q38" i="16" s="1"/>
  <c r="AK37" i="16"/>
  <c r="O21" i="20" s="1"/>
  <c r="AA107" i="10" s="1"/>
  <c r="AJ37" i="16"/>
  <c r="N21" i="20" s="1"/>
  <c r="Z107" i="10" s="1"/>
  <c r="AI37" i="16"/>
  <c r="M21" i="20" s="1"/>
  <c r="Y107" i="10" s="1"/>
  <c r="AH37" i="16"/>
  <c r="L21" i="20" s="1"/>
  <c r="X107" i="10" s="1"/>
  <c r="AG37" i="16"/>
  <c r="K21" i="20" s="1"/>
  <c r="W107" i="10" s="1"/>
  <c r="AF37" i="16"/>
  <c r="J21" i="20" s="1"/>
  <c r="V107" i="10" s="1"/>
  <c r="AE37" i="16"/>
  <c r="I21" i="20" s="1"/>
  <c r="U107" i="10" s="1"/>
  <c r="AD37" i="16"/>
  <c r="H21" i="20" s="1"/>
  <c r="T107" i="10" s="1"/>
  <c r="AC37" i="16"/>
  <c r="G21" i="20" s="1"/>
  <c r="S107" i="10" s="1"/>
  <c r="AB37" i="16"/>
  <c r="F21" i="20" s="1"/>
  <c r="R107" i="10" s="1"/>
  <c r="AA37" i="16"/>
  <c r="E21" i="20" s="1"/>
  <c r="Q107" i="10" s="1"/>
  <c r="Z37" i="16"/>
  <c r="D21" i="20" s="1"/>
  <c r="P107" i="10" s="1"/>
  <c r="Y37" i="16"/>
  <c r="C21" i="20" s="1"/>
  <c r="O107" i="10" s="1"/>
  <c r="X37" i="16"/>
  <c r="N37" i="16"/>
  <c r="O37" i="16" s="1"/>
  <c r="P37" i="16" s="1"/>
  <c r="Q37" i="16" s="1"/>
  <c r="N36" i="16"/>
  <c r="O36" i="16" s="1"/>
  <c r="P36" i="16" s="1"/>
  <c r="Q36" i="16" s="1"/>
  <c r="AC35" i="16"/>
  <c r="AB35" i="16"/>
  <c r="AA35" i="16"/>
  <c r="Z35" i="16"/>
  <c r="I35" i="16"/>
  <c r="H35" i="16"/>
  <c r="G35" i="16"/>
  <c r="F35" i="16"/>
  <c r="E35" i="16"/>
  <c r="D35" i="16"/>
  <c r="AC34" i="16"/>
  <c r="AB34" i="16"/>
  <c r="AA34" i="16"/>
  <c r="Z34" i="16"/>
  <c r="AA33" i="16"/>
  <c r="Z33" i="16"/>
  <c r="N33" i="16"/>
  <c r="O33" i="16" s="1"/>
  <c r="P33" i="16" s="1"/>
  <c r="Q33" i="16" s="1"/>
  <c r="N32" i="16"/>
  <c r="O32" i="16" s="1"/>
  <c r="P32" i="16" s="1"/>
  <c r="Q32" i="16" s="1"/>
  <c r="N31" i="16"/>
  <c r="O31" i="16" s="1"/>
  <c r="P31" i="16" s="1"/>
  <c r="Q31" i="16" s="1"/>
  <c r="AQ30" i="16"/>
  <c r="AP30" i="16"/>
  <c r="N30" i="16"/>
  <c r="O30" i="16" s="1"/>
  <c r="P30" i="16" s="1"/>
  <c r="Q30" i="16" s="1"/>
  <c r="AQ29" i="16"/>
  <c r="AP29" i="16"/>
  <c r="AO29" i="16"/>
  <c r="AN29" i="16"/>
  <c r="N29" i="16"/>
  <c r="O29" i="16" s="1"/>
  <c r="P29" i="16" s="1"/>
  <c r="Q29" i="16" s="1"/>
  <c r="N27" i="16"/>
  <c r="O27" i="16" s="1"/>
  <c r="P27" i="16" s="1"/>
  <c r="Q27" i="16" s="1"/>
  <c r="N26" i="16"/>
  <c r="N25" i="16"/>
  <c r="O25" i="16" s="1"/>
  <c r="P25" i="16" s="1"/>
  <c r="Q25" i="16" s="1"/>
  <c r="N24" i="16"/>
  <c r="O24" i="16" s="1"/>
  <c r="P24" i="16" s="1"/>
  <c r="Q24" i="16" s="1"/>
  <c r="N23" i="16"/>
  <c r="O23" i="16" s="1"/>
  <c r="P23" i="16" s="1"/>
  <c r="Q23" i="16" s="1"/>
  <c r="N22" i="16"/>
  <c r="O22" i="16" s="1"/>
  <c r="P22" i="16" s="1"/>
  <c r="Q22" i="16" s="1"/>
  <c r="AK21" i="16"/>
  <c r="AJ21" i="16"/>
  <c r="AI21" i="16"/>
  <c r="AH21" i="16"/>
  <c r="AG21" i="16"/>
  <c r="AF21" i="16"/>
  <c r="AE21" i="16"/>
  <c r="AC21" i="16"/>
  <c r="AB21" i="16"/>
  <c r="AA21" i="16"/>
  <c r="Z21" i="16"/>
  <c r="Y21" i="16"/>
  <c r="X21" i="16"/>
  <c r="N21" i="16"/>
  <c r="O21" i="16" s="1"/>
  <c r="P21" i="16" s="1"/>
  <c r="Q21" i="16" s="1"/>
  <c r="N20" i="16"/>
  <c r="AC19" i="16"/>
  <c r="AB19" i="16"/>
  <c r="AA19" i="16"/>
  <c r="Z19" i="16"/>
  <c r="Y19" i="16"/>
  <c r="X19" i="16"/>
  <c r="M19" i="16"/>
  <c r="L19" i="16"/>
  <c r="K19" i="16"/>
  <c r="I19" i="16"/>
  <c r="H19" i="16"/>
  <c r="G19" i="16"/>
  <c r="F19" i="16"/>
  <c r="E19" i="16"/>
  <c r="D19" i="16"/>
  <c r="AQ18" i="16"/>
  <c r="AP18" i="16"/>
  <c r="AO18" i="16"/>
  <c r="AN18" i="16"/>
  <c r="AG18" i="16"/>
  <c r="AF18" i="16"/>
  <c r="AE18" i="16"/>
  <c r="AC18" i="16"/>
  <c r="AB18" i="16"/>
  <c r="AA18" i="16"/>
  <c r="Z18" i="16"/>
  <c r="Y18" i="16"/>
  <c r="X18" i="16"/>
  <c r="AQ17" i="16"/>
  <c r="AP17" i="16"/>
  <c r="AO17" i="16"/>
  <c r="AN17" i="16"/>
  <c r="AC17" i="16"/>
  <c r="S19" i="10" s="1"/>
  <c r="AB17" i="16"/>
  <c r="R19" i="10" s="1"/>
  <c r="AA17" i="16"/>
  <c r="Z17" i="16"/>
  <c r="Y17" i="16"/>
  <c r="O19" i="10" s="1"/>
  <c r="X17" i="16"/>
  <c r="AQ16" i="16"/>
  <c r="AP16" i="16"/>
  <c r="AO16" i="16"/>
  <c r="AN16" i="16"/>
  <c r="AC16" i="16"/>
  <c r="AB16" i="16"/>
  <c r="AA16" i="16"/>
  <c r="Z16" i="16"/>
  <c r="Y16" i="16"/>
  <c r="X16" i="16"/>
  <c r="AB15" i="16"/>
  <c r="AA15" i="16"/>
  <c r="Z15" i="16"/>
  <c r="Y15" i="16"/>
  <c r="X15" i="16"/>
  <c r="N15" i="16"/>
  <c r="O15" i="16" s="1"/>
  <c r="P15" i="16" s="1"/>
  <c r="Q15" i="16" s="1"/>
  <c r="N14" i="16"/>
  <c r="O14" i="16" s="1"/>
  <c r="P14" i="16" s="1"/>
  <c r="Q14" i="16" s="1"/>
  <c r="AG13" i="16"/>
  <c r="AF13" i="16"/>
  <c r="AE13" i="16"/>
  <c r="AC13" i="16"/>
  <c r="AB13" i="16"/>
  <c r="AA13" i="16"/>
  <c r="Z13" i="16"/>
  <c r="Y13" i="16"/>
  <c r="X13" i="16"/>
  <c r="N13" i="16"/>
  <c r="O13" i="16" s="1"/>
  <c r="P13" i="16" s="1"/>
  <c r="Q13" i="16" s="1"/>
  <c r="AC12" i="16"/>
  <c r="G11" i="18" s="1"/>
  <c r="AB12" i="16"/>
  <c r="F11" i="18" s="1"/>
  <c r="AA12" i="16"/>
  <c r="E11" i="18" s="1"/>
  <c r="Z12" i="16"/>
  <c r="D11" i="18" s="1"/>
  <c r="Y12" i="16"/>
  <c r="C11" i="18" s="1"/>
  <c r="D4" i="18" s="1"/>
  <c r="X12" i="16"/>
  <c r="B11" i="18" s="1"/>
  <c r="C4" i="18" s="1"/>
  <c r="N12" i="16"/>
  <c r="O12" i="16" s="1"/>
  <c r="P12" i="16" s="1"/>
  <c r="Q12" i="16" s="1"/>
  <c r="AC11" i="16"/>
  <c r="S10" i="10" s="1"/>
  <c r="AB11" i="16"/>
  <c r="R10" i="10" s="1"/>
  <c r="AA11" i="16"/>
  <c r="Q10" i="10" s="1"/>
  <c r="Z11" i="16"/>
  <c r="P10" i="10" s="1"/>
  <c r="Y11" i="16"/>
  <c r="O10" i="10" s="1"/>
  <c r="X11" i="16"/>
  <c r="N11" i="16"/>
  <c r="AC10" i="16"/>
  <c r="AB10" i="16"/>
  <c r="AA10" i="16"/>
  <c r="Z10" i="16"/>
  <c r="Y10" i="16"/>
  <c r="X10" i="16"/>
  <c r="N10" i="16"/>
  <c r="AC9" i="16"/>
  <c r="AB9" i="16"/>
  <c r="AA9" i="16"/>
  <c r="Z9" i="16"/>
  <c r="Y9" i="16"/>
  <c r="X9" i="16"/>
  <c r="AC8" i="16"/>
  <c r="AB8" i="16"/>
  <c r="AA8" i="16"/>
  <c r="Z8" i="16"/>
  <c r="Y8" i="16"/>
  <c r="X8" i="16"/>
  <c r="AG7" i="16"/>
  <c r="AF7" i="16"/>
  <c r="AE7" i="16"/>
  <c r="AC7" i="16"/>
  <c r="AB7" i="16"/>
  <c r="AA7" i="16"/>
  <c r="Z7" i="16"/>
  <c r="Y7" i="16"/>
  <c r="X7" i="16"/>
  <c r="I7" i="16"/>
  <c r="H7" i="16"/>
  <c r="G7" i="16"/>
  <c r="F7" i="16"/>
  <c r="E7" i="16"/>
  <c r="D7" i="16"/>
  <c r="AG6" i="16"/>
  <c r="AF6" i="16"/>
  <c r="AE6" i="16"/>
  <c r="U8" i="10" s="1"/>
  <c r="AC6" i="16"/>
  <c r="H39" i="20" s="1"/>
  <c r="T125" i="10" s="1"/>
  <c r="AB6" i="16"/>
  <c r="G39" i="20" s="1"/>
  <c r="S125" i="10" s="1"/>
  <c r="AA6" i="16"/>
  <c r="F39" i="20" s="1"/>
  <c r="R125" i="10" s="1"/>
  <c r="Z6" i="16"/>
  <c r="E39" i="20" s="1"/>
  <c r="Q125" i="10" s="1"/>
  <c r="Y6" i="16"/>
  <c r="X6" i="16"/>
  <c r="AH6" i="16"/>
  <c r="AK5" i="16"/>
  <c r="AK30" i="16" s="1"/>
  <c r="AJ5" i="16"/>
  <c r="AJ30" i="16" s="1"/>
  <c r="AI5" i="16"/>
  <c r="AI30" i="16" s="1"/>
  <c r="AH5" i="16"/>
  <c r="AH30" i="16" s="1"/>
  <c r="AG5" i="16"/>
  <c r="AF5" i="16"/>
  <c r="AE5" i="16"/>
  <c r="AE30" i="16" s="1"/>
  <c r="AD5" i="16"/>
  <c r="AR5" i="16" s="1"/>
  <c r="AC5" i="16"/>
  <c r="AB5" i="16"/>
  <c r="AP5" i="16" s="1"/>
  <c r="AA5" i="16"/>
  <c r="AO5" i="16" s="1"/>
  <c r="Z5" i="16"/>
  <c r="AN5" i="16" s="1"/>
  <c r="Y5" i="16"/>
  <c r="Y30" i="16" s="1"/>
  <c r="X5" i="16"/>
  <c r="X30" i="16" s="1"/>
  <c r="H38" i="21"/>
  <c r="H125" i="10" s="1"/>
  <c r="G38" i="21"/>
  <c r="G125" i="10" s="1"/>
  <c r="F38" i="21"/>
  <c r="F125" i="10" s="1"/>
  <c r="E38" i="21"/>
  <c r="E125" i="10" s="1"/>
  <c r="D38" i="21"/>
  <c r="D125" i="10" s="1"/>
  <c r="C38" i="21"/>
  <c r="C125" i="10" s="1"/>
  <c r="B38" i="21"/>
  <c r="B125" i="10" s="1"/>
  <c r="AB125" i="10" s="1"/>
  <c r="C25" i="4" s="1"/>
  <c r="N36" i="21"/>
  <c r="N123" i="10" s="1"/>
  <c r="M36" i="21"/>
  <c r="L36" i="21"/>
  <c r="K36" i="21"/>
  <c r="J36" i="21"/>
  <c r="I36" i="21"/>
  <c r="G36" i="21"/>
  <c r="G33" i="21" s="1"/>
  <c r="F36" i="21"/>
  <c r="F123" i="10" s="1"/>
  <c r="E36" i="21"/>
  <c r="E123" i="10" s="1"/>
  <c r="D36" i="21"/>
  <c r="D123" i="10" s="1"/>
  <c r="C36" i="21"/>
  <c r="C123" i="10" s="1"/>
  <c r="B36" i="21"/>
  <c r="B33" i="21" s="1"/>
  <c r="C31" i="21"/>
  <c r="C30" i="21" s="1"/>
  <c r="B31" i="21"/>
  <c r="B118" i="10" s="1"/>
  <c r="N29" i="21"/>
  <c r="N115" i="10" s="1"/>
  <c r="M29" i="21"/>
  <c r="M115" i="10" s="1"/>
  <c r="L29" i="21"/>
  <c r="L115" i="10" s="1"/>
  <c r="K29" i="21"/>
  <c r="K115" i="10" s="1"/>
  <c r="J29" i="21"/>
  <c r="J115" i="10" s="1"/>
  <c r="I29" i="21"/>
  <c r="I115" i="10" s="1"/>
  <c r="H29" i="21"/>
  <c r="H115" i="10" s="1"/>
  <c r="G107" i="10"/>
  <c r="F107" i="10"/>
  <c r="E107" i="10"/>
  <c r="D21" i="21"/>
  <c r="D107" i="10" s="1"/>
  <c r="G18" i="21"/>
  <c r="G104" i="10" s="1"/>
  <c r="F18" i="21"/>
  <c r="F104" i="10" s="1"/>
  <c r="E18" i="21"/>
  <c r="E104" i="10" s="1"/>
  <c r="D18" i="21"/>
  <c r="D104" i="10" s="1"/>
  <c r="C18" i="21"/>
  <c r="C104" i="10" s="1"/>
  <c r="B18" i="21"/>
  <c r="B104" i="10" s="1"/>
  <c r="AB104" i="10" s="1"/>
  <c r="S26" i="4" s="1"/>
  <c r="D17" i="21"/>
  <c r="D103" i="10" s="1"/>
  <c r="G16" i="21"/>
  <c r="G102" i="10" s="1"/>
  <c r="F16" i="21"/>
  <c r="F102" i="10" s="1"/>
  <c r="E16" i="21"/>
  <c r="E102" i="10" s="1"/>
  <c r="D16" i="21"/>
  <c r="D102" i="10" s="1"/>
  <c r="C16" i="21"/>
  <c r="C102" i="10" s="1"/>
  <c r="B16" i="21"/>
  <c r="B102" i="10" s="1"/>
  <c r="AB102" i="10" s="1"/>
  <c r="S25" i="4" s="1"/>
  <c r="G14" i="21"/>
  <c r="G100" i="10" s="1"/>
  <c r="F14" i="21"/>
  <c r="F100" i="10" s="1"/>
  <c r="E14" i="21"/>
  <c r="D14" i="21"/>
  <c r="C14" i="21"/>
  <c r="B14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U35" i="14"/>
  <c r="U25" i="14" s="1"/>
  <c r="T35" i="14"/>
  <c r="T25" i="14" s="1"/>
  <c r="S35" i="14"/>
  <c r="S25" i="14" s="1"/>
  <c r="R35" i="14"/>
  <c r="R25" i="14" s="1"/>
  <c r="Q35" i="14"/>
  <c r="Q25" i="14" s="1"/>
  <c r="P35" i="14"/>
  <c r="P25" i="14" s="1"/>
  <c r="O35" i="14"/>
  <c r="O25" i="14" s="1"/>
  <c r="N35" i="14"/>
  <c r="N25" i="14" s="1"/>
  <c r="M35" i="14"/>
  <c r="M25" i="14" s="1"/>
  <c r="L35" i="14"/>
  <c r="L25" i="14" s="1"/>
  <c r="K35" i="14"/>
  <c r="K25" i="14" s="1"/>
  <c r="J35" i="14"/>
  <c r="J25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V24" i="14"/>
  <c r="V23" i="14"/>
  <c r="V22" i="14"/>
  <c r="V21" i="14"/>
  <c r="V20" i="14"/>
  <c r="V19" i="14"/>
  <c r="V17" i="14"/>
  <c r="Q170" i="13"/>
  <c r="Q168" i="13"/>
  <c r="P168" i="13"/>
  <c r="O168" i="13"/>
  <c r="N168" i="13"/>
  <c r="M168" i="13"/>
  <c r="L168" i="13"/>
  <c r="K168" i="13"/>
  <c r="D160" i="13"/>
  <c r="H157" i="13"/>
  <c r="G157" i="13"/>
  <c r="F157" i="13"/>
  <c r="Q152" i="13"/>
  <c r="P152" i="13"/>
  <c r="O152" i="13"/>
  <c r="N152" i="13"/>
  <c r="M152" i="13"/>
  <c r="L152" i="13"/>
  <c r="K152" i="13"/>
  <c r="J152" i="13"/>
  <c r="I152" i="13"/>
  <c r="H152" i="13"/>
  <c r="G152" i="13"/>
  <c r="F152" i="13"/>
  <c r="E152" i="13"/>
  <c r="J151" i="13"/>
  <c r="I151" i="13"/>
  <c r="H151" i="13"/>
  <c r="G151" i="13"/>
  <c r="F151" i="13"/>
  <c r="E151" i="13"/>
  <c r="F150" i="13"/>
  <c r="H132" i="13"/>
  <c r="G132" i="13"/>
  <c r="F132" i="13"/>
  <c r="N131" i="13"/>
  <c r="M131" i="13"/>
  <c r="L131" i="13"/>
  <c r="J131" i="13"/>
  <c r="I131" i="13"/>
  <c r="F129" i="13"/>
  <c r="J109" i="13"/>
  <c r="I109" i="13"/>
  <c r="H109" i="13"/>
  <c r="G109" i="13"/>
  <c r="F109" i="13"/>
  <c r="E109" i="13"/>
  <c r="F104" i="13"/>
  <c r="J92" i="13"/>
  <c r="I92" i="13"/>
  <c r="H92" i="13"/>
  <c r="G92" i="13"/>
  <c r="F92" i="13"/>
  <c r="E92" i="13"/>
  <c r="O89" i="13"/>
  <c r="N89" i="13"/>
  <c r="M89" i="13"/>
  <c r="L89" i="13"/>
  <c r="K89" i="13"/>
  <c r="J89" i="13"/>
  <c r="I89" i="13"/>
  <c r="H89" i="13"/>
  <c r="G89" i="13"/>
  <c r="F89" i="13"/>
  <c r="E89" i="13"/>
  <c r="AA81" i="13"/>
  <c r="Z81" i="13"/>
  <c r="Y81" i="13"/>
  <c r="X81" i="13"/>
  <c r="W81" i="13"/>
  <c r="J79" i="13"/>
  <c r="I79" i="13"/>
  <c r="H79" i="13"/>
  <c r="G79" i="13"/>
  <c r="F79" i="13"/>
  <c r="E79" i="13"/>
  <c r="J76" i="13"/>
  <c r="I76" i="13"/>
  <c r="H76" i="13"/>
  <c r="G76" i="13"/>
  <c r="F76" i="13"/>
  <c r="E76" i="13"/>
  <c r="Z75" i="13"/>
  <c r="Y75" i="13"/>
  <c r="X75" i="13"/>
  <c r="W75" i="13"/>
  <c r="J73" i="13"/>
  <c r="I73" i="13"/>
  <c r="H73" i="13"/>
  <c r="G73" i="13"/>
  <c r="F73" i="13"/>
  <c r="E73" i="13"/>
  <c r="AA72" i="13"/>
  <c r="Z72" i="13"/>
  <c r="Y72" i="13"/>
  <c r="X72" i="13"/>
  <c r="W72" i="13"/>
  <c r="V72" i="13"/>
  <c r="J70" i="13"/>
  <c r="I70" i="13"/>
  <c r="H70" i="13"/>
  <c r="G70" i="13"/>
  <c r="F70" i="13"/>
  <c r="E70" i="13"/>
  <c r="J64" i="13"/>
  <c r="I64" i="13"/>
  <c r="H64" i="13"/>
  <c r="G64" i="13"/>
  <c r="F64" i="13"/>
  <c r="E64" i="13"/>
  <c r="Q63" i="13"/>
  <c r="P63" i="13"/>
  <c r="O63" i="13"/>
  <c r="N63" i="13"/>
  <c r="M63" i="13"/>
  <c r="L63" i="13"/>
  <c r="K63" i="13"/>
  <c r="H60" i="13"/>
  <c r="G60" i="13"/>
  <c r="F60" i="13"/>
  <c r="E60" i="13"/>
  <c r="Y59" i="13"/>
  <c r="X59" i="13"/>
  <c r="W59" i="13"/>
  <c r="AA58" i="13"/>
  <c r="Z58" i="13"/>
  <c r="Y58" i="13"/>
  <c r="X58" i="13"/>
  <c r="W58" i="13"/>
  <c r="AB58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J52" i="13"/>
  <c r="I52" i="13"/>
  <c r="H52" i="13"/>
  <c r="G52" i="13"/>
  <c r="F52" i="13"/>
  <c r="E52" i="13"/>
  <c r="J51" i="13"/>
  <c r="I51" i="13"/>
  <c r="H51" i="13"/>
  <c r="G51" i="13"/>
  <c r="F51" i="13"/>
  <c r="K109" i="13"/>
  <c r="J45" i="13"/>
  <c r="I45" i="13"/>
  <c r="H45" i="13"/>
  <c r="G45" i="13"/>
  <c r="F45" i="13"/>
  <c r="AA44" i="13"/>
  <c r="Z44" i="13"/>
  <c r="Y44" i="13"/>
  <c r="X44" i="13"/>
  <c r="W44" i="13"/>
  <c r="V44" i="13"/>
  <c r="D44" i="13" s="1"/>
  <c r="J43" i="13"/>
  <c r="I43" i="13"/>
  <c r="H43" i="13"/>
  <c r="G43" i="13"/>
  <c r="F43" i="13"/>
  <c r="E43" i="13"/>
  <c r="Z42" i="13"/>
  <c r="AA41" i="13"/>
  <c r="Z41" i="13"/>
  <c r="Y41" i="13"/>
  <c r="X41" i="13"/>
  <c r="W41" i="13"/>
  <c r="V41" i="13"/>
  <c r="AA40" i="13"/>
  <c r="Z40" i="13"/>
  <c r="Y40" i="13"/>
  <c r="X40" i="13"/>
  <c r="W40" i="13"/>
  <c r="V40" i="13"/>
  <c r="AA39" i="13"/>
  <c r="Z39" i="13"/>
  <c r="Y39" i="13"/>
  <c r="X39" i="13"/>
  <c r="W39" i="13"/>
  <c r="V39" i="13"/>
  <c r="AA38" i="13"/>
  <c r="Z38" i="13"/>
  <c r="Y38" i="13"/>
  <c r="X38" i="13"/>
  <c r="W38" i="13"/>
  <c r="V38" i="13"/>
  <c r="AA37" i="13"/>
  <c r="Z37" i="13"/>
  <c r="Y37" i="13"/>
  <c r="X37" i="13"/>
  <c r="W37" i="13"/>
  <c r="V37" i="13"/>
  <c r="J36" i="13"/>
  <c r="I36" i="13"/>
  <c r="H36" i="13"/>
  <c r="G36" i="13"/>
  <c r="F36" i="13"/>
  <c r="E36" i="13"/>
  <c r="D36" i="13"/>
  <c r="Z35" i="13"/>
  <c r="Y35" i="13"/>
  <c r="X35" i="13"/>
  <c r="W35" i="13"/>
  <c r="V35" i="13"/>
  <c r="Z34" i="13"/>
  <c r="Y34" i="13"/>
  <c r="X34" i="13"/>
  <c r="W34" i="13"/>
  <c r="V34" i="13"/>
  <c r="AA30" i="13"/>
  <c r="Z33" i="13"/>
  <c r="Y33" i="13"/>
  <c r="X33" i="13"/>
  <c r="W33" i="13"/>
  <c r="V33" i="13"/>
  <c r="AC32" i="13"/>
  <c r="AD32" i="13" s="1"/>
  <c r="Z32" i="13"/>
  <c r="Y32" i="13"/>
  <c r="X32" i="13"/>
  <c r="W32" i="13"/>
  <c r="V32" i="13"/>
  <c r="Z31" i="13"/>
  <c r="Y31" i="13"/>
  <c r="X31" i="13"/>
  <c r="W31" i="13"/>
  <c r="V31" i="13"/>
  <c r="J30" i="13"/>
  <c r="I30" i="13"/>
  <c r="H30" i="13"/>
  <c r="G30" i="13"/>
  <c r="F30" i="13"/>
  <c r="E30" i="13"/>
  <c r="D30" i="13"/>
  <c r="D29" i="13"/>
  <c r="D28" i="13"/>
  <c r="D27" i="13"/>
  <c r="D26" i="13"/>
  <c r="D25" i="13"/>
  <c r="J24" i="13"/>
  <c r="I24" i="13"/>
  <c r="H24" i="13"/>
  <c r="G24" i="13"/>
  <c r="F24" i="13"/>
  <c r="E24" i="13"/>
  <c r="AA20" i="13"/>
  <c r="Z20" i="13"/>
  <c r="Y20" i="13"/>
  <c r="X20" i="13"/>
  <c r="W20" i="13"/>
  <c r="V20" i="13"/>
  <c r="Y18" i="13"/>
  <c r="X18" i="13"/>
  <c r="W18" i="13"/>
  <c r="V18" i="13"/>
  <c r="J16" i="13"/>
  <c r="I16" i="13"/>
  <c r="H16" i="13"/>
  <c r="G16" i="13"/>
  <c r="F16" i="13"/>
  <c r="E16" i="13"/>
  <c r="AA14" i="13"/>
  <c r="Z14" i="13"/>
  <c r="Y14" i="13"/>
  <c r="X14" i="13"/>
  <c r="W14" i="13"/>
  <c r="H47" i="10"/>
  <c r="AH47" i="10" s="1"/>
  <c r="W11" i="7" s="1"/>
  <c r="I11" i="7" s="1"/>
  <c r="H46" i="10"/>
  <c r="AH46" i="10" s="1"/>
  <c r="W10" i="7" s="1"/>
  <c r="I10" i="7" s="1"/>
  <c r="AA11" i="13"/>
  <c r="Z11" i="13"/>
  <c r="Y11" i="13"/>
  <c r="X11" i="13"/>
  <c r="W11" i="13"/>
  <c r="H45" i="10"/>
  <c r="AH45" i="10" s="1"/>
  <c r="W9" i="7" s="1"/>
  <c r="I9" i="7" s="1"/>
  <c r="AA9" i="13"/>
  <c r="Z9" i="13"/>
  <c r="Y9" i="13"/>
  <c r="X9" i="13"/>
  <c r="W9" i="13"/>
  <c r="AA7" i="13"/>
  <c r="Z7" i="13"/>
  <c r="Y7" i="13"/>
  <c r="X7" i="13"/>
  <c r="W7" i="13"/>
  <c r="J5" i="13"/>
  <c r="I5" i="13"/>
  <c r="H5" i="13"/>
  <c r="G5" i="13"/>
  <c r="F5" i="13"/>
  <c r="E5" i="13"/>
  <c r="AO3" i="13"/>
  <c r="AP3" i="13" s="1"/>
  <c r="AQ3" i="13" s="1"/>
  <c r="AR3" i="13" s="1"/>
  <c r="W3" i="13"/>
  <c r="X3" i="13" s="1"/>
  <c r="Y3" i="13" s="1"/>
  <c r="Z3" i="13" s="1"/>
  <c r="AA3" i="13" s="1"/>
  <c r="AB3" i="13" s="1"/>
  <c r="AC3" i="13" s="1"/>
  <c r="H67" i="12"/>
  <c r="G67" i="12"/>
  <c r="F67" i="12"/>
  <c r="E60" i="12"/>
  <c r="E55" i="12" s="1"/>
  <c r="B29" i="10" s="1"/>
  <c r="AB29" i="10" s="1"/>
  <c r="AD31" i="6" s="1"/>
  <c r="C31" i="6" s="1"/>
  <c r="C60" i="12"/>
  <c r="D56" i="12" s="1"/>
  <c r="D60" i="12" s="1"/>
  <c r="D55" i="12" s="1"/>
  <c r="K58" i="12"/>
  <c r="H36" i="21" s="1"/>
  <c r="H123" i="10" s="1"/>
  <c r="Q52" i="12"/>
  <c r="N33" i="10" s="1"/>
  <c r="P52" i="12"/>
  <c r="M33" i="10" s="1"/>
  <c r="O52" i="12"/>
  <c r="L33" i="10" s="1"/>
  <c r="N52" i="12"/>
  <c r="K33" i="10" s="1"/>
  <c r="M52" i="12"/>
  <c r="J33" i="10" s="1"/>
  <c r="L52" i="12"/>
  <c r="I33" i="10" s="1"/>
  <c r="K52" i="12"/>
  <c r="H33" i="10" s="1"/>
  <c r="J52" i="12"/>
  <c r="G33" i="10" s="1"/>
  <c r="I52" i="12"/>
  <c r="F33" i="10" s="1"/>
  <c r="H52" i="12"/>
  <c r="G52" i="12"/>
  <c r="D33" i="10" s="1"/>
  <c r="F52" i="12"/>
  <c r="C33" i="10" s="1"/>
  <c r="E52" i="12"/>
  <c r="B33" i="10" s="1"/>
  <c r="AB33" i="10" s="1"/>
  <c r="AD34" i="6" s="1"/>
  <c r="C34" i="6" s="1"/>
  <c r="D52" i="12"/>
  <c r="C52" i="12"/>
  <c r="K51" i="12"/>
  <c r="L51" i="12" s="1"/>
  <c r="M51" i="12" s="1"/>
  <c r="N51" i="12" s="1"/>
  <c r="O51" i="12" s="1"/>
  <c r="P51" i="12" s="1"/>
  <c r="Q51" i="12" s="1"/>
  <c r="K50" i="12"/>
  <c r="J49" i="12"/>
  <c r="G32" i="10" s="1"/>
  <c r="I49" i="12"/>
  <c r="F32" i="10" s="1"/>
  <c r="H49" i="12"/>
  <c r="E32" i="10" s="1"/>
  <c r="G49" i="12"/>
  <c r="D32" i="10" s="1"/>
  <c r="F49" i="12"/>
  <c r="C32" i="10" s="1"/>
  <c r="E49" i="12"/>
  <c r="B32" i="10" s="1"/>
  <c r="AB32" i="10" s="1"/>
  <c r="AD33" i="6" s="1"/>
  <c r="C33" i="6" s="1"/>
  <c r="D49" i="12"/>
  <c r="C49" i="12"/>
  <c r="K48" i="12"/>
  <c r="L48" i="12" s="1"/>
  <c r="M48" i="12" s="1"/>
  <c r="N48" i="12" s="1"/>
  <c r="O48" i="12" s="1"/>
  <c r="P48" i="12" s="1"/>
  <c r="Q48" i="12" s="1"/>
  <c r="K47" i="12"/>
  <c r="L47" i="12" s="1"/>
  <c r="M47" i="12" s="1"/>
  <c r="N47" i="12" s="1"/>
  <c r="O47" i="12" s="1"/>
  <c r="P47" i="12" s="1"/>
  <c r="Q47" i="12" s="1"/>
  <c r="K46" i="12"/>
  <c r="J45" i="12"/>
  <c r="G28" i="10" s="1"/>
  <c r="I45" i="12"/>
  <c r="F28" i="10" s="1"/>
  <c r="H45" i="12"/>
  <c r="E28" i="10" s="1"/>
  <c r="G45" i="12"/>
  <c r="D28" i="10" s="1"/>
  <c r="F45" i="12"/>
  <c r="C28" i="10" s="1"/>
  <c r="E45" i="12"/>
  <c r="D45" i="12"/>
  <c r="C45" i="12"/>
  <c r="K44" i="12"/>
  <c r="L44" i="12" s="1"/>
  <c r="K41" i="12"/>
  <c r="L41" i="12" s="1"/>
  <c r="M41" i="12" s="1"/>
  <c r="N41" i="12" s="1"/>
  <c r="O41" i="12" s="1"/>
  <c r="P41" i="12" s="1"/>
  <c r="Q41" i="12" s="1"/>
  <c r="K40" i="12"/>
  <c r="L40" i="12" s="1"/>
  <c r="M40" i="12" s="1"/>
  <c r="N40" i="12" s="1"/>
  <c r="O40" i="12" s="1"/>
  <c r="P40" i="12" s="1"/>
  <c r="Q40" i="12" s="1"/>
  <c r="K39" i="12"/>
  <c r="K38" i="12"/>
  <c r="L38" i="12" s="1"/>
  <c r="I24" i="10" s="1"/>
  <c r="K37" i="12"/>
  <c r="H34" i="21" s="1"/>
  <c r="H121" i="10" s="1"/>
  <c r="J36" i="12"/>
  <c r="I36" i="12"/>
  <c r="F18" i="10" s="1"/>
  <c r="H36" i="12"/>
  <c r="E18" i="10" s="1"/>
  <c r="G36" i="12"/>
  <c r="D18" i="10" s="1"/>
  <c r="F36" i="12"/>
  <c r="C18" i="10" s="1"/>
  <c r="E36" i="12"/>
  <c r="B18" i="10" s="1"/>
  <c r="AB18" i="10" s="1"/>
  <c r="AD20" i="6" s="1"/>
  <c r="C20" i="6" s="1"/>
  <c r="D36" i="12"/>
  <c r="C36" i="12"/>
  <c r="AA34" i="12"/>
  <c r="K32" i="12"/>
  <c r="L32" i="12" s="1"/>
  <c r="M32" i="12" s="1"/>
  <c r="N32" i="12" s="1"/>
  <c r="O32" i="12" s="1"/>
  <c r="P32" i="12" s="1"/>
  <c r="Q32" i="12" s="1"/>
  <c r="J31" i="12"/>
  <c r="J29" i="12" s="1"/>
  <c r="G17" i="10" s="1"/>
  <c r="I31" i="12"/>
  <c r="H31" i="12"/>
  <c r="G31" i="12"/>
  <c r="F31" i="12"/>
  <c r="C23" i="10" s="1"/>
  <c r="E31" i="12"/>
  <c r="B23" i="10" s="1"/>
  <c r="AB23" i="10" s="1"/>
  <c r="AD25" i="6" s="1"/>
  <c r="C25" i="6" s="1"/>
  <c r="D31" i="12"/>
  <c r="D29" i="12" s="1"/>
  <c r="C31" i="12"/>
  <c r="C29" i="12" s="1"/>
  <c r="K27" i="12"/>
  <c r="L27" i="12" s="1"/>
  <c r="M27" i="12" s="1"/>
  <c r="N27" i="12" s="1"/>
  <c r="O27" i="12" s="1"/>
  <c r="P27" i="12" s="1"/>
  <c r="Q27" i="12" s="1"/>
  <c r="K26" i="12"/>
  <c r="L26" i="12" s="1"/>
  <c r="K25" i="12"/>
  <c r="K24" i="12"/>
  <c r="L24" i="12" s="1"/>
  <c r="M24" i="12" s="1"/>
  <c r="N24" i="12" s="1"/>
  <c r="O24" i="12" s="1"/>
  <c r="P24" i="12" s="1"/>
  <c r="Q24" i="12" s="1"/>
  <c r="J23" i="12"/>
  <c r="G13" i="10" s="1"/>
  <c r="I23" i="12"/>
  <c r="F13" i="10" s="1"/>
  <c r="H23" i="12"/>
  <c r="G23" i="12"/>
  <c r="F23" i="12"/>
  <c r="E23" i="12"/>
  <c r="D23" i="12"/>
  <c r="C23" i="12"/>
  <c r="K21" i="12"/>
  <c r="L21" i="12" s="1"/>
  <c r="M21" i="12" s="1"/>
  <c r="N21" i="12" s="1"/>
  <c r="O21" i="12" s="1"/>
  <c r="P21" i="12" s="1"/>
  <c r="Q21" i="12" s="1"/>
  <c r="K20" i="12"/>
  <c r="L20" i="12" s="1"/>
  <c r="M20" i="12" s="1"/>
  <c r="J19" i="12"/>
  <c r="G15" i="10" s="1"/>
  <c r="I19" i="12"/>
  <c r="F15" i="10" s="1"/>
  <c r="AF15" i="10" s="1"/>
  <c r="AH17" i="6" s="1"/>
  <c r="K17" i="6" s="1"/>
  <c r="H19" i="12"/>
  <c r="E15" i="10" s="1"/>
  <c r="AE15" i="10" s="1"/>
  <c r="AG17" i="6" s="1"/>
  <c r="I17" i="6" s="1"/>
  <c r="G19" i="12"/>
  <c r="D15" i="10" s="1"/>
  <c r="F19" i="12"/>
  <c r="C15" i="10" s="1"/>
  <c r="E19" i="12"/>
  <c r="B15" i="10" s="1"/>
  <c r="AB15" i="10" s="1"/>
  <c r="AD17" i="6" s="1"/>
  <c r="C17" i="6" s="1"/>
  <c r="D19" i="12"/>
  <c r="C19" i="12"/>
  <c r="K16" i="12"/>
  <c r="L16" i="12" s="1"/>
  <c r="M16" i="12" s="1"/>
  <c r="N16" i="12" s="1"/>
  <c r="O16" i="12" s="1"/>
  <c r="P16" i="12" s="1"/>
  <c r="Q16" i="12" s="1"/>
  <c r="J15" i="12"/>
  <c r="G14" i="10" s="1"/>
  <c r="I15" i="12"/>
  <c r="F14" i="10" s="1"/>
  <c r="H15" i="12"/>
  <c r="E14" i="10" s="1"/>
  <c r="G15" i="12"/>
  <c r="D14" i="10" s="1"/>
  <c r="F15" i="12"/>
  <c r="C14" i="10" s="1"/>
  <c r="E15" i="12"/>
  <c r="B14" i="10" s="1"/>
  <c r="D15" i="12"/>
  <c r="C15" i="12"/>
  <c r="K14" i="12"/>
  <c r="L14" i="12" s="1"/>
  <c r="M14" i="12" s="1"/>
  <c r="N14" i="12" s="1"/>
  <c r="O14" i="12" s="1"/>
  <c r="P14" i="12" s="1"/>
  <c r="Q14" i="12" s="1"/>
  <c r="K13" i="12"/>
  <c r="L13" i="12" s="1"/>
  <c r="J12" i="12"/>
  <c r="I12" i="12"/>
  <c r="H12" i="12"/>
  <c r="G12" i="12"/>
  <c r="D12" i="10" s="1"/>
  <c r="F12" i="12"/>
  <c r="C12" i="10" s="1"/>
  <c r="E12" i="12"/>
  <c r="B12" i="10" s="1"/>
  <c r="AB12" i="10" s="1"/>
  <c r="AD14" i="6" s="1"/>
  <c r="C14" i="6" s="1"/>
  <c r="D12" i="12"/>
  <c r="C12" i="12"/>
  <c r="Y10" i="12"/>
  <c r="X10" i="12"/>
  <c r="W10" i="12"/>
  <c r="V10" i="12"/>
  <c r="K9" i="12"/>
  <c r="L9" i="12" s="1"/>
  <c r="J6" i="12"/>
  <c r="J4" i="12" s="1"/>
  <c r="G6" i="10" s="1"/>
  <c r="I6" i="12"/>
  <c r="I4" i="12" s="1"/>
  <c r="F6" i="10" s="1"/>
  <c r="H6" i="12"/>
  <c r="H4" i="12" s="1"/>
  <c r="E6" i="10" s="1"/>
  <c r="G6" i="12"/>
  <c r="G4" i="12" s="1"/>
  <c r="F6" i="12"/>
  <c r="F4" i="12" s="1"/>
  <c r="C6" i="10" s="1"/>
  <c r="E6" i="12"/>
  <c r="E4" i="12" s="1"/>
  <c r="B6" i="10" s="1"/>
  <c r="AB6" i="10" s="1"/>
  <c r="D6" i="12"/>
  <c r="D4" i="12" s="1"/>
  <c r="C6" i="12"/>
  <c r="C4" i="12" s="1"/>
  <c r="K5" i="12"/>
  <c r="L5" i="12" s="1"/>
  <c r="O89" i="10"/>
  <c r="AB89" i="10" s="1"/>
  <c r="C89" i="10"/>
  <c r="O40" i="10"/>
  <c r="AB40" i="10" s="1"/>
  <c r="C40" i="10"/>
  <c r="O4" i="10"/>
  <c r="AB4" i="10" s="1"/>
  <c r="C4" i="10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AT51" i="7"/>
  <c r="AS51" i="7"/>
  <c r="AO48" i="7"/>
  <c r="AN48" i="7"/>
  <c r="AM48" i="7"/>
  <c r="AS46" i="7"/>
  <c r="AO46" i="7"/>
  <c r="AN46" i="7"/>
  <c r="AM46" i="7"/>
  <c r="AM45" i="7"/>
  <c r="AO43" i="7"/>
  <c r="AN43" i="7"/>
  <c r="AM43" i="7"/>
  <c r="AO40" i="7"/>
  <c r="AN40" i="7"/>
  <c r="AM40" i="7"/>
  <c r="AO39" i="7"/>
  <c r="AN39" i="7"/>
  <c r="AM39" i="7"/>
  <c r="AO38" i="7"/>
  <c r="AN38" i="7"/>
  <c r="AM38" i="7"/>
  <c r="AO37" i="7"/>
  <c r="AN37" i="7"/>
  <c r="AM37" i="7"/>
  <c r="AO21" i="7"/>
  <c r="AN21" i="7"/>
  <c r="AM21" i="7"/>
  <c r="AO20" i="7"/>
  <c r="AN20" i="7"/>
  <c r="AM20" i="7"/>
  <c r="AO19" i="7"/>
  <c r="AN19" i="7"/>
  <c r="AM19" i="7"/>
  <c r="AO16" i="7"/>
  <c r="AN16" i="7"/>
  <c r="AM16" i="7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G25" i="4"/>
  <c r="P9" i="4"/>
  <c r="O8" i="4"/>
  <c r="P9" i="8" s="1"/>
  <c r="N8" i="4"/>
  <c r="N12" i="5" s="1"/>
  <c r="M8" i="4"/>
  <c r="N9" i="8" s="1"/>
  <c r="L8" i="4"/>
  <c r="M9" i="8" s="1"/>
  <c r="K8" i="4"/>
  <c r="L9" i="8" s="1"/>
  <c r="J8" i="4"/>
  <c r="J12" i="5" s="1"/>
  <c r="I8" i="4"/>
  <c r="I12" i="5" s="1"/>
  <c r="H8" i="4"/>
  <c r="I9" i="8" s="1"/>
  <c r="G8" i="4"/>
  <c r="H9" i="8" s="1"/>
  <c r="F8" i="4"/>
  <c r="G9" i="8" s="1"/>
  <c r="E8" i="4"/>
  <c r="E12" i="5" s="1"/>
  <c r="C8" i="4"/>
  <c r="C12" i="5" s="1"/>
  <c r="F48" i="3"/>
  <c r="BC38" i="3"/>
  <c r="BD38" i="3" s="1"/>
  <c r="BA38" i="3"/>
  <c r="AZ38" i="3"/>
  <c r="AY38" i="3"/>
  <c r="AX38" i="3"/>
  <c r="BC35" i="3"/>
  <c r="BD35" i="3" s="1"/>
  <c r="BA35" i="3"/>
  <c r="AZ35" i="3"/>
  <c r="AY35" i="3"/>
  <c r="AX35" i="3"/>
  <c r="BC34" i="3"/>
  <c r="BD34" i="3" s="1"/>
  <c r="BA34" i="3"/>
  <c r="AZ34" i="3"/>
  <c r="AY34" i="3"/>
  <c r="AX34" i="3"/>
  <c r="BC33" i="3"/>
  <c r="BD33" i="3" s="1"/>
  <c r="BA33" i="3"/>
  <c r="AZ33" i="3"/>
  <c r="AY33" i="3"/>
  <c r="AX33" i="3"/>
  <c r="BC32" i="3"/>
  <c r="BD32" i="3" s="1"/>
  <c r="BA32" i="3"/>
  <c r="AZ32" i="3"/>
  <c r="AY32" i="3"/>
  <c r="AX32" i="3"/>
  <c r="BC31" i="3"/>
  <c r="BD31" i="3" s="1"/>
  <c r="BA31" i="3"/>
  <c r="AZ31" i="3"/>
  <c r="AY31" i="3"/>
  <c r="AX31" i="3"/>
  <c r="BC30" i="3"/>
  <c r="BD30" i="3" s="1"/>
  <c r="BA30" i="3"/>
  <c r="AZ30" i="3"/>
  <c r="AY30" i="3"/>
  <c r="AX30" i="3"/>
  <c r="BC29" i="3"/>
  <c r="BD29" i="3" s="1"/>
  <c r="BA29" i="3"/>
  <c r="AZ29" i="3"/>
  <c r="AY29" i="3"/>
  <c r="AX29" i="3"/>
  <c r="BC28" i="3"/>
  <c r="BD28" i="3" s="1"/>
  <c r="BA28" i="3"/>
  <c r="AZ28" i="3"/>
  <c r="AY28" i="3"/>
  <c r="AX28" i="3"/>
  <c r="BC27" i="3"/>
  <c r="BD27" i="3" s="1"/>
  <c r="BA27" i="3"/>
  <c r="AZ27" i="3"/>
  <c r="AY27" i="3"/>
  <c r="AX27" i="3"/>
  <c r="BC26" i="3"/>
  <c r="BD26" i="3" s="1"/>
  <c r="BA26" i="3"/>
  <c r="AZ26" i="3"/>
  <c r="AY26" i="3"/>
  <c r="AX26" i="3"/>
  <c r="BC25" i="3"/>
  <c r="BD25" i="3" s="1"/>
  <c r="BA25" i="3"/>
  <c r="AZ25" i="3"/>
  <c r="AY25" i="3"/>
  <c r="AX25" i="3"/>
  <c r="Z25" i="3"/>
  <c r="Y25" i="3"/>
  <c r="X25" i="3"/>
  <c r="W25" i="3"/>
  <c r="BC24" i="3"/>
  <c r="BD24" i="3" s="1"/>
  <c r="BA24" i="3"/>
  <c r="AZ24" i="3"/>
  <c r="AY24" i="3"/>
  <c r="AX24" i="3"/>
  <c r="Z24" i="3"/>
  <c r="Y24" i="3"/>
  <c r="X24" i="3"/>
  <c r="W24" i="3"/>
  <c r="BC23" i="3"/>
  <c r="BD23" i="3" s="1"/>
  <c r="BA23" i="3"/>
  <c r="AZ23" i="3"/>
  <c r="AY23" i="3"/>
  <c r="AX23" i="3"/>
  <c r="Z23" i="3"/>
  <c r="Y23" i="3"/>
  <c r="X23" i="3"/>
  <c r="W23" i="3"/>
  <c r="BC22" i="3"/>
  <c r="BD22" i="3" s="1"/>
  <c r="BA22" i="3"/>
  <c r="AZ22" i="3"/>
  <c r="AY22" i="3"/>
  <c r="AX22" i="3"/>
  <c r="BC21" i="3"/>
  <c r="BD21" i="3" s="1"/>
  <c r="BA21" i="3"/>
  <c r="AZ21" i="3"/>
  <c r="AY21" i="3"/>
  <c r="AX21" i="3"/>
  <c r="Z21" i="3"/>
  <c r="Y21" i="3"/>
  <c r="X21" i="3"/>
  <c r="W21" i="3"/>
  <c r="BC20" i="3"/>
  <c r="BD20" i="3" s="1"/>
  <c r="BA20" i="3"/>
  <c r="AZ20" i="3"/>
  <c r="AY20" i="3"/>
  <c r="AX20" i="3"/>
  <c r="Z20" i="3"/>
  <c r="Y20" i="3"/>
  <c r="X20" i="3"/>
  <c r="W20" i="3"/>
  <c r="BC19" i="3"/>
  <c r="BD19" i="3" s="1"/>
  <c r="BA19" i="3"/>
  <c r="AZ19" i="3"/>
  <c r="AY19" i="3"/>
  <c r="AX19" i="3"/>
  <c r="BC18" i="3"/>
  <c r="BD18" i="3" s="1"/>
  <c r="BA18" i="3"/>
  <c r="AZ18" i="3"/>
  <c r="AY18" i="3"/>
  <c r="AX18" i="3"/>
  <c r="BC17" i="3"/>
  <c r="BD17" i="3" s="1"/>
  <c r="BA17" i="3"/>
  <c r="AZ17" i="3"/>
  <c r="AY17" i="3"/>
  <c r="AX17" i="3"/>
  <c r="BC16" i="3"/>
  <c r="BD16" i="3" s="1"/>
  <c r="BA16" i="3"/>
  <c r="AZ16" i="3"/>
  <c r="AY16" i="3"/>
  <c r="AX16" i="3"/>
  <c r="BC15" i="3"/>
  <c r="BD15" i="3" s="1"/>
  <c r="BA15" i="3"/>
  <c r="AZ15" i="3"/>
  <c r="AY15" i="3"/>
  <c r="AX15" i="3"/>
  <c r="BC14" i="3"/>
  <c r="BD14" i="3" s="1"/>
  <c r="BA14" i="3"/>
  <c r="AZ14" i="3"/>
  <c r="AY14" i="3"/>
  <c r="AX14" i="3"/>
  <c r="BC13" i="3"/>
  <c r="BD13" i="3" s="1"/>
  <c r="BA13" i="3"/>
  <c r="AZ13" i="3"/>
  <c r="AY13" i="3"/>
  <c r="AX13" i="3"/>
  <c r="BC12" i="3"/>
  <c r="BD12" i="3" s="1"/>
  <c r="BA12" i="3"/>
  <c r="AZ12" i="3"/>
  <c r="AY12" i="3"/>
  <c r="AX12" i="3"/>
  <c r="BC11" i="3"/>
  <c r="BD11" i="3" s="1"/>
  <c r="BA11" i="3"/>
  <c r="AZ11" i="3"/>
  <c r="AY11" i="3"/>
  <c r="AX11" i="3"/>
  <c r="BC10" i="3"/>
  <c r="BD10" i="3" s="1"/>
  <c r="BA10" i="3"/>
  <c r="AZ10" i="3"/>
  <c r="AY10" i="3"/>
  <c r="AX10" i="3"/>
  <c r="BC9" i="3"/>
  <c r="BD9" i="3" s="1"/>
  <c r="BA9" i="3"/>
  <c r="AZ9" i="3"/>
  <c r="AY9" i="3"/>
  <c r="AX9" i="3"/>
  <c r="BC8" i="3"/>
  <c r="BD8" i="3" s="1"/>
  <c r="BA8" i="3"/>
  <c r="AZ8" i="3"/>
  <c r="AY8" i="3"/>
  <c r="AX8" i="3"/>
  <c r="BC7" i="3"/>
  <c r="BD7" i="3" s="1"/>
  <c r="BA7" i="3"/>
  <c r="AZ7" i="3"/>
  <c r="AY7" i="3"/>
  <c r="AX7" i="3"/>
  <c r="BC6" i="3"/>
  <c r="BD6" i="3" s="1"/>
  <c r="BA6" i="3"/>
  <c r="AZ6" i="3"/>
  <c r="AY6" i="3"/>
  <c r="AX6" i="3"/>
  <c r="E45" i="2"/>
  <c r="K44" i="2"/>
  <c r="I44" i="2"/>
  <c r="E44" i="2"/>
  <c r="E42" i="2"/>
  <c r="K41" i="2"/>
  <c r="E41" i="2"/>
  <c r="M40" i="2"/>
  <c r="K40" i="2"/>
  <c r="I40" i="2"/>
  <c r="M39" i="2"/>
  <c r="K39" i="2"/>
  <c r="I39" i="2"/>
  <c r="G39" i="2"/>
  <c r="E39" i="2"/>
  <c r="BO38" i="2"/>
  <c r="BM38" i="2"/>
  <c r="BK38" i="2"/>
  <c r="AP38" i="2"/>
  <c r="AO38" i="2"/>
  <c r="AN38" i="2"/>
  <c r="AM38" i="2"/>
  <c r="AL38" i="2"/>
  <c r="AK38" i="2"/>
  <c r="AJ38" i="2"/>
  <c r="AI38" i="2"/>
  <c r="BO35" i="2"/>
  <c r="BM35" i="2"/>
  <c r="BK35" i="2"/>
  <c r="AP35" i="2"/>
  <c r="AO35" i="2"/>
  <c r="AN35" i="2"/>
  <c r="AJ35" i="2"/>
  <c r="AI35" i="2"/>
  <c r="AP33" i="2"/>
  <c r="AO33" i="2"/>
  <c r="AN33" i="2"/>
  <c r="AK33" i="2"/>
  <c r="AJ33" i="2"/>
  <c r="AI33" i="2"/>
  <c r="BO31" i="2"/>
  <c r="BM31" i="2"/>
  <c r="BK31" i="2"/>
  <c r="BE31" i="2"/>
  <c r="AP31" i="2"/>
  <c r="AO31" i="2"/>
  <c r="AN31" i="2"/>
  <c r="AJ31" i="2"/>
  <c r="AI31" i="2"/>
  <c r="E31" i="2"/>
  <c r="BO30" i="2"/>
  <c r="BM30" i="2"/>
  <c r="BK30" i="2"/>
  <c r="AP28" i="2"/>
  <c r="AO28" i="2"/>
  <c r="AN28" i="2"/>
  <c r="AK28" i="2"/>
  <c r="AJ28" i="2"/>
  <c r="AI28" i="2"/>
  <c r="BO27" i="2"/>
  <c r="BM27" i="2"/>
  <c r="BK27" i="2"/>
  <c r="AP27" i="2"/>
  <c r="AO27" i="2"/>
  <c r="AN27" i="2"/>
  <c r="AJ27" i="2"/>
  <c r="AI27" i="2"/>
  <c r="E27" i="2"/>
  <c r="AP25" i="2"/>
  <c r="AO25" i="2"/>
  <c r="AN25" i="2"/>
  <c r="AK25" i="2"/>
  <c r="AJ25" i="2"/>
  <c r="AI25" i="2"/>
  <c r="AP24" i="2"/>
  <c r="AO24" i="2"/>
  <c r="AN24" i="2"/>
  <c r="AK24" i="2"/>
  <c r="AJ24" i="2"/>
  <c r="AI24" i="2"/>
  <c r="AP23" i="2"/>
  <c r="AO23" i="2"/>
  <c r="AN23" i="2"/>
  <c r="AK23" i="2"/>
  <c r="AJ23" i="2"/>
  <c r="AI23" i="2"/>
  <c r="AP22" i="2"/>
  <c r="AO22" i="2"/>
  <c r="AN22" i="2"/>
  <c r="AJ22" i="2"/>
  <c r="AI22" i="2"/>
  <c r="E22" i="2"/>
  <c r="AP21" i="2"/>
  <c r="AO21" i="2"/>
  <c r="AN21" i="2"/>
  <c r="AK21" i="2"/>
  <c r="AJ21" i="2"/>
  <c r="AI21" i="2"/>
  <c r="AP20" i="2"/>
  <c r="AO20" i="2"/>
  <c r="AN20" i="2"/>
  <c r="AK20" i="2"/>
  <c r="AJ20" i="2"/>
  <c r="AI20" i="2"/>
  <c r="BO25" i="2"/>
  <c r="BM25" i="2"/>
  <c r="BK25" i="2"/>
  <c r="AP18" i="2"/>
  <c r="AO18" i="2"/>
  <c r="AN18" i="2"/>
  <c r="AM18" i="2"/>
  <c r="AL18" i="2"/>
  <c r="AJ18" i="2"/>
  <c r="AI18" i="2"/>
  <c r="L18" i="2"/>
  <c r="J18" i="2"/>
  <c r="AZ17" i="2"/>
  <c r="AX17" i="2"/>
  <c r="AV17" i="2"/>
  <c r="AT17" i="2"/>
  <c r="AP17" i="2"/>
  <c r="AO17" i="2"/>
  <c r="AN17" i="2"/>
  <c r="AM17" i="2"/>
  <c r="AL17" i="2"/>
  <c r="AK17" i="2"/>
  <c r="AJ17" i="2"/>
  <c r="AI17" i="2"/>
  <c r="AZ16" i="2"/>
  <c r="AX16" i="2"/>
  <c r="AV16" i="2"/>
  <c r="AT16" i="2"/>
  <c r="AP16" i="2"/>
  <c r="AO16" i="2"/>
  <c r="AN16" i="2"/>
  <c r="AM16" i="2"/>
  <c r="AL16" i="2"/>
  <c r="AK16" i="2"/>
  <c r="AJ16" i="2"/>
  <c r="AI16" i="2"/>
  <c r="N16" i="2"/>
  <c r="L16" i="2"/>
  <c r="J16" i="2"/>
  <c r="H16" i="2"/>
  <c r="AZ15" i="2"/>
  <c r="AX15" i="2"/>
  <c r="AV15" i="2"/>
  <c r="AT15" i="2"/>
  <c r="AP15" i="2"/>
  <c r="AO15" i="2"/>
  <c r="AN15" i="2"/>
  <c r="AM15" i="2"/>
  <c r="AL15" i="2"/>
  <c r="AK15" i="2"/>
  <c r="AJ15" i="2"/>
  <c r="AI15" i="2"/>
  <c r="N15" i="2"/>
  <c r="L15" i="2"/>
  <c r="J15" i="2"/>
  <c r="H15" i="2"/>
  <c r="AZ14" i="2"/>
  <c r="AX14" i="2"/>
  <c r="AV14" i="2"/>
  <c r="AT14" i="2"/>
  <c r="AP14" i="2"/>
  <c r="AO14" i="2"/>
  <c r="AN14" i="2"/>
  <c r="AM14" i="2"/>
  <c r="AL14" i="2"/>
  <c r="AK14" i="2"/>
  <c r="AJ14" i="2"/>
  <c r="AI14" i="2"/>
  <c r="N14" i="2"/>
  <c r="L14" i="2"/>
  <c r="J14" i="2"/>
  <c r="H14" i="2"/>
  <c r="AZ13" i="2"/>
  <c r="AX13" i="2"/>
  <c r="AV13" i="2"/>
  <c r="AT13" i="2"/>
  <c r="AP13" i="2"/>
  <c r="AO13" i="2"/>
  <c r="AN13" i="2"/>
  <c r="AM13" i="2"/>
  <c r="AL13" i="2"/>
  <c r="AK13" i="2"/>
  <c r="AJ13" i="2"/>
  <c r="AI13" i="2"/>
  <c r="N13" i="2"/>
  <c r="L13" i="2"/>
  <c r="J13" i="2"/>
  <c r="H13" i="2"/>
  <c r="AX12" i="2"/>
  <c r="AV12" i="2"/>
  <c r="AP12" i="2"/>
  <c r="AO12" i="2"/>
  <c r="AN12" i="2"/>
  <c r="AM12" i="2"/>
  <c r="AJ12" i="2"/>
  <c r="AI12" i="2"/>
  <c r="G12" i="2"/>
  <c r="E12" i="2"/>
  <c r="AZ11" i="2"/>
  <c r="AX11" i="2"/>
  <c r="AV11" i="2"/>
  <c r="AT11" i="2"/>
  <c r="AP11" i="2"/>
  <c r="AO11" i="2"/>
  <c r="AN11" i="2"/>
  <c r="AM11" i="2"/>
  <c r="AL11" i="2"/>
  <c r="AK11" i="2"/>
  <c r="AJ11" i="2"/>
  <c r="AI11" i="2"/>
  <c r="N11" i="2"/>
  <c r="L11" i="2"/>
  <c r="J11" i="2"/>
  <c r="H11" i="2"/>
  <c r="AZ10" i="2"/>
  <c r="AX10" i="2"/>
  <c r="AV10" i="2"/>
  <c r="AT10" i="2"/>
  <c r="AP10" i="2"/>
  <c r="AO10" i="2"/>
  <c r="AN10" i="2"/>
  <c r="AM10" i="2"/>
  <c r="AL10" i="2"/>
  <c r="AK10" i="2"/>
  <c r="AJ10" i="2"/>
  <c r="AI10" i="2"/>
  <c r="N10" i="2"/>
  <c r="L10" i="2"/>
  <c r="J10" i="2"/>
  <c r="H10" i="2"/>
  <c r="AZ9" i="2"/>
  <c r="AX9" i="2"/>
  <c r="AV9" i="2"/>
  <c r="AP9" i="2"/>
  <c r="AO9" i="2"/>
  <c r="AN9" i="2"/>
  <c r="AM9" i="2"/>
  <c r="AJ9" i="2"/>
  <c r="AI9" i="2"/>
  <c r="N9" i="2"/>
  <c r="L9" i="2"/>
  <c r="G9" i="2"/>
  <c r="E9" i="2"/>
  <c r="AK9" i="2" s="1"/>
  <c r="AZ8" i="2"/>
  <c r="AX8" i="2"/>
  <c r="AV8" i="2"/>
  <c r="AT8" i="2"/>
  <c r="AP8" i="2"/>
  <c r="AO8" i="2"/>
  <c r="AN8" i="2"/>
  <c r="AM8" i="2"/>
  <c r="AL8" i="2"/>
  <c r="AK8" i="2"/>
  <c r="AJ8" i="2"/>
  <c r="AI8" i="2"/>
  <c r="N8" i="2"/>
  <c r="L8" i="2"/>
  <c r="J8" i="2"/>
  <c r="H8" i="2"/>
  <c r="AZ7" i="2"/>
  <c r="AX7" i="2"/>
  <c r="AV7" i="2"/>
  <c r="AT7" i="2"/>
  <c r="AP7" i="2"/>
  <c r="AO7" i="2"/>
  <c r="AN7" i="2"/>
  <c r="AM7" i="2"/>
  <c r="AL7" i="2"/>
  <c r="AK7" i="2"/>
  <c r="AJ7" i="2"/>
  <c r="AI7" i="2"/>
  <c r="N7" i="2"/>
  <c r="L7" i="2"/>
  <c r="J7" i="2"/>
  <c r="H7" i="2"/>
  <c r="AP6" i="2"/>
  <c r="AO6" i="2"/>
  <c r="AN6" i="2"/>
  <c r="AJ6" i="2"/>
  <c r="AI6" i="2"/>
  <c r="M6" i="2"/>
  <c r="K6" i="2"/>
  <c r="I6" i="2"/>
  <c r="G6" i="2"/>
  <c r="E6" i="2"/>
  <c r="M43" i="2" l="1"/>
  <c r="N12" i="2"/>
  <c r="M41" i="2"/>
  <c r="K43" i="2"/>
  <c r="L12" i="2"/>
  <c r="C96" i="10"/>
  <c r="AP79" i="16"/>
  <c r="O26" i="16"/>
  <c r="E17" i="21"/>
  <c r="E103" i="10" s="1"/>
  <c r="AM21" i="2"/>
  <c r="E25" i="3"/>
  <c r="BB25" i="3" s="1"/>
  <c r="E50" i="10"/>
  <c r="AE50" i="10" s="1"/>
  <c r="T14" i="7" s="1"/>
  <c r="F14" i="7" s="1"/>
  <c r="C78" i="10"/>
  <c r="AC78" i="10" s="1"/>
  <c r="R44" i="7" s="1"/>
  <c r="D44" i="7" s="1"/>
  <c r="F133" i="13"/>
  <c r="C67" i="10"/>
  <c r="AC67" i="10" s="1"/>
  <c r="R31" i="7" s="1"/>
  <c r="D31" i="7" s="1"/>
  <c r="C7" i="21"/>
  <c r="C6" i="21" s="1"/>
  <c r="K34" i="14"/>
  <c r="K18" i="14" s="1"/>
  <c r="K26" i="14" s="1"/>
  <c r="F78" i="10"/>
  <c r="AF78" i="10" s="1"/>
  <c r="U44" i="7" s="1"/>
  <c r="G44" i="7" s="1"/>
  <c r="G150" i="13"/>
  <c r="AL23" i="2"/>
  <c r="E21" i="3"/>
  <c r="BB21" i="3" s="1"/>
  <c r="V67" i="13"/>
  <c r="D7" i="21"/>
  <c r="D93" i="10" s="1"/>
  <c r="D92" i="10" s="1"/>
  <c r="E67" i="10"/>
  <c r="AE67" i="10" s="1"/>
  <c r="T31" i="7" s="1"/>
  <c r="F31" i="7" s="1"/>
  <c r="B75" i="10"/>
  <c r="AB75" i="10" s="1"/>
  <c r="AA1053" i="22"/>
  <c r="AB1053" i="22" s="1"/>
  <c r="AM23" i="2"/>
  <c r="W69" i="13"/>
  <c r="E65" i="10"/>
  <c r="AE65" i="10" s="1"/>
  <c r="T29" i="7" s="1"/>
  <c r="F29" i="7" s="1"/>
  <c r="F67" i="10"/>
  <c r="AF67" i="10" s="1"/>
  <c r="U31" i="7" s="1"/>
  <c r="G31" i="7" s="1"/>
  <c r="B61" i="10"/>
  <c r="AB61" i="10" s="1"/>
  <c r="Q25" i="7" s="1"/>
  <c r="C25" i="7" s="1"/>
  <c r="C75" i="10"/>
  <c r="AC75" i="10" s="1"/>
  <c r="G104" i="13"/>
  <c r="X35" i="12"/>
  <c r="C53" i="10"/>
  <c r="AC53" i="10" s="1"/>
  <c r="D61" i="10"/>
  <c r="AD61" i="10" s="1"/>
  <c r="S25" i="7" s="1"/>
  <c r="E25" i="7" s="1"/>
  <c r="E75" i="10"/>
  <c r="E74" i="10" s="1"/>
  <c r="E23" i="3"/>
  <c r="BB23" i="3" s="1"/>
  <c r="D53" i="10"/>
  <c r="AD53" i="10" s="1"/>
  <c r="E61" i="10"/>
  <c r="AE61" i="10" s="1"/>
  <c r="T25" i="7" s="1"/>
  <c r="F25" i="7" s="1"/>
  <c r="F75" i="10"/>
  <c r="AF75" i="10" s="1"/>
  <c r="D161" i="13"/>
  <c r="H24" i="2"/>
  <c r="E33" i="3"/>
  <c r="H158" i="13"/>
  <c r="H161" i="13" s="1"/>
  <c r="F61" i="10"/>
  <c r="AF61" i="10" s="1"/>
  <c r="U25" i="7" s="1"/>
  <c r="G25" i="7" s="1"/>
  <c r="AA911" i="22"/>
  <c r="AB911" i="22" s="1"/>
  <c r="AM24" i="2"/>
  <c r="N143" i="13"/>
  <c r="O56" i="13"/>
  <c r="E17" i="13"/>
  <c r="B53" i="10"/>
  <c r="AB53" i="10" s="1"/>
  <c r="K28" i="2"/>
  <c r="K29" i="2" s="1"/>
  <c r="F53" i="10"/>
  <c r="F52" i="10" s="1"/>
  <c r="H75" i="10"/>
  <c r="H74" i="10" s="1"/>
  <c r="M144" i="13"/>
  <c r="E71" i="10"/>
  <c r="AE71" i="10" s="1"/>
  <c r="T35" i="7" s="1"/>
  <c r="F35" i="7" s="1"/>
  <c r="B71" i="10"/>
  <c r="AB71" i="10" s="1"/>
  <c r="Q35" i="7" s="1"/>
  <c r="I75" i="10"/>
  <c r="I74" i="10" s="1"/>
  <c r="H20" i="2"/>
  <c r="J154" i="13"/>
  <c r="L75" i="10"/>
  <c r="L74" i="10" s="1"/>
  <c r="E20" i="3"/>
  <c r="P90" i="13"/>
  <c r="C50" i="10"/>
  <c r="AC50" i="10" s="1"/>
  <c r="R14" i="7" s="1"/>
  <c r="Q171" i="13"/>
  <c r="H21" i="2"/>
  <c r="B78" i="10"/>
  <c r="AB78" i="10" s="1"/>
  <c r="Q44" i="7" s="1"/>
  <c r="D78" i="10"/>
  <c r="AD78" i="10" s="1"/>
  <c r="S44" i="7" s="1"/>
  <c r="E44" i="7" s="1"/>
  <c r="D75" i="10"/>
  <c r="AD75" i="10" s="1"/>
  <c r="C71" i="10"/>
  <c r="AC71" i="10" s="1"/>
  <c r="R35" i="7" s="1"/>
  <c r="D35" i="7" s="1"/>
  <c r="J75" i="10"/>
  <c r="J74" i="10" s="1"/>
  <c r="G129" i="13"/>
  <c r="E24" i="3"/>
  <c r="X27" i="13"/>
  <c r="B7" i="21"/>
  <c r="B6" i="21" s="1"/>
  <c r="E78" i="10"/>
  <c r="AE78" i="10" s="1"/>
  <c r="T44" i="7" s="1"/>
  <c r="F44" i="7" s="1"/>
  <c r="B70" i="10"/>
  <c r="AB70" i="10" s="1"/>
  <c r="Q34" i="7" s="1"/>
  <c r="C34" i="7" s="1"/>
  <c r="D71" i="10"/>
  <c r="AD71" i="10" s="1"/>
  <c r="S35" i="7" s="1"/>
  <c r="E35" i="7" s="1"/>
  <c r="K75" i="10"/>
  <c r="I157" i="13"/>
  <c r="H25" i="2"/>
  <c r="BF92" i="17"/>
  <c r="BF19" i="17"/>
  <c r="BF40" i="17"/>
  <c r="BA18" i="2"/>
  <c r="BA35" i="2"/>
  <c r="BF84" i="17"/>
  <c r="AZ107" i="17"/>
  <c r="BA27" i="2"/>
  <c r="O27" i="2" s="1"/>
  <c r="P27" i="2" s="1"/>
  <c r="BF30" i="17"/>
  <c r="BF47" i="17"/>
  <c r="BF41" i="17"/>
  <c r="BA31" i="2"/>
  <c r="O31" i="2" s="1"/>
  <c r="BF42" i="17"/>
  <c r="BF87" i="17"/>
  <c r="AC107" i="10"/>
  <c r="F26" i="21"/>
  <c r="G26" i="21"/>
  <c r="I15" i="8"/>
  <c r="BB20" i="3"/>
  <c r="BE84" i="17"/>
  <c r="BE92" i="17"/>
  <c r="BE100" i="17"/>
  <c r="BE22" i="17"/>
  <c r="J22" i="17" s="1"/>
  <c r="BE30" i="17"/>
  <c r="BE39" i="17"/>
  <c r="J39" i="17" s="1"/>
  <c r="BE47" i="17"/>
  <c r="BE55" i="17"/>
  <c r="J55" i="17" s="1"/>
  <c r="BE63" i="17"/>
  <c r="J63" i="17" s="1"/>
  <c r="BE79" i="17"/>
  <c r="J79" i="17" s="1"/>
  <c r="BE87" i="17"/>
  <c r="BE95" i="17"/>
  <c r="J95" i="17" s="1"/>
  <c r="BE103" i="17"/>
  <c r="J103" i="17" s="1"/>
  <c r="BE94" i="17"/>
  <c r="J94" i="17" s="1"/>
  <c r="BE102" i="17"/>
  <c r="J102" i="17" s="1"/>
  <c r="BE89" i="17"/>
  <c r="J89" i="17" s="1"/>
  <c r="BE97" i="17"/>
  <c r="BE71" i="17"/>
  <c r="J71" i="17" s="1"/>
  <c r="BE51" i="17"/>
  <c r="J51" i="17" s="1"/>
  <c r="AR48" i="16" s="1"/>
  <c r="AR47" i="16" s="1"/>
  <c r="AS47" i="16" s="1"/>
  <c r="AT47" i="16" s="1"/>
  <c r="AU47" i="16" s="1"/>
  <c r="AV47" i="16" s="1"/>
  <c r="AW47" i="16" s="1"/>
  <c r="AX47" i="16" s="1"/>
  <c r="AY47" i="16" s="1"/>
  <c r="BE59" i="17"/>
  <c r="BE67" i="17"/>
  <c r="J67" i="17" s="1"/>
  <c r="K67" i="17" s="1"/>
  <c r="L67" i="17" s="1"/>
  <c r="M67" i="17" s="1"/>
  <c r="N67" i="17" s="1"/>
  <c r="O67" i="17" s="1"/>
  <c r="P67" i="17" s="1"/>
  <c r="Q67" i="17" s="1"/>
  <c r="BE75" i="17"/>
  <c r="J75" i="17" s="1"/>
  <c r="BE83" i="17"/>
  <c r="BE91" i="17"/>
  <c r="J91" i="17" s="1"/>
  <c r="BE108" i="17"/>
  <c r="J108" i="17" s="1"/>
  <c r="BE27" i="17"/>
  <c r="J27" i="17" s="1"/>
  <c r="BE36" i="17"/>
  <c r="J36" i="17" s="1"/>
  <c r="BE44" i="17"/>
  <c r="J44" i="17" s="1"/>
  <c r="BE52" i="17"/>
  <c r="J52" i="17" s="1"/>
  <c r="BE60" i="17"/>
  <c r="J60" i="17" s="1"/>
  <c r="K60" i="17" s="1"/>
  <c r="L60" i="17" s="1"/>
  <c r="M60" i="17" s="1"/>
  <c r="N60" i="17" s="1"/>
  <c r="O60" i="17" s="1"/>
  <c r="P60" i="17" s="1"/>
  <c r="Q60" i="17" s="1"/>
  <c r="BE68" i="17"/>
  <c r="J68" i="17" s="1"/>
  <c r="BE76" i="17"/>
  <c r="J76" i="17" s="1"/>
  <c r="BE110" i="17"/>
  <c r="J110" i="17" s="1"/>
  <c r="AD35" i="17" s="1"/>
  <c r="AD61" i="17" s="1"/>
  <c r="BE21" i="17"/>
  <c r="J21" i="17" s="1"/>
  <c r="BE29" i="17"/>
  <c r="J29" i="17" s="1"/>
  <c r="BE38" i="17"/>
  <c r="BE46" i="17"/>
  <c r="BE54" i="17"/>
  <c r="BE62" i="17"/>
  <c r="J62" i="17" s="1"/>
  <c r="BE70" i="17"/>
  <c r="J70" i="17" s="1"/>
  <c r="BE78" i="17"/>
  <c r="J78" i="17" s="1"/>
  <c r="BE86" i="17"/>
  <c r="BE23" i="17"/>
  <c r="J23" i="17" s="1"/>
  <c r="BE32" i="17"/>
  <c r="J32" i="17" s="1"/>
  <c r="BE40" i="17"/>
  <c r="BE48" i="17"/>
  <c r="J48" i="17" s="1"/>
  <c r="BE56" i="17"/>
  <c r="J56" i="17" s="1"/>
  <c r="AP58" i="17" s="1"/>
  <c r="BE64" i="17"/>
  <c r="J64" i="17" s="1"/>
  <c r="BE72" i="17"/>
  <c r="BE80" i="17"/>
  <c r="J80" i="17" s="1"/>
  <c r="BE88" i="17"/>
  <c r="BE96" i="17"/>
  <c r="J96" i="17" s="1"/>
  <c r="BE104" i="17"/>
  <c r="BE24" i="17"/>
  <c r="J24" i="17" s="1"/>
  <c r="BE33" i="17"/>
  <c r="J33" i="17" s="1"/>
  <c r="BE41" i="17"/>
  <c r="BE49" i="17"/>
  <c r="J49" i="17" s="1"/>
  <c r="BE57" i="17"/>
  <c r="J57" i="17" s="1"/>
  <c r="BE65" i="17"/>
  <c r="J65" i="17" s="1"/>
  <c r="BE73" i="17"/>
  <c r="J73" i="17" s="1"/>
  <c r="BE81" i="17"/>
  <c r="BE107" i="17"/>
  <c r="BE105" i="17"/>
  <c r="J105" i="17" s="1"/>
  <c r="AD26" i="17" s="1"/>
  <c r="BF104" i="17"/>
  <c r="G29" i="20"/>
  <c r="S115" i="10" s="1"/>
  <c r="BD119" i="16"/>
  <c r="J119" i="16" s="1"/>
  <c r="K119" i="16" s="1"/>
  <c r="AE11" i="10"/>
  <c r="AG13" i="6" s="1"/>
  <c r="I13" i="6" s="1"/>
  <c r="BE25" i="17"/>
  <c r="BE34" i="17"/>
  <c r="J34" i="17" s="1"/>
  <c r="BE42" i="17"/>
  <c r="BE50" i="17"/>
  <c r="J50" i="17" s="1"/>
  <c r="AR50" i="16" s="1"/>
  <c r="AR49" i="16" s="1"/>
  <c r="AS49" i="16" s="1"/>
  <c r="AT49" i="16" s="1"/>
  <c r="AU49" i="16" s="1"/>
  <c r="AV49" i="16" s="1"/>
  <c r="AW49" i="16" s="1"/>
  <c r="AX49" i="16" s="1"/>
  <c r="AY49" i="16" s="1"/>
  <c r="BE58" i="17"/>
  <c r="J58" i="17" s="1"/>
  <c r="BE66" i="17"/>
  <c r="J66" i="17" s="1"/>
  <c r="BE74" i="17"/>
  <c r="J74" i="17" s="1"/>
  <c r="BE82" i="17"/>
  <c r="BE90" i="17"/>
  <c r="J90" i="17" s="1"/>
  <c r="BE98" i="17"/>
  <c r="J98" i="17" s="1"/>
  <c r="BE26" i="17"/>
  <c r="J26" i="17" s="1"/>
  <c r="BE35" i="17"/>
  <c r="J35" i="17" s="1"/>
  <c r="BE43" i="17"/>
  <c r="J43" i="17" s="1"/>
  <c r="BE99" i="17"/>
  <c r="J99" i="17" s="1"/>
  <c r="BE19" i="17"/>
  <c r="BE28" i="17"/>
  <c r="J28" i="17" s="1"/>
  <c r="BE37" i="17"/>
  <c r="J37" i="17" s="1"/>
  <c r="BE45" i="17"/>
  <c r="J45" i="17" s="1"/>
  <c r="BE53" i="17"/>
  <c r="J53" i="17" s="1"/>
  <c r="K53" i="17" s="1"/>
  <c r="L53" i="17" s="1"/>
  <c r="M53" i="17" s="1"/>
  <c r="N53" i="17" s="1"/>
  <c r="O53" i="17" s="1"/>
  <c r="P53" i="17" s="1"/>
  <c r="Q53" i="17" s="1"/>
  <c r="BE61" i="17"/>
  <c r="BE69" i="17"/>
  <c r="J69" i="17" s="1"/>
  <c r="BE77" i="17"/>
  <c r="J77" i="17" s="1"/>
  <c r="BE85" i="17"/>
  <c r="BE93" i="17"/>
  <c r="J93" i="17" s="1"/>
  <c r="BE101" i="17"/>
  <c r="D31" i="17"/>
  <c r="E15" i="20"/>
  <c r="Q101" i="10" s="1"/>
  <c r="AD101" i="10" s="1"/>
  <c r="AB21" i="17"/>
  <c r="AB18" i="17" s="1"/>
  <c r="R72" i="10" s="1"/>
  <c r="AE72" i="10" s="1"/>
  <c r="BD137" i="16"/>
  <c r="J137" i="16" s="1"/>
  <c r="K137" i="16" s="1"/>
  <c r="L137" i="16" s="1"/>
  <c r="M137" i="16" s="1"/>
  <c r="N137" i="16" s="1"/>
  <c r="O137" i="16" s="1"/>
  <c r="P137" i="16" s="1"/>
  <c r="Q137" i="16" s="1"/>
  <c r="BD110" i="16"/>
  <c r="J110" i="16" s="1"/>
  <c r="O9" i="2"/>
  <c r="BD60" i="16"/>
  <c r="BD92" i="16"/>
  <c r="BD101" i="16"/>
  <c r="J101" i="16" s="1"/>
  <c r="AR85" i="16" s="1"/>
  <c r="BD128" i="16"/>
  <c r="J128" i="16" s="1"/>
  <c r="BD78" i="16"/>
  <c r="J78" i="16" s="1"/>
  <c r="BD126" i="16"/>
  <c r="J126" i="16" s="1"/>
  <c r="O6" i="2"/>
  <c r="BB6" i="2" s="1"/>
  <c r="O12" i="2"/>
  <c r="BB12" i="2" s="1"/>
  <c r="BD69" i="16"/>
  <c r="J69" i="16" s="1"/>
  <c r="N69" i="16" s="1"/>
  <c r="BD109" i="16"/>
  <c r="J109" i="16" s="1"/>
  <c r="BD14" i="16"/>
  <c r="J14" i="16" s="1"/>
  <c r="BD23" i="16"/>
  <c r="J23" i="16" s="1"/>
  <c r="BD96" i="16"/>
  <c r="J96" i="16" s="1"/>
  <c r="BD105" i="16"/>
  <c r="BD129" i="16"/>
  <c r="J129" i="16" s="1"/>
  <c r="BD22" i="16"/>
  <c r="J22" i="16" s="1"/>
  <c r="BD41" i="16"/>
  <c r="J41" i="16" s="1"/>
  <c r="BD50" i="16"/>
  <c r="J50" i="16" s="1"/>
  <c r="BD59" i="16"/>
  <c r="BD77" i="16"/>
  <c r="J77" i="16" s="1"/>
  <c r="BD95" i="16"/>
  <c r="J95" i="16" s="1"/>
  <c r="BD104" i="16"/>
  <c r="BD113" i="16"/>
  <c r="J113" i="16" s="1"/>
  <c r="BD122" i="16"/>
  <c r="BD131" i="16"/>
  <c r="BD140" i="16"/>
  <c r="BD132" i="16"/>
  <c r="C15" i="20"/>
  <c r="O101" i="10" s="1"/>
  <c r="AQ81" i="16"/>
  <c r="BD106" i="16"/>
  <c r="AN86" i="16"/>
  <c r="C17" i="20"/>
  <c r="O103" i="10" s="1"/>
  <c r="AO86" i="16"/>
  <c r="BD10" i="16"/>
  <c r="J10" i="16" s="1"/>
  <c r="AC21" i="10"/>
  <c r="AE23" i="6" s="1"/>
  <c r="E23" i="6" s="1"/>
  <c r="AD21" i="10"/>
  <c r="AF23" i="6" s="1"/>
  <c r="G23" i="6" s="1"/>
  <c r="AE32" i="10"/>
  <c r="X17" i="3" s="1"/>
  <c r="AE21" i="10"/>
  <c r="AG23" i="6" s="1"/>
  <c r="I23" i="6" s="1"/>
  <c r="AF21" i="10"/>
  <c r="AH23" i="6" s="1"/>
  <c r="K23" i="6" s="1"/>
  <c r="AB52" i="17"/>
  <c r="AP70" i="16"/>
  <c r="AP73" i="16" s="1"/>
  <c r="G63" i="16"/>
  <c r="Q17" i="10" s="1"/>
  <c r="BD5" i="16"/>
  <c r="G36" i="20"/>
  <c r="S122" i="10" s="1"/>
  <c r="AF122" i="10" s="1"/>
  <c r="BD44" i="16"/>
  <c r="J44" i="16" s="1"/>
  <c r="BD53" i="16"/>
  <c r="J53" i="16" s="1"/>
  <c r="AR53" i="16" s="1"/>
  <c r="BD71" i="16"/>
  <c r="J71" i="16" s="1"/>
  <c r="AR71" i="16" s="1"/>
  <c r="BD80" i="16"/>
  <c r="J80" i="16" s="1"/>
  <c r="T21" i="10" s="1"/>
  <c r="AG21" i="10" s="1"/>
  <c r="AI23" i="6" s="1"/>
  <c r="M23" i="6" s="1"/>
  <c r="BD89" i="16"/>
  <c r="J89" i="16" s="1"/>
  <c r="BD98" i="16"/>
  <c r="J98" i="16" s="1"/>
  <c r="BD107" i="16"/>
  <c r="BD116" i="16"/>
  <c r="J116" i="16" s="1"/>
  <c r="BD125" i="16"/>
  <c r="J125" i="16" s="1"/>
  <c r="BD134" i="16"/>
  <c r="H63" i="16"/>
  <c r="R17" i="10" s="1"/>
  <c r="D29" i="20"/>
  <c r="P115" i="10" s="1"/>
  <c r="AP55" i="16"/>
  <c r="E29" i="20"/>
  <c r="Q115" i="10" s="1"/>
  <c r="D127" i="16"/>
  <c r="D107" i="16" s="1"/>
  <c r="F29" i="20"/>
  <c r="R115" i="10" s="1"/>
  <c r="BD93" i="16"/>
  <c r="J93" i="16" s="1"/>
  <c r="BD102" i="16"/>
  <c r="J102" i="16" s="1"/>
  <c r="BD111" i="16"/>
  <c r="J111" i="16" s="1"/>
  <c r="BD138" i="16"/>
  <c r="C20" i="20"/>
  <c r="O106" i="10" s="1"/>
  <c r="D63" i="16"/>
  <c r="AO70" i="16"/>
  <c r="AO73" i="16" s="1"/>
  <c r="AQ79" i="16"/>
  <c r="AQ80" i="16" s="1"/>
  <c r="H34" i="16"/>
  <c r="R7" i="10" s="1"/>
  <c r="E63" i="16"/>
  <c r="O17" i="10" s="1"/>
  <c r="BE127" i="16"/>
  <c r="F5" i="16"/>
  <c r="P6" i="10" s="1"/>
  <c r="AC6" i="10" s="1"/>
  <c r="AE8" i="6" s="1"/>
  <c r="E8" i="6" s="1"/>
  <c r="F63" i="16"/>
  <c r="P17" i="10" s="1"/>
  <c r="AQ70" i="16"/>
  <c r="AQ73" i="16" s="1"/>
  <c r="BF92" i="16"/>
  <c r="BF130" i="16"/>
  <c r="E24" i="20"/>
  <c r="Q110" i="10" s="1"/>
  <c r="D5" i="18"/>
  <c r="BD136" i="16"/>
  <c r="BD34" i="16"/>
  <c r="G34" i="16"/>
  <c r="Q7" i="10" s="1"/>
  <c r="I34" i="16"/>
  <c r="S7" i="10" s="1"/>
  <c r="F36" i="20"/>
  <c r="R122" i="10" s="1"/>
  <c r="AE122" i="10" s="1"/>
  <c r="AP86" i="16"/>
  <c r="D96" i="10"/>
  <c r="E96" i="10"/>
  <c r="G96" i="10"/>
  <c r="AH94" i="10"/>
  <c r="AF113" i="10"/>
  <c r="H96" i="10"/>
  <c r="B96" i="10"/>
  <c r="AI94" i="10"/>
  <c r="AH113" i="10"/>
  <c r="AJ94" i="10"/>
  <c r="AK94" i="10"/>
  <c r="F96" i="10"/>
  <c r="AK113" i="10"/>
  <c r="Z27" i="13"/>
  <c r="Z17" i="13"/>
  <c r="AD3" i="13"/>
  <c r="AC2" i="13"/>
  <c r="AC18" i="13"/>
  <c r="L18" i="13" s="1"/>
  <c r="AA25" i="13"/>
  <c r="AA28" i="13"/>
  <c r="AA27" i="13"/>
  <c r="AA26" i="13"/>
  <c r="AA17" i="13"/>
  <c r="B26" i="21"/>
  <c r="B112" i="10" s="1"/>
  <c r="K45" i="12"/>
  <c r="H28" i="10" s="1"/>
  <c r="G15" i="8"/>
  <c r="H15" i="8"/>
  <c r="J9" i="8"/>
  <c r="F12" i="5"/>
  <c r="L12" i="5"/>
  <c r="K12" i="5"/>
  <c r="K9" i="8"/>
  <c r="O12" i="5"/>
  <c r="O9" i="8"/>
  <c r="M12" i="5"/>
  <c r="P12" i="5" s="1"/>
  <c r="P13" i="5"/>
  <c r="P15" i="8"/>
  <c r="G12" i="5"/>
  <c r="H12" i="5"/>
  <c r="P8" i="4"/>
  <c r="F15" i="8"/>
  <c r="O15" i="8"/>
  <c r="E40" i="17"/>
  <c r="E115" i="17" s="1"/>
  <c r="AA52" i="17"/>
  <c r="G24" i="20"/>
  <c r="S110" i="10" s="1"/>
  <c r="Y56" i="17"/>
  <c r="AC61" i="17"/>
  <c r="P79" i="10"/>
  <c r="P77" i="10" s="1"/>
  <c r="AB46" i="17"/>
  <c r="G11" i="20"/>
  <c r="G10" i="20" s="1"/>
  <c r="G163" i="17"/>
  <c r="V76" i="10"/>
  <c r="V74" i="10" s="1"/>
  <c r="W76" i="10"/>
  <c r="W74" i="10" s="1"/>
  <c r="Y52" i="17"/>
  <c r="AC24" i="17"/>
  <c r="I163" i="17"/>
  <c r="AA61" i="17"/>
  <c r="I162" i="17"/>
  <c r="AB61" i="17"/>
  <c r="Z56" i="17"/>
  <c r="H163" i="17"/>
  <c r="AC45" i="17"/>
  <c r="Q14" i="17"/>
  <c r="AK14" i="17" s="1"/>
  <c r="AA48" i="10" s="1"/>
  <c r="AN48" i="10" s="1"/>
  <c r="AC12" i="7" s="1"/>
  <c r="O12" i="7" s="1"/>
  <c r="AA14" i="17"/>
  <c r="Q48" i="10" s="1"/>
  <c r="Q41" i="10" s="1"/>
  <c r="X17" i="17"/>
  <c r="H40" i="17"/>
  <c r="I41" i="17"/>
  <c r="I153" i="17" s="1"/>
  <c r="AB41" i="17"/>
  <c r="AC14" i="17"/>
  <c r="S48" i="10" s="1"/>
  <c r="S41" i="10" s="1"/>
  <c r="Z17" i="17"/>
  <c r="Y53" i="17"/>
  <c r="Q79" i="10"/>
  <c r="AD79" i="10" s="1"/>
  <c r="S45" i="7" s="1"/>
  <c r="E45" i="7" s="1"/>
  <c r="AB14" i="17"/>
  <c r="R48" i="10" s="1"/>
  <c r="R41" i="10" s="1"/>
  <c r="H15" i="17"/>
  <c r="F15" i="17"/>
  <c r="Y76" i="10"/>
  <c r="Y74" i="10" s="1"/>
  <c r="AB53" i="17"/>
  <c r="O14" i="17"/>
  <c r="AI14" i="17" s="1"/>
  <c r="Y48" i="10" s="1"/>
  <c r="AL48" i="10" s="1"/>
  <c r="AA12" i="7" s="1"/>
  <c r="M12" i="7" s="1"/>
  <c r="S79" i="10"/>
  <c r="AF79" i="10" s="1"/>
  <c r="U45" i="7" s="1"/>
  <c r="G45" i="7" s="1"/>
  <c r="Z14" i="17"/>
  <c r="P48" i="10" s="1"/>
  <c r="P41" i="10" s="1"/>
  <c r="I15" i="17"/>
  <c r="R79" i="10"/>
  <c r="AE79" i="10" s="1"/>
  <c r="T45" i="7" s="1"/>
  <c r="F45" i="7" s="1"/>
  <c r="AA41" i="17"/>
  <c r="H162" i="17"/>
  <c r="E26" i="20"/>
  <c r="Q112" i="10" s="1"/>
  <c r="D86" i="16"/>
  <c r="E5" i="16"/>
  <c r="X28" i="17"/>
  <c r="AN16" i="17"/>
  <c r="AN21" i="17" s="1"/>
  <c r="AS21" i="17" s="1"/>
  <c r="Y41" i="17"/>
  <c r="AM16" i="17"/>
  <c r="AM21" i="17" s="1"/>
  <c r="AR21" i="17" s="1"/>
  <c r="AB57" i="17"/>
  <c r="AB45" i="17"/>
  <c r="AC41" i="17"/>
  <c r="F162" i="17"/>
  <c r="Z53" i="17"/>
  <c r="AA53" i="17"/>
  <c r="X76" i="10"/>
  <c r="X74" i="10" s="1"/>
  <c r="O79" i="10"/>
  <c r="O77" i="10" s="1"/>
  <c r="F163" i="17"/>
  <c r="AA30" i="16"/>
  <c r="AF28" i="10"/>
  <c r="AH30" i="6" s="1"/>
  <c r="K30" i="6" s="1"/>
  <c r="H5" i="16"/>
  <c r="BD8" i="16"/>
  <c r="J8" i="16" s="1"/>
  <c r="BD45" i="16"/>
  <c r="J45" i="16" s="1"/>
  <c r="BD72" i="16"/>
  <c r="J72" i="16" s="1"/>
  <c r="BD81" i="16"/>
  <c r="J81" i="16" s="1"/>
  <c r="BD99" i="16"/>
  <c r="J99" i="16" s="1"/>
  <c r="T24" i="10" s="1"/>
  <c r="AG24" i="10" s="1"/>
  <c r="AI26" i="6" s="1"/>
  <c r="M26" i="6" s="1"/>
  <c r="BD117" i="16"/>
  <c r="J117" i="16" s="1"/>
  <c r="AE28" i="10"/>
  <c r="AG30" i="6" s="1"/>
  <c r="I30" i="6" s="1"/>
  <c r="E86" i="16"/>
  <c r="O18" i="10" s="1"/>
  <c r="AE25" i="10"/>
  <c r="AG27" i="6" s="1"/>
  <c r="I27" i="6" s="1"/>
  <c r="BD139" i="16"/>
  <c r="C19" i="20"/>
  <c r="O105" i="10" s="1"/>
  <c r="AQ59" i="16"/>
  <c r="I5" i="16"/>
  <c r="S6" i="10" s="1"/>
  <c r="AF6" i="10" s="1"/>
  <c r="Y7" i="3" s="1"/>
  <c r="O12" i="10"/>
  <c r="G14" i="20"/>
  <c r="S100" i="10" s="1"/>
  <c r="C35" i="20"/>
  <c r="F86" i="16"/>
  <c r="P18" i="10" s="1"/>
  <c r="AC18" i="10" s="1"/>
  <c r="AE20" i="6" s="1"/>
  <c r="E20" i="6" s="1"/>
  <c r="Z30" i="16"/>
  <c r="G86" i="16"/>
  <c r="Q18" i="10" s="1"/>
  <c r="AD18" i="10" s="1"/>
  <c r="W11" i="3" s="1"/>
  <c r="AQ15" i="16"/>
  <c r="D5" i="16"/>
  <c r="H86" i="16"/>
  <c r="R18" i="10" s="1"/>
  <c r="AE18" i="10" s="1"/>
  <c r="X11" i="3" s="1"/>
  <c r="AO15" i="16"/>
  <c r="G5" i="16"/>
  <c r="Q6" i="10" s="1"/>
  <c r="BD121" i="16"/>
  <c r="J121" i="16" s="1"/>
  <c r="AB30" i="16"/>
  <c r="F34" i="16"/>
  <c r="P7" i="10" s="1"/>
  <c r="AQ55" i="16"/>
  <c r="AP59" i="16"/>
  <c r="AN79" i="16"/>
  <c r="AO47" i="16"/>
  <c r="AQ94" i="16"/>
  <c r="BF118" i="16"/>
  <c r="N96" i="10"/>
  <c r="I96" i="10"/>
  <c r="J96" i="10"/>
  <c r="K96" i="10"/>
  <c r="M96" i="10"/>
  <c r="L96" i="10"/>
  <c r="D9" i="8"/>
  <c r="F9" i="8"/>
  <c r="V30" i="14"/>
  <c r="AD107" i="10"/>
  <c r="G20" i="17"/>
  <c r="Z59" i="17"/>
  <c r="AC47" i="17"/>
  <c r="Z57" i="17"/>
  <c r="Y61" i="17"/>
  <c r="Z48" i="17"/>
  <c r="X79" i="10"/>
  <c r="AK79" i="10" s="1"/>
  <c r="Z45" i="7" s="1"/>
  <c r="L45" i="7" s="1"/>
  <c r="E15" i="17"/>
  <c r="AO16" i="17"/>
  <c r="AO21" i="17" s="1"/>
  <c r="AT21" i="17" s="1"/>
  <c r="AA45" i="17"/>
  <c r="AA57" i="17"/>
  <c r="Z61" i="17"/>
  <c r="Z41" i="17"/>
  <c r="AA48" i="17"/>
  <c r="Y79" i="10"/>
  <c r="AL79" i="10" s="1"/>
  <c r="AA45" i="7" s="1"/>
  <c r="M45" i="7" s="1"/>
  <c r="R51" i="10"/>
  <c r="AE51" i="10" s="1"/>
  <c r="X26" i="3" s="1"/>
  <c r="X24" i="17"/>
  <c r="AA76" i="10"/>
  <c r="AA74" i="10" s="1"/>
  <c r="AA47" i="17"/>
  <c r="F40" i="17"/>
  <c r="F115" i="17" s="1"/>
  <c r="AB42" i="17"/>
  <c r="AB59" i="17"/>
  <c r="G40" i="17"/>
  <c r="I31" i="17"/>
  <c r="O76" i="10"/>
  <c r="O74" i="10" s="1"/>
  <c r="G15" i="17"/>
  <c r="AC48" i="17"/>
  <c r="AA79" i="10"/>
  <c r="AA77" i="10" s="1"/>
  <c r="F24" i="20"/>
  <c r="R110" i="10" s="1"/>
  <c r="AE110" i="10" s="1"/>
  <c r="V34" i="4" s="1"/>
  <c r="AQ47" i="16"/>
  <c r="I20" i="17"/>
  <c r="Z55" i="17"/>
  <c r="AC51" i="17"/>
  <c r="Q76" i="10"/>
  <c r="AD76" i="10" s="1"/>
  <c r="S42" i="7" s="1"/>
  <c r="D7" i="20"/>
  <c r="P93" i="10" s="1"/>
  <c r="F20" i="17"/>
  <c r="D40" i="17"/>
  <c r="D115" i="17" s="1"/>
  <c r="AB47" i="17"/>
  <c r="AC18" i="17"/>
  <c r="S72" i="10" s="1"/>
  <c r="AF72" i="10" s="1"/>
  <c r="P76" i="10"/>
  <c r="P74" i="10" s="1"/>
  <c r="R76" i="10"/>
  <c r="AE76" i="10" s="1"/>
  <c r="T42" i="7" s="1"/>
  <c r="F42" i="7" s="1"/>
  <c r="E7" i="20"/>
  <c r="Q93" i="10" s="1"/>
  <c r="AC42" i="17"/>
  <c r="V79" i="10"/>
  <c r="AI79" i="10" s="1"/>
  <c r="X45" i="7" s="1"/>
  <c r="J45" i="7" s="1"/>
  <c r="Y57" i="17"/>
  <c r="Z79" i="10"/>
  <c r="AM79" i="10" s="1"/>
  <c r="AB45" i="7" s="1"/>
  <c r="N45" i="7" s="1"/>
  <c r="AC57" i="17"/>
  <c r="AO9" i="16"/>
  <c r="X18" i="17"/>
  <c r="D41" i="17"/>
  <c r="S12" i="10"/>
  <c r="AP9" i="16"/>
  <c r="M14" i="17"/>
  <c r="AG14" i="17" s="1"/>
  <c r="W48" i="10" s="1"/>
  <c r="W41" i="10" s="1"/>
  <c r="Z46" i="17"/>
  <c r="AA56" i="17"/>
  <c r="E41" i="17"/>
  <c r="S76" i="10"/>
  <c r="S74" i="10" s="1"/>
  <c r="F7" i="20"/>
  <c r="R93" i="10" s="1"/>
  <c r="E20" i="17"/>
  <c r="Y47" i="17"/>
  <c r="Z47" i="17"/>
  <c r="U79" i="10"/>
  <c r="U77" i="10" s="1"/>
  <c r="AB51" i="17"/>
  <c r="Y48" i="17"/>
  <c r="AB48" i="17"/>
  <c r="Y55" i="17"/>
  <c r="L14" i="17"/>
  <c r="AF14" i="17" s="1"/>
  <c r="V48" i="10" s="1"/>
  <c r="AI48" i="10" s="1"/>
  <c r="X12" i="7" s="1"/>
  <c r="J12" i="7" s="1"/>
  <c r="AQ9" i="16"/>
  <c r="Z18" i="17"/>
  <c r="AC28" i="17"/>
  <c r="F159" i="17"/>
  <c r="U76" i="10"/>
  <c r="U74" i="10" s="1"/>
  <c r="G7" i="20"/>
  <c r="S93" i="10" s="1"/>
  <c r="H20" i="17"/>
  <c r="AA59" i="17"/>
  <c r="G41" i="17"/>
  <c r="C158" i="17"/>
  <c r="C8" i="20"/>
  <c r="O94" i="10" s="1"/>
  <c r="O92" i="10" s="1"/>
  <c r="Y42" i="17"/>
  <c r="Z76" i="10"/>
  <c r="Z74" i="10" s="1"/>
  <c r="E31" i="17"/>
  <c r="Y45" i="17"/>
  <c r="I40" i="17"/>
  <c r="W79" i="10"/>
  <c r="W77" i="10" s="1"/>
  <c r="Z45" i="17"/>
  <c r="G31" i="17"/>
  <c r="Y40" i="17"/>
  <c r="P14" i="17"/>
  <c r="AJ14" i="17" s="1"/>
  <c r="N14" i="17"/>
  <c r="AH14" i="17" s="1"/>
  <c r="X48" i="10" s="1"/>
  <c r="AK48" i="10" s="1"/>
  <c r="Z12" i="7" s="1"/>
  <c r="L12" i="7" s="1"/>
  <c r="H41" i="17"/>
  <c r="I161" i="17"/>
  <c r="D8" i="20"/>
  <c r="P94" i="10" s="1"/>
  <c r="AC94" i="10" s="1"/>
  <c r="H25" i="10"/>
  <c r="C55" i="12"/>
  <c r="C61" i="12" s="1"/>
  <c r="K49" i="12"/>
  <c r="H32" i="10" s="1"/>
  <c r="F17" i="21"/>
  <c r="F103" i="10" s="1"/>
  <c r="C26" i="21"/>
  <c r="C112" i="10" s="1"/>
  <c r="D20" i="20"/>
  <c r="P106" i="10" s="1"/>
  <c r="E34" i="16"/>
  <c r="O7" i="10" s="1"/>
  <c r="AQ86" i="16"/>
  <c r="BD9" i="16"/>
  <c r="J9" i="16" s="1"/>
  <c r="K9" i="16" s="1"/>
  <c r="L9" i="16" s="1"/>
  <c r="M9" i="16" s="1"/>
  <c r="BD18" i="16"/>
  <c r="BD55" i="16"/>
  <c r="J55" i="16" s="1"/>
  <c r="AR56" i="16" s="1"/>
  <c r="BD82" i="16"/>
  <c r="J82" i="16" s="1"/>
  <c r="BD100" i="16"/>
  <c r="J100" i="16" s="1"/>
  <c r="BD127" i="16"/>
  <c r="AN70" i="16"/>
  <c r="AN73" i="16" s="1"/>
  <c r="BF107" i="16"/>
  <c r="AB32" i="16"/>
  <c r="AO49" i="16"/>
  <c r="BF108" i="16"/>
  <c r="BD120" i="16"/>
  <c r="J120" i="16" s="1"/>
  <c r="K120" i="16" s="1"/>
  <c r="L120" i="16" s="1"/>
  <c r="M120" i="16" s="1"/>
  <c r="N120" i="16" s="1"/>
  <c r="O120" i="16" s="1"/>
  <c r="P120" i="16" s="1"/>
  <c r="Q120" i="16" s="1"/>
  <c r="BF127" i="16"/>
  <c r="AF24" i="10"/>
  <c r="AH26" i="6" s="1"/>
  <c r="K26" i="6" s="1"/>
  <c r="AF25" i="10"/>
  <c r="AH27" i="6" s="1"/>
  <c r="K27" i="6" s="1"/>
  <c r="AF107" i="10"/>
  <c r="AP89" i="16"/>
  <c r="BD133" i="16"/>
  <c r="J133" i="16" s="1"/>
  <c r="AD38" i="16" s="1"/>
  <c r="H22" i="20" s="1"/>
  <c r="T108" i="10" s="1"/>
  <c r="AG108" i="10" s="1"/>
  <c r="X37" i="4" s="1"/>
  <c r="X23" i="16"/>
  <c r="AC15" i="10"/>
  <c r="AE17" i="6" s="1"/>
  <c r="E17" i="6" s="1"/>
  <c r="AC32" i="16"/>
  <c r="G30" i="20" s="1"/>
  <c r="S116" i="10" s="1"/>
  <c r="AF116" i="10" s="1"/>
  <c r="AV56" i="16"/>
  <c r="AO79" i="16"/>
  <c r="E127" i="16"/>
  <c r="O29" i="10" s="1"/>
  <c r="BD74" i="16"/>
  <c r="J74" i="16" s="1"/>
  <c r="BD83" i="16"/>
  <c r="J83" i="16" s="1"/>
  <c r="AR84" i="16" s="1"/>
  <c r="BF122" i="16"/>
  <c r="C26" i="20"/>
  <c r="O112" i="10" s="1"/>
  <c r="AD15" i="10"/>
  <c r="AF17" i="6" s="1"/>
  <c r="G17" i="6" s="1"/>
  <c r="AW56" i="16"/>
  <c r="AN94" i="16"/>
  <c r="AI24" i="10"/>
  <c r="AK26" i="6" s="1"/>
  <c r="Q26" i="6" s="1"/>
  <c r="N43" i="16"/>
  <c r="AQ49" i="16"/>
  <c r="AX56" i="16"/>
  <c r="AO94" i="16"/>
  <c r="AA32" i="16"/>
  <c r="C18" i="20"/>
  <c r="O104" i="10" s="1"/>
  <c r="BD11" i="16"/>
  <c r="J11" i="16" s="1"/>
  <c r="BD20" i="16"/>
  <c r="J20" i="16" s="1"/>
  <c r="BD29" i="16"/>
  <c r="J29" i="16" s="1"/>
  <c r="BD48" i="16"/>
  <c r="J48" i="16" s="1"/>
  <c r="BD57" i="16"/>
  <c r="J57" i="16" s="1"/>
  <c r="BD75" i="16"/>
  <c r="J75" i="16" s="1"/>
  <c r="AO89" i="16"/>
  <c r="BD124" i="16"/>
  <c r="J124" i="16" s="1"/>
  <c r="N19" i="16"/>
  <c r="D34" i="16"/>
  <c r="AG107" i="10"/>
  <c r="BF43" i="16"/>
  <c r="BD97" i="16"/>
  <c r="J97" i="16" s="1"/>
  <c r="Y22" i="16"/>
  <c r="Y23" i="16" s="1"/>
  <c r="AQ89" i="16"/>
  <c r="AP94" i="16"/>
  <c r="I86" i="16"/>
  <c r="S18" i="10" s="1"/>
  <c r="AF18" i="10" s="1"/>
  <c r="Y11" i="3" s="1"/>
  <c r="AC23" i="10"/>
  <c r="AE25" i="6" s="1"/>
  <c r="E25" i="6" s="1"/>
  <c r="AD32" i="10"/>
  <c r="W17" i="3" s="1"/>
  <c r="AS5" i="16"/>
  <c r="C24" i="20"/>
  <c r="O110" i="10" s="1"/>
  <c r="BD21" i="16"/>
  <c r="J21" i="16" s="1"/>
  <c r="BD30" i="16"/>
  <c r="BD49" i="16"/>
  <c r="J49" i="16" s="1"/>
  <c r="BD58" i="16"/>
  <c r="J58" i="16" s="1"/>
  <c r="BD67" i="16"/>
  <c r="J67" i="16" s="1"/>
  <c r="BD76" i="16"/>
  <c r="J76" i="16" s="1"/>
  <c r="BD85" i="16"/>
  <c r="BD103" i="16"/>
  <c r="BD112" i="16"/>
  <c r="J112" i="16" s="1"/>
  <c r="BD130" i="16"/>
  <c r="C28" i="20"/>
  <c r="O114" i="10" s="1"/>
  <c r="O98" i="10"/>
  <c r="P97" i="10"/>
  <c r="AC97" i="10" s="1"/>
  <c r="D33" i="20"/>
  <c r="P119" i="10" s="1"/>
  <c r="P117" i="10" s="1"/>
  <c r="Q97" i="10"/>
  <c r="AD97" i="10" s="1"/>
  <c r="E33" i="20"/>
  <c r="Q119" i="10" s="1"/>
  <c r="Q117" i="10" s="1"/>
  <c r="AB24" i="17"/>
  <c r="Y46" i="17"/>
  <c r="AC55" i="17"/>
  <c r="AB17" i="17"/>
  <c r="Y18" i="17"/>
  <c r="G159" i="17"/>
  <c r="AB56" i="17"/>
  <c r="H159" i="17"/>
  <c r="F8" i="20"/>
  <c r="F15" i="20"/>
  <c r="R101" i="10" s="1"/>
  <c r="AE101" i="10" s="1"/>
  <c r="AM17" i="17"/>
  <c r="AM22" i="17" s="1"/>
  <c r="AR22" i="17" s="1"/>
  <c r="AA18" i="17"/>
  <c r="Y28" i="17"/>
  <c r="AC53" i="17"/>
  <c r="AC56" i="17"/>
  <c r="AC59" i="17"/>
  <c r="I159" i="17"/>
  <c r="G8" i="20"/>
  <c r="S94" i="10" s="1"/>
  <c r="AF94" i="10" s="1"/>
  <c r="R54" i="10"/>
  <c r="AE54" i="10" s="1"/>
  <c r="R81" i="10"/>
  <c r="AE81" i="10" s="1"/>
  <c r="AA55" i="17"/>
  <c r="G9" i="18"/>
  <c r="G7" i="18" s="1"/>
  <c r="D12" i="20"/>
  <c r="D28" i="20" s="1"/>
  <c r="P114" i="10" s="1"/>
  <c r="AC114" i="10" s="1"/>
  <c r="AC46" i="17"/>
  <c r="AC52" i="17"/>
  <c r="H115" i="17"/>
  <c r="C10" i="18"/>
  <c r="C5" i="18" s="1"/>
  <c r="E12" i="20"/>
  <c r="E28" i="20" s="1"/>
  <c r="Q114" i="10" s="1"/>
  <c r="AD114" i="10" s="1"/>
  <c r="Y59" i="17"/>
  <c r="P54" i="10"/>
  <c r="AC54" i="10" s="1"/>
  <c r="R18" i="7" s="1"/>
  <c r="P81" i="10"/>
  <c r="AC81" i="10" s="1"/>
  <c r="AO17" i="17"/>
  <c r="AO22" i="17" s="1"/>
  <c r="AT22" i="17" s="1"/>
  <c r="AA28" i="17"/>
  <c r="Z42" i="17"/>
  <c r="AN44" i="17"/>
  <c r="G160" i="17"/>
  <c r="D9" i="20"/>
  <c r="D27" i="20" s="1"/>
  <c r="P113" i="10" s="1"/>
  <c r="AC113" i="10" s="1"/>
  <c r="F19" i="20"/>
  <c r="R105" i="10" s="1"/>
  <c r="AE105" i="10" s="1"/>
  <c r="V28" i="4" s="1"/>
  <c r="AF81" i="10"/>
  <c r="U47" i="7" s="1"/>
  <c r="Q81" i="10"/>
  <c r="AD81" i="10" s="1"/>
  <c r="U23" i="4" s="1"/>
  <c r="Z28" i="17"/>
  <c r="F160" i="17"/>
  <c r="S54" i="10"/>
  <c r="AF54" i="10" s="1"/>
  <c r="AB28" i="17"/>
  <c r="F31" i="17"/>
  <c r="AA42" i="17"/>
  <c r="AO44" i="17"/>
  <c r="H160" i="17"/>
  <c r="C8" i="18"/>
  <c r="E9" i="20"/>
  <c r="E27" i="20" s="1"/>
  <c r="Q113" i="10" s="1"/>
  <c r="AD113" i="10" s="1"/>
  <c r="AB55" i="17"/>
  <c r="Y17" i="17"/>
  <c r="E20" i="20"/>
  <c r="Q106" i="10" s="1"/>
  <c r="AC17" i="17"/>
  <c r="K14" i="17"/>
  <c r="AE14" i="17" s="1"/>
  <c r="U48" i="10" s="1"/>
  <c r="AH48" i="10" s="1"/>
  <c r="W12" i="7" s="1"/>
  <c r="I12" i="7" s="1"/>
  <c r="AN18" i="17"/>
  <c r="AN23" i="17" s="1"/>
  <c r="AS23" i="17" s="1"/>
  <c r="F41" i="17"/>
  <c r="Y51" i="17"/>
  <c r="I160" i="17"/>
  <c r="D8" i="18"/>
  <c r="AA17" i="17"/>
  <c r="O54" i="10"/>
  <c r="O52" i="10" s="1"/>
  <c r="O55" i="10" s="1"/>
  <c r="AN17" i="17"/>
  <c r="AN22" i="17" s="1"/>
  <c r="AS22" i="17" s="1"/>
  <c r="AM44" i="17"/>
  <c r="AM18" i="17"/>
  <c r="AM23" i="17" s="1"/>
  <c r="AR23" i="17" s="1"/>
  <c r="H31" i="17"/>
  <c r="Z51" i="17"/>
  <c r="F161" i="17"/>
  <c r="E8" i="18"/>
  <c r="O48" i="10"/>
  <c r="O41" i="10" s="1"/>
  <c r="E8" i="20"/>
  <c r="Q94" i="10" s="1"/>
  <c r="AD94" i="10" s="1"/>
  <c r="Y24" i="17"/>
  <c r="E14" i="20"/>
  <c r="Q100" i="10" s="1"/>
  <c r="F17" i="20"/>
  <c r="R103" i="10" s="1"/>
  <c r="AE103" i="10" s="1"/>
  <c r="Z24" i="17"/>
  <c r="AA51" i="17"/>
  <c r="G161" i="17"/>
  <c r="F8" i="18"/>
  <c r="Z52" i="17"/>
  <c r="AA46" i="17"/>
  <c r="AP10" i="16"/>
  <c r="F14" i="20"/>
  <c r="R100" i="10" s="1"/>
  <c r="AV17" i="17"/>
  <c r="AA24" i="17"/>
  <c r="AB96" i="10"/>
  <c r="AH114" i="10"/>
  <c r="AF114" i="10"/>
  <c r="AE114" i="10"/>
  <c r="AD108" i="10"/>
  <c r="U37" i="4" s="1"/>
  <c r="AE108" i="10"/>
  <c r="V37" i="4" s="1"/>
  <c r="AF108" i="10"/>
  <c r="W37" i="4" s="1"/>
  <c r="AJ97" i="10"/>
  <c r="AC108" i="10"/>
  <c r="T37" i="4" s="1"/>
  <c r="BF114" i="16"/>
  <c r="BD115" i="16"/>
  <c r="J115" i="16" s="1"/>
  <c r="K115" i="16" s="1"/>
  <c r="AP49" i="16"/>
  <c r="BF5" i="16"/>
  <c r="BE107" i="16"/>
  <c r="O8" i="10"/>
  <c r="T50" i="4" s="1"/>
  <c r="D8" i="4" s="1"/>
  <c r="E9" i="8" s="1"/>
  <c r="D39" i="20"/>
  <c r="P125" i="10" s="1"/>
  <c r="AC125" i="10" s="1"/>
  <c r="Y14" i="16"/>
  <c r="AC33" i="10"/>
  <c r="AE34" i="6" s="1"/>
  <c r="E34" i="6" s="1"/>
  <c r="C36" i="20"/>
  <c r="O122" i="10" s="1"/>
  <c r="X41" i="16"/>
  <c r="Y31" i="16" s="1"/>
  <c r="Y41" i="16" s="1"/>
  <c r="Z31" i="16" s="1"/>
  <c r="AT5" i="16"/>
  <c r="AF30" i="16"/>
  <c r="AU5" i="16"/>
  <c r="AG30" i="16"/>
  <c r="BD90" i="16"/>
  <c r="J90" i="16" s="1"/>
  <c r="O20" i="16"/>
  <c r="N76" i="16"/>
  <c r="BE114" i="16"/>
  <c r="BD114" i="16"/>
  <c r="D36" i="20"/>
  <c r="P122" i="10" s="1"/>
  <c r="AC122" i="10" s="1"/>
  <c r="Z32" i="16"/>
  <c r="D30" i="20" s="1"/>
  <c r="P116" i="10" s="1"/>
  <c r="AC116" i="10" s="1"/>
  <c r="X11" i="10"/>
  <c r="AO55" i="16"/>
  <c r="BE118" i="16"/>
  <c r="BD118" i="16"/>
  <c r="C16" i="20"/>
  <c r="O102" i="10" s="1"/>
  <c r="AQ5" i="16"/>
  <c r="AC30" i="16"/>
  <c r="I63" i="16"/>
  <c r="G26" i="20"/>
  <c r="P89" i="16"/>
  <c r="P44" i="16"/>
  <c r="O43" i="16"/>
  <c r="BD108" i="16"/>
  <c r="BE108" i="16"/>
  <c r="X20" i="16"/>
  <c r="G35" i="20"/>
  <c r="S121" i="10" s="1"/>
  <c r="AC20" i="16"/>
  <c r="BD123" i="16"/>
  <c r="J123" i="16" s="1"/>
  <c r="K123" i="16" s="1"/>
  <c r="BE122" i="16"/>
  <c r="O28" i="10"/>
  <c r="AE123" i="10"/>
  <c r="V43" i="4" s="1"/>
  <c r="F33" i="5" s="1"/>
  <c r="Y20" i="16"/>
  <c r="AH7" i="16"/>
  <c r="L24" i="20" s="1"/>
  <c r="X110" i="10" s="1"/>
  <c r="O11" i="16"/>
  <c r="BD94" i="16"/>
  <c r="J94" i="16" s="1"/>
  <c r="BE92" i="16"/>
  <c r="X14" i="16"/>
  <c r="C39" i="20"/>
  <c r="O125" i="10" s="1"/>
  <c r="AP15" i="16"/>
  <c r="AO59" i="16"/>
  <c r="K73" i="16"/>
  <c r="L74" i="16"/>
  <c r="AF123" i="10"/>
  <c r="W43" i="4" s="1"/>
  <c r="G33" i="5" s="1"/>
  <c r="C14" i="20"/>
  <c r="O9" i="10"/>
  <c r="Z20" i="16"/>
  <c r="AP47" i="16"/>
  <c r="K94" i="16"/>
  <c r="K92" i="16" s="1"/>
  <c r="BF64" i="16"/>
  <c r="AD30" i="16"/>
  <c r="BF19" i="16"/>
  <c r="BF35" i="16"/>
  <c r="O20" i="10"/>
  <c r="AD27" i="10"/>
  <c r="W13" i="3" s="1"/>
  <c r="P28" i="10"/>
  <c r="AC28" i="10" s="1"/>
  <c r="AE30" i="6" s="1"/>
  <c r="E30" i="6" s="1"/>
  <c r="AD33" i="10"/>
  <c r="AF34" i="6" s="1"/>
  <c r="G34" i="6" s="1"/>
  <c r="E36" i="20"/>
  <c r="Q122" i="10" s="1"/>
  <c r="AD122" i="10" s="1"/>
  <c r="D19" i="20"/>
  <c r="P105" i="10" s="1"/>
  <c r="AC105" i="10" s="1"/>
  <c r="T28" i="4" s="1"/>
  <c r="AE27" i="10"/>
  <c r="X13" i="3" s="1"/>
  <c r="Q28" i="10"/>
  <c r="AD28" i="10" s="1"/>
  <c r="BF73" i="16"/>
  <c r="S9" i="10"/>
  <c r="AF9" i="10" s="1"/>
  <c r="AH11" i="6" s="1"/>
  <c r="K11" i="6" s="1"/>
  <c r="O39" i="16"/>
  <c r="E19" i="20"/>
  <c r="Q105" i="10" s="1"/>
  <c r="AD105" i="10" s="1"/>
  <c r="U28" i="4" s="1"/>
  <c r="AF27" i="10"/>
  <c r="Y13" i="3" s="1"/>
  <c r="G19" i="20"/>
  <c r="S105" i="10" s="1"/>
  <c r="AF105" i="10" s="1"/>
  <c r="W28" i="4" s="1"/>
  <c r="O10" i="16"/>
  <c r="AC32" i="10"/>
  <c r="AE33" i="6" s="1"/>
  <c r="E33" i="6" s="1"/>
  <c r="E17" i="20"/>
  <c r="Q103" i="10" s="1"/>
  <c r="AD103" i="10" s="1"/>
  <c r="AF33" i="10"/>
  <c r="AH34" i="6" s="1"/>
  <c r="K34" i="6" s="1"/>
  <c r="AA20" i="16"/>
  <c r="D18" i="20"/>
  <c r="P104" i="10" s="1"/>
  <c r="AC104" i="10" s="1"/>
  <c r="T26" i="4" s="1"/>
  <c r="AF32" i="10"/>
  <c r="Y17" i="3" s="1"/>
  <c r="F26" i="20"/>
  <c r="AB20" i="16"/>
  <c r="E18" i="20"/>
  <c r="Q104" i="10" s="1"/>
  <c r="AD104" i="10" s="1"/>
  <c r="U26" i="4" s="1"/>
  <c r="BD15" i="16"/>
  <c r="J15" i="16" s="1"/>
  <c r="BD24" i="16"/>
  <c r="J24" i="16" s="1"/>
  <c r="BD33" i="16"/>
  <c r="BD52" i="16"/>
  <c r="J52" i="16" s="1"/>
  <c r="BD61" i="16"/>
  <c r="BD70" i="16"/>
  <c r="J70" i="16" s="1"/>
  <c r="BD79" i="16"/>
  <c r="J79" i="16" s="1"/>
  <c r="AE107" i="10"/>
  <c r="G15" i="20"/>
  <c r="S101" i="10" s="1"/>
  <c r="AF101" i="10" s="1"/>
  <c r="F20" i="20"/>
  <c r="R106" i="10" s="1"/>
  <c r="AC24" i="10"/>
  <c r="AE26" i="6" s="1"/>
  <c r="E26" i="6" s="1"/>
  <c r="AC11" i="10"/>
  <c r="AE13" i="6" s="1"/>
  <c r="E13" i="6" s="1"/>
  <c r="AD24" i="10"/>
  <c r="AF26" i="6" s="1"/>
  <c r="G26" i="6" s="1"/>
  <c r="AC25" i="10"/>
  <c r="AE27" i="6" s="1"/>
  <c r="E27" i="6" s="1"/>
  <c r="AD11" i="10"/>
  <c r="AF13" i="6" s="1"/>
  <c r="G13" i="6" s="1"/>
  <c r="AE24" i="10"/>
  <c r="AG26" i="6" s="1"/>
  <c r="I26" i="6" s="1"/>
  <c r="AD25" i="10"/>
  <c r="AF27" i="6" s="1"/>
  <c r="G27" i="6" s="1"/>
  <c r="AC27" i="10"/>
  <c r="AE29" i="6" s="1"/>
  <c r="E29" i="6" s="1"/>
  <c r="F53" i="13"/>
  <c r="E29" i="12"/>
  <c r="F11" i="12"/>
  <c r="C7" i="10" s="1"/>
  <c r="E33" i="21"/>
  <c r="D26" i="21"/>
  <c r="D112" i="10" s="1"/>
  <c r="H11" i="10"/>
  <c r="AH11" i="10" s="1"/>
  <c r="AJ13" i="6" s="1"/>
  <c r="O13" i="6" s="1"/>
  <c r="C11" i="12"/>
  <c r="C28" i="12" s="1"/>
  <c r="L39" i="12"/>
  <c r="I25" i="10" s="1"/>
  <c r="C33" i="21"/>
  <c r="D61" i="12"/>
  <c r="D33" i="21"/>
  <c r="G123" i="10"/>
  <c r="B20" i="21"/>
  <c r="B106" i="10" s="1"/>
  <c r="AB106" i="10" s="1"/>
  <c r="L50" i="12"/>
  <c r="M50" i="12" s="1"/>
  <c r="K12" i="12"/>
  <c r="C20" i="21"/>
  <c r="C106" i="10" s="1"/>
  <c r="L123" i="10"/>
  <c r="K151" i="13"/>
  <c r="K153" i="13" s="1"/>
  <c r="F33" i="21"/>
  <c r="H33" i="21"/>
  <c r="E11" i="12"/>
  <c r="B7" i="10" s="1"/>
  <c r="AB7" i="10" s="1"/>
  <c r="AD9" i="6" s="1"/>
  <c r="C9" i="6" s="1"/>
  <c r="E15" i="8"/>
  <c r="J15" i="8"/>
  <c r="K15" i="8"/>
  <c r="L15" i="8"/>
  <c r="M15" i="8"/>
  <c r="N15" i="8"/>
  <c r="D15" i="8"/>
  <c r="C13" i="10"/>
  <c r="AC13" i="10" s="1"/>
  <c r="D13" i="10"/>
  <c r="AD13" i="10" s="1"/>
  <c r="E13" i="10"/>
  <c r="AE13" i="10" s="1"/>
  <c r="C42" i="12"/>
  <c r="D42" i="12"/>
  <c r="AL24" i="2"/>
  <c r="L20" i="2"/>
  <c r="P20" i="2"/>
  <c r="M22" i="2"/>
  <c r="J157" i="13"/>
  <c r="L132" i="13"/>
  <c r="G71" i="13"/>
  <c r="H53" i="13"/>
  <c r="N20" i="2"/>
  <c r="V26" i="13"/>
  <c r="G65" i="13"/>
  <c r="V28" i="13"/>
  <c r="Y35" i="12"/>
  <c r="Y7" i="12"/>
  <c r="I65" i="13"/>
  <c r="G74" i="13"/>
  <c r="G78" i="10"/>
  <c r="AG78" i="10" s="1"/>
  <c r="V44" i="7" s="1"/>
  <c r="H44" i="7" s="1"/>
  <c r="J87" i="13"/>
  <c r="G61" i="10"/>
  <c r="AG61" i="10" s="1"/>
  <c r="V25" i="7" s="1"/>
  <c r="H25" i="7" s="1"/>
  <c r="G67" i="10"/>
  <c r="AG67" i="10" s="1"/>
  <c r="V31" i="7" s="1"/>
  <c r="H31" i="7" s="1"/>
  <c r="O28" i="2"/>
  <c r="P21" i="2"/>
  <c r="O22" i="2"/>
  <c r="P24" i="2"/>
  <c r="P25" i="2"/>
  <c r="AA78" i="13"/>
  <c r="N25" i="2"/>
  <c r="P23" i="2"/>
  <c r="D123" i="17"/>
  <c r="D124" i="17" s="1"/>
  <c r="Q47" i="7"/>
  <c r="S23" i="4"/>
  <c r="AL20" i="2"/>
  <c r="AM20" i="2"/>
  <c r="J25" i="2"/>
  <c r="L21" i="2"/>
  <c r="AL21" i="2"/>
  <c r="AL25" i="2"/>
  <c r="N27" i="2"/>
  <c r="AM25" i="2"/>
  <c r="G22" i="2"/>
  <c r="I22" i="2"/>
  <c r="N24" i="2"/>
  <c r="H120" i="10"/>
  <c r="N20" i="12"/>
  <c r="O20" i="12" s="1"/>
  <c r="P20" i="12" s="1"/>
  <c r="Q20" i="12" s="1"/>
  <c r="Q19" i="12" s="1"/>
  <c r="N15" i="10" s="1"/>
  <c r="M19" i="12"/>
  <c r="J15" i="10" s="1"/>
  <c r="M13" i="12"/>
  <c r="L12" i="12"/>
  <c r="M44" i="12"/>
  <c r="I27" i="10"/>
  <c r="AI27" i="10" s="1"/>
  <c r="AB13" i="3" s="1"/>
  <c r="I13" i="3" s="1"/>
  <c r="B17" i="21"/>
  <c r="B103" i="10" s="1"/>
  <c r="AB103" i="10" s="1"/>
  <c r="D11" i="12"/>
  <c r="D28" i="12" s="1"/>
  <c r="B28" i="10"/>
  <c r="AB28" i="10" s="1"/>
  <c r="AD30" i="6" s="1"/>
  <c r="C30" i="6" s="1"/>
  <c r="C45" i="6" s="1"/>
  <c r="E61" i="12"/>
  <c r="M5" i="12"/>
  <c r="I8" i="10"/>
  <c r="J38" i="21"/>
  <c r="J125" i="10" s="1"/>
  <c r="L151" i="13"/>
  <c r="M123" i="10"/>
  <c r="M9" i="12"/>
  <c r="I11" i="10"/>
  <c r="AI11" i="10" s="1"/>
  <c r="AK13" i="6" s="1"/>
  <c r="Q13" i="6" s="1"/>
  <c r="J42" i="12"/>
  <c r="AL42" i="12" s="1"/>
  <c r="G18" i="10"/>
  <c r="C120" i="10"/>
  <c r="AC123" i="10"/>
  <c r="S13" i="8" s="1"/>
  <c r="E13" i="8" s="1"/>
  <c r="E29" i="21"/>
  <c r="E115" i="10" s="1"/>
  <c r="F29" i="21"/>
  <c r="F115" i="10" s="1"/>
  <c r="D120" i="10"/>
  <c r="AD123" i="10"/>
  <c r="U43" i="4" s="1"/>
  <c r="E33" i="5" s="1"/>
  <c r="E153" i="13"/>
  <c r="H11" i="12"/>
  <c r="E7" i="10" s="1"/>
  <c r="E26" i="21"/>
  <c r="E12" i="10"/>
  <c r="E23" i="10"/>
  <c r="AE23" i="10" s="1"/>
  <c r="AG25" i="6" s="1"/>
  <c r="I25" i="6" s="1"/>
  <c r="H29" i="12"/>
  <c r="E20" i="21"/>
  <c r="E106" i="10" s="1"/>
  <c r="L46" i="12"/>
  <c r="D29" i="21"/>
  <c r="D115" i="10" s="1"/>
  <c r="G29" i="12"/>
  <c r="D20" i="21"/>
  <c r="D106" i="10" s="1"/>
  <c r="D23" i="10"/>
  <c r="AD23" i="10" s="1"/>
  <c r="AF25" i="6" s="1"/>
  <c r="G25" i="6" s="1"/>
  <c r="F12" i="10"/>
  <c r="I11" i="12"/>
  <c r="I29" i="12"/>
  <c r="F23" i="10"/>
  <c r="AF23" i="10" s="1"/>
  <c r="AH25" i="6" s="1"/>
  <c r="K25" i="6" s="1"/>
  <c r="F20" i="21"/>
  <c r="F106" i="10" s="1"/>
  <c r="B100" i="10"/>
  <c r="I123" i="10"/>
  <c r="D6" i="10"/>
  <c r="G12" i="10"/>
  <c r="J11" i="12"/>
  <c r="AL11" i="12" s="1"/>
  <c r="K23" i="12"/>
  <c r="H13" i="10" s="1"/>
  <c r="AH13" i="10" s="1"/>
  <c r="L25" i="12"/>
  <c r="M25" i="12" s="1"/>
  <c r="N25" i="12" s="1"/>
  <c r="O25" i="12" s="1"/>
  <c r="P25" i="12" s="1"/>
  <c r="Q25" i="12" s="1"/>
  <c r="C100" i="10"/>
  <c r="E120" i="10"/>
  <c r="E33" i="10"/>
  <c r="AE33" i="10" s="1"/>
  <c r="AG34" i="6" s="1"/>
  <c r="I34" i="6" s="1"/>
  <c r="F120" i="10"/>
  <c r="G29" i="21"/>
  <c r="G115" i="10" s="1"/>
  <c r="G20" i="21"/>
  <c r="G106" i="10" s="1"/>
  <c r="J123" i="10"/>
  <c r="C29" i="21"/>
  <c r="C115" i="10" s="1"/>
  <c r="B13" i="10"/>
  <c r="AB13" i="10" s="1"/>
  <c r="AD15" i="6" s="1"/>
  <c r="C15" i="6" s="1"/>
  <c r="K123" i="10"/>
  <c r="H153" i="13"/>
  <c r="AF125" i="10"/>
  <c r="G11" i="12"/>
  <c r="D7" i="10" s="1"/>
  <c r="F29" i="12"/>
  <c r="AG125" i="10"/>
  <c r="C17" i="21"/>
  <c r="C103" i="10" s="1"/>
  <c r="AL29" i="12"/>
  <c r="G23" i="10"/>
  <c r="H27" i="10"/>
  <c r="AH27" i="10" s="1"/>
  <c r="AJ29" i="6" s="1"/>
  <c r="O29" i="6" s="1"/>
  <c r="B123" i="10"/>
  <c r="I38" i="21"/>
  <c r="I125" i="10" s="1"/>
  <c r="D100" i="10"/>
  <c r="K19" i="12"/>
  <c r="H15" i="10" s="1"/>
  <c r="AL6" i="12"/>
  <c r="H8" i="10"/>
  <c r="AH8" i="10" s="1"/>
  <c r="AJ10" i="6" s="1"/>
  <c r="O10" i="6" s="1"/>
  <c r="H24" i="10"/>
  <c r="AH24" i="10" s="1"/>
  <c r="AJ26" i="6" s="1"/>
  <c r="O26" i="6" s="1"/>
  <c r="E100" i="10"/>
  <c r="AD125" i="10"/>
  <c r="L19" i="12"/>
  <c r="I15" i="10" s="1"/>
  <c r="F153" i="13"/>
  <c r="AE125" i="10"/>
  <c r="J61" i="17"/>
  <c r="J54" i="17"/>
  <c r="K54" i="17" s="1"/>
  <c r="L54" i="17" s="1"/>
  <c r="M54" i="17" s="1"/>
  <c r="N54" i="17" s="1"/>
  <c r="O54" i="17" s="1"/>
  <c r="P54" i="17" s="1"/>
  <c r="Q54" i="17" s="1"/>
  <c r="J88" i="17"/>
  <c r="J59" i="17"/>
  <c r="J46" i="17"/>
  <c r="J100" i="17"/>
  <c r="J38" i="17"/>
  <c r="E4" i="18"/>
  <c r="E5" i="18" s="1"/>
  <c r="F4" i="18"/>
  <c r="F5" i="18" s="1"/>
  <c r="O119" i="10"/>
  <c r="O117" i="10" s="1"/>
  <c r="C31" i="20"/>
  <c r="G4" i="18"/>
  <c r="H4" i="18"/>
  <c r="R119" i="10"/>
  <c r="F31" i="20"/>
  <c r="F18" i="20"/>
  <c r="R104" i="10" s="1"/>
  <c r="AE104" i="10" s="1"/>
  <c r="V26" i="4" s="1"/>
  <c r="G18" i="20"/>
  <c r="S104" i="10" s="1"/>
  <c r="AF104" i="10" s="1"/>
  <c r="W26" i="4" s="1"/>
  <c r="D26" i="20"/>
  <c r="P9" i="10"/>
  <c r="AC9" i="10" s="1"/>
  <c r="AE11" i="6" s="1"/>
  <c r="E11" i="6" s="1"/>
  <c r="O97" i="10"/>
  <c r="Q9" i="10"/>
  <c r="AD9" i="10" s="1"/>
  <c r="AF11" i="6" s="1"/>
  <c r="G11" i="6" s="1"/>
  <c r="R95" i="10"/>
  <c r="AE95" i="10" s="1"/>
  <c r="D16" i="20"/>
  <c r="P102" i="10" s="1"/>
  <c r="AC102" i="10" s="1"/>
  <c r="T25" i="4" s="1"/>
  <c r="R9" i="10"/>
  <c r="AE9" i="10" s="1"/>
  <c r="AG11" i="6" s="1"/>
  <c r="I11" i="6" s="1"/>
  <c r="S95" i="10"/>
  <c r="AF95" i="10" s="1"/>
  <c r="C10" i="20"/>
  <c r="E16" i="20"/>
  <c r="Q102" i="10" s="1"/>
  <c r="AD102" i="10" s="1"/>
  <c r="U25" i="4" s="1"/>
  <c r="P20" i="10"/>
  <c r="AC20" i="10" s="1"/>
  <c r="AE22" i="6" s="1"/>
  <c r="E22" i="6" s="1"/>
  <c r="R97" i="10"/>
  <c r="F16" i="20"/>
  <c r="R102" i="10" s="1"/>
  <c r="AE102" i="10" s="1"/>
  <c r="V25" i="4" s="1"/>
  <c r="C27" i="20"/>
  <c r="Q20" i="10"/>
  <c r="AD20" i="10" s="1"/>
  <c r="AF22" i="6" s="1"/>
  <c r="G22" i="6" s="1"/>
  <c r="S97" i="10"/>
  <c r="G16" i="20"/>
  <c r="S102" i="10" s="1"/>
  <c r="AF102" i="10" s="1"/>
  <c r="W25" i="4" s="1"/>
  <c r="P8" i="10"/>
  <c r="AC8" i="10" s="1"/>
  <c r="AE10" i="6" s="1"/>
  <c r="E10" i="6" s="1"/>
  <c r="AC10" i="10"/>
  <c r="AE12" i="6" s="1"/>
  <c r="E12" i="6" s="1"/>
  <c r="AE19" i="10"/>
  <c r="AG21" i="6" s="1"/>
  <c r="I21" i="6" s="1"/>
  <c r="R20" i="10"/>
  <c r="AE20" i="10" s="1"/>
  <c r="AG22" i="6" s="1"/>
  <c r="I22" i="6" s="1"/>
  <c r="R98" i="10"/>
  <c r="AE98" i="10" s="1"/>
  <c r="Z14" i="16"/>
  <c r="F10" i="20"/>
  <c r="D24" i="20"/>
  <c r="D35" i="20"/>
  <c r="Q8" i="10"/>
  <c r="AD8" i="10" s="1"/>
  <c r="AF10" i="6" s="1"/>
  <c r="G10" i="6" s="1"/>
  <c r="AD10" i="10"/>
  <c r="AF12" i="6" s="1"/>
  <c r="G12" i="6" s="1"/>
  <c r="P12" i="10"/>
  <c r="AC12" i="10" s="1"/>
  <c r="AE14" i="6" s="1"/>
  <c r="E14" i="6" s="1"/>
  <c r="AF19" i="10"/>
  <c r="AH21" i="6" s="1"/>
  <c r="K21" i="6" s="1"/>
  <c r="S20" i="10"/>
  <c r="AF20" i="10" s="1"/>
  <c r="AH22" i="6" s="1"/>
  <c r="K22" i="6" s="1"/>
  <c r="S98" i="10"/>
  <c r="AF98" i="10" s="1"/>
  <c r="AA14" i="16"/>
  <c r="D17" i="20"/>
  <c r="P103" i="10" s="1"/>
  <c r="E35" i="20"/>
  <c r="R8" i="10"/>
  <c r="AE8" i="10" s="1"/>
  <c r="AG10" i="6" s="1"/>
  <c r="I10" i="6" s="1"/>
  <c r="AE10" i="10"/>
  <c r="AG12" i="6" s="1"/>
  <c r="I12" i="6" s="1"/>
  <c r="Q12" i="10"/>
  <c r="AD12" i="10" s="1"/>
  <c r="AF14" i="6" s="1"/>
  <c r="G14" i="6" s="1"/>
  <c r="AB14" i="16"/>
  <c r="D14" i="20"/>
  <c r="F35" i="20"/>
  <c r="S8" i="10"/>
  <c r="AF8" i="10" s="1"/>
  <c r="AH10" i="6" s="1"/>
  <c r="K10" i="6" s="1"/>
  <c r="AF10" i="10"/>
  <c r="AH12" i="6" s="1"/>
  <c r="K12" i="6" s="1"/>
  <c r="R12" i="10"/>
  <c r="AC14" i="16"/>
  <c r="P19" i="10"/>
  <c r="AC19" i="10" s="1"/>
  <c r="AE21" i="6" s="1"/>
  <c r="E21" i="6" s="1"/>
  <c r="G17" i="20"/>
  <c r="S103" i="10" s="1"/>
  <c r="G20" i="20"/>
  <c r="S106" i="10" s="1"/>
  <c r="Q19" i="10"/>
  <c r="AD19" i="10" s="1"/>
  <c r="AF21" i="6" s="1"/>
  <c r="G21" i="6" s="1"/>
  <c r="D15" i="20"/>
  <c r="P101" i="10" s="1"/>
  <c r="AC101" i="10" s="1"/>
  <c r="AW16" i="13"/>
  <c r="Z36" i="13"/>
  <c r="I132" i="13"/>
  <c r="L33" i="2"/>
  <c r="AA36" i="13"/>
  <c r="J132" i="13"/>
  <c r="K132" i="13"/>
  <c r="AB30" i="13"/>
  <c r="F77" i="13"/>
  <c r="F87" i="13"/>
  <c r="L157" i="13"/>
  <c r="K157" i="13"/>
  <c r="M157" i="13"/>
  <c r="N21" i="2"/>
  <c r="V25" i="14"/>
  <c r="G153" i="13"/>
  <c r="F74" i="13"/>
  <c r="N132" i="13"/>
  <c r="I153" i="13"/>
  <c r="J153" i="13"/>
  <c r="H74" i="13"/>
  <c r="J74" i="13"/>
  <c r="AW92" i="13"/>
  <c r="J20" i="2"/>
  <c r="J24" i="2"/>
  <c r="M28" i="2"/>
  <c r="K36" i="12"/>
  <c r="H18" i="10" s="1"/>
  <c r="K74" i="10"/>
  <c r="AK75" i="10"/>
  <c r="Z41" i="7" s="1"/>
  <c r="L41" i="7" s="1"/>
  <c r="L54" i="7" s="1"/>
  <c r="B117" i="10"/>
  <c r="AB118" i="10"/>
  <c r="AB117" i="10" s="1"/>
  <c r="S35" i="4" s="1"/>
  <c r="C30" i="5" s="1"/>
  <c r="J19" i="13"/>
  <c r="AK25" i="13"/>
  <c r="AA69" i="13"/>
  <c r="G50" i="10"/>
  <c r="AG50" i="10" s="1"/>
  <c r="V14" i="7" s="1"/>
  <c r="H14" i="7" s="1"/>
  <c r="E53" i="10"/>
  <c r="AE53" i="10" s="1"/>
  <c r="K22" i="2"/>
  <c r="E71" i="13"/>
  <c r="I74" i="13"/>
  <c r="E65" i="13"/>
  <c r="I80" i="13"/>
  <c r="G53" i="10"/>
  <c r="AG53" i="10" s="1"/>
  <c r="J80" i="13"/>
  <c r="M34" i="14"/>
  <c r="M18" i="14" s="1"/>
  <c r="M26" i="14" s="1"/>
  <c r="G28" i="2"/>
  <c r="C70" i="10"/>
  <c r="AC70" i="10" s="1"/>
  <c r="R34" i="7" s="1"/>
  <c r="D34" i="7" s="1"/>
  <c r="W27" i="13"/>
  <c r="X36" i="13"/>
  <c r="I28" i="2"/>
  <c r="D70" i="10"/>
  <c r="AD70" i="10" s="1"/>
  <c r="S34" i="7" s="1"/>
  <c r="E34" i="7" s="1"/>
  <c r="H133" i="13"/>
  <c r="J21" i="2"/>
  <c r="H58" i="10"/>
  <c r="AH58" i="10" s="1"/>
  <c r="W22" i="7" s="1"/>
  <c r="I22" i="7" s="1"/>
  <c r="E70" i="10"/>
  <c r="AE70" i="10" s="1"/>
  <c r="T34" i="7" s="1"/>
  <c r="F34" i="7" s="1"/>
  <c r="F70" i="10"/>
  <c r="AF70" i="10" s="1"/>
  <c r="U34" i="7" s="1"/>
  <c r="G34" i="7" s="1"/>
  <c r="C61" i="10"/>
  <c r="AC61" i="10" s="1"/>
  <c r="R25" i="7" s="1"/>
  <c r="D25" i="7" s="1"/>
  <c r="G70" i="10"/>
  <c r="AG70" i="10" s="1"/>
  <c r="V34" i="7" s="1"/>
  <c r="H34" i="7" s="1"/>
  <c r="W28" i="13"/>
  <c r="V36" i="13"/>
  <c r="X67" i="13"/>
  <c r="E77" i="13"/>
  <c r="G75" i="10"/>
  <c r="X17" i="13"/>
  <c r="X28" i="13"/>
  <c r="W36" i="13"/>
  <c r="Z56" i="13"/>
  <c r="Z67" i="13"/>
  <c r="J111" i="13"/>
  <c r="AW43" i="13"/>
  <c r="J65" i="13"/>
  <c r="I60" i="13"/>
  <c r="Y28" i="13"/>
  <c r="I53" i="13"/>
  <c r="AA67" i="13"/>
  <c r="G77" i="13"/>
  <c r="L24" i="2"/>
  <c r="B65" i="10"/>
  <c r="AB65" i="10" s="1"/>
  <c r="Q29" i="7" s="1"/>
  <c r="C29" i="7" s="1"/>
  <c r="Z30" i="12"/>
  <c r="AK28" i="13"/>
  <c r="J53" i="13"/>
  <c r="V69" i="13"/>
  <c r="H77" i="13"/>
  <c r="M132" i="13"/>
  <c r="B30" i="21"/>
  <c r="B50" i="10"/>
  <c r="AB50" i="10" s="1"/>
  <c r="C65" i="10"/>
  <c r="AC65" i="10" s="1"/>
  <c r="R29" i="7" s="1"/>
  <c r="D29" i="7" s="1"/>
  <c r="B67" i="10"/>
  <c r="AB67" i="10" s="1"/>
  <c r="Q31" i="7" s="1"/>
  <c r="H69" i="10"/>
  <c r="AH69" i="10" s="1"/>
  <c r="W33" i="7" s="1"/>
  <c r="I33" i="7" s="1"/>
  <c r="AI33" i="7" s="1"/>
  <c r="Z33" i="12"/>
  <c r="AA54" i="13"/>
  <c r="I77" i="13"/>
  <c r="D65" i="10"/>
  <c r="AD65" i="10" s="1"/>
  <c r="S29" i="7" s="1"/>
  <c r="E29" i="7" s="1"/>
  <c r="F71" i="10"/>
  <c r="AF71" i="10" s="1"/>
  <c r="U35" i="7" s="1"/>
  <c r="G35" i="7" s="1"/>
  <c r="Z35" i="12"/>
  <c r="V29" i="13"/>
  <c r="AC33" i="13"/>
  <c r="AC30" i="13" s="1"/>
  <c r="X69" i="13"/>
  <c r="J77" i="13"/>
  <c r="G87" i="13"/>
  <c r="D50" i="10"/>
  <c r="AD50" i="10" s="1"/>
  <c r="D67" i="10"/>
  <c r="AD67" i="10" s="1"/>
  <c r="S31" i="7" s="1"/>
  <c r="E31" i="7" s="1"/>
  <c r="G71" i="10"/>
  <c r="AG71" i="10" s="1"/>
  <c r="V35" i="7" s="1"/>
  <c r="H35" i="7" s="1"/>
  <c r="Z7" i="12"/>
  <c r="V25" i="13"/>
  <c r="Y29" i="13"/>
  <c r="Y69" i="13"/>
  <c r="AW89" i="13"/>
  <c r="L25" i="2"/>
  <c r="I17" i="13"/>
  <c r="I19" i="13"/>
  <c r="AK29" i="13"/>
  <c r="Z69" i="13"/>
  <c r="F50" i="10"/>
  <c r="AF50" i="10" s="1"/>
  <c r="C118" i="10"/>
  <c r="BH84" i="17"/>
  <c r="BH104" i="17"/>
  <c r="BH97" i="17"/>
  <c r="BH41" i="17"/>
  <c r="J25" i="17"/>
  <c r="K25" i="17" s="1"/>
  <c r="L25" i="17" s="1"/>
  <c r="M25" i="17" s="1"/>
  <c r="N25" i="17" s="1"/>
  <c r="O25" i="17" s="1"/>
  <c r="P25" i="17" s="1"/>
  <c r="Q25" i="17" s="1"/>
  <c r="J106" i="17"/>
  <c r="AD30" i="17" s="1"/>
  <c r="H9" i="20" s="1"/>
  <c r="H27" i="20" s="1"/>
  <c r="T113" i="10" s="1"/>
  <c r="AG113" i="10" s="1"/>
  <c r="BH47" i="17"/>
  <c r="BH30" i="17"/>
  <c r="BH42" i="17"/>
  <c r="BH107" i="17"/>
  <c r="BH111" i="17"/>
  <c r="BH92" i="17"/>
  <c r="BH87" i="17"/>
  <c r="AI97" i="10"/>
  <c r="U95" i="10"/>
  <c r="AH95" i="10" s="1"/>
  <c r="X95" i="10"/>
  <c r="AK95" i="10" s="1"/>
  <c r="U98" i="10"/>
  <c r="AH98" i="10" s="1"/>
  <c r="T48" i="10"/>
  <c r="AG48" i="10" s="1"/>
  <c r="V12" i="7" s="1"/>
  <c r="H12" i="7" s="1"/>
  <c r="BH101" i="17"/>
  <c r="AK24" i="17"/>
  <c r="R12" i="8"/>
  <c r="D12" i="8" s="1"/>
  <c r="S42" i="4"/>
  <c r="S34" i="4"/>
  <c r="AN108" i="10"/>
  <c r="AE37" i="4" s="1"/>
  <c r="AM108" i="10"/>
  <c r="AD37" i="4" s="1"/>
  <c r="AL108" i="10"/>
  <c r="AC37" i="4" s="1"/>
  <c r="AK108" i="10"/>
  <c r="AB37" i="4" s="1"/>
  <c r="AJ108" i="10"/>
  <c r="AA37" i="4" s="1"/>
  <c r="AI108" i="10"/>
  <c r="Z37" i="4" s="1"/>
  <c r="AH108" i="10"/>
  <c r="Y37" i="4" s="1"/>
  <c r="S24" i="4"/>
  <c r="C26" i="5" s="1"/>
  <c r="AD54" i="10"/>
  <c r="W29" i="3" s="1"/>
  <c r="Q52" i="10"/>
  <c r="AF51" i="10"/>
  <c r="Y26" i="3" s="1"/>
  <c r="S49" i="10"/>
  <c r="AD51" i="10"/>
  <c r="W26" i="3" s="1"/>
  <c r="Q49" i="10"/>
  <c r="AC51" i="10"/>
  <c r="R15" i="7" s="1"/>
  <c r="P49" i="10"/>
  <c r="C49" i="10"/>
  <c r="AG43" i="10"/>
  <c r="AG42" i="10" s="1"/>
  <c r="G42" i="10"/>
  <c r="G41" i="10" s="1"/>
  <c r="F42" i="10"/>
  <c r="F41" i="10" s="1"/>
  <c r="AF43" i="10"/>
  <c r="U7" i="7" s="1"/>
  <c r="G7" i="7" s="1"/>
  <c r="E42" i="10"/>
  <c r="E41" i="10" s="1"/>
  <c r="AE43" i="10"/>
  <c r="T7" i="7" s="1"/>
  <c r="F7" i="7" s="1"/>
  <c r="D42" i="10"/>
  <c r="D41" i="10" s="1"/>
  <c r="AD43" i="10"/>
  <c r="AD42" i="10" s="1"/>
  <c r="C42" i="10"/>
  <c r="C41" i="10" s="1"/>
  <c r="AC43" i="10"/>
  <c r="R7" i="7" s="1"/>
  <c r="D7" i="7" s="1"/>
  <c r="D6" i="7" s="1"/>
  <c r="B42" i="10"/>
  <c r="B41" i="10" s="1"/>
  <c r="AB43" i="10"/>
  <c r="AB42" i="10" s="1"/>
  <c r="AB41" i="10" s="1"/>
  <c r="C32" i="7"/>
  <c r="AM32" i="7"/>
  <c r="C30" i="7"/>
  <c r="AM30" i="7"/>
  <c r="C28" i="7"/>
  <c r="AM28" i="7"/>
  <c r="AG62" i="10"/>
  <c r="AF62" i="10"/>
  <c r="AE62" i="10"/>
  <c r="AD62" i="10"/>
  <c r="AC62" i="10"/>
  <c r="AB62" i="10"/>
  <c r="Z33" i="3"/>
  <c r="V22" i="7"/>
  <c r="H22" i="7" s="1"/>
  <c r="Y33" i="3"/>
  <c r="U22" i="7"/>
  <c r="G22" i="7" s="1"/>
  <c r="X33" i="3"/>
  <c r="T22" i="7"/>
  <c r="F22" i="7" s="1"/>
  <c r="W33" i="3"/>
  <c r="S22" i="7"/>
  <c r="R22" i="7"/>
  <c r="Q22" i="7"/>
  <c r="C18" i="7"/>
  <c r="AM18" i="7"/>
  <c r="C15" i="7"/>
  <c r="AM15" i="7"/>
  <c r="H20" i="10"/>
  <c r="H107" i="10"/>
  <c r="AH107" i="10" s="1"/>
  <c r="M39" i="20"/>
  <c r="Y125" i="10" s="1"/>
  <c r="X8" i="10"/>
  <c r="L39" i="20"/>
  <c r="X125" i="10" s="1"/>
  <c r="W8" i="10"/>
  <c r="K39" i="20"/>
  <c r="W125" i="10" s="1"/>
  <c r="V8" i="10"/>
  <c r="K102" i="16"/>
  <c r="L37" i="12"/>
  <c r="I34" i="21" s="1"/>
  <c r="I121" i="10" s="1"/>
  <c r="AF14" i="10"/>
  <c r="AH16" i="6" s="1"/>
  <c r="K16" i="6" s="1"/>
  <c r="AE14" i="10"/>
  <c r="AG16" i="6" s="1"/>
  <c r="I16" i="6" s="1"/>
  <c r="AD14" i="10"/>
  <c r="AF16" i="6" s="1"/>
  <c r="G16" i="6" s="1"/>
  <c r="AC14" i="10"/>
  <c r="AE16" i="6" s="1"/>
  <c r="E16" i="6" s="1"/>
  <c r="AB14" i="10"/>
  <c r="AF13" i="10"/>
  <c r="AD8" i="6"/>
  <c r="C8" i="6" s="1"/>
  <c r="AM36" i="7"/>
  <c r="C36" i="7"/>
  <c r="AM24" i="7"/>
  <c r="C24" i="7"/>
  <c r="AM23" i="7"/>
  <c r="C23" i="7"/>
  <c r="AM42" i="7"/>
  <c r="C42" i="7"/>
  <c r="AM33" i="7"/>
  <c r="C33" i="7"/>
  <c r="AO33" i="7"/>
  <c r="AN33" i="7"/>
  <c r="AH33" i="7"/>
  <c r="AG33" i="7"/>
  <c r="AF33" i="7"/>
  <c r="AE33" i="7"/>
  <c r="AO32" i="7"/>
  <c r="AN32" i="7"/>
  <c r="AO30" i="7"/>
  <c r="AN30" i="7"/>
  <c r="AH30" i="7"/>
  <c r="AG30" i="7"/>
  <c r="AF30" i="7"/>
  <c r="AE30" i="7"/>
  <c r="AO28" i="7"/>
  <c r="AN28" i="7"/>
  <c r="AH28" i="7"/>
  <c r="AG28" i="7"/>
  <c r="AF28" i="7"/>
  <c r="AE28" i="7"/>
  <c r="AO24" i="7"/>
  <c r="AN24" i="7"/>
  <c r="AJ24" i="7"/>
  <c r="AI24" i="7"/>
  <c r="AG24" i="7"/>
  <c r="AF24" i="7"/>
  <c r="AE24" i="7"/>
  <c r="AO23" i="7"/>
  <c r="AN23" i="7"/>
  <c r="AH23" i="7"/>
  <c r="AG23" i="7"/>
  <c r="AF23" i="7"/>
  <c r="AE23" i="7"/>
  <c r="AI11" i="7"/>
  <c r="AH11" i="7"/>
  <c r="AG11" i="7"/>
  <c r="AF11" i="7"/>
  <c r="AE11" i="7"/>
  <c r="AO10" i="7"/>
  <c r="AN10" i="7"/>
  <c r="AM10" i="7"/>
  <c r="AI10" i="7"/>
  <c r="AH10" i="7"/>
  <c r="AG10" i="7"/>
  <c r="AF10" i="7"/>
  <c r="AE10" i="7"/>
  <c r="AH8" i="7"/>
  <c r="AG8" i="7"/>
  <c r="AF8" i="7"/>
  <c r="AE8" i="7"/>
  <c r="P89" i="10"/>
  <c r="AC89" i="10" s="1"/>
  <c r="D89" i="10"/>
  <c r="P40" i="10"/>
  <c r="AC40" i="10" s="1"/>
  <c r="D40" i="10"/>
  <c r="P4" i="10"/>
  <c r="AC4" i="10" s="1"/>
  <c r="D4" i="10"/>
  <c r="AH32" i="7"/>
  <c r="AG32" i="7"/>
  <c r="AF32" i="7"/>
  <c r="AE32" i="7"/>
  <c r="AK24" i="7"/>
  <c r="AL24" i="7"/>
  <c r="AH24" i="7"/>
  <c r="AI9" i="7"/>
  <c r="AH9" i="7"/>
  <c r="AG9" i="7"/>
  <c r="AF9" i="7"/>
  <c r="AE9" i="7"/>
  <c r="C42" i="6"/>
  <c r="P33" i="2"/>
  <c r="N33" i="2"/>
  <c r="AM33" i="2"/>
  <c r="J33" i="2"/>
  <c r="AL33" i="2"/>
  <c r="H33" i="2"/>
  <c r="K30" i="2"/>
  <c r="K35" i="2" s="1"/>
  <c r="L27" i="2"/>
  <c r="AM27" i="2"/>
  <c r="I30" i="2"/>
  <c r="I35" i="2" s="1"/>
  <c r="J27" i="2"/>
  <c r="AL27" i="2"/>
  <c r="G30" i="2"/>
  <c r="G35" i="2" s="1"/>
  <c r="M30" i="2"/>
  <c r="N18" i="2"/>
  <c r="M44" i="2"/>
  <c r="BB17" i="2"/>
  <c r="BB16" i="2"/>
  <c r="P16" i="2"/>
  <c r="BB15" i="2"/>
  <c r="P15" i="2"/>
  <c r="P14" i="2"/>
  <c r="BB14" i="2"/>
  <c r="P13" i="2"/>
  <c r="BB13" i="2"/>
  <c r="P12" i="2"/>
  <c r="P11" i="2"/>
  <c r="BB11" i="2"/>
  <c r="O39" i="2"/>
  <c r="P10" i="2"/>
  <c r="BB10" i="2"/>
  <c r="P9" i="2"/>
  <c r="BB9" i="2"/>
  <c r="BB8" i="2"/>
  <c r="P8" i="2"/>
  <c r="BB7" i="2"/>
  <c r="P7" i="2"/>
  <c r="AZ6" i="2"/>
  <c r="O45" i="2"/>
  <c r="AX6" i="2"/>
  <c r="M45" i="2"/>
  <c r="N6" i="2"/>
  <c r="AV6" i="2"/>
  <c r="AM6" i="2"/>
  <c r="K45" i="2"/>
  <c r="L6" i="2"/>
  <c r="AK31" i="2"/>
  <c r="AK27" i="2"/>
  <c r="E29" i="2"/>
  <c r="E19" i="2"/>
  <c r="E36" i="2" s="1"/>
  <c r="AK22" i="2"/>
  <c r="G44" i="2"/>
  <c r="AK18" i="2"/>
  <c r="H18" i="2"/>
  <c r="E30" i="2"/>
  <c r="AK12" i="2"/>
  <c r="E43" i="2"/>
  <c r="E40" i="2"/>
  <c r="G45" i="2"/>
  <c r="AK6" i="2"/>
  <c r="G43" i="2"/>
  <c r="AL12" i="2"/>
  <c r="I43" i="2"/>
  <c r="I41" i="2"/>
  <c r="G41" i="2"/>
  <c r="G40" i="2"/>
  <c r="AT12" i="2"/>
  <c r="J12" i="2"/>
  <c r="H12" i="2"/>
  <c r="AT9" i="2"/>
  <c r="J9" i="2"/>
  <c r="H9" i="2"/>
  <c r="AL9" i="2"/>
  <c r="I45" i="2"/>
  <c r="AT6" i="2"/>
  <c r="J6" i="2"/>
  <c r="H6" i="2"/>
  <c r="AL6" i="2"/>
  <c r="BD91" i="16"/>
  <c r="J91" i="16" s="1"/>
  <c r="BD84" i="16"/>
  <c r="J84" i="16" s="1"/>
  <c r="BD66" i="16"/>
  <c r="J66" i="16" s="1"/>
  <c r="BD54" i="16"/>
  <c r="J54" i="16" s="1"/>
  <c r="T15" i="10" s="1"/>
  <c r="AG15" i="10" s="1"/>
  <c r="AI17" i="6" s="1"/>
  <c r="M17" i="6" s="1"/>
  <c r="BF34" i="16"/>
  <c r="BD28" i="16"/>
  <c r="J28" i="16" s="1"/>
  <c r="AD11" i="16" s="1"/>
  <c r="BD12" i="16"/>
  <c r="J12" i="16" s="1"/>
  <c r="BD46" i="16"/>
  <c r="J46" i="16" s="1"/>
  <c r="BD40" i="16"/>
  <c r="J40" i="16" s="1"/>
  <c r="BD65" i="16"/>
  <c r="J65" i="16" s="1"/>
  <c r="BD42" i="16"/>
  <c r="J42" i="16" s="1"/>
  <c r="BD31" i="16"/>
  <c r="BD26" i="16"/>
  <c r="J26" i="16" s="1"/>
  <c r="BD68" i="16"/>
  <c r="J68" i="16" s="1"/>
  <c r="BD51" i="16"/>
  <c r="J51" i="16" s="1"/>
  <c r="BD13" i="16"/>
  <c r="BD47" i="16"/>
  <c r="J47" i="16" s="1"/>
  <c r="BD39" i="16"/>
  <c r="J39" i="16" s="1"/>
  <c r="BD32" i="16"/>
  <c r="BD27" i="16"/>
  <c r="J27" i="16" s="1"/>
  <c r="BD16" i="16"/>
  <c r="J16" i="16" s="1"/>
  <c r="BD88" i="16"/>
  <c r="J88" i="16" s="1"/>
  <c r="BF63" i="16"/>
  <c r="BD56" i="16"/>
  <c r="J56" i="16" s="1"/>
  <c r="N56" i="16" s="1"/>
  <c r="X13" i="10" s="1"/>
  <c r="BD36" i="16"/>
  <c r="J36" i="16" s="1"/>
  <c r="BD25" i="16"/>
  <c r="J25" i="16" s="1"/>
  <c r="BD17" i="16"/>
  <c r="BE130" i="16"/>
  <c r="BD135" i="16"/>
  <c r="BF86" i="16"/>
  <c r="BF87" i="16"/>
  <c r="BD87" i="16"/>
  <c r="BE87" i="16"/>
  <c r="BD86" i="16"/>
  <c r="BE86" i="16"/>
  <c r="BD73" i="16"/>
  <c r="BE73" i="16"/>
  <c r="BD64" i="16"/>
  <c r="BE64" i="16"/>
  <c r="BF62" i="16"/>
  <c r="BC141" i="16"/>
  <c r="BC142" i="16" s="1"/>
  <c r="BD43" i="16"/>
  <c r="BE43" i="16"/>
  <c r="BD19" i="16"/>
  <c r="BE19" i="16"/>
  <c r="BF7" i="16"/>
  <c r="BG111" i="17"/>
  <c r="BG107" i="17"/>
  <c r="BG104" i="17"/>
  <c r="BG101" i="17"/>
  <c r="BG97" i="17"/>
  <c r="BG92" i="17"/>
  <c r="BG87" i="17"/>
  <c r="BG84" i="17"/>
  <c r="BG47" i="17"/>
  <c r="BG42" i="17"/>
  <c r="BG41" i="17"/>
  <c r="BG30" i="17"/>
  <c r="BH19" i="17"/>
  <c r="BH40" i="17"/>
  <c r="BG19" i="17"/>
  <c r="BG40" i="17"/>
  <c r="AI61" i="17"/>
  <c r="AF53" i="17"/>
  <c r="AJ51" i="17"/>
  <c r="AK61" i="17"/>
  <c r="AJ61" i="17"/>
  <c r="AH61" i="17"/>
  <c r="AG53" i="17"/>
  <c r="AF61" i="17"/>
  <c r="AH53" i="17"/>
  <c r="AK57" i="17"/>
  <c r="AJ55" i="17"/>
  <c r="AG61" i="17"/>
  <c r="O9" i="20"/>
  <c r="AK56" i="17"/>
  <c r="N9" i="20"/>
  <c r="AJ56" i="17"/>
  <c r="M9" i="20"/>
  <c r="AI56" i="17"/>
  <c r="N12" i="20"/>
  <c r="AJ52" i="17"/>
  <c r="M12" i="20"/>
  <c r="AI52" i="17"/>
  <c r="L12" i="20"/>
  <c r="AH52" i="17"/>
  <c r="K12" i="20"/>
  <c r="W98" i="10" s="1"/>
  <c r="AJ98" i="10" s="1"/>
  <c r="AG52" i="17"/>
  <c r="J12" i="20"/>
  <c r="V98" i="10" s="1"/>
  <c r="AI98" i="10" s="1"/>
  <c r="AF52" i="17"/>
  <c r="AH24" i="17"/>
  <c r="L11" i="20"/>
  <c r="X97" i="10" s="1"/>
  <c r="L8" i="18"/>
  <c r="I8" i="18"/>
  <c r="I11" i="20"/>
  <c r="U97" i="10" s="1"/>
  <c r="J15" i="17"/>
  <c r="AP18" i="17"/>
  <c r="AP23" i="17" s="1"/>
  <c r="AU23" i="17" s="1"/>
  <c r="AP17" i="17"/>
  <c r="AP22" i="17" s="1"/>
  <c r="AU22" i="17" s="1"/>
  <c r="AP16" i="17"/>
  <c r="AP21" i="17" s="1"/>
  <c r="AU21" i="17" s="1"/>
  <c r="K24" i="20"/>
  <c r="W110" i="10" s="1"/>
  <c r="J17" i="20"/>
  <c r="BE62" i="16"/>
  <c r="BD63" i="16"/>
  <c r="BE63" i="16"/>
  <c r="BD35" i="16"/>
  <c r="BE34" i="16"/>
  <c r="BB141" i="16"/>
  <c r="BB142" i="16" s="1"/>
  <c r="BD62" i="16"/>
  <c r="BD38" i="16"/>
  <c r="J38" i="16" s="1"/>
  <c r="BD7" i="16"/>
  <c r="BE7" i="16"/>
  <c r="BD6" i="16"/>
  <c r="BE5" i="16"/>
  <c r="BF4" i="16"/>
  <c r="BE4" i="16"/>
  <c r="BD4" i="16"/>
  <c r="M26" i="12"/>
  <c r="G17" i="21"/>
  <c r="AL36" i="12"/>
  <c r="M38" i="12"/>
  <c r="J24" i="10" s="1"/>
  <c r="AJ24" i="10" s="1"/>
  <c r="AL26" i="6" s="1"/>
  <c r="S26" i="6" s="1"/>
  <c r="AK4" i="12"/>
  <c r="AL4" i="12" s="1"/>
  <c r="AJ9" i="12"/>
  <c r="AK9" i="12" s="1"/>
  <c r="AL9" i="12" s="1"/>
  <c r="AK61" i="12"/>
  <c r="AJ62" i="12"/>
  <c r="AK62" i="12" s="1"/>
  <c r="AC59" i="13"/>
  <c r="H48" i="13"/>
  <c r="V54" i="13"/>
  <c r="AF24" i="17"/>
  <c r="AK26" i="13"/>
  <c r="L50" i="13"/>
  <c r="Y54" i="13"/>
  <c r="F158" i="13"/>
  <c r="K17" i="20"/>
  <c r="W103" i="10" s="1"/>
  <c r="AE28" i="17"/>
  <c r="G6" i="13"/>
  <c r="Z54" i="13"/>
  <c r="G133" i="13"/>
  <c r="G158" i="13"/>
  <c r="AI24" i="17"/>
  <c r="X33" i="12"/>
  <c r="H6" i="13"/>
  <c r="V27" i="13"/>
  <c r="I71" i="13"/>
  <c r="AJ24" i="17"/>
  <c r="H111" i="13"/>
  <c r="AK53" i="17"/>
  <c r="X30" i="12"/>
  <c r="Y33" i="12"/>
  <c r="I6" i="13"/>
  <c r="I22" i="13"/>
  <c r="X30" i="13"/>
  <c r="Z78" i="13"/>
  <c r="I87" i="13"/>
  <c r="AI53" i="17"/>
  <c r="D24" i="13"/>
  <c r="AH57" i="17"/>
  <c r="AD31" i="13"/>
  <c r="AE31" i="13" s="1"/>
  <c r="AF31" i="13" s="1"/>
  <c r="AG31" i="13" s="1"/>
  <c r="AE24" i="17"/>
  <c r="E46" i="13"/>
  <c r="Y30" i="12"/>
  <c r="J6" i="13"/>
  <c r="J22" i="13"/>
  <c r="J24" i="20"/>
  <c r="V110" i="10" s="1"/>
  <c r="J19" i="20"/>
  <c r="V105" i="10" s="1"/>
  <c r="AI105" i="10" s="1"/>
  <c r="Z28" i="4" s="1"/>
  <c r="AI51" i="17"/>
  <c r="I9" i="18"/>
  <c r="AG57" i="17"/>
  <c r="K111" i="13"/>
  <c r="E87" i="13"/>
  <c r="AK27" i="13"/>
  <c r="K51" i="13"/>
  <c r="G80" i="13"/>
  <c r="E7" i="21"/>
  <c r="H44" i="10"/>
  <c r="AH44" i="10" s="1"/>
  <c r="W8" i="7" s="1"/>
  <c r="I8" i="7" s="1"/>
  <c r="AI8" i="7" s="1"/>
  <c r="K33" i="20"/>
  <c r="W119" i="10" s="1"/>
  <c r="AJ119" i="10" s="1"/>
  <c r="F111" i="13"/>
  <c r="G111" i="13"/>
  <c r="Z10" i="12"/>
  <c r="AA10" i="12" s="1"/>
  <c r="AB10" i="12" s="1"/>
  <c r="W54" i="13"/>
  <c r="F65" i="13"/>
  <c r="W78" i="13"/>
  <c r="F6" i="13"/>
  <c r="F19" i="13"/>
  <c r="V30" i="12"/>
  <c r="W56" i="13"/>
  <c r="AB14" i="13"/>
  <c r="X29" i="13"/>
  <c r="G17" i="13"/>
  <c r="X26" i="13"/>
  <c r="G46" i="13"/>
  <c r="F22" i="13"/>
  <c r="K9" i="20"/>
  <c r="AH56" i="17"/>
  <c r="AG56" i="17"/>
  <c r="AG28" i="17"/>
  <c r="AC75" i="13"/>
  <c r="AD75" i="13" s="1"/>
  <c r="AE75" i="13" s="1"/>
  <c r="AF75" i="13" s="1"/>
  <c r="AG75" i="13" s="1"/>
  <c r="AH75" i="13" s="1"/>
  <c r="V7" i="12"/>
  <c r="X54" i="13"/>
  <c r="G19" i="13"/>
  <c r="W30" i="12"/>
  <c r="X78" i="13"/>
  <c r="X56" i="13"/>
  <c r="W7" i="12"/>
  <c r="H46" i="13"/>
  <c r="Y27" i="13"/>
  <c r="Y17" i="13"/>
  <c r="Y26" i="13"/>
  <c r="Y25" i="13"/>
  <c r="G22" i="13"/>
  <c r="AG51" i="17"/>
  <c r="K8" i="18"/>
  <c r="AG24" i="17"/>
  <c r="K73" i="13"/>
  <c r="V30" i="13"/>
  <c r="W17" i="13"/>
  <c r="W25" i="13"/>
  <c r="F17" i="13"/>
  <c r="W26" i="13"/>
  <c r="F46" i="13"/>
  <c r="H80" i="13"/>
  <c r="Y67" i="13"/>
  <c r="H19" i="13"/>
  <c r="Y78" i="13"/>
  <c r="Y56" i="13"/>
  <c r="X7" i="12"/>
  <c r="Z29" i="13"/>
  <c r="Z28" i="13"/>
  <c r="Z26" i="13"/>
  <c r="I46" i="13"/>
  <c r="Z25" i="13"/>
  <c r="H22" i="13"/>
  <c r="X25" i="13"/>
  <c r="W29" i="13"/>
  <c r="AH51" i="17"/>
  <c r="AB11" i="13"/>
  <c r="J17" i="13"/>
  <c r="J46" i="13"/>
  <c r="J39" i="20"/>
  <c r="V125" i="10" s="1"/>
  <c r="V78" i="13"/>
  <c r="E19" i="13"/>
  <c r="E22" i="13"/>
  <c r="E6" i="13"/>
  <c r="V56" i="13"/>
  <c r="J9" i="20"/>
  <c r="AF56" i="17"/>
  <c r="AF28" i="17"/>
  <c r="AA29" i="13"/>
  <c r="W67" i="13"/>
  <c r="E80" i="13"/>
  <c r="Y36" i="13"/>
  <c r="F80" i="13"/>
  <c r="F48" i="13"/>
  <c r="H17" i="13"/>
  <c r="AE32" i="13"/>
  <c r="J33" i="20"/>
  <c r="V119" i="10" s="1"/>
  <c r="AI119" i="10" s="1"/>
  <c r="W30" i="13"/>
  <c r="E53" i="13"/>
  <c r="E48" i="13"/>
  <c r="F71" i="13"/>
  <c r="G53" i="13"/>
  <c r="G48" i="13"/>
  <c r="L34" i="14"/>
  <c r="L18" i="14" s="1"/>
  <c r="L26" i="14" s="1"/>
  <c r="H71" i="13"/>
  <c r="J34" i="14"/>
  <c r="J18" i="14" s="1"/>
  <c r="J26" i="14" s="1"/>
  <c r="Y30" i="13"/>
  <c r="J71" i="13"/>
  <c r="N34" i="14"/>
  <c r="N18" i="14" s="1"/>
  <c r="N26" i="14" s="1"/>
  <c r="K19" i="20"/>
  <c r="W105" i="10" s="1"/>
  <c r="AJ105" i="10" s="1"/>
  <c r="AA28" i="4" s="1"/>
  <c r="AK52" i="17"/>
  <c r="O12" i="20"/>
  <c r="AI28" i="17"/>
  <c r="AI55" i="17"/>
  <c r="M9" i="18"/>
  <c r="M8" i="20"/>
  <c r="Y94" i="10" s="1"/>
  <c r="AL94" i="10" s="1"/>
  <c r="AJ28" i="17"/>
  <c r="N9" i="18"/>
  <c r="N8" i="20"/>
  <c r="Z94" i="10" s="1"/>
  <c r="AM94" i="10" s="1"/>
  <c r="H87" i="13"/>
  <c r="I111" i="13"/>
  <c r="AK28" i="17"/>
  <c r="O8" i="20"/>
  <c r="AA94" i="10" s="1"/>
  <c r="AN94" i="10" s="1"/>
  <c r="O9" i="18"/>
  <c r="AK55" i="17"/>
  <c r="AJ57" i="17"/>
  <c r="AI57" i="17"/>
  <c r="Z30" i="13"/>
  <c r="H65" i="13"/>
  <c r="AF51" i="17"/>
  <c r="J8" i="18"/>
  <c r="AA56" i="13"/>
  <c r="AG55" i="17"/>
  <c r="K9" i="18"/>
  <c r="AH28" i="17"/>
  <c r="AH55" i="17"/>
  <c r="L9" i="18"/>
  <c r="AF57" i="17"/>
  <c r="J9" i="18"/>
  <c r="AK51" i="17"/>
  <c r="O11" i="20"/>
  <c r="AA97" i="10" s="1"/>
  <c r="O8" i="18"/>
  <c r="AF55" i="17"/>
  <c r="AJ53" i="17"/>
  <c r="M8" i="18"/>
  <c r="M11" i="20"/>
  <c r="Y97" i="10" s="1"/>
  <c r="N8" i="18"/>
  <c r="N11" i="20"/>
  <c r="Z97" i="10" s="1"/>
  <c r="D74" i="10" l="1"/>
  <c r="AH31" i="7"/>
  <c r="AF29" i="7"/>
  <c r="AF35" i="7"/>
  <c r="AG31" i="7"/>
  <c r="AD21" i="16"/>
  <c r="N9" i="16"/>
  <c r="O9" i="16" s="1"/>
  <c r="P9" i="16" s="1"/>
  <c r="Q9" i="16" s="1"/>
  <c r="P26" i="16"/>
  <c r="C74" i="10"/>
  <c r="AH75" i="10"/>
  <c r="W41" i="7" s="1"/>
  <c r="I41" i="7" s="1"/>
  <c r="C77" i="10"/>
  <c r="AN35" i="7"/>
  <c r="AF25" i="7"/>
  <c r="AM25" i="7"/>
  <c r="C52" i="10"/>
  <c r="AE75" i="10"/>
  <c r="AE74" i="10" s="1"/>
  <c r="AF53" i="10"/>
  <c r="Y28" i="3" s="1"/>
  <c r="AF31" i="7"/>
  <c r="D52" i="10"/>
  <c r="E77" i="10"/>
  <c r="F74" i="10"/>
  <c r="E49" i="10"/>
  <c r="B77" i="10"/>
  <c r="AN31" i="7"/>
  <c r="B74" i="10"/>
  <c r="B52" i="10"/>
  <c r="C93" i="10"/>
  <c r="C92" i="10" s="1"/>
  <c r="AL75" i="10"/>
  <c r="AA41" i="7" s="1"/>
  <c r="M41" i="7" s="1"/>
  <c r="AG35" i="7"/>
  <c r="AM34" i="7"/>
  <c r="AE25" i="7"/>
  <c r="AJ75" i="10"/>
  <c r="Y41" i="7" s="1"/>
  <c r="K41" i="7" s="1"/>
  <c r="BB33" i="3"/>
  <c r="AM35" i="7"/>
  <c r="C35" i="7"/>
  <c r="AI75" i="10"/>
  <c r="X41" i="7" s="1"/>
  <c r="J41" i="7" s="1"/>
  <c r="J54" i="7" s="1"/>
  <c r="AE35" i="7"/>
  <c r="F77" i="10"/>
  <c r="AG25" i="7"/>
  <c r="D6" i="21"/>
  <c r="D31" i="21"/>
  <c r="D30" i="21" s="1"/>
  <c r="I26" i="21"/>
  <c r="I112" i="10" s="1"/>
  <c r="I111" i="10" s="1"/>
  <c r="P19" i="12"/>
  <c r="M15" i="10" s="1"/>
  <c r="AA5" i="13"/>
  <c r="O57" i="13"/>
  <c r="F65" i="10"/>
  <c r="AF65" i="10" s="1"/>
  <c r="U29" i="7" s="1"/>
  <c r="G29" i="7" s="1"/>
  <c r="AG29" i="7" s="1"/>
  <c r="AD93" i="10"/>
  <c r="U21" i="4" s="1"/>
  <c r="E47" i="13"/>
  <c r="Y5" i="13"/>
  <c r="Q90" i="13"/>
  <c r="P89" i="13"/>
  <c r="I19" i="2"/>
  <c r="O19" i="2"/>
  <c r="L158" i="13"/>
  <c r="L161" i="13" s="1"/>
  <c r="G19" i="2"/>
  <c r="G26" i="2" s="1"/>
  <c r="O142" i="13"/>
  <c r="H104" i="13"/>
  <c r="M158" i="13"/>
  <c r="M161" i="13" s="1"/>
  <c r="L28" i="2"/>
  <c r="M19" i="2"/>
  <c r="M26" i="2" s="1"/>
  <c r="AH25" i="7"/>
  <c r="K154" i="13"/>
  <c r="G161" i="13"/>
  <c r="H129" i="13"/>
  <c r="F159" i="13"/>
  <c r="H28" i="2"/>
  <c r="BB24" i="3"/>
  <c r="Z5" i="13"/>
  <c r="H21" i="13"/>
  <c r="F21" i="13"/>
  <c r="I58" i="10"/>
  <c r="AI58" i="10" s="1"/>
  <c r="AB33" i="3" s="1"/>
  <c r="I33" i="3" s="1"/>
  <c r="AO35" i="7"/>
  <c r="G21" i="13"/>
  <c r="W5" i="13"/>
  <c r="I158" i="13"/>
  <c r="I159" i="13" s="1"/>
  <c r="F155" i="13"/>
  <c r="E22" i="3"/>
  <c r="E19" i="3" s="1"/>
  <c r="E21" i="13"/>
  <c r="X5" i="13"/>
  <c r="I21" i="13"/>
  <c r="B93" i="10"/>
  <c r="B92" i="10" s="1"/>
  <c r="D77" i="10"/>
  <c r="H150" i="13"/>
  <c r="D162" i="13"/>
  <c r="BB27" i="2"/>
  <c r="BB31" i="2"/>
  <c r="AF115" i="10"/>
  <c r="AD48" i="10"/>
  <c r="S12" i="7" s="1"/>
  <c r="E12" i="7" s="1"/>
  <c r="R77" i="10"/>
  <c r="X23" i="17"/>
  <c r="X32" i="17" s="1"/>
  <c r="X34" i="17" s="1"/>
  <c r="X36" i="17" s="1"/>
  <c r="AH79" i="10"/>
  <c r="W45" i="7" s="1"/>
  <c r="I45" i="7" s="1"/>
  <c r="V77" i="10"/>
  <c r="AZ109" i="17"/>
  <c r="BF107" i="17"/>
  <c r="O18" i="2"/>
  <c r="BG18" i="2"/>
  <c r="H4" i="16"/>
  <c r="O29" i="2"/>
  <c r="E28" i="3"/>
  <c r="B25" i="21"/>
  <c r="B23" i="21" s="1"/>
  <c r="AG33" i="6"/>
  <c r="I33" i="6" s="1"/>
  <c r="S9" i="4"/>
  <c r="S55" i="4" s="1"/>
  <c r="AC79" i="10"/>
  <c r="R45" i="7" s="1"/>
  <c r="AN45" i="7" s="1"/>
  <c r="J72" i="17"/>
  <c r="J47" i="17" s="1"/>
  <c r="E4" i="16"/>
  <c r="D62" i="16"/>
  <c r="D141" i="16" s="1"/>
  <c r="AE7" i="10"/>
  <c r="AG9" i="6" s="1"/>
  <c r="I9" i="6" s="1"/>
  <c r="G5" i="18"/>
  <c r="G32" i="20" s="1"/>
  <c r="S118" i="10" s="1"/>
  <c r="AF48" i="10"/>
  <c r="U12" i="7" s="1"/>
  <c r="G12" i="7" s="1"/>
  <c r="AH12" i="7" s="1"/>
  <c r="AC40" i="17"/>
  <c r="AO43" i="17"/>
  <c r="AI76" i="10"/>
  <c r="X42" i="7" s="1"/>
  <c r="J42" i="7" s="1"/>
  <c r="Z23" i="17"/>
  <c r="Z32" i="17" s="1"/>
  <c r="Z43" i="17"/>
  <c r="G33" i="20"/>
  <c r="S119" i="10" s="1"/>
  <c r="AF119" i="10" s="1"/>
  <c r="J169" i="17"/>
  <c r="O40" i="2"/>
  <c r="AD18" i="16"/>
  <c r="I19" i="20" s="1"/>
  <c r="U105" i="10" s="1"/>
  <c r="AH105" i="10" s="1"/>
  <c r="Y28" i="4" s="1"/>
  <c r="P6" i="2"/>
  <c r="AR78" i="16"/>
  <c r="K39" i="17"/>
  <c r="L39" i="17" s="1"/>
  <c r="M39" i="17" s="1"/>
  <c r="N39" i="17" s="1"/>
  <c r="O39" i="17" s="1"/>
  <c r="P39" i="17" s="1"/>
  <c r="Q39" i="17" s="1"/>
  <c r="J92" i="16"/>
  <c r="Q16" i="10"/>
  <c r="R6" i="10"/>
  <c r="AE6" i="10" s="1"/>
  <c r="G62" i="16"/>
  <c r="J108" i="16"/>
  <c r="T27" i="10" s="1"/>
  <c r="AG27" i="10" s="1"/>
  <c r="Z13" i="3" s="1"/>
  <c r="BB13" i="3" s="1"/>
  <c r="BG4" i="16"/>
  <c r="O6" i="10"/>
  <c r="O34" i="10" s="1"/>
  <c r="H62" i="16"/>
  <c r="J114" i="16"/>
  <c r="T28" i="10" s="1"/>
  <c r="AG28" i="10" s="1"/>
  <c r="Z14" i="3" s="1"/>
  <c r="BB14" i="3" s="1"/>
  <c r="AD6" i="10"/>
  <c r="AF8" i="6" s="1"/>
  <c r="G8" i="6" s="1"/>
  <c r="AQ82" i="16"/>
  <c r="AD7" i="10"/>
  <c r="W8" i="3" s="1"/>
  <c r="S77" i="10"/>
  <c r="J162" i="17"/>
  <c r="K169" i="17" s="1"/>
  <c r="K45" i="17" s="1"/>
  <c r="K162" i="17" s="1"/>
  <c r="L169" i="17" s="1"/>
  <c r="L45" i="17" s="1"/>
  <c r="L162" i="17" s="1"/>
  <c r="AE48" i="10"/>
  <c r="T12" i="7" s="1"/>
  <c r="F12" i="7" s="1"/>
  <c r="AH76" i="10"/>
  <c r="W42" i="7" s="1"/>
  <c r="I42" i="7" s="1"/>
  <c r="E84" i="17"/>
  <c r="E107" i="17" s="1"/>
  <c r="E109" i="17" s="1"/>
  <c r="E111" i="17" s="1"/>
  <c r="K58" i="17"/>
  <c r="AE21" i="17" s="1"/>
  <c r="K37" i="17"/>
  <c r="L37" i="17" s="1"/>
  <c r="M37" i="17" s="1"/>
  <c r="N37" i="17" s="1"/>
  <c r="O37" i="17" s="1"/>
  <c r="P37" i="17" s="1"/>
  <c r="Q37" i="17" s="1"/>
  <c r="Z50" i="17"/>
  <c r="F25" i="20"/>
  <c r="F23" i="20" s="1"/>
  <c r="AE115" i="10"/>
  <c r="T23" i="10"/>
  <c r="AG23" i="10" s="1"/>
  <c r="AI25" i="6" s="1"/>
  <c r="M25" i="6" s="1"/>
  <c r="D4" i="16"/>
  <c r="AD115" i="10"/>
  <c r="AD17" i="16"/>
  <c r="H18" i="20" s="1"/>
  <c r="T104" i="10" s="1"/>
  <c r="AG104" i="10" s="1"/>
  <c r="X26" i="4" s="1"/>
  <c r="AC115" i="10"/>
  <c r="C34" i="20"/>
  <c r="J19" i="16"/>
  <c r="F62" i="16"/>
  <c r="I4" i="16"/>
  <c r="G25" i="20"/>
  <c r="T25" i="10"/>
  <c r="AG25" i="10" s="1"/>
  <c r="AI27" i="6" s="1"/>
  <c r="M27" i="6" s="1"/>
  <c r="F4" i="16"/>
  <c r="AD35" i="16"/>
  <c r="G4" i="16"/>
  <c r="P16" i="10"/>
  <c r="J122" i="16"/>
  <c r="T33" i="10" s="1"/>
  <c r="AG33" i="10" s="1"/>
  <c r="Z15" i="3" s="1"/>
  <c r="BB15" i="3" s="1"/>
  <c r="L26" i="5"/>
  <c r="AR58" i="16"/>
  <c r="H6" i="18"/>
  <c r="BG130" i="16"/>
  <c r="AD15" i="16"/>
  <c r="H35" i="20" s="1"/>
  <c r="T121" i="10" s="1"/>
  <c r="T14" i="10"/>
  <c r="AG14" i="10" s="1"/>
  <c r="AI16" i="6" s="1"/>
  <c r="M16" i="6" s="1"/>
  <c r="I26" i="5"/>
  <c r="L31" i="13"/>
  <c r="AE3" i="13"/>
  <c r="AD18" i="13"/>
  <c r="M18" i="13" s="1"/>
  <c r="AD2" i="13"/>
  <c r="X14" i="3"/>
  <c r="H26" i="21"/>
  <c r="H112" i="10" s="1"/>
  <c r="H111" i="10" s="1"/>
  <c r="I33" i="21"/>
  <c r="AD59" i="13"/>
  <c r="AE59" i="13" s="1"/>
  <c r="AF59" i="13" s="1"/>
  <c r="AG59" i="13" s="1"/>
  <c r="AH59" i="13" s="1"/>
  <c r="AI6" i="16"/>
  <c r="Y8" i="10" s="1"/>
  <c r="L73" i="16"/>
  <c r="M74" i="16"/>
  <c r="N15" i="17"/>
  <c r="Y54" i="17"/>
  <c r="AJ76" i="10"/>
  <c r="Y42" i="7" s="1"/>
  <c r="K42" i="7" s="1"/>
  <c r="AD40" i="17"/>
  <c r="J170" i="17"/>
  <c r="AC50" i="17"/>
  <c r="AB40" i="17"/>
  <c r="K57" i="17"/>
  <c r="L57" i="17" s="1"/>
  <c r="M57" i="17" s="1"/>
  <c r="N57" i="17" s="1"/>
  <c r="O57" i="17" s="1"/>
  <c r="P57" i="17" s="1"/>
  <c r="Q57" i="17" s="1"/>
  <c r="AB44" i="17"/>
  <c r="AC48" i="10"/>
  <c r="R12" i="7" s="1"/>
  <c r="D12" i="7" s="1"/>
  <c r="AN43" i="17"/>
  <c r="AE40" i="17"/>
  <c r="J168" i="17"/>
  <c r="Y41" i="10"/>
  <c r="AA40" i="17"/>
  <c r="Z40" i="17"/>
  <c r="O15" i="17"/>
  <c r="AN76" i="10"/>
  <c r="AC42" i="7" s="1"/>
  <c r="O42" i="7" s="1"/>
  <c r="AL76" i="10"/>
  <c r="AA42" i="7" s="1"/>
  <c r="M42" i="7" s="1"/>
  <c r="AP55" i="17"/>
  <c r="M15" i="17"/>
  <c r="Q77" i="10"/>
  <c r="AF76" i="10"/>
  <c r="U42" i="7" s="1"/>
  <c r="G42" i="7" s="1"/>
  <c r="AG42" i="7" s="1"/>
  <c r="H84" i="17"/>
  <c r="H86" i="17" s="1"/>
  <c r="G84" i="17"/>
  <c r="G107" i="17" s="1"/>
  <c r="O121" i="10"/>
  <c r="O120" i="10" s="1"/>
  <c r="Y14" i="3"/>
  <c r="C62" i="12"/>
  <c r="C64" i="12" s="1"/>
  <c r="AK76" i="10"/>
  <c r="Z42" i="7" s="1"/>
  <c r="L42" i="7" s="1"/>
  <c r="L40" i="7" s="1"/>
  <c r="K56" i="17"/>
  <c r="AQ58" i="17" s="1"/>
  <c r="R74" i="10"/>
  <c r="AN79" i="10"/>
  <c r="AC45" i="7" s="1"/>
  <c r="O45" i="7" s="1"/>
  <c r="G115" i="17"/>
  <c r="Z77" i="10"/>
  <c r="P98" i="10"/>
  <c r="AC98" i="10" s="1"/>
  <c r="AC96" i="10" s="1"/>
  <c r="T9" i="4" s="1"/>
  <c r="J167" i="17"/>
  <c r="AM76" i="10"/>
  <c r="AB42" i="7" s="1"/>
  <c r="N42" i="7" s="1"/>
  <c r="P52" i="10"/>
  <c r="P55" i="10" s="1"/>
  <c r="AD29" i="17"/>
  <c r="AE55" i="17" s="1"/>
  <c r="AC44" i="17"/>
  <c r="J163" i="17"/>
  <c r="K170" i="17" s="1"/>
  <c r="K46" i="17" s="1"/>
  <c r="K163" i="17" s="1"/>
  <c r="K15" i="17"/>
  <c r="K23" i="17" s="1"/>
  <c r="F84" i="17"/>
  <c r="F107" i="17" s="1"/>
  <c r="AA54" i="17"/>
  <c r="D84" i="17"/>
  <c r="D107" i="17" s="1"/>
  <c r="D117" i="17" s="1"/>
  <c r="AQ16" i="17"/>
  <c r="AQ21" i="17" s="1"/>
  <c r="AV21" i="17" s="1"/>
  <c r="AQ18" i="17"/>
  <c r="AQ23" i="17" s="1"/>
  <c r="AV23" i="17" s="1"/>
  <c r="AC7" i="10"/>
  <c r="AE9" i="6" s="1"/>
  <c r="E9" i="6" s="1"/>
  <c r="E7" i="6" s="1"/>
  <c r="F8" i="6" s="1"/>
  <c r="E62" i="16"/>
  <c r="O16" i="10"/>
  <c r="AR83" i="16"/>
  <c r="X24" i="16"/>
  <c r="X26" i="16" s="1"/>
  <c r="AO80" i="16"/>
  <c r="AO82" i="16" s="1"/>
  <c r="AE15" i="16"/>
  <c r="R16" i="10"/>
  <c r="E107" i="16"/>
  <c r="J73" i="16"/>
  <c r="AD106" i="10"/>
  <c r="U27" i="4" s="1"/>
  <c r="E27" i="5" s="1"/>
  <c r="AD9" i="16"/>
  <c r="H14" i="20" s="1"/>
  <c r="T100" i="10" s="1"/>
  <c r="S27" i="4"/>
  <c r="C27" i="5" s="1"/>
  <c r="U41" i="10"/>
  <c r="AH33" i="6"/>
  <c r="K33" i="6" s="1"/>
  <c r="AF103" i="10"/>
  <c r="E10" i="20"/>
  <c r="Q98" i="10"/>
  <c r="AD98" i="10" s="1"/>
  <c r="AD96" i="10" s="1"/>
  <c r="U9" i="4" s="1"/>
  <c r="Q95" i="10"/>
  <c r="AD95" i="10" s="1"/>
  <c r="D10" i="20"/>
  <c r="AC106" i="10"/>
  <c r="E31" i="20"/>
  <c r="AD119" i="10"/>
  <c r="O96" i="10"/>
  <c r="Z48" i="10"/>
  <c r="AJ40" i="17"/>
  <c r="E42" i="7"/>
  <c r="AF42" i="7" s="1"/>
  <c r="S47" i="7"/>
  <c r="AC119" i="10"/>
  <c r="AJ45" i="7"/>
  <c r="V41" i="10"/>
  <c r="R49" i="10"/>
  <c r="AD25" i="17"/>
  <c r="AE51" i="17" s="1"/>
  <c r="Q15" i="17"/>
  <c r="AF40" i="17"/>
  <c r="L15" i="17"/>
  <c r="C6" i="20"/>
  <c r="Q74" i="10"/>
  <c r="P15" i="17"/>
  <c r="AG40" i="17"/>
  <c r="I115" i="17"/>
  <c r="I152" i="17"/>
  <c r="BI42" i="17"/>
  <c r="AJ48" i="10"/>
  <c r="Y12" i="7" s="1"/>
  <c r="K12" i="7" s="1"/>
  <c r="AL12" i="7" s="1"/>
  <c r="I84" i="17"/>
  <c r="I149" i="17" s="1"/>
  <c r="P72" i="10"/>
  <c r="AJ79" i="10"/>
  <c r="Y45" i="7" s="1"/>
  <c r="K45" i="7" s="1"/>
  <c r="X77" i="10"/>
  <c r="AC76" i="10"/>
  <c r="R42" i="7" s="1"/>
  <c r="W23" i="4"/>
  <c r="G25" i="5" s="1"/>
  <c r="U15" i="7"/>
  <c r="G15" i="7" s="1"/>
  <c r="R56" i="10"/>
  <c r="AF12" i="10"/>
  <c r="AH14" i="6" s="1"/>
  <c r="K14" i="6" s="1"/>
  <c r="AM43" i="17"/>
  <c r="J101" i="17"/>
  <c r="AB50" i="17"/>
  <c r="S56" i="10"/>
  <c r="Y77" i="10"/>
  <c r="AA41" i="10"/>
  <c r="Y50" i="17"/>
  <c r="M39" i="12"/>
  <c r="J25" i="10" s="1"/>
  <c r="F99" i="10"/>
  <c r="AB5" i="10"/>
  <c r="O19" i="12"/>
  <c r="L15" i="10" s="1"/>
  <c r="C7" i="6"/>
  <c r="D9" i="6" s="1"/>
  <c r="F28" i="12"/>
  <c r="C36" i="10"/>
  <c r="L49" i="12"/>
  <c r="I32" i="10" s="1"/>
  <c r="AG20" i="6"/>
  <c r="I20" i="6" s="1"/>
  <c r="Y15" i="3"/>
  <c r="AF33" i="6"/>
  <c r="G33" i="6" s="1"/>
  <c r="N19" i="12"/>
  <c r="K15" i="10" s="1"/>
  <c r="BG19" i="16"/>
  <c r="J87" i="16"/>
  <c r="AR72" i="16"/>
  <c r="AR70" i="16" s="1"/>
  <c r="W15" i="3"/>
  <c r="AR16" i="16"/>
  <c r="AR15" i="16" s="1"/>
  <c r="AS15" i="16" s="1"/>
  <c r="AT15" i="16" s="1"/>
  <c r="AU15" i="16" s="1"/>
  <c r="AV15" i="16" s="1"/>
  <c r="AW15" i="16" s="1"/>
  <c r="AX15" i="16" s="1"/>
  <c r="AY15" i="16" s="1"/>
  <c r="AP80" i="16"/>
  <c r="AP82" i="16" s="1"/>
  <c r="BG127" i="16"/>
  <c r="AD10" i="16"/>
  <c r="H15" i="20" s="1"/>
  <c r="T101" i="10" s="1"/>
  <c r="AG101" i="10" s="1"/>
  <c r="D12" i="5"/>
  <c r="AH29" i="6"/>
  <c r="K29" i="6" s="1"/>
  <c r="S112" i="10"/>
  <c r="S111" i="10" s="1"/>
  <c r="BG122" i="16"/>
  <c r="J118" i="16"/>
  <c r="T32" i="10" s="1"/>
  <c r="AG32" i="10" s="1"/>
  <c r="Z17" i="3" s="1"/>
  <c r="BB17" i="3" s="1"/>
  <c r="Y24" i="16"/>
  <c r="Y26" i="16" s="1"/>
  <c r="BG108" i="16"/>
  <c r="BG43" i="16"/>
  <c r="BG118" i="16"/>
  <c r="BG73" i="16"/>
  <c r="BG64" i="16"/>
  <c r="Q17" i="20"/>
  <c r="J43" i="16"/>
  <c r="AD12" i="16"/>
  <c r="H11" i="18" s="1"/>
  <c r="BG87" i="16"/>
  <c r="BG107" i="16"/>
  <c r="R47" i="7"/>
  <c r="T23" i="4"/>
  <c r="T47" i="7"/>
  <c r="F47" i="7" s="1"/>
  <c r="V23" i="4"/>
  <c r="F25" i="5" s="1"/>
  <c r="Y29" i="3"/>
  <c r="U18" i="7"/>
  <c r="G18" i="7" s="1"/>
  <c r="X29" i="3"/>
  <c r="T18" i="7"/>
  <c r="F18" i="7" s="1"/>
  <c r="AD22" i="17"/>
  <c r="AA43" i="17"/>
  <c r="AA23" i="17"/>
  <c r="D31" i="20"/>
  <c r="AB54" i="17"/>
  <c r="AO45" i="7"/>
  <c r="G34" i="20"/>
  <c r="AD27" i="17"/>
  <c r="AD53" i="17" s="1"/>
  <c r="AB23" i="17"/>
  <c r="AB43" i="17"/>
  <c r="R52" i="10"/>
  <c r="G6" i="20"/>
  <c r="Z54" i="17"/>
  <c r="AA44" i="17"/>
  <c r="Q72" i="10"/>
  <c r="P95" i="10"/>
  <c r="AC95" i="10" s="1"/>
  <c r="T24" i="4" s="1"/>
  <c r="D26" i="5" s="1"/>
  <c r="AF45" i="7"/>
  <c r="AK40" i="17"/>
  <c r="R112" i="10"/>
  <c r="R111" i="10" s="1"/>
  <c r="E6" i="20"/>
  <c r="AC54" i="17"/>
  <c r="Y44" i="17"/>
  <c r="O72" i="10"/>
  <c r="O56" i="10" s="1"/>
  <c r="O73" i="10" s="1"/>
  <c r="O80" i="10" s="1"/>
  <c r="O82" i="10" s="1"/>
  <c r="AI40" i="17"/>
  <c r="S52" i="10"/>
  <c r="S55" i="10" s="1"/>
  <c r="AA50" i="17"/>
  <c r="AC43" i="17"/>
  <c r="AC23" i="17"/>
  <c r="Z44" i="17"/>
  <c r="AR51" i="16"/>
  <c r="AG45" i="7"/>
  <c r="R94" i="10"/>
  <c r="AE94" i="10" s="1"/>
  <c r="V24" i="4" s="1"/>
  <c r="F26" i="5" s="1"/>
  <c r="F6" i="20"/>
  <c r="AE106" i="10"/>
  <c r="V27" i="4" s="1"/>
  <c r="F27" i="5" s="1"/>
  <c r="X41" i="10"/>
  <c r="E25" i="20"/>
  <c r="Y43" i="17"/>
  <c r="Y23" i="17"/>
  <c r="D6" i="20"/>
  <c r="J97" i="17"/>
  <c r="AH40" i="17"/>
  <c r="AQ17" i="17"/>
  <c r="AQ22" i="17" s="1"/>
  <c r="AV22" i="17" s="1"/>
  <c r="AI125" i="10"/>
  <c r="AJ96" i="10"/>
  <c r="C25" i="21"/>
  <c r="C23" i="21" s="1"/>
  <c r="T43" i="4"/>
  <c r="D33" i="5" s="1"/>
  <c r="W24" i="4"/>
  <c r="G26" i="5" s="1"/>
  <c r="W14" i="3"/>
  <c r="AF30" i="6"/>
  <c r="G30" i="6" s="1"/>
  <c r="AK6" i="16"/>
  <c r="AA8" i="10" s="1"/>
  <c r="AJ6" i="16"/>
  <c r="AF29" i="6"/>
  <c r="G29" i="6" s="1"/>
  <c r="Y11" i="10"/>
  <c r="P10" i="16"/>
  <c r="Q44" i="16"/>
  <c r="Q43" i="16" s="1"/>
  <c r="P43" i="16"/>
  <c r="Q89" i="16"/>
  <c r="BG7" i="16"/>
  <c r="O37" i="10"/>
  <c r="BG92" i="16"/>
  <c r="BG114" i="16"/>
  <c r="AH20" i="6"/>
  <c r="K20" i="6" s="1"/>
  <c r="AR66" i="16"/>
  <c r="AH8" i="6"/>
  <c r="K8" i="6" s="1"/>
  <c r="P37" i="10"/>
  <c r="AA13" i="3"/>
  <c r="G13" i="3" s="1"/>
  <c r="J13" i="3" s="1"/>
  <c r="AR67" i="16"/>
  <c r="P11" i="16"/>
  <c r="AI7" i="16"/>
  <c r="O76" i="16"/>
  <c r="AG29" i="6"/>
  <c r="I29" i="6" s="1"/>
  <c r="Q37" i="10"/>
  <c r="U13" i="8"/>
  <c r="G13" i="8" s="1"/>
  <c r="AS94" i="16"/>
  <c r="AT93" i="16" s="1"/>
  <c r="AU93" i="16" s="1"/>
  <c r="AV93" i="16" s="1"/>
  <c r="AW93" i="16" s="1"/>
  <c r="AX93" i="16" s="1"/>
  <c r="AY93" i="16" s="1"/>
  <c r="S17" i="10"/>
  <c r="I62" i="16"/>
  <c r="BG34" i="16"/>
  <c r="J64" i="16"/>
  <c r="T13" i="10"/>
  <c r="AG13" i="10" s="1"/>
  <c r="AI15" i="6" s="1"/>
  <c r="M15" i="6" s="1"/>
  <c r="P36" i="10"/>
  <c r="R37" i="10"/>
  <c r="O19" i="16"/>
  <c r="P20" i="16"/>
  <c r="AR54" i="16"/>
  <c r="AS48" i="16" s="1"/>
  <c r="K51" i="17" s="1"/>
  <c r="V13" i="8"/>
  <c r="H13" i="8" s="1"/>
  <c r="P39" i="16"/>
  <c r="BG63" i="16"/>
  <c r="BG86" i="16"/>
  <c r="J13" i="16"/>
  <c r="S36" i="10"/>
  <c r="AF20" i="6"/>
  <c r="G20" i="6" s="1"/>
  <c r="X43" i="16"/>
  <c r="Q20" i="20"/>
  <c r="Q21" i="20" s="1"/>
  <c r="O100" i="10"/>
  <c r="O99" i="10" s="1"/>
  <c r="C13" i="20"/>
  <c r="Y43" i="16"/>
  <c r="G43" i="7"/>
  <c r="F43" i="7"/>
  <c r="H12" i="10"/>
  <c r="AK29" i="6"/>
  <c r="Q29" i="6" s="1"/>
  <c r="E42" i="12"/>
  <c r="E62" i="12" s="1"/>
  <c r="B17" i="10"/>
  <c r="B34" i="10" s="1"/>
  <c r="D62" i="12"/>
  <c r="D64" i="12" s="1"/>
  <c r="E28" i="12"/>
  <c r="B36" i="10"/>
  <c r="B13" i="21"/>
  <c r="G120" i="10"/>
  <c r="AG123" i="10"/>
  <c r="T13" i="8"/>
  <c r="F13" i="8" s="1"/>
  <c r="H17" i="21"/>
  <c r="H103" i="10" s="1"/>
  <c r="L23" i="12"/>
  <c r="I13" i="10" s="1"/>
  <c r="AI13" i="10" s="1"/>
  <c r="AK15" i="6" s="1"/>
  <c r="Q15" i="6" s="1"/>
  <c r="AI8" i="10"/>
  <c r="AK10" i="6" s="1"/>
  <c r="Q10" i="6" s="1"/>
  <c r="AJ125" i="10"/>
  <c r="C99" i="10"/>
  <c r="AC103" i="10"/>
  <c r="C13" i="21"/>
  <c r="E13" i="21"/>
  <c r="E99" i="10"/>
  <c r="G29" i="2"/>
  <c r="AE34" i="7"/>
  <c r="L75" i="13"/>
  <c r="I133" i="13"/>
  <c r="P22" i="2"/>
  <c r="AH44" i="7"/>
  <c r="AX30" i="2"/>
  <c r="J22" i="2"/>
  <c r="Y24" i="13"/>
  <c r="L22" i="2"/>
  <c r="J28" i="2"/>
  <c r="AM28" i="2"/>
  <c r="G77" i="10"/>
  <c r="AF77" i="10"/>
  <c r="AE44" i="7"/>
  <c r="J158" i="13"/>
  <c r="K133" i="13"/>
  <c r="J133" i="13"/>
  <c r="V24" i="13"/>
  <c r="H22" i="2"/>
  <c r="AL22" i="2"/>
  <c r="AO31" i="7"/>
  <c r="AG34" i="7"/>
  <c r="G159" i="13"/>
  <c r="AM22" i="2"/>
  <c r="P28" i="2"/>
  <c r="AA35" i="12"/>
  <c r="AB35" i="12" s="1"/>
  <c r="AC35" i="12" s="1"/>
  <c r="AD35" i="12" s="1"/>
  <c r="E43" i="7"/>
  <c r="K158" i="13"/>
  <c r="L61" i="13"/>
  <c r="G52" i="10"/>
  <c r="F161" i="13"/>
  <c r="E36" i="10"/>
  <c r="H28" i="12"/>
  <c r="AW46" i="13"/>
  <c r="J21" i="13"/>
  <c r="AG44" i="7"/>
  <c r="B49" i="10"/>
  <c r="C55" i="10"/>
  <c r="AA33" i="3"/>
  <c r="G33" i="3" s="1"/>
  <c r="AH34" i="7"/>
  <c r="E52" i="10"/>
  <c r="E57" i="10"/>
  <c r="E56" i="10" s="1"/>
  <c r="AF34" i="7"/>
  <c r="R41" i="7"/>
  <c r="Q7" i="7"/>
  <c r="C7" i="7" s="1"/>
  <c r="C6" i="7" s="1"/>
  <c r="C5" i="7" s="1"/>
  <c r="AC42" i="10"/>
  <c r="AB74" i="10"/>
  <c r="Q41" i="7"/>
  <c r="S7" i="7"/>
  <c r="E7" i="7" s="1"/>
  <c r="AE7" i="7" s="1"/>
  <c r="I29" i="2"/>
  <c r="AH35" i="7"/>
  <c r="AN44" i="7"/>
  <c r="AE42" i="10"/>
  <c r="AF42" i="10"/>
  <c r="AM31" i="7"/>
  <c r="AD74" i="10"/>
  <c r="S41" i="7"/>
  <c r="C44" i="7"/>
  <c r="C43" i="7" s="1"/>
  <c r="AM44" i="7"/>
  <c r="AO44" i="7"/>
  <c r="AB77" i="10"/>
  <c r="AE29" i="7"/>
  <c r="U41" i="7"/>
  <c r="G41" i="7" s="1"/>
  <c r="AN25" i="7"/>
  <c r="AC77" i="10"/>
  <c r="AL28" i="2"/>
  <c r="AO25" i="7"/>
  <c r="AF44" i="7"/>
  <c r="F7" i="21"/>
  <c r="F93" i="10" s="1"/>
  <c r="F92" i="10" s="1"/>
  <c r="AM29" i="7"/>
  <c r="I48" i="13"/>
  <c r="AN29" i="7"/>
  <c r="N133" i="13"/>
  <c r="M133" i="13"/>
  <c r="L133" i="13"/>
  <c r="D13" i="21"/>
  <c r="I42" i="12"/>
  <c r="F17" i="10"/>
  <c r="E25" i="21"/>
  <c r="E112" i="10"/>
  <c r="E111" i="10" s="1"/>
  <c r="G13" i="21"/>
  <c r="G103" i="10"/>
  <c r="G99" i="10" s="1"/>
  <c r="F7" i="10"/>
  <c r="I28" i="12"/>
  <c r="F112" i="10"/>
  <c r="F111" i="10" s="1"/>
  <c r="F25" i="21"/>
  <c r="N9" i="12"/>
  <c r="J11" i="10"/>
  <c r="AJ11" i="10" s="1"/>
  <c r="AL13" i="6" s="1"/>
  <c r="S13" i="6" s="1"/>
  <c r="G112" i="10"/>
  <c r="G111" i="10" s="1"/>
  <c r="G25" i="21"/>
  <c r="X15" i="3"/>
  <c r="D111" i="10"/>
  <c r="D36" i="10"/>
  <c r="C28" i="6"/>
  <c r="C53" i="6" s="1"/>
  <c r="M49" i="12"/>
  <c r="J32" i="10" s="1"/>
  <c r="N50" i="12"/>
  <c r="D99" i="10"/>
  <c r="J28" i="12"/>
  <c r="G7" i="10"/>
  <c r="N44" i="12"/>
  <c r="J27" i="10"/>
  <c r="AJ27" i="10" s="1"/>
  <c r="I12" i="10"/>
  <c r="AF106" i="10"/>
  <c r="G42" i="12"/>
  <c r="D17" i="10"/>
  <c r="N13" i="12"/>
  <c r="M12" i="12"/>
  <c r="G37" i="10"/>
  <c r="B120" i="10"/>
  <c r="AB123" i="10"/>
  <c r="G28" i="12"/>
  <c r="J8" i="10"/>
  <c r="AJ8" i="10" s="1"/>
  <c r="AL10" i="6" s="1"/>
  <c r="S10" i="6" s="1"/>
  <c r="K38" i="21"/>
  <c r="K125" i="10" s="1"/>
  <c r="AK125" i="10" s="1"/>
  <c r="M151" i="13"/>
  <c r="N5" i="12"/>
  <c r="K42" i="6"/>
  <c r="B111" i="10"/>
  <c r="B109" i="10" s="1"/>
  <c r="AB112" i="10"/>
  <c r="AB111" i="10" s="1"/>
  <c r="S36" i="4" s="1"/>
  <c r="S38" i="4" s="1"/>
  <c r="E17" i="10"/>
  <c r="H42" i="12"/>
  <c r="F42" i="12"/>
  <c r="C17" i="10"/>
  <c r="AE12" i="10"/>
  <c r="AG14" i="6" s="1"/>
  <c r="I14" i="6" s="1"/>
  <c r="D25" i="21"/>
  <c r="I120" i="10"/>
  <c r="C111" i="10"/>
  <c r="L45" i="12"/>
  <c r="I28" i="10" s="1"/>
  <c r="M46" i="12"/>
  <c r="F13" i="21"/>
  <c r="AB100" i="10"/>
  <c r="B99" i="10"/>
  <c r="BI87" i="17"/>
  <c r="BI97" i="17"/>
  <c r="J87" i="17"/>
  <c r="AD31" i="17"/>
  <c r="AD57" i="17" s="1"/>
  <c r="BI47" i="17"/>
  <c r="AD20" i="17"/>
  <c r="AD46" i="17" s="1"/>
  <c r="BI101" i="17"/>
  <c r="BI30" i="17"/>
  <c r="AE61" i="17"/>
  <c r="J161" i="17"/>
  <c r="K168" i="17" s="1"/>
  <c r="K44" i="17" s="1"/>
  <c r="K161" i="17" s="1"/>
  <c r="L168" i="17" s="1"/>
  <c r="L44" i="17" s="1"/>
  <c r="L161" i="17" s="1"/>
  <c r="BI104" i="17"/>
  <c r="Q55" i="10"/>
  <c r="S15" i="7"/>
  <c r="E15" i="7" s="1"/>
  <c r="G42" i="6"/>
  <c r="T15" i="7"/>
  <c r="F15" i="7" s="1"/>
  <c r="F13" i="7" s="1"/>
  <c r="AD41" i="10"/>
  <c r="E42" i="6"/>
  <c r="S92" i="10"/>
  <c r="AE49" i="10"/>
  <c r="V7" i="4" s="1"/>
  <c r="I42" i="6"/>
  <c r="F13" i="20"/>
  <c r="P110" i="10"/>
  <c r="AD100" i="10"/>
  <c r="Q99" i="10"/>
  <c r="AD110" i="10"/>
  <c r="U34" i="4" s="1"/>
  <c r="Q121" i="10"/>
  <c r="E34" i="20"/>
  <c r="C25" i="20"/>
  <c r="C23" i="20" s="1"/>
  <c r="O113" i="10"/>
  <c r="O111" i="10" s="1"/>
  <c r="O109" i="10" s="1"/>
  <c r="E13" i="20"/>
  <c r="AD112" i="10"/>
  <c r="Q111" i="10"/>
  <c r="Q109" i="10" s="1"/>
  <c r="Q36" i="10"/>
  <c r="AE97" i="10"/>
  <c r="AE96" i="10" s="1"/>
  <c r="V9" i="4" s="1"/>
  <c r="R96" i="10"/>
  <c r="AE119" i="10"/>
  <c r="R117" i="10"/>
  <c r="P121" i="10"/>
  <c r="D34" i="20"/>
  <c r="S18" i="7"/>
  <c r="E18" i="7" s="1"/>
  <c r="D25" i="20"/>
  <c r="P112" i="10"/>
  <c r="AE100" i="10"/>
  <c r="R99" i="10"/>
  <c r="AF100" i="10"/>
  <c r="S99" i="10"/>
  <c r="G13" i="20"/>
  <c r="AF121" i="10"/>
  <c r="S120" i="10"/>
  <c r="AF97" i="10"/>
  <c r="AF96" i="10" s="1"/>
  <c r="S96" i="10"/>
  <c r="R121" i="10"/>
  <c r="F34" i="20"/>
  <c r="AK74" i="10"/>
  <c r="P100" i="10"/>
  <c r="D13" i="20"/>
  <c r="AF110" i="10"/>
  <c r="W34" i="4" s="1"/>
  <c r="K35" i="17"/>
  <c r="L35" i="17" s="1"/>
  <c r="M35" i="17" s="1"/>
  <c r="N35" i="17" s="1"/>
  <c r="O35" i="17" s="1"/>
  <c r="P35" i="17" s="1"/>
  <c r="Q35" i="17" s="1"/>
  <c r="AO29" i="7"/>
  <c r="G49" i="10"/>
  <c r="N28" i="2"/>
  <c r="V7" i="7"/>
  <c r="H7" i="7" s="1"/>
  <c r="AH7" i="7" s="1"/>
  <c r="AC49" i="10"/>
  <c r="T7" i="4" s="1"/>
  <c r="AA33" i="12"/>
  <c r="AB33" i="12" s="1"/>
  <c r="AC33" i="12" s="1"/>
  <c r="N30" i="2"/>
  <c r="M29" i="2"/>
  <c r="AE31" i="7"/>
  <c r="AD77" i="10"/>
  <c r="AO34" i="7"/>
  <c r="AT30" i="2"/>
  <c r="C57" i="10"/>
  <c r="C56" i="10" s="1"/>
  <c r="AV30" i="2"/>
  <c r="AE77" i="10"/>
  <c r="D57" i="10"/>
  <c r="D56" i="10" s="1"/>
  <c r="L36" i="12"/>
  <c r="I18" i="10" s="1"/>
  <c r="L153" i="13"/>
  <c r="AD49" i="10"/>
  <c r="U7" i="4" s="1"/>
  <c r="S14" i="7"/>
  <c r="E14" i="7" s="1"/>
  <c r="AF14" i="7" s="1"/>
  <c r="U14" i="7"/>
  <c r="G14" i="7" s="1"/>
  <c r="AF49" i="10"/>
  <c r="W7" i="4" s="1"/>
  <c r="Q14" i="7"/>
  <c r="C14" i="7" s="1"/>
  <c r="C13" i="7" s="1"/>
  <c r="AB49" i="10"/>
  <c r="S7" i="4" s="1"/>
  <c r="F49" i="10"/>
  <c r="F55" i="10" s="1"/>
  <c r="AG75" i="10"/>
  <c r="V41" i="7" s="1"/>
  <c r="H41" i="7" s="1"/>
  <c r="G74" i="10"/>
  <c r="F49" i="13"/>
  <c r="G32" i="2"/>
  <c r="J60" i="13"/>
  <c r="H49" i="13"/>
  <c r="K32" i="2"/>
  <c r="B57" i="10"/>
  <c r="B56" i="10" s="1"/>
  <c r="C117" i="10"/>
  <c r="AC118" i="10"/>
  <c r="J30" i="2"/>
  <c r="E31" i="21"/>
  <c r="E93" i="10"/>
  <c r="G49" i="13"/>
  <c r="I32" i="2"/>
  <c r="L30" i="2"/>
  <c r="D49" i="10"/>
  <c r="C31" i="7"/>
  <c r="H159" i="13"/>
  <c r="AC58" i="13"/>
  <c r="I69" i="10"/>
  <c r="AI69" i="10" s="1"/>
  <c r="X33" i="7" s="1"/>
  <c r="J33" i="7" s="1"/>
  <c r="AJ33" i="7" s="1"/>
  <c r="AN34" i="7"/>
  <c r="N22" i="2"/>
  <c r="K19" i="2"/>
  <c r="T41" i="10"/>
  <c r="AD56" i="17"/>
  <c r="J104" i="17"/>
  <c r="AE56" i="17"/>
  <c r="T95" i="10"/>
  <c r="AG95" i="10" s="1"/>
  <c r="J92" i="17"/>
  <c r="AM12" i="7"/>
  <c r="J27" i="20"/>
  <c r="V113" i="10" s="1"/>
  <c r="AI113" i="10" s="1"/>
  <c r="V95" i="10"/>
  <c r="AI95" i="10" s="1"/>
  <c r="J26" i="5" s="1"/>
  <c r="U96" i="10"/>
  <c r="AH97" i="10"/>
  <c r="AH96" i="10" s="1"/>
  <c r="M27" i="20"/>
  <c r="Y113" i="10" s="1"/>
  <c r="AL113" i="10" s="1"/>
  <c r="Y95" i="10"/>
  <c r="AL95" i="10" s="1"/>
  <c r="M26" i="5" s="1"/>
  <c r="BI41" i="17"/>
  <c r="AK50" i="17"/>
  <c r="AI96" i="10"/>
  <c r="AK97" i="10"/>
  <c r="O28" i="20"/>
  <c r="AA114" i="10" s="1"/>
  <c r="AN114" i="10" s="1"/>
  <c r="AA98" i="10"/>
  <c r="AN98" i="10" s="1"/>
  <c r="AG41" i="10"/>
  <c r="AJ12" i="7"/>
  <c r="AM97" i="10"/>
  <c r="N28" i="20"/>
  <c r="Z114" i="10" s="1"/>
  <c r="AM114" i="10" s="1"/>
  <c r="Z98" i="10"/>
  <c r="AM98" i="10" s="1"/>
  <c r="K27" i="20"/>
  <c r="W113" i="10" s="1"/>
  <c r="AJ113" i="10" s="1"/>
  <c r="W95" i="10"/>
  <c r="AJ95" i="10" s="1"/>
  <c r="K26" i="5" s="1"/>
  <c r="L28" i="20"/>
  <c r="X114" i="10" s="1"/>
  <c r="AK114" i="10" s="1"/>
  <c r="X98" i="10"/>
  <c r="AK98" i="10" s="1"/>
  <c r="W96" i="10"/>
  <c r="AN97" i="10"/>
  <c r="N27" i="20"/>
  <c r="Z113" i="10" s="1"/>
  <c r="AM113" i="10" s="1"/>
  <c r="Z95" i="10"/>
  <c r="AM95" i="10" s="1"/>
  <c r="N26" i="5" s="1"/>
  <c r="BI92" i="17"/>
  <c r="V96" i="10"/>
  <c r="O27" i="20"/>
  <c r="AA113" i="10" s="1"/>
  <c r="AN113" i="10" s="1"/>
  <c r="AA95" i="10"/>
  <c r="AN95" i="10" s="1"/>
  <c r="O26" i="5" s="1"/>
  <c r="AL97" i="10"/>
  <c r="M28" i="20"/>
  <c r="Y114" i="10" s="1"/>
  <c r="AL114" i="10" s="1"/>
  <c r="Y98" i="10"/>
  <c r="AL98" i="10" s="1"/>
  <c r="K74" i="13"/>
  <c r="H70" i="10"/>
  <c r="AH70" i="10" s="1"/>
  <c r="W34" i="7" s="1"/>
  <c r="I34" i="7" s="1"/>
  <c r="AI34" i="7" s="1"/>
  <c r="AJ110" i="10"/>
  <c r="U17" i="20"/>
  <c r="V103" i="10"/>
  <c r="AI110" i="10"/>
  <c r="AK110" i="10"/>
  <c r="C32" i="5"/>
  <c r="C39" i="7"/>
  <c r="AI12" i="7"/>
  <c r="Z28" i="3"/>
  <c r="V17" i="7"/>
  <c r="H17" i="7" s="1"/>
  <c r="AW17" i="7" s="1"/>
  <c r="X28" i="3"/>
  <c r="T17" i="7"/>
  <c r="F17" i="7" s="1"/>
  <c r="AE52" i="10"/>
  <c r="V19" i="4" s="1"/>
  <c r="F22" i="5" s="1"/>
  <c r="W28" i="3"/>
  <c r="S17" i="7"/>
  <c r="E17" i="7" s="1"/>
  <c r="AD52" i="10"/>
  <c r="U19" i="4" s="1"/>
  <c r="E22" i="5" s="1"/>
  <c r="R17" i="7"/>
  <c r="D17" i="7" s="1"/>
  <c r="AC52" i="10"/>
  <c r="T19" i="4" s="1"/>
  <c r="D22" i="5" s="1"/>
  <c r="Q17" i="7"/>
  <c r="AB52" i="10"/>
  <c r="S19" i="4" s="1"/>
  <c r="C22" i="5" s="1"/>
  <c r="AW24" i="7"/>
  <c r="AU24" i="7"/>
  <c r="AI22" i="7"/>
  <c r="AH22" i="7"/>
  <c r="AG22" i="7"/>
  <c r="D18" i="7"/>
  <c r="AN18" i="7"/>
  <c r="D15" i="7"/>
  <c r="AN15" i="7"/>
  <c r="G47" i="7"/>
  <c r="E25" i="5"/>
  <c r="Y34" i="3"/>
  <c r="U36" i="7"/>
  <c r="G36" i="7" s="1"/>
  <c r="T36" i="7"/>
  <c r="F36" i="7" s="1"/>
  <c r="X34" i="3"/>
  <c r="C22" i="7"/>
  <c r="AM22" i="7"/>
  <c r="V26" i="7"/>
  <c r="H26" i="7" s="1"/>
  <c r="U26" i="7"/>
  <c r="G26" i="7" s="1"/>
  <c r="T26" i="7"/>
  <c r="F26" i="7" s="1"/>
  <c r="AE57" i="10"/>
  <c r="S26" i="7"/>
  <c r="AD57" i="10"/>
  <c r="R26" i="7"/>
  <c r="AC57" i="10"/>
  <c r="Q26" i="7"/>
  <c r="AB57" i="10"/>
  <c r="AB56" i="10" s="1"/>
  <c r="S20" i="4" s="1"/>
  <c r="E22" i="7"/>
  <c r="AF22" i="7" s="1"/>
  <c r="AO22" i="7"/>
  <c r="D22" i="7"/>
  <c r="AN22" i="7"/>
  <c r="D14" i="7"/>
  <c r="G6" i="7"/>
  <c r="AG7" i="7"/>
  <c r="F6" i="7"/>
  <c r="H16" i="20"/>
  <c r="T102" i="10" s="1"/>
  <c r="AG102" i="10" s="1"/>
  <c r="X25" i="4" s="1"/>
  <c r="T10" i="10"/>
  <c r="AG10" i="10" s="1"/>
  <c r="AI12" i="6" s="1"/>
  <c r="M12" i="6" s="1"/>
  <c r="M37" i="12"/>
  <c r="J34" i="21" s="1"/>
  <c r="L102" i="16"/>
  <c r="I20" i="10"/>
  <c r="I107" i="10"/>
  <c r="AI107" i="10" s="1"/>
  <c r="AJ15" i="6"/>
  <c r="O15" i="6" s="1"/>
  <c r="AH15" i="6"/>
  <c r="K15" i="6" s="1"/>
  <c r="AG15" i="6"/>
  <c r="I15" i="6" s="1"/>
  <c r="AF15" i="6"/>
  <c r="G15" i="6" s="1"/>
  <c r="G39" i="6" s="1"/>
  <c r="AE15" i="6"/>
  <c r="E15" i="6" s="1"/>
  <c r="E39" i="6" s="1"/>
  <c r="AD16" i="6"/>
  <c r="C16" i="6" s="1"/>
  <c r="C39" i="6" s="1"/>
  <c r="AB36" i="10"/>
  <c r="E89" i="10"/>
  <c r="Q89" i="10"/>
  <c r="AD89" i="10" s="1"/>
  <c r="E40" i="10"/>
  <c r="Q40" i="10"/>
  <c r="AD40" i="10" s="1"/>
  <c r="Q4" i="10"/>
  <c r="AD4" i="10" s="1"/>
  <c r="W5" i="3" s="1"/>
  <c r="E4" i="10"/>
  <c r="P31" i="2"/>
  <c r="AM31" i="2"/>
  <c r="AL31" i="2"/>
  <c r="AZ30" i="2"/>
  <c r="M35" i="2"/>
  <c r="N35" i="2" s="1"/>
  <c r="K42" i="2"/>
  <c r="AX35" i="2"/>
  <c r="L35" i="2"/>
  <c r="AV35" i="2"/>
  <c r="I42" i="2"/>
  <c r="AM35" i="2"/>
  <c r="J35" i="2"/>
  <c r="AT35" i="2"/>
  <c r="AL35" i="2"/>
  <c r="G42" i="2"/>
  <c r="E26" i="2"/>
  <c r="E35" i="2"/>
  <c r="H30" i="2"/>
  <c r="O56" i="16"/>
  <c r="Y13" i="10" s="1"/>
  <c r="AH13" i="16"/>
  <c r="AS53" i="16"/>
  <c r="AT53" i="16" s="1"/>
  <c r="AR55" i="16"/>
  <c r="H12" i="20"/>
  <c r="AD52" i="17"/>
  <c r="AE52" i="17"/>
  <c r="L119" i="16"/>
  <c r="M119" i="16" s="1"/>
  <c r="K118" i="16"/>
  <c r="U32" i="10" s="1"/>
  <c r="AH32" i="10" s="1"/>
  <c r="AS71" i="16"/>
  <c r="K71" i="16" s="1"/>
  <c r="U23" i="10" s="1"/>
  <c r="AH18" i="16"/>
  <c r="L19" i="20" s="1"/>
  <c r="X105" i="10" s="1"/>
  <c r="AK105" i="10" s="1"/>
  <c r="AB28" i="4" s="1"/>
  <c r="O69" i="16"/>
  <c r="AI18" i="16" s="1"/>
  <c r="BG5" i="16"/>
  <c r="J6" i="16"/>
  <c r="AQ55" i="17"/>
  <c r="AH54" i="17"/>
  <c r="AJ54" i="17"/>
  <c r="BI19" i="17"/>
  <c r="BI40" i="17"/>
  <c r="BI84" i="17"/>
  <c r="BI107" i="17"/>
  <c r="K28" i="20"/>
  <c r="W114" i="10" s="1"/>
  <c r="AJ114" i="10" s="1"/>
  <c r="K10" i="20"/>
  <c r="J28" i="20"/>
  <c r="V114" i="10" s="1"/>
  <c r="AI114" i="10" s="1"/>
  <c r="J10" i="20"/>
  <c r="L10" i="20"/>
  <c r="L33" i="20"/>
  <c r="X119" i="10" s="1"/>
  <c r="AK119" i="10" s="1"/>
  <c r="AI50" i="17"/>
  <c r="I33" i="20"/>
  <c r="U119" i="10" s="1"/>
  <c r="AH119" i="10" s="1"/>
  <c r="I10" i="20"/>
  <c r="AF50" i="17"/>
  <c r="AF54" i="17"/>
  <c r="I7" i="18"/>
  <c r="M7" i="18"/>
  <c r="N7" i="18"/>
  <c r="O7" i="18"/>
  <c r="K7" i="18"/>
  <c r="L7" i="18"/>
  <c r="J7" i="18"/>
  <c r="L123" i="16"/>
  <c r="AE35" i="16"/>
  <c r="I29" i="20" s="1"/>
  <c r="U115" i="10" s="1"/>
  <c r="AH115" i="10" s="1"/>
  <c r="K122" i="16"/>
  <c r="U33" i="10" s="1"/>
  <c r="AH33" i="10" s="1"/>
  <c r="L115" i="16"/>
  <c r="K114" i="16"/>
  <c r="U28" i="10" s="1"/>
  <c r="AH28" i="10" s="1"/>
  <c r="BG62" i="16"/>
  <c r="BD141" i="16"/>
  <c r="BD142" i="16" s="1"/>
  <c r="BE35" i="16"/>
  <c r="BD37" i="16"/>
  <c r="N26" i="12"/>
  <c r="M23" i="12"/>
  <c r="J13" i="10" s="1"/>
  <c r="AJ13" i="10" s="1"/>
  <c r="AL15" i="6" s="1"/>
  <c r="S15" i="6" s="1"/>
  <c r="N38" i="12"/>
  <c r="K24" i="10" s="1"/>
  <c r="AK24" i="10" s="1"/>
  <c r="AM26" i="6" s="1"/>
  <c r="U26" i="6" s="1"/>
  <c r="E6" i="21"/>
  <c r="J69" i="10"/>
  <c r="AJ69" i="10" s="1"/>
  <c r="Y33" i="7" s="1"/>
  <c r="K33" i="7" s="1"/>
  <c r="E83" i="13"/>
  <c r="AJ50" i="17"/>
  <c r="AA24" i="13"/>
  <c r="AG50" i="17"/>
  <c r="L51" i="13"/>
  <c r="L109" i="13"/>
  <c r="AA30" i="12"/>
  <c r="AB30" i="12" s="1"/>
  <c r="AC30" i="12" s="1"/>
  <c r="AD33" i="13"/>
  <c r="AD30" i="13" s="1"/>
  <c r="H160" i="13"/>
  <c r="G160" i="13"/>
  <c r="F160" i="13"/>
  <c r="M50" i="13"/>
  <c r="AK24" i="13"/>
  <c r="AH31" i="13"/>
  <c r="AI54" i="17"/>
  <c r="AA25" i="3"/>
  <c r="G25" i="3" s="1"/>
  <c r="AE33" i="13"/>
  <c r="AE30" i="13" s="1"/>
  <c r="AF32" i="13"/>
  <c r="G83" i="13"/>
  <c r="G47" i="13"/>
  <c r="AA7" i="12"/>
  <c r="AB7" i="12" s="1"/>
  <c r="F83" i="13"/>
  <c r="F47" i="13"/>
  <c r="J169" i="13"/>
  <c r="J47" i="13"/>
  <c r="I47" i="13"/>
  <c r="AK54" i="17"/>
  <c r="N10" i="20"/>
  <c r="N33" i="20"/>
  <c r="Z119" i="10" s="1"/>
  <c r="AM119" i="10" s="1"/>
  <c r="O10" i="20"/>
  <c r="O33" i="20"/>
  <c r="AA119" i="10" s="1"/>
  <c r="AN119" i="10" s="1"/>
  <c r="M10" i="20"/>
  <c r="M33" i="20"/>
  <c r="Y119" i="10" s="1"/>
  <c r="AL119" i="10" s="1"/>
  <c r="X24" i="13"/>
  <c r="W24" i="13"/>
  <c r="H83" i="13"/>
  <c r="H47" i="13"/>
  <c r="AH50" i="17"/>
  <c r="AC10" i="12"/>
  <c r="AG54" i="17"/>
  <c r="Z24" i="13"/>
  <c r="AB9" i="13"/>
  <c r="H43" i="10"/>
  <c r="C10" i="5" l="1"/>
  <c r="X22" i="7"/>
  <c r="J22" i="7" s="1"/>
  <c r="AJ22" i="7" s="1"/>
  <c r="T41" i="7"/>
  <c r="F41" i="7" s="1"/>
  <c r="O26" i="2"/>
  <c r="E26" i="3" s="1"/>
  <c r="AF12" i="7"/>
  <c r="AE12" i="7"/>
  <c r="Q26" i="16"/>
  <c r="AF52" i="10"/>
  <c r="W19" i="4" s="1"/>
  <c r="G22" i="5" s="1"/>
  <c r="U17" i="7"/>
  <c r="G17" i="7" s="1"/>
  <c r="G16" i="7" s="1"/>
  <c r="D55" i="10"/>
  <c r="AD92" i="10"/>
  <c r="E55" i="10"/>
  <c r="E73" i="10" s="1"/>
  <c r="E80" i="10" s="1"/>
  <c r="E82" i="10" s="1"/>
  <c r="E30" i="10" s="1"/>
  <c r="AC93" i="10"/>
  <c r="S7" i="8" s="1"/>
  <c r="E7" i="8" s="1"/>
  <c r="T7" i="8"/>
  <c r="F7" i="8" s="1"/>
  <c r="AF57" i="10"/>
  <c r="AF56" i="10" s="1"/>
  <c r="H19" i="2"/>
  <c r="AB93" i="10"/>
  <c r="AB92" i="10" s="1"/>
  <c r="J40" i="7"/>
  <c r="F57" i="10"/>
  <c r="F56" i="10" s="1"/>
  <c r="F73" i="10" s="1"/>
  <c r="F80" i="10" s="1"/>
  <c r="F82" i="10" s="1"/>
  <c r="F84" i="10" s="1"/>
  <c r="B55" i="10"/>
  <c r="B73" i="10" s="1"/>
  <c r="B80" i="10" s="1"/>
  <c r="B82" i="10" s="1"/>
  <c r="B30" i="10" s="1"/>
  <c r="AB30" i="10" s="1"/>
  <c r="AD32" i="6" s="1"/>
  <c r="C32" i="6" s="1"/>
  <c r="D32" i="6" s="1"/>
  <c r="I25" i="21"/>
  <c r="D118" i="10"/>
  <c r="D117" i="10" s="1"/>
  <c r="D109" i="10" s="1"/>
  <c r="P19" i="2"/>
  <c r="I160" i="13"/>
  <c r="J19" i="2"/>
  <c r="J58" i="10"/>
  <c r="AJ58" i="10" s="1"/>
  <c r="AC33" i="3" s="1"/>
  <c r="K33" i="3" s="1"/>
  <c r="L73" i="13"/>
  <c r="L74" i="13" s="1"/>
  <c r="N29" i="2"/>
  <c r="I150" i="13"/>
  <c r="K17" i="12"/>
  <c r="K15" i="12" s="1"/>
  <c r="H14" i="10" s="1"/>
  <c r="H29" i="2"/>
  <c r="J161" i="13"/>
  <c r="I129" i="13"/>
  <c r="I83" i="13"/>
  <c r="J86" i="13" s="1"/>
  <c r="I104" i="13"/>
  <c r="I26" i="2"/>
  <c r="J26" i="2" s="1"/>
  <c r="M61" i="13"/>
  <c r="M75" i="10"/>
  <c r="L111" i="13"/>
  <c r="K161" i="13"/>
  <c r="I161" i="13"/>
  <c r="O143" i="13"/>
  <c r="N144" i="13"/>
  <c r="O131" i="13"/>
  <c r="P56" i="13"/>
  <c r="K34" i="2"/>
  <c r="Q89" i="13"/>
  <c r="G34" i="2"/>
  <c r="H34" i="2" s="1"/>
  <c r="BB22" i="3"/>
  <c r="H33" i="3"/>
  <c r="E97" i="13"/>
  <c r="L154" i="13"/>
  <c r="E29" i="3"/>
  <c r="BB28" i="3"/>
  <c r="BB18" i="2"/>
  <c r="O43" i="2"/>
  <c r="O44" i="2"/>
  <c r="O30" i="2"/>
  <c r="P18" i="2"/>
  <c r="D45" i="7"/>
  <c r="AE45" i="7" s="1"/>
  <c r="S117" i="10"/>
  <c r="S109" i="10" s="1"/>
  <c r="AZ111" i="17"/>
  <c r="BE109" i="17"/>
  <c r="H29" i="20"/>
  <c r="T115" i="10" s="1"/>
  <c r="AG115" i="10" s="1"/>
  <c r="O35" i="10"/>
  <c r="O36" i="10"/>
  <c r="N39" i="12"/>
  <c r="K25" i="10" s="1"/>
  <c r="AE5" i="10"/>
  <c r="X8" i="3"/>
  <c r="AF41" i="10"/>
  <c r="AG12" i="7"/>
  <c r="AK42" i="7"/>
  <c r="C40" i="6"/>
  <c r="BB19" i="3"/>
  <c r="AJ42" i="7"/>
  <c r="AI74" i="10"/>
  <c r="AD36" i="10"/>
  <c r="D143" i="16"/>
  <c r="D144" i="16" s="1"/>
  <c r="AG8" i="6"/>
  <c r="I8" i="6" s="1"/>
  <c r="I7" i="6" s="1"/>
  <c r="J8" i="6" s="1"/>
  <c r="X7" i="3"/>
  <c r="R36" i="10"/>
  <c r="AE41" i="10"/>
  <c r="E117" i="17"/>
  <c r="AH74" i="10"/>
  <c r="AC41" i="10"/>
  <c r="AG18" i="7"/>
  <c r="L58" i="17"/>
  <c r="M58" i="17" s="1"/>
  <c r="N58" i="17" s="1"/>
  <c r="O58" i="17" s="1"/>
  <c r="P58" i="17" s="1"/>
  <c r="Q58" i="17" s="1"/>
  <c r="AJ74" i="10"/>
  <c r="H19" i="20"/>
  <c r="T105" i="10" s="1"/>
  <c r="AG105" i="10" s="1"/>
  <c r="X28" i="4" s="1"/>
  <c r="AI30" i="6"/>
  <c r="M30" i="6" s="1"/>
  <c r="AR17" i="16"/>
  <c r="AS17" i="16" s="1"/>
  <c r="K16" i="16" s="1"/>
  <c r="AI29" i="6"/>
  <c r="M29" i="6" s="1"/>
  <c r="W7" i="3"/>
  <c r="AR73" i="16"/>
  <c r="AT73" i="16" s="1"/>
  <c r="AV73" i="16" s="1"/>
  <c r="AX73" i="16" s="1"/>
  <c r="T19" i="10"/>
  <c r="AG19" i="10" s="1"/>
  <c r="AD5" i="10"/>
  <c r="K10" i="5"/>
  <c r="AF9" i="6"/>
  <c r="G9" i="6" s="1"/>
  <c r="G7" i="6" s="1"/>
  <c r="H14" i="6" s="1"/>
  <c r="AD32" i="16"/>
  <c r="AD111" i="10"/>
  <c r="U36" i="4" s="1"/>
  <c r="E29" i="5" s="1"/>
  <c r="AF74" i="10"/>
  <c r="W22" i="4" s="1"/>
  <c r="G24" i="5" s="1"/>
  <c r="G85" i="17"/>
  <c r="G86" i="17"/>
  <c r="AC36" i="10"/>
  <c r="E141" i="16"/>
  <c r="E143" i="16" s="1"/>
  <c r="E144" i="16" s="1"/>
  <c r="AC5" i="10"/>
  <c r="I4" i="18"/>
  <c r="W27" i="4"/>
  <c r="G27" i="5" s="1"/>
  <c r="I35" i="20"/>
  <c r="U121" i="10" s="1"/>
  <c r="AH121" i="10" s="1"/>
  <c r="AR59" i="16"/>
  <c r="AR60" i="16" s="1"/>
  <c r="AS58" i="16"/>
  <c r="AR79" i="16"/>
  <c r="AR80" i="16" s="1"/>
  <c r="AR81" i="16" s="1"/>
  <c r="AR82" i="16" s="1"/>
  <c r="AI13" i="16"/>
  <c r="M17" i="20" s="1"/>
  <c r="Y103" i="10" s="1"/>
  <c r="P56" i="16"/>
  <c r="Z13" i="10" s="1"/>
  <c r="AR18" i="16"/>
  <c r="AS18" i="16" s="1"/>
  <c r="K41" i="16" s="1"/>
  <c r="K35" i="16" s="1"/>
  <c r="AI34" i="6"/>
  <c r="M34" i="6" s="1"/>
  <c r="AF3" i="13"/>
  <c r="AE2" i="13"/>
  <c r="AE18" i="13"/>
  <c r="N18" i="13" s="1"/>
  <c r="J26" i="21"/>
  <c r="D5" i="7"/>
  <c r="AL42" i="7"/>
  <c r="P26" i="5"/>
  <c r="J121" i="10"/>
  <c r="J120" i="10" s="1"/>
  <c r="J33" i="21"/>
  <c r="N39" i="20"/>
  <c r="Z125" i="10" s="1"/>
  <c r="K53" i="16"/>
  <c r="L94" i="16"/>
  <c r="L92" i="16" s="1"/>
  <c r="AT94" i="16"/>
  <c r="N74" i="16"/>
  <c r="M73" i="16"/>
  <c r="AU15" i="7"/>
  <c r="I44" i="10"/>
  <c r="AI44" i="10" s="1"/>
  <c r="X8" i="7" s="1"/>
  <c r="J8" i="7" s="1"/>
  <c r="AJ8" i="7" s="1"/>
  <c r="L10" i="13"/>
  <c r="H7" i="20"/>
  <c r="T93" i="10" s="1"/>
  <c r="AD48" i="17"/>
  <c r="H10" i="18"/>
  <c r="J166" i="17"/>
  <c r="AE20" i="17"/>
  <c r="AE46" i="17" s="1"/>
  <c r="AD55" i="17"/>
  <c r="H9" i="18"/>
  <c r="H7" i="18" s="1"/>
  <c r="Q96" i="10"/>
  <c r="Q92" i="10"/>
  <c r="H8" i="20"/>
  <c r="T94" i="10" s="1"/>
  <c r="AG94" i="10" s="1"/>
  <c r="X24" i="4" s="1"/>
  <c r="H26" i="5" s="1"/>
  <c r="I86" i="17"/>
  <c r="R55" i="10"/>
  <c r="R73" i="10" s="1"/>
  <c r="R80" i="10" s="1"/>
  <c r="R82" i="10" s="1"/>
  <c r="R84" i="10" s="1"/>
  <c r="AL74" i="10"/>
  <c r="L56" i="17"/>
  <c r="M56" i="17" s="1"/>
  <c r="N56" i="17" s="1"/>
  <c r="O56" i="17" s="1"/>
  <c r="P56" i="17" s="1"/>
  <c r="Q56" i="17" s="1"/>
  <c r="U24" i="4"/>
  <c r="E26" i="5" s="1"/>
  <c r="AD21" i="17"/>
  <c r="AD47" i="17" s="1"/>
  <c r="I107" i="17"/>
  <c r="I109" i="17" s="1"/>
  <c r="I111" i="17" s="1"/>
  <c r="H107" i="17"/>
  <c r="H109" i="17" s="1"/>
  <c r="H111" i="17" s="1"/>
  <c r="D109" i="17"/>
  <c r="D111" i="17" s="1"/>
  <c r="X38" i="17" s="1"/>
  <c r="AO84" i="17"/>
  <c r="AN84" i="17"/>
  <c r="S73" i="10"/>
  <c r="S80" i="10" s="1"/>
  <c r="S82" i="10" s="1"/>
  <c r="S30" i="10" s="1"/>
  <c r="H85" i="17"/>
  <c r="D15" i="6"/>
  <c r="D13" i="6"/>
  <c r="C49" i="6"/>
  <c r="D7" i="6"/>
  <c r="D34" i="6"/>
  <c r="M36" i="12"/>
  <c r="J18" i="10" s="1"/>
  <c r="P96" i="10"/>
  <c r="K22" i="17"/>
  <c r="L22" i="17" s="1"/>
  <c r="M22" i="17" s="1"/>
  <c r="N22" i="17" s="1"/>
  <c r="O22" i="17" s="1"/>
  <c r="P22" i="17" s="1"/>
  <c r="Q22" i="17" s="1"/>
  <c r="T79" i="10"/>
  <c r="AG79" i="10" s="1"/>
  <c r="AG77" i="10" s="1"/>
  <c r="AM84" i="17"/>
  <c r="AO18" i="7"/>
  <c r="F85" i="17"/>
  <c r="H11" i="20"/>
  <c r="T97" i="10" s="1"/>
  <c r="AG97" i="10" s="1"/>
  <c r="AD51" i="17"/>
  <c r="F86" i="17"/>
  <c r="H8" i="18"/>
  <c r="AS54" i="16"/>
  <c r="AT48" i="16" s="1"/>
  <c r="L51" i="17" s="1"/>
  <c r="L118" i="16"/>
  <c r="V32" i="10" s="1"/>
  <c r="AI32" i="10" s="1"/>
  <c r="AB17" i="3" s="1"/>
  <c r="I17" i="3" s="1"/>
  <c r="T27" i="4"/>
  <c r="D27" i="5" s="1"/>
  <c r="J29" i="2"/>
  <c r="M75" i="13"/>
  <c r="D24" i="6"/>
  <c r="D25" i="6"/>
  <c r="D31" i="6"/>
  <c r="D22" i="6"/>
  <c r="D33" i="6"/>
  <c r="D27" i="6"/>
  <c r="D23" i="6"/>
  <c r="D26" i="6"/>
  <c r="D30" i="6"/>
  <c r="D20" i="6"/>
  <c r="D17" i="6"/>
  <c r="D29" i="6"/>
  <c r="D14" i="6"/>
  <c r="D10" i="6"/>
  <c r="D12" i="6"/>
  <c r="D21" i="6"/>
  <c r="D11" i="6"/>
  <c r="K39" i="6"/>
  <c r="D8" i="6"/>
  <c r="E23" i="20"/>
  <c r="P23" i="20" s="1"/>
  <c r="R92" i="10"/>
  <c r="D42" i="7"/>
  <c r="AE42" i="7" s="1"/>
  <c r="AN42" i="7"/>
  <c r="AC72" i="10"/>
  <c r="R36" i="7" s="1"/>
  <c r="P56" i="10"/>
  <c r="P73" i="10" s="1"/>
  <c r="P80" i="10" s="1"/>
  <c r="P82" i="10" s="1"/>
  <c r="AK12" i="7"/>
  <c r="AC74" i="10"/>
  <c r="T8" i="4" s="1"/>
  <c r="D9" i="5" s="1"/>
  <c r="AL45" i="7"/>
  <c r="AK45" i="7"/>
  <c r="G39" i="7"/>
  <c r="L23" i="17"/>
  <c r="M23" i="17" s="1"/>
  <c r="N23" i="17" s="1"/>
  <c r="O23" i="17" s="1"/>
  <c r="P23" i="17" s="1"/>
  <c r="Q23" i="17" s="1"/>
  <c r="AC117" i="10"/>
  <c r="T35" i="4" s="1"/>
  <c r="AG43" i="7"/>
  <c r="AO42" i="7"/>
  <c r="G13" i="7"/>
  <c r="I85" i="17"/>
  <c r="G31" i="20"/>
  <c r="G23" i="20" s="1"/>
  <c r="Q23" i="20" s="1"/>
  <c r="F16" i="7"/>
  <c r="AM48" i="10"/>
  <c r="AB12" i="7" s="1"/>
  <c r="N12" i="7" s="1"/>
  <c r="Z41" i="10"/>
  <c r="E64" i="12"/>
  <c r="E67" i="12" s="1"/>
  <c r="T9" i="10"/>
  <c r="AG9" i="10" s="1"/>
  <c r="AI11" i="6" s="1"/>
  <c r="M11" i="6" s="1"/>
  <c r="AT71" i="16"/>
  <c r="AU71" i="16" s="1"/>
  <c r="M71" i="16" s="1"/>
  <c r="W23" i="10" s="1"/>
  <c r="AI33" i="6"/>
  <c r="M33" i="6" s="1"/>
  <c r="O84" i="10"/>
  <c r="O85" i="10" s="1"/>
  <c r="O30" i="10"/>
  <c r="F117" i="17"/>
  <c r="F109" i="17"/>
  <c r="F111" i="17" s="1"/>
  <c r="AD24" i="17"/>
  <c r="AD50" i="17" s="1"/>
  <c r="AA55" i="4"/>
  <c r="R109" i="10"/>
  <c r="Q56" i="10"/>
  <c r="Q73" i="10" s="1"/>
  <c r="Q80" i="10" s="1"/>
  <c r="Q82" i="10" s="1"/>
  <c r="Q30" i="10" s="1"/>
  <c r="AD72" i="10"/>
  <c r="AD56" i="10" s="1"/>
  <c r="Y32" i="17"/>
  <c r="Y49" i="17"/>
  <c r="P92" i="10"/>
  <c r="Z34" i="17"/>
  <c r="AE53" i="17"/>
  <c r="G117" i="17"/>
  <c r="G109" i="17"/>
  <c r="G111" i="17" s="1"/>
  <c r="D23" i="20"/>
  <c r="Z49" i="17"/>
  <c r="AG15" i="7"/>
  <c r="AA49" i="17"/>
  <c r="AA32" i="17"/>
  <c r="AD28" i="17"/>
  <c r="AD54" i="17" s="1"/>
  <c r="AC32" i="17"/>
  <c r="AC49" i="17"/>
  <c r="AB32" i="17"/>
  <c r="AB49" i="17"/>
  <c r="H25" i="21"/>
  <c r="C109" i="10"/>
  <c r="P19" i="16"/>
  <c r="Q20" i="16"/>
  <c r="Q19" i="16" s="1"/>
  <c r="Z8" i="10"/>
  <c r="O39" i="20"/>
  <c r="AA125" i="10" s="1"/>
  <c r="S16" i="10"/>
  <c r="S37" i="10"/>
  <c r="AA14" i="3"/>
  <c r="G14" i="3" s="1"/>
  <c r="H14" i="3" s="1"/>
  <c r="AJ30" i="6"/>
  <c r="O30" i="6" s="1"/>
  <c r="P69" i="16"/>
  <c r="Q69" i="16" s="1"/>
  <c r="AA17" i="3"/>
  <c r="G17" i="3" s="1"/>
  <c r="H17" i="3" s="1"/>
  <c r="AJ33" i="6"/>
  <c r="O33" i="6" s="1"/>
  <c r="T11" i="10"/>
  <c r="AG11" i="10" s="1"/>
  <c r="AI13" i="6" s="1"/>
  <c r="M13" i="6" s="1"/>
  <c r="AD13" i="16"/>
  <c r="AA15" i="3"/>
  <c r="G15" i="3" s="1"/>
  <c r="H15" i="3" s="1"/>
  <c r="AJ34" i="6"/>
  <c r="O34" i="6" s="1"/>
  <c r="P76" i="16"/>
  <c r="Q39" i="16"/>
  <c r="M24" i="20"/>
  <c r="Y110" i="10" s="1"/>
  <c r="AL110" i="10" s="1"/>
  <c r="AC34" i="4" s="1"/>
  <c r="Z11" i="10"/>
  <c r="Q10" i="16"/>
  <c r="AA11" i="10" s="1"/>
  <c r="H13" i="3"/>
  <c r="AJ7" i="16"/>
  <c r="Q11" i="16"/>
  <c r="AK7" i="16" s="1"/>
  <c r="I49" i="13"/>
  <c r="AB17" i="10"/>
  <c r="B37" i="10"/>
  <c r="B35" i="10"/>
  <c r="I17" i="21"/>
  <c r="I103" i="10" s="1"/>
  <c r="AI103" i="10" s="1"/>
  <c r="AE112" i="10"/>
  <c r="AE111" i="10" s="1"/>
  <c r="V36" i="4" s="1"/>
  <c r="F29" i="5" s="1"/>
  <c r="R14" i="8"/>
  <c r="D14" i="8" s="1"/>
  <c r="C29" i="5"/>
  <c r="C28" i="5" s="1"/>
  <c r="I39" i="6"/>
  <c r="W13" i="8"/>
  <c r="I13" i="8" s="1"/>
  <c r="X43" i="4"/>
  <c r="H33" i="5" s="1"/>
  <c r="AO15" i="7"/>
  <c r="F39" i="7"/>
  <c r="E40" i="6"/>
  <c r="AL28" i="12"/>
  <c r="J17" i="21"/>
  <c r="J103" i="10" s="1"/>
  <c r="AJ103" i="10" s="1"/>
  <c r="J160" i="13"/>
  <c r="C73" i="10"/>
  <c r="C80" i="10" s="1"/>
  <c r="C82" i="10" s="1"/>
  <c r="C84" i="10" s="1"/>
  <c r="AF7" i="7"/>
  <c r="L29" i="2"/>
  <c r="H26" i="2"/>
  <c r="AN17" i="7"/>
  <c r="M32" i="2"/>
  <c r="AO14" i="7"/>
  <c r="AM14" i="7"/>
  <c r="AH14" i="7"/>
  <c r="J159" i="13"/>
  <c r="K160" i="13"/>
  <c r="L160" i="13"/>
  <c r="M159" i="13"/>
  <c r="AF43" i="7"/>
  <c r="L159" i="13"/>
  <c r="K159" i="13"/>
  <c r="AN14" i="7"/>
  <c r="M160" i="13"/>
  <c r="M153" i="13"/>
  <c r="AG14" i="7"/>
  <c r="G55" i="10"/>
  <c r="J33" i="3"/>
  <c r="N50" i="13"/>
  <c r="AE55" i="10"/>
  <c r="H6" i="7"/>
  <c r="AH6" i="7" s="1"/>
  <c r="C17" i="7"/>
  <c r="C16" i="7" s="1"/>
  <c r="AF17" i="7"/>
  <c r="AM41" i="7"/>
  <c r="C41" i="7"/>
  <c r="C40" i="7" s="1"/>
  <c r="D73" i="10"/>
  <c r="D80" i="10" s="1"/>
  <c r="D82" i="10" s="1"/>
  <c r="D84" i="10" s="1"/>
  <c r="D41" i="7"/>
  <c r="AN41" i="7"/>
  <c r="I40" i="7"/>
  <c r="I54" i="7"/>
  <c r="AI41" i="7"/>
  <c r="AF93" i="10"/>
  <c r="W21" i="4" s="1"/>
  <c r="W54" i="4" s="1"/>
  <c r="AH41" i="7"/>
  <c r="H54" i="7"/>
  <c r="AK41" i="7"/>
  <c r="K40" i="7"/>
  <c r="AL41" i="7"/>
  <c r="K54" i="7"/>
  <c r="M54" i="7"/>
  <c r="M40" i="7"/>
  <c r="E41" i="7"/>
  <c r="AF41" i="7" s="1"/>
  <c r="AO41" i="7"/>
  <c r="U8" i="4"/>
  <c r="E9" i="5" s="1"/>
  <c r="U22" i="4"/>
  <c r="E24" i="5" s="1"/>
  <c r="S8" i="4"/>
  <c r="C9" i="5" s="1"/>
  <c r="S22" i="4"/>
  <c r="C24" i="5" s="1"/>
  <c r="F40" i="7"/>
  <c r="G40" i="7"/>
  <c r="G54" i="7"/>
  <c r="AG41" i="7"/>
  <c r="V22" i="4"/>
  <c r="F24" i="5" s="1"/>
  <c r="V8" i="4"/>
  <c r="F9" i="5" s="1"/>
  <c r="F31" i="21"/>
  <c r="F30" i="21" s="1"/>
  <c r="F23" i="21" s="1"/>
  <c r="F6" i="21"/>
  <c r="E6" i="7"/>
  <c r="AF6" i="7" s="1"/>
  <c r="AO17" i="7"/>
  <c r="P29" i="2"/>
  <c r="AJ41" i="7"/>
  <c r="J12" i="10"/>
  <c r="N49" i="12"/>
  <c r="K32" i="10" s="1"/>
  <c r="O50" i="12"/>
  <c r="O9" i="12"/>
  <c r="K11" i="10"/>
  <c r="AK11" i="10" s="1"/>
  <c r="AM13" i="6" s="1"/>
  <c r="U13" i="6" s="1"/>
  <c r="C18" i="4"/>
  <c r="N12" i="12"/>
  <c r="O13" i="12"/>
  <c r="AD17" i="10"/>
  <c r="D37" i="10"/>
  <c r="E49" i="6"/>
  <c r="AF112" i="10"/>
  <c r="AF111" i="10" s="1"/>
  <c r="W36" i="4" s="1"/>
  <c r="G29" i="5" s="1"/>
  <c r="AF7" i="10"/>
  <c r="F36" i="10"/>
  <c r="AB109" i="10"/>
  <c r="S39" i="4" s="1"/>
  <c r="L38" i="21"/>
  <c r="L125" i="10" s="1"/>
  <c r="AL125" i="10" s="1"/>
  <c r="N151" i="13"/>
  <c r="K8" i="10"/>
  <c r="AK8" i="10" s="1"/>
  <c r="AM10" i="6" s="1"/>
  <c r="U10" i="6" s="1"/>
  <c r="O5" i="12"/>
  <c r="C48" i="6"/>
  <c r="AE36" i="10"/>
  <c r="AF17" i="10"/>
  <c r="F37" i="10"/>
  <c r="M45" i="12"/>
  <c r="J28" i="10" s="1"/>
  <c r="N46" i="12"/>
  <c r="C50" i="6"/>
  <c r="AC17" i="10"/>
  <c r="C37" i="10"/>
  <c r="D28" i="6"/>
  <c r="AC13" i="3"/>
  <c r="K13" i="3" s="1"/>
  <c r="L13" i="3" s="1"/>
  <c r="AL29" i="6"/>
  <c r="S29" i="6" s="1"/>
  <c r="D16" i="6"/>
  <c r="S10" i="4"/>
  <c r="AB99" i="10"/>
  <c r="R8" i="8" s="1"/>
  <c r="D8" i="8" s="1"/>
  <c r="AB120" i="10"/>
  <c r="R13" i="8"/>
  <c r="D13" i="8" s="1"/>
  <c r="S43" i="4"/>
  <c r="K27" i="10"/>
  <c r="AK27" i="10" s="1"/>
  <c r="O44" i="12"/>
  <c r="D23" i="21"/>
  <c r="AE17" i="10"/>
  <c r="E37" i="10"/>
  <c r="G36" i="10"/>
  <c r="C46" i="6"/>
  <c r="T76" i="10"/>
  <c r="T74" i="10" s="1"/>
  <c r="AE57" i="17"/>
  <c r="J86" i="16"/>
  <c r="T18" i="10" s="1"/>
  <c r="AG18" i="10" s="1"/>
  <c r="AR89" i="16"/>
  <c r="V12" i="8"/>
  <c r="H12" i="8" s="1"/>
  <c r="W42" i="4"/>
  <c r="AF120" i="10"/>
  <c r="AC110" i="10"/>
  <c r="T34" i="4" s="1"/>
  <c r="AD55" i="10"/>
  <c r="AC121" i="10"/>
  <c r="P120" i="10"/>
  <c r="W10" i="4"/>
  <c r="AF99" i="10"/>
  <c r="V8" i="8" s="1"/>
  <c r="H8" i="8" s="1"/>
  <c r="D10" i="5"/>
  <c r="T55" i="4"/>
  <c r="AC100" i="10"/>
  <c r="P99" i="10"/>
  <c r="AD121" i="10"/>
  <c r="Q120" i="10"/>
  <c r="V10" i="4"/>
  <c r="AE99" i="10"/>
  <c r="U8" i="8" s="1"/>
  <c r="G8" i="8" s="1"/>
  <c r="V55" i="4"/>
  <c r="F10" i="5"/>
  <c r="AE121" i="10"/>
  <c r="R120" i="10"/>
  <c r="U55" i="4"/>
  <c r="E10" i="5"/>
  <c r="AC112" i="10"/>
  <c r="AC111" i="10" s="1"/>
  <c r="T36" i="4" s="1"/>
  <c r="P111" i="10"/>
  <c r="P109" i="10" s="1"/>
  <c r="U10" i="4"/>
  <c r="AD99" i="10"/>
  <c r="T8" i="8" s="1"/>
  <c r="F8" i="8" s="1"/>
  <c r="W9" i="4"/>
  <c r="L32" i="2"/>
  <c r="G36" i="2"/>
  <c r="H32" i="2"/>
  <c r="AF55" i="10"/>
  <c r="AM17" i="7"/>
  <c r="L19" i="2"/>
  <c r="K26" i="2"/>
  <c r="K36" i="2"/>
  <c r="N19" i="2"/>
  <c r="I36" i="2"/>
  <c r="J32" i="2"/>
  <c r="E92" i="10"/>
  <c r="AE93" i="10"/>
  <c r="E30" i="21"/>
  <c r="E23" i="21" s="1"/>
  <c r="E118" i="10"/>
  <c r="E84" i="13"/>
  <c r="AL33" i="7"/>
  <c r="AK33" i="7"/>
  <c r="K69" i="10"/>
  <c r="AK69" i="10" s="1"/>
  <c r="Z33" i="7" s="1"/>
  <c r="L33" i="7" s="1"/>
  <c r="AB55" i="10"/>
  <c r="AB73" i="10" s="1"/>
  <c r="AB80" i="10" s="1"/>
  <c r="AB82" i="10" s="1"/>
  <c r="AD58" i="13"/>
  <c r="AC55" i="10"/>
  <c r="H42" i="10"/>
  <c r="H41" i="10" s="1"/>
  <c r="AH43" i="10"/>
  <c r="G65" i="10"/>
  <c r="G7" i="21"/>
  <c r="J48" i="13"/>
  <c r="M51" i="13"/>
  <c r="M109" i="13"/>
  <c r="I34" i="2"/>
  <c r="K60" i="13"/>
  <c r="AM96" i="10"/>
  <c r="AN96" i="10"/>
  <c r="AA96" i="10"/>
  <c r="AL96" i="10"/>
  <c r="I10" i="5"/>
  <c r="Y55" i="4"/>
  <c r="AK96" i="10"/>
  <c r="X96" i="10"/>
  <c r="AG100" i="10"/>
  <c r="J10" i="5"/>
  <c r="Z55" i="4"/>
  <c r="AG121" i="10"/>
  <c r="Y96" i="10"/>
  <c r="H28" i="20"/>
  <c r="T114" i="10" s="1"/>
  <c r="AG114" i="10" s="1"/>
  <c r="T98" i="10"/>
  <c r="AG98" i="10" s="1"/>
  <c r="Z96" i="10"/>
  <c r="AA34" i="4"/>
  <c r="Z34" i="4"/>
  <c r="AB34" i="4"/>
  <c r="AU18" i="7"/>
  <c r="AE22" i="7"/>
  <c r="D25" i="5"/>
  <c r="C25" i="5"/>
  <c r="AE18" i="7"/>
  <c r="AF18" i="7"/>
  <c r="AE15" i="7"/>
  <c r="AF15" i="7"/>
  <c r="D13" i="7"/>
  <c r="AG6" i="7"/>
  <c r="G5" i="7"/>
  <c r="F5" i="7"/>
  <c r="AO47" i="7"/>
  <c r="E47" i="7"/>
  <c r="AF47" i="7" s="1"/>
  <c r="D47" i="7"/>
  <c r="AN47" i="7"/>
  <c r="C47" i="7"/>
  <c r="AM47" i="7"/>
  <c r="G8" i="5"/>
  <c r="F8" i="5"/>
  <c r="E8" i="5"/>
  <c r="D8" i="5"/>
  <c r="C8" i="5"/>
  <c r="AH26" i="7"/>
  <c r="G21" i="7"/>
  <c r="AG26" i="7"/>
  <c r="F21" i="7"/>
  <c r="AE56" i="10"/>
  <c r="X32" i="3"/>
  <c r="AO26" i="7"/>
  <c r="E26" i="7"/>
  <c r="AF26" i="7" s="1"/>
  <c r="W32" i="3"/>
  <c r="AN26" i="7"/>
  <c r="D26" i="7"/>
  <c r="D21" i="7" s="1"/>
  <c r="AM26" i="7"/>
  <c r="C26" i="7"/>
  <c r="C21" i="7" s="1"/>
  <c r="AE17" i="7"/>
  <c r="E16" i="7"/>
  <c r="AU17" i="7"/>
  <c r="D16" i="7"/>
  <c r="AE14" i="7"/>
  <c r="E13" i="7"/>
  <c r="AG47" i="7"/>
  <c r="AG36" i="7"/>
  <c r="M19" i="20"/>
  <c r="Y105" i="10" s="1"/>
  <c r="AL105" i="10" s="1"/>
  <c r="AC28" i="4" s="1"/>
  <c r="N37" i="12"/>
  <c r="K34" i="21" s="1"/>
  <c r="M102" i="16"/>
  <c r="J107" i="10"/>
  <c r="AJ107" i="10" s="1"/>
  <c r="J20" i="10"/>
  <c r="F15" i="6"/>
  <c r="E50" i="6"/>
  <c r="F16" i="6"/>
  <c r="F24" i="6"/>
  <c r="F13" i="6"/>
  <c r="F22" i="6"/>
  <c r="F26" i="6"/>
  <c r="F11" i="6"/>
  <c r="F25" i="6"/>
  <c r="F30" i="6"/>
  <c r="F20" i="6"/>
  <c r="F7" i="6"/>
  <c r="F9" i="6"/>
  <c r="F10" i="6"/>
  <c r="F27" i="6"/>
  <c r="F29" i="6"/>
  <c r="F12" i="6"/>
  <c r="F23" i="6"/>
  <c r="F17" i="6"/>
  <c r="F14" i="6"/>
  <c r="F21" i="6"/>
  <c r="F34" i="6"/>
  <c r="F33" i="6"/>
  <c r="F89" i="10"/>
  <c r="R89" i="10"/>
  <c r="AE89" i="10" s="1"/>
  <c r="R40" i="10"/>
  <c r="AE40" i="10" s="1"/>
  <c r="F40" i="10"/>
  <c r="R4" i="10"/>
  <c r="AE4" i="10" s="1"/>
  <c r="X5" i="3" s="1"/>
  <c r="F4" i="10"/>
  <c r="M42" i="2"/>
  <c r="AZ35" i="2"/>
  <c r="E37" i="2"/>
  <c r="H35" i="2"/>
  <c r="AK35" i="2"/>
  <c r="L17" i="20"/>
  <c r="X103" i="10" s="1"/>
  <c r="V17" i="20"/>
  <c r="AD6" i="16"/>
  <c r="BG35" i="16"/>
  <c r="J37" i="16"/>
  <c r="AD15" i="17"/>
  <c r="T51" i="10" s="1"/>
  <c r="J19" i="17"/>
  <c r="K21" i="17"/>
  <c r="K32" i="17" s="1"/>
  <c r="AD19" i="17"/>
  <c r="J160" i="17"/>
  <c r="J42" i="17"/>
  <c r="M169" i="17"/>
  <c r="M45" i="17" s="1"/>
  <c r="M162" i="17" s="1"/>
  <c r="L170" i="17"/>
  <c r="L46" i="17" s="1"/>
  <c r="L163" i="17" s="1"/>
  <c r="M170" i="17" s="1"/>
  <c r="M46" i="17" s="1"/>
  <c r="M163" i="17" s="1"/>
  <c r="M168" i="17"/>
  <c r="M44" i="17" s="1"/>
  <c r="M161" i="17" s="1"/>
  <c r="M123" i="16"/>
  <c r="AF35" i="16"/>
  <c r="J29" i="20" s="1"/>
  <c r="V115" i="10" s="1"/>
  <c r="AI115" i="10" s="1"/>
  <c r="L122" i="16"/>
  <c r="V33" i="10" s="1"/>
  <c r="AI33" i="10" s="1"/>
  <c r="N119" i="16"/>
  <c r="M118" i="16"/>
  <c r="W32" i="10" s="1"/>
  <c r="AJ32" i="10" s="1"/>
  <c r="AC17" i="3" s="1"/>
  <c r="K17" i="3" s="1"/>
  <c r="M115" i="16"/>
  <c r="L114" i="16"/>
  <c r="V28" i="10" s="1"/>
  <c r="AI28" i="10" s="1"/>
  <c r="L53" i="16"/>
  <c r="AU53" i="16"/>
  <c r="AR86" i="16"/>
  <c r="AD16" i="16"/>
  <c r="H36" i="20" s="1"/>
  <c r="O26" i="12"/>
  <c r="N23" i="12"/>
  <c r="K13" i="10" s="1"/>
  <c r="AK13" i="10" s="1"/>
  <c r="AM15" i="6" s="1"/>
  <c r="U15" i="6" s="1"/>
  <c r="O38" i="12"/>
  <c r="L24" i="10" s="1"/>
  <c r="AL24" i="10" s="1"/>
  <c r="AN26" i="6" s="1"/>
  <c r="W26" i="6" s="1"/>
  <c r="AG32" i="13"/>
  <c r="AF33" i="13"/>
  <c r="AF30" i="13" s="1"/>
  <c r="AC7" i="12"/>
  <c r="AD19" i="16"/>
  <c r="J63" i="16"/>
  <c r="T17" i="10" s="1"/>
  <c r="G84" i="13"/>
  <c r="G86" i="13"/>
  <c r="G85" i="13"/>
  <c r="G167" i="13"/>
  <c r="G97" i="13"/>
  <c r="AD10" i="12"/>
  <c r="H25" i="3"/>
  <c r="AD30" i="12"/>
  <c r="H85" i="13"/>
  <c r="H84" i="13"/>
  <c r="H167" i="13"/>
  <c r="H86" i="13"/>
  <c r="H97" i="13"/>
  <c r="K5" i="13"/>
  <c r="AB7" i="13"/>
  <c r="AE35" i="12"/>
  <c r="F167" i="13"/>
  <c r="F97" i="13"/>
  <c r="F84" i="13"/>
  <c r="AD33" i="12"/>
  <c r="AC9" i="13"/>
  <c r="H15" i="6" l="1"/>
  <c r="P26" i="2"/>
  <c r="D43" i="7"/>
  <c r="AE43" i="7" s="1"/>
  <c r="L17" i="12"/>
  <c r="M17" i="12" s="1"/>
  <c r="N17" i="12" s="1"/>
  <c r="AG17" i="7"/>
  <c r="AH17" i="7"/>
  <c r="T21" i="4"/>
  <c r="T54" i="4" s="1"/>
  <c r="AC92" i="10"/>
  <c r="Y32" i="3"/>
  <c r="AJ40" i="7"/>
  <c r="I97" i="13"/>
  <c r="I100" i="13" s="1"/>
  <c r="S21" i="4"/>
  <c r="S54" i="4" s="1"/>
  <c r="I70" i="10"/>
  <c r="AI70" i="10" s="1"/>
  <c r="X34" i="7" s="1"/>
  <c r="J34" i="7" s="1"/>
  <c r="AJ34" i="7" s="1"/>
  <c r="R7" i="8"/>
  <c r="D7" i="8" s="1"/>
  <c r="Y22" i="7"/>
  <c r="K22" i="7" s="1"/>
  <c r="AK22" i="7" s="1"/>
  <c r="AD118" i="10"/>
  <c r="AD117" i="10" s="1"/>
  <c r="AD109" i="10" s="1"/>
  <c r="I85" i="13"/>
  <c r="I167" i="13"/>
  <c r="J168" i="13" s="1"/>
  <c r="I84" i="13"/>
  <c r="I86" i="13"/>
  <c r="O39" i="12"/>
  <c r="L25" i="10" s="1"/>
  <c r="K11" i="12"/>
  <c r="H7" i="10" s="1"/>
  <c r="M73" i="13"/>
  <c r="M74" i="13" s="1"/>
  <c r="K58" i="10"/>
  <c r="AK58" i="10" s="1"/>
  <c r="AD33" i="3" s="1"/>
  <c r="M33" i="3" s="1"/>
  <c r="N33" i="3" s="1"/>
  <c r="F169" i="13"/>
  <c r="J129" i="13"/>
  <c r="M111" i="13"/>
  <c r="E100" i="13"/>
  <c r="B86" i="10" s="1"/>
  <c r="E99" i="13"/>
  <c r="M154" i="13"/>
  <c r="N75" i="10"/>
  <c r="K37" i="2"/>
  <c r="M74" i="10"/>
  <c r="AM75" i="10"/>
  <c r="P57" i="13"/>
  <c r="J150" i="13"/>
  <c r="C19" i="7"/>
  <c r="N61" i="13"/>
  <c r="L34" i="2"/>
  <c r="O132" i="13"/>
  <c r="O133" i="13" s="1"/>
  <c r="P142" i="13"/>
  <c r="M34" i="2"/>
  <c r="J104" i="13"/>
  <c r="L33" i="3"/>
  <c r="AF13" i="7"/>
  <c r="H117" i="17"/>
  <c r="AG21" i="17"/>
  <c r="BA38" i="2"/>
  <c r="BF111" i="17"/>
  <c r="BE111" i="17"/>
  <c r="BI111" i="17" s="1"/>
  <c r="O35" i="2"/>
  <c r="BB30" i="2"/>
  <c r="P30" i="2"/>
  <c r="H29" i="6"/>
  <c r="H16" i="6"/>
  <c r="H9" i="6"/>
  <c r="W8" i="4"/>
  <c r="G9" i="5" s="1"/>
  <c r="G40" i="6"/>
  <c r="G49" i="6"/>
  <c r="H25" i="6"/>
  <c r="H30" i="6"/>
  <c r="H20" i="6"/>
  <c r="H26" i="6"/>
  <c r="H10" i="6"/>
  <c r="H21" i="6"/>
  <c r="H22" i="6"/>
  <c r="H23" i="6"/>
  <c r="H8" i="6"/>
  <c r="H11" i="6"/>
  <c r="H7" i="6"/>
  <c r="H33" i="6"/>
  <c r="H17" i="6"/>
  <c r="H34" i="6"/>
  <c r="H24" i="6"/>
  <c r="AF21" i="17"/>
  <c r="AF47" i="17" s="1"/>
  <c r="H27" i="6"/>
  <c r="G50" i="6"/>
  <c r="S84" i="10"/>
  <c r="AT17" i="16"/>
  <c r="L16" i="16" s="1"/>
  <c r="AS73" i="16"/>
  <c r="AJ13" i="16"/>
  <c r="X17" i="20" s="1"/>
  <c r="Q56" i="16"/>
  <c r="AA13" i="10" s="1"/>
  <c r="V45" i="7"/>
  <c r="H45" i="7" s="1"/>
  <c r="H43" i="7" s="1"/>
  <c r="H5" i="18"/>
  <c r="H32" i="20" s="1"/>
  <c r="N10" i="5"/>
  <c r="AE55" i="4"/>
  <c r="AT54" i="16"/>
  <c r="L54" i="16" s="1"/>
  <c r="V15" i="10" s="1"/>
  <c r="AI15" i="10" s="1"/>
  <c r="AK17" i="6" s="1"/>
  <c r="Q17" i="6" s="1"/>
  <c r="H12" i="6"/>
  <c r="H13" i="6"/>
  <c r="J27" i="6"/>
  <c r="AT18" i="16"/>
  <c r="AU18" i="16" s="1"/>
  <c r="AF15" i="16"/>
  <c r="J35" i="20" s="1"/>
  <c r="V121" i="10" s="1"/>
  <c r="AI121" i="10" s="1"/>
  <c r="AS59" i="16"/>
  <c r="AS60" i="16" s="1"/>
  <c r="AT58" i="16"/>
  <c r="K58" i="16"/>
  <c r="U14" i="10" s="1"/>
  <c r="AH14" i="10" s="1"/>
  <c r="AJ16" i="6" s="1"/>
  <c r="O16" i="6" s="1"/>
  <c r="AS50" i="16"/>
  <c r="K50" i="17" s="1"/>
  <c r="AS51" i="16" s="1"/>
  <c r="L71" i="16"/>
  <c r="V23" i="10" s="1"/>
  <c r="J13" i="6"/>
  <c r="AG3" i="13"/>
  <c r="AF2" i="13"/>
  <c r="AF18" i="13"/>
  <c r="O18" i="13" s="1"/>
  <c r="K26" i="21"/>
  <c r="K121" i="10"/>
  <c r="K120" i="10" s="1"/>
  <c r="K33" i="21"/>
  <c r="K7" i="12"/>
  <c r="H9" i="10" s="1"/>
  <c r="N75" i="13"/>
  <c r="K54" i="16"/>
  <c r="U15" i="10" s="1"/>
  <c r="AH15" i="10" s="1"/>
  <c r="AJ17" i="6" s="1"/>
  <c r="O17" i="6" s="1"/>
  <c r="AU94" i="16"/>
  <c r="M94" i="16"/>
  <c r="M92" i="16" s="1"/>
  <c r="O74" i="16"/>
  <c r="N73" i="16"/>
  <c r="J44" i="10"/>
  <c r="AJ44" i="10" s="1"/>
  <c r="Y8" i="7" s="1"/>
  <c r="K8" i="7" s="1"/>
  <c r="AK8" i="7" s="1"/>
  <c r="M10" i="13"/>
  <c r="G19" i="7"/>
  <c r="H6" i="20"/>
  <c r="AG13" i="7"/>
  <c r="T92" i="10"/>
  <c r="AG76" i="10"/>
  <c r="AG74" i="10" s="1"/>
  <c r="H33" i="20"/>
  <c r="T119" i="10" s="1"/>
  <c r="AG119" i="10" s="1"/>
  <c r="I117" i="17"/>
  <c r="R30" i="10"/>
  <c r="AE30" i="10" s="1"/>
  <c r="AG32" i="6" s="1"/>
  <c r="I32" i="6" s="1"/>
  <c r="J32" i="6" s="1"/>
  <c r="AE54" i="17"/>
  <c r="U54" i="4"/>
  <c r="H10" i="20"/>
  <c r="AE47" i="17"/>
  <c r="AF20" i="17"/>
  <c r="AF46" i="17" s="1"/>
  <c r="AE50" i="17"/>
  <c r="AG16" i="7"/>
  <c r="T77" i="10"/>
  <c r="R85" i="10"/>
  <c r="AJ18" i="16"/>
  <c r="N19" i="20" s="1"/>
  <c r="Z105" i="10" s="1"/>
  <c r="AM105" i="10" s="1"/>
  <c r="AD28" i="4" s="1"/>
  <c r="L17" i="3"/>
  <c r="T22" i="4"/>
  <c r="D24" i="5" s="1"/>
  <c r="J16" i="6"/>
  <c r="J10" i="6"/>
  <c r="J23" i="6"/>
  <c r="J33" i="6"/>
  <c r="J24" i="6"/>
  <c r="J7" i="6"/>
  <c r="AK33" i="6"/>
  <c r="Q33" i="6" s="1"/>
  <c r="I49" i="6"/>
  <c r="J26" i="6"/>
  <c r="AF16" i="7"/>
  <c r="AG39" i="7"/>
  <c r="F19" i="7"/>
  <c r="D40" i="7"/>
  <c r="J30" i="6"/>
  <c r="J11" i="6"/>
  <c r="J14" i="6"/>
  <c r="J22" i="6"/>
  <c r="J25" i="6"/>
  <c r="P84" i="10"/>
  <c r="P85" i="10" s="1"/>
  <c r="P30" i="10"/>
  <c r="AO12" i="7"/>
  <c r="AN12" i="7"/>
  <c r="AC56" i="10"/>
  <c r="T20" i="4" s="1"/>
  <c r="D23" i="5" s="1"/>
  <c r="AN36" i="7"/>
  <c r="D36" i="7"/>
  <c r="D39" i="7" s="1"/>
  <c r="J20" i="6"/>
  <c r="J34" i="6"/>
  <c r="J9" i="6"/>
  <c r="J12" i="6"/>
  <c r="I50" i="6"/>
  <c r="J21" i="6"/>
  <c r="J29" i="6"/>
  <c r="J17" i="6"/>
  <c r="J15" i="6"/>
  <c r="O24" i="20"/>
  <c r="AA110" i="10" s="1"/>
  <c r="AN110" i="10" s="1"/>
  <c r="AE34" i="4" s="1"/>
  <c r="I40" i="6"/>
  <c r="S85" i="10"/>
  <c r="H134" i="16"/>
  <c r="AB39" i="16" s="1"/>
  <c r="Q84" i="10"/>
  <c r="Q85" i="10" s="1"/>
  <c r="AB58" i="17"/>
  <c r="AB34" i="17"/>
  <c r="F134" i="16"/>
  <c r="AS65" i="16"/>
  <c r="K33" i="17"/>
  <c r="AA34" i="17"/>
  <c r="AA58" i="17"/>
  <c r="Y58" i="17"/>
  <c r="Y34" i="17"/>
  <c r="G134" i="16"/>
  <c r="AA39" i="16" s="1"/>
  <c r="AC58" i="17"/>
  <c r="AC34" i="17"/>
  <c r="Z36" i="17"/>
  <c r="Z38" i="17" s="1"/>
  <c r="I134" i="16"/>
  <c r="W34" i="3"/>
  <c r="S36" i="7"/>
  <c r="Z58" i="17"/>
  <c r="AK30" i="6"/>
  <c r="Q30" i="6" s="1"/>
  <c r="AB14" i="3"/>
  <c r="I14" i="3" s="1"/>
  <c r="J14" i="3" s="1"/>
  <c r="AV71" i="16"/>
  <c r="N71" i="16" s="1"/>
  <c r="X23" i="10" s="1"/>
  <c r="Z11" i="3"/>
  <c r="BB11" i="3" s="1"/>
  <c r="AI20" i="6"/>
  <c r="M20" i="6" s="1"/>
  <c r="H17" i="20"/>
  <c r="R17" i="20"/>
  <c r="I17" i="20"/>
  <c r="N24" i="20"/>
  <c r="Z110" i="10" s="1"/>
  <c r="AM110" i="10" s="1"/>
  <c r="AD34" i="4" s="1"/>
  <c r="AK34" i="6"/>
  <c r="Q34" i="6" s="1"/>
  <c r="AB15" i="3"/>
  <c r="I15" i="3" s="1"/>
  <c r="J15" i="3" s="1"/>
  <c r="AL33" i="6"/>
  <c r="S33" i="6" s="1"/>
  <c r="Q76" i="16"/>
  <c r="AS16" i="16"/>
  <c r="AS78" i="16"/>
  <c r="AS79" i="16" s="1"/>
  <c r="AS80" i="16" s="1"/>
  <c r="AS83" i="16" s="1"/>
  <c r="AE10" i="16"/>
  <c r="I15" i="20" s="1"/>
  <c r="U101" i="10" s="1"/>
  <c r="AH101" i="10" s="1"/>
  <c r="T16" i="10"/>
  <c r="AG17" i="10"/>
  <c r="J17" i="3"/>
  <c r="D11" i="8"/>
  <c r="D29" i="5"/>
  <c r="AB16" i="10"/>
  <c r="AD19" i="6"/>
  <c r="C19" i="6" s="1"/>
  <c r="AB37" i="10"/>
  <c r="AB34" i="10"/>
  <c r="AB35" i="10"/>
  <c r="M36" i="2"/>
  <c r="C30" i="10"/>
  <c r="N32" i="2"/>
  <c r="L15" i="12"/>
  <c r="I14" i="10" s="1"/>
  <c r="L69" i="10"/>
  <c r="AL69" i="10" s="1"/>
  <c r="AA33" i="7" s="1"/>
  <c r="M33" i="7" s="1"/>
  <c r="AE58" i="13"/>
  <c r="M15" i="12"/>
  <c r="J14" i="10" s="1"/>
  <c r="U12" i="4"/>
  <c r="E7" i="4" s="1"/>
  <c r="D30" i="10"/>
  <c r="AD30" i="10" s="1"/>
  <c r="AF32" i="6" s="1"/>
  <c r="G32" i="6" s="1"/>
  <c r="H32" i="6" s="1"/>
  <c r="V12" i="4"/>
  <c r="F7" i="4" s="1"/>
  <c r="N15" i="12"/>
  <c r="K14" i="10" s="1"/>
  <c r="F30" i="10"/>
  <c r="AF30" i="10" s="1"/>
  <c r="AH32" i="6" s="1"/>
  <c r="K32" i="6" s="1"/>
  <c r="AG40" i="7"/>
  <c r="F118" i="10"/>
  <c r="AF118" i="10" s="1"/>
  <c r="AF117" i="10" s="1"/>
  <c r="E84" i="10"/>
  <c r="O50" i="13"/>
  <c r="N109" i="13"/>
  <c r="N51" i="13"/>
  <c r="AL25" i="13"/>
  <c r="AF92" i="10"/>
  <c r="J34" i="2"/>
  <c r="H5" i="7"/>
  <c r="B84" i="10"/>
  <c r="AK40" i="7"/>
  <c r="AL40" i="7"/>
  <c r="V7" i="8"/>
  <c r="H7" i="8" s="1"/>
  <c r="AE6" i="7"/>
  <c r="E40" i="7"/>
  <c r="AE41" i="7"/>
  <c r="S53" i="4"/>
  <c r="E5" i="7"/>
  <c r="S12" i="4"/>
  <c r="C7" i="4" s="1"/>
  <c r="C10" i="4" s="1"/>
  <c r="O151" i="13"/>
  <c r="L8" i="10"/>
  <c r="AL8" i="10" s="1"/>
  <c r="AN10" i="6" s="1"/>
  <c r="W10" i="6" s="1"/>
  <c r="P5" i="12"/>
  <c r="M38" i="21"/>
  <c r="M125" i="10" s="1"/>
  <c r="AM125" i="10" s="1"/>
  <c r="AF19" i="6"/>
  <c r="G19" i="6" s="1"/>
  <c r="AD37" i="10"/>
  <c r="AD16" i="10"/>
  <c r="W10" i="3"/>
  <c r="S56" i="4"/>
  <c r="C11" i="5"/>
  <c r="C7" i="5" s="1"/>
  <c r="C14" i="5" s="1"/>
  <c r="O12" i="12"/>
  <c r="P13" i="12"/>
  <c r="AC37" i="10"/>
  <c r="AE19" i="6"/>
  <c r="E19" i="6" s="1"/>
  <c r="AC16" i="10"/>
  <c r="K12" i="10"/>
  <c r="N45" i="12"/>
  <c r="K28" i="10" s="1"/>
  <c r="O46" i="12"/>
  <c r="P9" i="12"/>
  <c r="L11" i="10"/>
  <c r="AL11" i="10" s="1"/>
  <c r="AN13" i="6" s="1"/>
  <c r="W13" i="6" s="1"/>
  <c r="AG19" i="6"/>
  <c r="I19" i="6" s="1"/>
  <c r="AE37" i="10"/>
  <c r="AE16" i="10"/>
  <c r="X10" i="3"/>
  <c r="L27" i="10"/>
  <c r="AL27" i="10" s="1"/>
  <c r="P44" i="12"/>
  <c r="Y10" i="3"/>
  <c r="AH19" i="6"/>
  <c r="K19" i="6" s="1"/>
  <c r="AF37" i="10"/>
  <c r="AF16" i="10"/>
  <c r="O49" i="12"/>
  <c r="L32" i="10" s="1"/>
  <c r="P50" i="12"/>
  <c r="J25" i="21"/>
  <c r="J112" i="10"/>
  <c r="J111" i="10" s="1"/>
  <c r="AD13" i="3"/>
  <c r="M13" i="3" s="1"/>
  <c r="N13" i="3" s="1"/>
  <c r="AM29" i="6"/>
  <c r="U29" i="6" s="1"/>
  <c r="AF5" i="10"/>
  <c r="Y8" i="3"/>
  <c r="AH9" i="6"/>
  <c r="K9" i="6" s="1"/>
  <c r="AF36" i="10"/>
  <c r="C33" i="5"/>
  <c r="C31" i="5" s="1"/>
  <c r="S45" i="4"/>
  <c r="C19" i="4" s="1"/>
  <c r="S14" i="8"/>
  <c r="E14" i="8" s="1"/>
  <c r="AC109" i="10"/>
  <c r="W55" i="4"/>
  <c r="G10" i="5"/>
  <c r="T10" i="4"/>
  <c r="AC99" i="10"/>
  <c r="S8" i="8" s="1"/>
  <c r="E8" i="8" s="1"/>
  <c r="U42" i="4"/>
  <c r="T12" i="8"/>
  <c r="F12" i="8" s="1"/>
  <c r="AD120" i="10"/>
  <c r="U56" i="4"/>
  <c r="E11" i="5"/>
  <c r="E7" i="5" s="1"/>
  <c r="E14" i="5" s="1"/>
  <c r="W56" i="4"/>
  <c r="G11" i="5"/>
  <c r="W45" i="4"/>
  <c r="G32" i="5"/>
  <c r="G31" i="5" s="1"/>
  <c r="AE120" i="10"/>
  <c r="V42" i="4"/>
  <c r="U12" i="8"/>
  <c r="G12" i="8" s="1"/>
  <c r="S12" i="8"/>
  <c r="E12" i="8" s="1"/>
  <c r="T42" i="4"/>
  <c r="AC120" i="10"/>
  <c r="F11" i="5"/>
  <c r="F7" i="5" s="1"/>
  <c r="F14" i="5" s="1"/>
  <c r="V56" i="4"/>
  <c r="AB84" i="10"/>
  <c r="C52" i="7" s="1"/>
  <c r="AB86" i="10"/>
  <c r="D19" i="7"/>
  <c r="N36" i="12"/>
  <c r="K18" i="10" s="1"/>
  <c r="N153" i="13"/>
  <c r="O10" i="5"/>
  <c r="AG65" i="10"/>
  <c r="G57" i="10"/>
  <c r="G56" i="10" s="1"/>
  <c r="G73" i="10" s="1"/>
  <c r="G80" i="10" s="1"/>
  <c r="G82" i="10" s="1"/>
  <c r="U7" i="8"/>
  <c r="G7" i="8" s="1"/>
  <c r="AE92" i="10"/>
  <c r="V21" i="4"/>
  <c r="V54" i="4" s="1"/>
  <c r="I37" i="2"/>
  <c r="L36" i="2"/>
  <c r="H36" i="2"/>
  <c r="J36" i="2"/>
  <c r="G37" i="2"/>
  <c r="D30" i="5"/>
  <c r="T38" i="4"/>
  <c r="H7" i="21"/>
  <c r="H65" i="10"/>
  <c r="AH65" i="10" s="1"/>
  <c r="W29" i="7" s="1"/>
  <c r="I29" i="7" s="1"/>
  <c r="L60" i="13"/>
  <c r="L26" i="2"/>
  <c r="N26" i="2"/>
  <c r="AD55" i="4"/>
  <c r="W7" i="7"/>
  <c r="I7" i="7" s="1"/>
  <c r="AH42" i="10"/>
  <c r="AH41" i="10" s="1"/>
  <c r="AG5" i="7"/>
  <c r="O32" i="2"/>
  <c r="J49" i="13"/>
  <c r="J83" i="13"/>
  <c r="AW48" i="13"/>
  <c r="AE118" i="10"/>
  <c r="AE117" i="10" s="1"/>
  <c r="E117" i="10"/>
  <c r="E109" i="10" s="1"/>
  <c r="G93" i="10"/>
  <c r="G6" i="21"/>
  <c r="G31" i="21"/>
  <c r="AB55" i="4"/>
  <c r="L10" i="5"/>
  <c r="X10" i="4"/>
  <c r="W17" i="20"/>
  <c r="AC55" i="4"/>
  <c r="M10" i="5"/>
  <c r="AG96" i="10"/>
  <c r="AG51" i="10"/>
  <c r="T49" i="10"/>
  <c r="T96" i="10"/>
  <c r="AE16" i="7"/>
  <c r="D38" i="7"/>
  <c r="AE47" i="7"/>
  <c r="G20" i="7"/>
  <c r="G38" i="7"/>
  <c r="AG21" i="7"/>
  <c r="AF73" i="10"/>
  <c r="AF80" i="10" s="1"/>
  <c r="AF82" i="10" s="1"/>
  <c r="W20" i="4"/>
  <c r="F20" i="7"/>
  <c r="F38" i="7"/>
  <c r="AE73" i="10"/>
  <c r="AE80" i="10" s="1"/>
  <c r="AE82" i="10" s="1"/>
  <c r="V20" i="4"/>
  <c r="AE26" i="7"/>
  <c r="E21" i="7"/>
  <c r="AF21" i="7" s="1"/>
  <c r="AD73" i="10"/>
  <c r="AD80" i="10" s="1"/>
  <c r="AD82" i="10" s="1"/>
  <c r="U20" i="4"/>
  <c r="C20" i="7"/>
  <c r="C38" i="7"/>
  <c r="AE13" i="7"/>
  <c r="E19" i="7"/>
  <c r="AI21" i="6"/>
  <c r="M21" i="6" s="1"/>
  <c r="I39" i="20"/>
  <c r="U125" i="10" s="1"/>
  <c r="AH125" i="10" s="1"/>
  <c r="T8" i="10"/>
  <c r="AG8" i="10" s="1"/>
  <c r="AI10" i="6" s="1"/>
  <c r="M10" i="6" s="1"/>
  <c r="T20" i="10"/>
  <c r="O37" i="12"/>
  <c r="L34" i="21" s="1"/>
  <c r="K107" i="10"/>
  <c r="AK107" i="10" s="1"/>
  <c r="N102" i="16"/>
  <c r="K20" i="10"/>
  <c r="G89" i="10"/>
  <c r="S89" i="10"/>
  <c r="AF89" i="10" s="1"/>
  <c r="S40" i="10"/>
  <c r="AF40" i="10" s="1"/>
  <c r="G40" i="10"/>
  <c r="G4" i="10"/>
  <c r="S4" i="10"/>
  <c r="AF4" i="10" s="1"/>
  <c r="Y5" i="3" s="1"/>
  <c r="AD7" i="16"/>
  <c r="J35" i="16"/>
  <c r="J62" i="16"/>
  <c r="AH21" i="17"/>
  <c r="AG20" i="17"/>
  <c r="AR29" i="16"/>
  <c r="AR30" i="16"/>
  <c r="AD16" i="17"/>
  <c r="T54" i="10" s="1"/>
  <c r="J30" i="17"/>
  <c r="AR65" i="16"/>
  <c r="AD41" i="17"/>
  <c r="AR9" i="16"/>
  <c r="AR10" i="16"/>
  <c r="J20" i="17"/>
  <c r="AE15" i="17"/>
  <c r="U51" i="10" s="1"/>
  <c r="K19" i="17"/>
  <c r="L21" i="17"/>
  <c r="AD18" i="17"/>
  <c r="AD45" i="17"/>
  <c r="K167" i="17"/>
  <c r="J159" i="17"/>
  <c r="J41" i="17"/>
  <c r="AP44" i="17"/>
  <c r="N170" i="17"/>
  <c r="N46" i="17" s="1"/>
  <c r="N163" i="17" s="1"/>
  <c r="O170" i="17" s="1"/>
  <c r="O46" i="17" s="1"/>
  <c r="O163" i="17" s="1"/>
  <c r="N169" i="17"/>
  <c r="N45" i="17" s="1"/>
  <c r="N162" i="17" s="1"/>
  <c r="O169" i="17" s="1"/>
  <c r="O45" i="17" s="1"/>
  <c r="O162" i="17" s="1"/>
  <c r="N168" i="17"/>
  <c r="N44" i="17" s="1"/>
  <c r="N161" i="17" s="1"/>
  <c r="O168" i="17" s="1"/>
  <c r="O44" i="17" s="1"/>
  <c r="O161" i="17" s="1"/>
  <c r="N123" i="16"/>
  <c r="AG35" i="16"/>
  <c r="K29" i="20" s="1"/>
  <c r="W115" i="10" s="1"/>
  <c r="AJ115" i="10" s="1"/>
  <c r="M122" i="16"/>
  <c r="W33" i="10" s="1"/>
  <c r="AJ33" i="10" s="1"/>
  <c r="O119" i="16"/>
  <c r="N118" i="16"/>
  <c r="X32" i="10" s="1"/>
  <c r="AK32" i="10" s="1"/>
  <c r="AD17" i="3" s="1"/>
  <c r="M17" i="3" s="1"/>
  <c r="N17" i="3" s="1"/>
  <c r="N115" i="16"/>
  <c r="M114" i="16"/>
  <c r="W28" i="10" s="1"/>
  <c r="AJ28" i="10" s="1"/>
  <c r="AK18" i="16"/>
  <c r="M53" i="16"/>
  <c r="AV53" i="16"/>
  <c r="P26" i="12"/>
  <c r="O23" i="12"/>
  <c r="L13" i="10" s="1"/>
  <c r="AL13" i="10" s="1"/>
  <c r="AN15" i="6" s="1"/>
  <c r="W15" i="6" s="1"/>
  <c r="K17" i="21"/>
  <c r="K103" i="10" s="1"/>
  <c r="AK103" i="10" s="1"/>
  <c r="P38" i="12"/>
  <c r="M24" i="10" s="1"/>
  <c r="AM24" i="10" s="1"/>
  <c r="AO26" i="6" s="1"/>
  <c r="Y26" i="6" s="1"/>
  <c r="AH32" i="13"/>
  <c r="AG33" i="13"/>
  <c r="AG30" i="13" s="1"/>
  <c r="H64" i="10"/>
  <c r="AH64" i="10" s="1"/>
  <c r="W28" i="7" s="1"/>
  <c r="I28" i="7" s="1"/>
  <c r="AI28" i="7" s="1"/>
  <c r="H59" i="10"/>
  <c r="AH59" i="10" s="1"/>
  <c r="W23" i="7" s="1"/>
  <c r="I23" i="7" s="1"/>
  <c r="AI23" i="7" s="1"/>
  <c r="H66" i="10"/>
  <c r="AH66" i="10" s="1"/>
  <c r="W30" i="7" s="1"/>
  <c r="I30" i="7" s="1"/>
  <c r="AI30" i="7" s="1"/>
  <c r="K6" i="13"/>
  <c r="H62" i="10"/>
  <c r="AH62" i="10" s="1"/>
  <c r="W26" i="7" s="1"/>
  <c r="I26" i="7" s="1"/>
  <c r="AI26" i="7" s="1"/>
  <c r="AL29" i="13"/>
  <c r="H68" i="10"/>
  <c r="AH68" i="10" s="1"/>
  <c r="W32" i="7" s="1"/>
  <c r="I32" i="7" s="1"/>
  <c r="AI32" i="7" s="1"/>
  <c r="AL27" i="13"/>
  <c r="K35" i="12"/>
  <c r="H22" i="10" s="1"/>
  <c r="AH22" i="10" s="1"/>
  <c r="AJ24" i="6" s="1"/>
  <c r="O24" i="6" s="1"/>
  <c r="AL28" i="13"/>
  <c r="K33" i="12"/>
  <c r="K31" i="12" s="1"/>
  <c r="H23" i="10" s="1"/>
  <c r="AH23" i="10" s="1"/>
  <c r="AJ25" i="6" s="1"/>
  <c r="O25" i="6" s="1"/>
  <c r="K30" i="12"/>
  <c r="H19" i="10" s="1"/>
  <c r="AL26" i="13"/>
  <c r="H100" i="13"/>
  <c r="H99" i="13"/>
  <c r="AD9" i="13"/>
  <c r="AE10" i="12"/>
  <c r="H168" i="13"/>
  <c r="H169" i="13"/>
  <c r="G99" i="13"/>
  <c r="G100" i="13"/>
  <c r="G168" i="13"/>
  <c r="G169" i="13"/>
  <c r="AF35" i="12"/>
  <c r="AD7" i="12"/>
  <c r="AE33" i="12"/>
  <c r="R20" i="20"/>
  <c r="R21" i="20" s="1"/>
  <c r="H20" i="20"/>
  <c r="T106" i="10" s="1"/>
  <c r="AD20" i="16"/>
  <c r="F100" i="13"/>
  <c r="F99" i="13"/>
  <c r="AE30" i="12"/>
  <c r="I99" i="13"/>
  <c r="C23" i="5" l="1"/>
  <c r="C21" i="5" s="1"/>
  <c r="P39" i="12"/>
  <c r="I168" i="13"/>
  <c r="J70" i="10"/>
  <c r="AJ70" i="10" s="1"/>
  <c r="Y34" i="7" s="1"/>
  <c r="K34" i="7" s="1"/>
  <c r="I169" i="13"/>
  <c r="S30" i="4"/>
  <c r="C17" i="4" s="1"/>
  <c r="C20" i="4" s="1"/>
  <c r="C26" i="4" s="1"/>
  <c r="C27" i="4" s="1"/>
  <c r="AL22" i="7"/>
  <c r="U35" i="4"/>
  <c r="E30" i="5" s="1"/>
  <c r="E28" i="5" s="1"/>
  <c r="T14" i="8"/>
  <c r="F14" i="8" s="1"/>
  <c r="F11" i="8" s="1"/>
  <c r="Z22" i="7"/>
  <c r="L22" i="7" s="1"/>
  <c r="B85" i="10"/>
  <c r="C37" i="7"/>
  <c r="AB41" i="7"/>
  <c r="N41" i="7" s="1"/>
  <c r="AM74" i="10"/>
  <c r="C85" i="10"/>
  <c r="E32" i="3"/>
  <c r="N73" i="13"/>
  <c r="N74" i="13" s="1"/>
  <c r="N34" i="2"/>
  <c r="O144" i="13"/>
  <c r="P143" i="13"/>
  <c r="P131" i="13"/>
  <c r="H37" i="2"/>
  <c r="N74" i="10"/>
  <c r="AN75" i="10"/>
  <c r="N154" i="13"/>
  <c r="L37" i="2"/>
  <c r="D85" i="10"/>
  <c r="B5" i="21"/>
  <c r="O61" i="13"/>
  <c r="N111" i="13"/>
  <c r="K150" i="13"/>
  <c r="L58" i="10"/>
  <c r="AL58" i="10" s="1"/>
  <c r="AE33" i="3" s="1"/>
  <c r="O33" i="3" s="1"/>
  <c r="O17" i="12"/>
  <c r="M37" i="2"/>
  <c r="Q56" i="13"/>
  <c r="K104" i="13"/>
  <c r="K129" i="13"/>
  <c r="AH5" i="7"/>
  <c r="AE5" i="7"/>
  <c r="AU19" i="7"/>
  <c r="AH47" i="17"/>
  <c r="W12" i="4"/>
  <c r="G7" i="4" s="1"/>
  <c r="AQ7" i="4" s="1"/>
  <c r="O42" i="2"/>
  <c r="BB35" i="2"/>
  <c r="P35" i="2"/>
  <c r="O38" i="2"/>
  <c r="AK13" i="16"/>
  <c r="O17" i="20" s="1"/>
  <c r="AA103" i="10" s="1"/>
  <c r="O75" i="13"/>
  <c r="P75" i="13" s="1"/>
  <c r="H14" i="21"/>
  <c r="H100" i="10" s="1"/>
  <c r="AG47" i="17"/>
  <c r="N17" i="20"/>
  <c r="Z103" i="10" s="1"/>
  <c r="AU17" i="16"/>
  <c r="M16" i="16" s="1"/>
  <c r="AI45" i="7"/>
  <c r="AH45" i="7"/>
  <c r="K34" i="16"/>
  <c r="U7" i="10" s="1"/>
  <c r="AH7" i="10" s="1"/>
  <c r="AJ9" i="6" s="1"/>
  <c r="O9" i="6" s="1"/>
  <c r="L41" i="16"/>
  <c r="L35" i="16" s="1"/>
  <c r="AU48" i="16"/>
  <c r="M51" i="17" s="1"/>
  <c r="AU54" i="16"/>
  <c r="M54" i="16" s="1"/>
  <c r="W15" i="10" s="1"/>
  <c r="AJ15" i="10" s="1"/>
  <c r="AL17" i="6" s="1"/>
  <c r="S17" i="6" s="1"/>
  <c r="K47" i="17"/>
  <c r="G37" i="7"/>
  <c r="V42" i="7"/>
  <c r="H42" i="7" s="1"/>
  <c r="AH42" i="7" s="1"/>
  <c r="AE22" i="17"/>
  <c r="I10" i="18" s="1"/>
  <c r="I6" i="18"/>
  <c r="AE12" i="16"/>
  <c r="I11" i="18" s="1"/>
  <c r="J4" i="18" s="1"/>
  <c r="AT59" i="16"/>
  <c r="AT60" i="16" s="1"/>
  <c r="AU58" i="16"/>
  <c r="L58" i="16"/>
  <c r="AT50" i="16"/>
  <c r="L50" i="17" s="1"/>
  <c r="K6" i="12"/>
  <c r="K20" i="13"/>
  <c r="AB5" i="13"/>
  <c r="AH3" i="13"/>
  <c r="AH18" i="13" s="1"/>
  <c r="AG18" i="13"/>
  <c r="P18" i="13" s="1"/>
  <c r="L26" i="21"/>
  <c r="P10" i="5"/>
  <c r="L121" i="10"/>
  <c r="L120" i="10" s="1"/>
  <c r="L33" i="21"/>
  <c r="AG19" i="7"/>
  <c r="N94" i="16"/>
  <c r="N92" i="16" s="1"/>
  <c r="AV94" i="16"/>
  <c r="AG15" i="16"/>
  <c r="K35" i="20" s="1"/>
  <c r="W121" i="10" s="1"/>
  <c r="AJ121" i="10" s="1"/>
  <c r="P74" i="16"/>
  <c r="O73" i="16"/>
  <c r="K44" i="10"/>
  <c r="AK44" i="10" s="1"/>
  <c r="Z8" i="7" s="1"/>
  <c r="L8" i="7" s="1"/>
  <c r="AL8" i="7" s="1"/>
  <c r="N10" i="13"/>
  <c r="AG46" i="17"/>
  <c r="D21" i="5"/>
  <c r="T53" i="4"/>
  <c r="O19" i="20"/>
  <c r="AA105" i="10" s="1"/>
  <c r="AN105" i="10" s="1"/>
  <c r="AE28" i="4" s="1"/>
  <c r="AC30" i="10"/>
  <c r="AE32" i="6" s="1"/>
  <c r="E32" i="6" s="1"/>
  <c r="F32" i="6" s="1"/>
  <c r="N36" i="2"/>
  <c r="T30" i="4"/>
  <c r="D17" i="4" s="1"/>
  <c r="AN17" i="4" s="1"/>
  <c r="AF19" i="7"/>
  <c r="AE40" i="7"/>
  <c r="F37" i="7"/>
  <c r="D20" i="7"/>
  <c r="AC73" i="10"/>
  <c r="AC80" i="10" s="1"/>
  <c r="AC82" i="10" s="1"/>
  <c r="AW71" i="16"/>
  <c r="O71" i="16" s="1"/>
  <c r="Y23" i="10" s="1"/>
  <c r="Z39" i="16"/>
  <c r="Z41" i="16" s="1"/>
  <c r="AA31" i="16" s="1"/>
  <c r="AA41" i="16" s="1"/>
  <c r="AB31" i="16" s="1"/>
  <c r="AB41" i="16" s="1"/>
  <c r="AC31" i="16" s="1"/>
  <c r="F130" i="16"/>
  <c r="G131" i="16"/>
  <c r="E36" i="7"/>
  <c r="E20" i="7" s="1"/>
  <c r="AO36" i="7"/>
  <c r="AB36" i="17"/>
  <c r="AB60" i="17"/>
  <c r="Y36" i="17"/>
  <c r="Z62" i="17" s="1"/>
  <c r="Y60" i="17"/>
  <c r="AC39" i="16"/>
  <c r="I147" i="16"/>
  <c r="D28" i="5"/>
  <c r="D5" i="20"/>
  <c r="P86" i="10"/>
  <c r="AA60" i="17"/>
  <c r="AA36" i="17"/>
  <c r="Z60" i="17"/>
  <c r="AC60" i="17"/>
  <c r="AC36" i="17"/>
  <c r="G7" i="5"/>
  <c r="G14" i="5" s="1"/>
  <c r="AL30" i="6"/>
  <c r="S30" i="6" s="1"/>
  <c r="AC14" i="3"/>
  <c r="K14" i="3" s="1"/>
  <c r="L14" i="3" s="1"/>
  <c r="AV18" i="16"/>
  <c r="M41" i="16"/>
  <c r="M35" i="16" s="1"/>
  <c r="AI19" i="6"/>
  <c r="M19" i="6" s="1"/>
  <c r="M18" i="6" s="1"/>
  <c r="M51" i="6" s="1"/>
  <c r="AG16" i="10"/>
  <c r="Z10" i="3"/>
  <c r="AM33" i="6"/>
  <c r="U33" i="6" s="1"/>
  <c r="S17" i="20"/>
  <c r="T103" i="10"/>
  <c r="AG103" i="10" s="1"/>
  <c r="T17" i="20"/>
  <c r="U103" i="10"/>
  <c r="AH103" i="10" s="1"/>
  <c r="AS84" i="16"/>
  <c r="AS85" i="16" s="1"/>
  <c r="K101" i="16" s="1"/>
  <c r="AS89" i="16"/>
  <c r="AS81" i="16"/>
  <c r="AS82" i="16" s="1"/>
  <c r="AL34" i="6"/>
  <c r="S34" i="6" s="1"/>
  <c r="AC15" i="3"/>
  <c r="K15" i="3" s="1"/>
  <c r="L15" i="3" s="1"/>
  <c r="M69" i="10"/>
  <c r="AM69" i="10" s="1"/>
  <c r="AB33" i="7" s="1"/>
  <c r="N33" i="7" s="1"/>
  <c r="AF58" i="13"/>
  <c r="D19" i="6"/>
  <c r="C18" i="6"/>
  <c r="L11" i="12"/>
  <c r="I7" i="10" s="1"/>
  <c r="N11" i="12"/>
  <c r="K7" i="10" s="1"/>
  <c r="L17" i="21"/>
  <c r="L103" i="10" s="1"/>
  <c r="AL103" i="10" s="1"/>
  <c r="AF5" i="7"/>
  <c r="M11" i="12"/>
  <c r="J7" i="10" s="1"/>
  <c r="F117" i="10"/>
  <c r="F109" i="10" s="1"/>
  <c r="E85" i="10"/>
  <c r="O109" i="13"/>
  <c r="O51" i="13"/>
  <c r="P50" i="13"/>
  <c r="AF40" i="7"/>
  <c r="E11" i="8"/>
  <c r="F19" i="6"/>
  <c r="E18" i="6"/>
  <c r="M27" i="10"/>
  <c r="AM27" i="10" s="1"/>
  <c r="Q44" i="12"/>
  <c r="N27" i="10" s="1"/>
  <c r="AN27" i="10" s="1"/>
  <c r="AE13" i="3"/>
  <c r="O13" i="3" s="1"/>
  <c r="P13" i="3" s="1"/>
  <c r="AN29" i="6"/>
  <c r="W29" i="6" s="1"/>
  <c r="Q13" i="12"/>
  <c r="Q12" i="12" s="1"/>
  <c r="N12" i="10" s="1"/>
  <c r="P12" i="12"/>
  <c r="L12" i="10"/>
  <c r="M25" i="10"/>
  <c r="Q39" i="12"/>
  <c r="N25" i="10" s="1"/>
  <c r="D18" i="4"/>
  <c r="AN18" i="4" s="1"/>
  <c r="T39" i="4"/>
  <c r="M11" i="10"/>
  <c r="AM11" i="10" s="1"/>
  <c r="AO13" i="6" s="1"/>
  <c r="Y13" i="6" s="1"/>
  <c r="Q9" i="12"/>
  <c r="N11" i="10" s="1"/>
  <c r="AN11" i="10" s="1"/>
  <c r="AP13" i="6" s="1"/>
  <c r="AA13" i="6" s="1"/>
  <c r="C35" i="5"/>
  <c r="C40" i="5" s="1"/>
  <c r="G19" i="4"/>
  <c r="AQ20" i="4" s="1"/>
  <c r="W46" i="4"/>
  <c r="O45" i="12"/>
  <c r="L28" i="10" s="1"/>
  <c r="P46" i="12"/>
  <c r="H19" i="6"/>
  <c r="G18" i="6"/>
  <c r="K18" i="6"/>
  <c r="K7" i="6"/>
  <c r="L19" i="6" s="1"/>
  <c r="P49" i="12"/>
  <c r="M32" i="10" s="1"/>
  <c r="Q50" i="12"/>
  <c r="Q49" i="12" s="1"/>
  <c r="N32" i="10" s="1"/>
  <c r="P151" i="13"/>
  <c r="Q5" i="12"/>
  <c r="M8" i="10"/>
  <c r="AM8" i="10" s="1"/>
  <c r="AO10" i="6" s="1"/>
  <c r="Y10" i="6" s="1"/>
  <c r="N38" i="21"/>
  <c r="N125" i="10" s="1"/>
  <c r="AN125" i="10" s="1"/>
  <c r="J19" i="6"/>
  <c r="I18" i="6"/>
  <c r="K112" i="10"/>
  <c r="K111" i="10" s="1"/>
  <c r="K25" i="21"/>
  <c r="AH43" i="7"/>
  <c r="X22" i="4"/>
  <c r="H24" i="5" s="1"/>
  <c r="X8" i="4"/>
  <c r="H9" i="5" s="1"/>
  <c r="BC19" i="7"/>
  <c r="T45" i="4"/>
  <c r="D32" i="5"/>
  <c r="D31" i="5" s="1"/>
  <c r="V45" i="4"/>
  <c r="F32" i="5"/>
  <c r="F31" i="5" s="1"/>
  <c r="E32" i="5"/>
  <c r="E31" i="5" s="1"/>
  <c r="U45" i="4"/>
  <c r="D11" i="5"/>
  <c r="D7" i="5" s="1"/>
  <c r="D14" i="5" s="1"/>
  <c r="T56" i="4"/>
  <c r="T12" i="4"/>
  <c r="O36" i="12"/>
  <c r="L18" i="10" s="1"/>
  <c r="O153" i="13"/>
  <c r="AL24" i="13"/>
  <c r="I6" i="7"/>
  <c r="AI7" i="7"/>
  <c r="I7" i="21"/>
  <c r="I65" i="10"/>
  <c r="AI65" i="10" s="1"/>
  <c r="X29" i="7" s="1"/>
  <c r="J29" i="7" s="1"/>
  <c r="AJ29" i="7" s="1"/>
  <c r="G30" i="21"/>
  <c r="G23" i="21" s="1"/>
  <c r="G118" i="10"/>
  <c r="G117" i="10" s="1"/>
  <c r="G109" i="10" s="1"/>
  <c r="H6" i="21"/>
  <c r="H93" i="10"/>
  <c r="H31" i="21"/>
  <c r="G92" i="10"/>
  <c r="AG93" i="10"/>
  <c r="M60" i="13"/>
  <c r="V35" i="4"/>
  <c r="AE109" i="10"/>
  <c r="U14" i="8"/>
  <c r="G14" i="8" s="1"/>
  <c r="G11" i="8" s="1"/>
  <c r="G84" i="10"/>
  <c r="G30" i="10"/>
  <c r="C5" i="21"/>
  <c r="F57" i="12"/>
  <c r="F60" i="12" s="1"/>
  <c r="F55" i="12" s="1"/>
  <c r="C86" i="10"/>
  <c r="E5" i="21"/>
  <c r="H57" i="12"/>
  <c r="E86" i="10"/>
  <c r="V29" i="7"/>
  <c r="H29" i="7" s="1"/>
  <c r="AI29" i="7" s="1"/>
  <c r="AG57" i="10"/>
  <c r="Z32" i="3" s="1"/>
  <c r="D5" i="21"/>
  <c r="G57" i="12"/>
  <c r="G60" i="12" s="1"/>
  <c r="D86" i="10"/>
  <c r="AW83" i="13"/>
  <c r="J97" i="13"/>
  <c r="J84" i="13"/>
  <c r="J150" i="17"/>
  <c r="K86" i="13"/>
  <c r="J85" i="13"/>
  <c r="O34" i="2"/>
  <c r="P32" i="2"/>
  <c r="O36" i="2"/>
  <c r="J37" i="2"/>
  <c r="L33" i="17"/>
  <c r="H31" i="20"/>
  <c r="T118" i="10"/>
  <c r="AD44" i="17"/>
  <c r="T72" i="10"/>
  <c r="H34" i="20"/>
  <c r="T122" i="10"/>
  <c r="H11" i="5"/>
  <c r="X9" i="4"/>
  <c r="AH51" i="10"/>
  <c r="U49" i="10"/>
  <c r="T52" i="10"/>
  <c r="T55" i="10" s="1"/>
  <c r="AG54" i="10"/>
  <c r="AG106" i="10"/>
  <c r="Z26" i="3"/>
  <c r="V15" i="7"/>
  <c r="H15" i="7" s="1"/>
  <c r="AG49" i="10"/>
  <c r="AL34" i="7"/>
  <c r="AK34" i="7"/>
  <c r="F5" i="21"/>
  <c r="I57" i="12"/>
  <c r="F86" i="10"/>
  <c r="F85" i="10"/>
  <c r="W35" i="4"/>
  <c r="V14" i="8"/>
  <c r="H14" i="8" s="1"/>
  <c r="H11" i="8" s="1"/>
  <c r="AF109" i="10"/>
  <c r="F10" i="4"/>
  <c r="AP7" i="4"/>
  <c r="AO7" i="4"/>
  <c r="E10" i="4"/>
  <c r="AF86" i="10"/>
  <c r="AF84" i="10"/>
  <c r="W53" i="4"/>
  <c r="W30" i="4"/>
  <c r="G23" i="5"/>
  <c r="AE86" i="10"/>
  <c r="AE84" i="10"/>
  <c r="V53" i="4"/>
  <c r="V30" i="4"/>
  <c r="F23" i="5"/>
  <c r="F21" i="5" s="1"/>
  <c r="E38" i="7"/>
  <c r="AE21" i="7"/>
  <c r="AD86" i="10"/>
  <c r="AD84" i="10"/>
  <c r="U53" i="4"/>
  <c r="U30" i="4"/>
  <c r="E23" i="5"/>
  <c r="E21" i="5" s="1"/>
  <c r="AE19" i="7"/>
  <c r="AG20" i="7"/>
  <c r="AG38" i="7"/>
  <c r="T37" i="10"/>
  <c r="AG20" i="10"/>
  <c r="P37" i="12"/>
  <c r="M34" i="21" s="1"/>
  <c r="L107" i="10"/>
  <c r="AL107" i="10" s="1"/>
  <c r="O102" i="16"/>
  <c r="L20" i="10"/>
  <c r="H89" i="10"/>
  <c r="T89" i="10"/>
  <c r="AG89" i="10" s="1"/>
  <c r="T40" i="10"/>
  <c r="AG40" i="10" s="1"/>
  <c r="H40" i="10"/>
  <c r="H4" i="10"/>
  <c r="T4" i="10"/>
  <c r="AG4" i="10" s="1"/>
  <c r="Z5" i="3" s="1"/>
  <c r="H24" i="20"/>
  <c r="T110" i="10" s="1"/>
  <c r="I24" i="20"/>
  <c r="U110" i="10" s="1"/>
  <c r="J34" i="16"/>
  <c r="T7" i="10" s="1"/>
  <c r="AG7" i="10" s="1"/>
  <c r="AI21" i="17"/>
  <c r="AI47" i="17" s="1"/>
  <c r="AH20" i="17"/>
  <c r="AH46" i="17" s="1"/>
  <c r="J31" i="17"/>
  <c r="J40" i="17"/>
  <c r="J115" i="17" s="1"/>
  <c r="AS28" i="16"/>
  <c r="K28" i="16" s="1"/>
  <c r="AS30" i="16" s="1"/>
  <c r="L32" i="17"/>
  <c r="AT65" i="16" s="1"/>
  <c r="AE16" i="17"/>
  <c r="U54" i="10" s="1"/>
  <c r="K65" i="16"/>
  <c r="K30" i="17"/>
  <c r="AE41" i="17"/>
  <c r="K20" i="17"/>
  <c r="AS8" i="16"/>
  <c r="K8" i="16" s="1"/>
  <c r="AE9" i="16" s="1"/>
  <c r="U9" i="10" s="1"/>
  <c r="AH9" i="10" s="1"/>
  <c r="AJ11" i="6" s="1"/>
  <c r="O11" i="6" s="1"/>
  <c r="AF15" i="17"/>
  <c r="V51" i="10" s="1"/>
  <c r="L19" i="17"/>
  <c r="M21" i="17"/>
  <c r="K43" i="17"/>
  <c r="K166" i="17"/>
  <c r="J153" i="17"/>
  <c r="AP43" i="17"/>
  <c r="P170" i="17"/>
  <c r="P46" i="17" s="1"/>
  <c r="P163" i="17" s="1"/>
  <c r="Q170" i="17" s="1"/>
  <c r="Q46" i="17" s="1"/>
  <c r="Q163" i="17" s="1"/>
  <c r="P169" i="17"/>
  <c r="P45" i="17" s="1"/>
  <c r="P162" i="17" s="1"/>
  <c r="Q169" i="17" s="1"/>
  <c r="Q45" i="17" s="1"/>
  <c r="Q162" i="17" s="1"/>
  <c r="P168" i="17"/>
  <c r="P44" i="17" s="1"/>
  <c r="P161" i="17" s="1"/>
  <c r="Q168" i="17" s="1"/>
  <c r="Q44" i="17" s="1"/>
  <c r="Q161" i="17" s="1"/>
  <c r="AD42" i="17"/>
  <c r="AD17" i="17"/>
  <c r="O123" i="16"/>
  <c r="AH35" i="16"/>
  <c r="L29" i="20" s="1"/>
  <c r="X115" i="10" s="1"/>
  <c r="AK115" i="10" s="1"/>
  <c r="N122" i="16"/>
  <c r="X33" i="10" s="1"/>
  <c r="AK33" i="10" s="1"/>
  <c r="P119" i="16"/>
  <c r="O118" i="16"/>
  <c r="Y32" i="10" s="1"/>
  <c r="AL32" i="10" s="1"/>
  <c r="AE17" i="3" s="1"/>
  <c r="O17" i="3" s="1"/>
  <c r="P17" i="3" s="1"/>
  <c r="O115" i="16"/>
  <c r="N114" i="16"/>
  <c r="X28" i="10" s="1"/>
  <c r="AK28" i="10" s="1"/>
  <c r="AW53" i="16"/>
  <c r="N53" i="16"/>
  <c r="H13" i="20"/>
  <c r="Q26" i="12"/>
  <c r="Q23" i="12" s="1"/>
  <c r="P23" i="12"/>
  <c r="M13" i="10" s="1"/>
  <c r="AM13" i="10" s="1"/>
  <c r="AO15" i="6" s="1"/>
  <c r="Y15" i="6" s="1"/>
  <c r="Q38" i="12"/>
  <c r="N24" i="10" s="1"/>
  <c r="AN24" i="10" s="1"/>
  <c r="AP26" i="6" s="1"/>
  <c r="AA26" i="6" s="1"/>
  <c r="K70" i="13"/>
  <c r="AB72" i="13"/>
  <c r="K52" i="13"/>
  <c r="AB54" i="13"/>
  <c r="AB69" i="13"/>
  <c r="K64" i="13"/>
  <c r="AG35" i="12"/>
  <c r="H18" i="21"/>
  <c r="H104" i="10" s="1"/>
  <c r="AH33" i="13"/>
  <c r="AH30" i="13" s="1"/>
  <c r="AF30" i="12"/>
  <c r="AF10" i="12"/>
  <c r="AB56" i="13"/>
  <c r="AF33" i="12"/>
  <c r="AE9" i="13"/>
  <c r="AB78" i="13"/>
  <c r="K76" i="13"/>
  <c r="AE7" i="12"/>
  <c r="AB67" i="13"/>
  <c r="AV54" i="16" l="1"/>
  <c r="AW54" i="16" s="1"/>
  <c r="AV48" i="16"/>
  <c r="N51" i="17" s="1"/>
  <c r="AV17" i="16"/>
  <c r="S49" i="4"/>
  <c r="S51" i="4" s="1"/>
  <c r="U38" i="4"/>
  <c r="U49" i="4" s="1"/>
  <c r="U51" i="4" s="1"/>
  <c r="N26" i="21"/>
  <c r="G10" i="4"/>
  <c r="AQ13" i="4" s="1"/>
  <c r="AA22" i="7"/>
  <c r="M22" i="7" s="1"/>
  <c r="K70" i="10"/>
  <c r="AK70" i="10" s="1"/>
  <c r="Z34" i="7" s="1"/>
  <c r="L34" i="7" s="1"/>
  <c r="K53" i="13"/>
  <c r="M58" i="10"/>
  <c r="AM58" i="10" s="1"/>
  <c r="AF33" i="3" s="1"/>
  <c r="Q33" i="3" s="1"/>
  <c r="L104" i="13"/>
  <c r="P132" i="13"/>
  <c r="P61" i="13" s="1"/>
  <c r="O111" i="13"/>
  <c r="B91" i="10"/>
  <c r="B4" i="21"/>
  <c r="B37" i="21" s="1"/>
  <c r="B39" i="21" s="1"/>
  <c r="B42" i="21" s="1"/>
  <c r="Q142" i="13"/>
  <c r="Q57" i="13"/>
  <c r="N37" i="2"/>
  <c r="K65" i="13"/>
  <c r="O15" i="12"/>
  <c r="Q18" i="13"/>
  <c r="P33" i="3"/>
  <c r="H67" i="10"/>
  <c r="AH67" i="10" s="1"/>
  <c r="W31" i="7" s="1"/>
  <c r="I31" i="7" s="1"/>
  <c r="AI31" i="7" s="1"/>
  <c r="L150" i="13"/>
  <c r="O154" i="13"/>
  <c r="AC41" i="7"/>
  <c r="O41" i="7" s="1"/>
  <c r="AN74" i="10"/>
  <c r="N54" i="7"/>
  <c r="N40" i="7"/>
  <c r="O73" i="13"/>
  <c r="O74" i="13" s="1"/>
  <c r="L129" i="13"/>
  <c r="C46" i="7"/>
  <c r="C48" i="7" s="1"/>
  <c r="C53" i="7" s="1"/>
  <c r="G51" i="7"/>
  <c r="AU20" i="7"/>
  <c r="E37" i="7"/>
  <c r="AF37" i="7" s="1"/>
  <c r="BB38" i="2"/>
  <c r="F46" i="7"/>
  <c r="F48" i="7" s="1"/>
  <c r="Y17" i="20"/>
  <c r="E38" i="3"/>
  <c r="O41" i="2"/>
  <c r="P38" i="2"/>
  <c r="AT16" i="16"/>
  <c r="AT70" i="16" s="1"/>
  <c r="AT72" i="16" s="1"/>
  <c r="L90" i="16" s="1"/>
  <c r="AF10" i="16"/>
  <c r="J15" i="20" s="1"/>
  <c r="V101" i="10" s="1"/>
  <c r="AI101" i="10" s="1"/>
  <c r="AT78" i="16"/>
  <c r="AT79" i="16" s="1"/>
  <c r="AT80" i="16" s="1"/>
  <c r="AT83" i="16" s="1"/>
  <c r="AT81" i="16" s="1"/>
  <c r="AT82" i="16" s="1"/>
  <c r="P34" i="2"/>
  <c r="E34" i="3"/>
  <c r="AA8" i="3"/>
  <c r="G8" i="3" s="1"/>
  <c r="AH15" i="16"/>
  <c r="L35" i="20" s="1"/>
  <c r="X121" i="10" s="1"/>
  <c r="AK121" i="10" s="1"/>
  <c r="G46" i="7"/>
  <c r="G48" i="7" s="1"/>
  <c r="H40" i="7"/>
  <c r="AI40" i="7" s="1"/>
  <c r="N54" i="16"/>
  <c r="X15" i="10" s="1"/>
  <c r="AK15" i="10" s="1"/>
  <c r="AM17" i="6" s="1"/>
  <c r="U17" i="6" s="1"/>
  <c r="AW48" i="16"/>
  <c r="O51" i="17" s="1"/>
  <c r="AI42" i="7"/>
  <c r="I7" i="20"/>
  <c r="U93" i="10" s="1"/>
  <c r="U92" i="10" s="1"/>
  <c r="AE48" i="17"/>
  <c r="AF12" i="16"/>
  <c r="J11" i="18" s="1"/>
  <c r="K4" i="18" s="1"/>
  <c r="V14" i="10"/>
  <c r="AI14" i="10" s="1"/>
  <c r="AK16" i="6" s="1"/>
  <c r="Q16" i="6" s="1"/>
  <c r="AU59" i="16"/>
  <c r="AV58" i="16"/>
  <c r="M58" i="16"/>
  <c r="AU50" i="16"/>
  <c r="M50" i="17" s="1"/>
  <c r="AF22" i="17"/>
  <c r="AT51" i="16"/>
  <c r="L47" i="17"/>
  <c r="AX71" i="16"/>
  <c r="P71" i="16" s="1"/>
  <c r="Z23" i="10" s="1"/>
  <c r="J6" i="18"/>
  <c r="L34" i="16"/>
  <c r="V7" i="10" s="1"/>
  <c r="AI7" i="10" s="1"/>
  <c r="M26" i="21"/>
  <c r="M25" i="21" s="1"/>
  <c r="M121" i="10"/>
  <c r="M120" i="10" s="1"/>
  <c r="M33" i="21"/>
  <c r="I5" i="18"/>
  <c r="I32" i="20" s="1"/>
  <c r="AG58" i="13"/>
  <c r="AH58" i="13"/>
  <c r="AW94" i="16"/>
  <c r="O94" i="16"/>
  <c r="O92" i="16" s="1"/>
  <c r="Q74" i="16"/>
  <c r="Q73" i="16" s="1"/>
  <c r="P73" i="16"/>
  <c r="L44" i="10"/>
  <c r="AL44" i="10" s="1"/>
  <c r="AA8" i="7" s="1"/>
  <c r="M8" i="7" s="1"/>
  <c r="AM8" i="7" s="1"/>
  <c r="O10" i="13"/>
  <c r="BC20" i="7"/>
  <c r="D37" i="7"/>
  <c r="AG37" i="7"/>
  <c r="AC86" i="10"/>
  <c r="AC84" i="10"/>
  <c r="D52" i="7" s="1"/>
  <c r="D35" i="5"/>
  <c r="D40" i="5" s="1"/>
  <c r="L9" i="6"/>
  <c r="AN33" i="6"/>
  <c r="W33" i="6" s="1"/>
  <c r="C5" i="20"/>
  <c r="Y62" i="17"/>
  <c r="O86" i="10"/>
  <c r="Y38" i="17"/>
  <c r="F5" i="20"/>
  <c r="AB62" i="17"/>
  <c r="R86" i="10"/>
  <c r="AB38" i="17"/>
  <c r="E5" i="20"/>
  <c r="AA62" i="17"/>
  <c r="AA38" i="17"/>
  <c r="Q86" i="10"/>
  <c r="AE36" i="7"/>
  <c r="AF36" i="7"/>
  <c r="E39" i="7"/>
  <c r="P91" i="10"/>
  <c r="P90" i="10" s="1"/>
  <c r="P124" i="10" s="1"/>
  <c r="P126" i="10" s="1"/>
  <c r="P128" i="10" s="1"/>
  <c r="D4" i="20"/>
  <c r="D38" i="20" s="1"/>
  <c r="D40" i="20" s="1"/>
  <c r="D42" i="20" s="1"/>
  <c r="AC62" i="17"/>
  <c r="G5" i="20"/>
  <c r="AC38" i="17"/>
  <c r="S86" i="10"/>
  <c r="H131" i="16"/>
  <c r="H130" i="16" s="1"/>
  <c r="G130" i="16"/>
  <c r="Z22" i="16"/>
  <c r="Z23" i="16" s="1"/>
  <c r="F127" i="16"/>
  <c r="AC41" i="16"/>
  <c r="AD31" i="16" s="1"/>
  <c r="AD14" i="3"/>
  <c r="M14" i="3" s="1"/>
  <c r="N14" i="3" s="1"/>
  <c r="AM30" i="6"/>
  <c r="U30" i="6" s="1"/>
  <c r="V25" i="10"/>
  <c r="AI25" i="10" s="1"/>
  <c r="AK27" i="6" s="1"/>
  <c r="Q27" i="6" s="1"/>
  <c r="L87" i="16"/>
  <c r="AU16" i="16"/>
  <c r="AU78" i="16"/>
  <c r="AU79" i="16" s="1"/>
  <c r="AU80" i="16" s="1"/>
  <c r="AU83" i="16" s="1"/>
  <c r="AG10" i="16"/>
  <c r="N16" i="16"/>
  <c r="AW17" i="16"/>
  <c r="AI9" i="6"/>
  <c r="M9" i="6" s="1"/>
  <c r="Z8" i="3"/>
  <c r="BB8" i="3" s="1"/>
  <c r="E9" i="3"/>
  <c r="BB10" i="3"/>
  <c r="T99" i="10"/>
  <c r="N41" i="16"/>
  <c r="N35" i="16" s="1"/>
  <c r="AW18" i="16"/>
  <c r="AD15" i="3"/>
  <c r="M15" i="3" s="1"/>
  <c r="N15" i="3" s="1"/>
  <c r="AM34" i="6"/>
  <c r="U34" i="6" s="1"/>
  <c r="K83" i="16"/>
  <c r="AE16" i="16" s="1"/>
  <c r="AS86" i="16"/>
  <c r="C51" i="6"/>
  <c r="C54" i="6"/>
  <c r="D18" i="6"/>
  <c r="C52" i="6"/>
  <c r="C43" i="6"/>
  <c r="M17" i="21"/>
  <c r="M103" i="10" s="1"/>
  <c r="AM103" i="10" s="1"/>
  <c r="Q50" i="13"/>
  <c r="P51" i="13"/>
  <c r="P109" i="13"/>
  <c r="Y38" i="3"/>
  <c r="G52" i="7"/>
  <c r="X38" i="3"/>
  <c r="F52" i="7"/>
  <c r="W38" i="3"/>
  <c r="E52" i="7"/>
  <c r="F19" i="4"/>
  <c r="AP20" i="4" s="1"/>
  <c r="V46" i="4"/>
  <c r="D19" i="4"/>
  <c r="T46" i="4"/>
  <c r="K50" i="6"/>
  <c r="K49" i="6"/>
  <c r="L34" i="6"/>
  <c r="L30" i="6"/>
  <c r="L8" i="6"/>
  <c r="L10" i="6"/>
  <c r="L14" i="6"/>
  <c r="L20" i="6"/>
  <c r="L25" i="6"/>
  <c r="L24" i="6"/>
  <c r="L29" i="6"/>
  <c r="L26" i="6"/>
  <c r="L7" i="6"/>
  <c r="L16" i="6"/>
  <c r="L17" i="6"/>
  <c r="L15" i="6"/>
  <c r="L33" i="6"/>
  <c r="K40" i="6"/>
  <c r="L12" i="6"/>
  <c r="L21" i="6"/>
  <c r="L27" i="6"/>
  <c r="L23" i="6"/>
  <c r="L11" i="6"/>
  <c r="L22" i="6"/>
  <c r="L13" i="6"/>
  <c r="L32" i="6"/>
  <c r="M12" i="10"/>
  <c r="K51" i="6"/>
  <c r="K43" i="6"/>
  <c r="K52" i="6"/>
  <c r="L18" i="6"/>
  <c r="I51" i="6"/>
  <c r="J18" i="6"/>
  <c r="I52" i="6"/>
  <c r="I43" i="6"/>
  <c r="G51" i="6"/>
  <c r="G43" i="6"/>
  <c r="H18" i="6"/>
  <c r="G52" i="6"/>
  <c r="N13" i="10"/>
  <c r="AN13" i="10" s="1"/>
  <c r="AP15" i="6" s="1"/>
  <c r="AA15" i="6" s="1"/>
  <c r="AG13" i="3"/>
  <c r="S13" i="3" s="1"/>
  <c r="AP29" i="6"/>
  <c r="AA29" i="6" s="1"/>
  <c r="AF13" i="3"/>
  <c r="Q13" i="3" s="1"/>
  <c r="R13" i="3" s="1"/>
  <c r="AO29" i="6"/>
  <c r="Y29" i="6" s="1"/>
  <c r="L112" i="10"/>
  <c r="L111" i="10" s="1"/>
  <c r="L25" i="21"/>
  <c r="P45" i="12"/>
  <c r="M28" i="10" s="1"/>
  <c r="Q46" i="12"/>
  <c r="Q45" i="12" s="1"/>
  <c r="N28" i="10" s="1"/>
  <c r="E19" i="4"/>
  <c r="AO20" i="4" s="1"/>
  <c r="U46" i="4"/>
  <c r="E51" i="6"/>
  <c r="E52" i="6"/>
  <c r="E43" i="6"/>
  <c r="F18" i="6"/>
  <c r="Q151" i="13"/>
  <c r="N8" i="10"/>
  <c r="AN8" i="10" s="1"/>
  <c r="AP10" i="6" s="1"/>
  <c r="AA10" i="6" s="1"/>
  <c r="C41" i="5"/>
  <c r="C42" i="5" s="1"/>
  <c r="T49" i="4"/>
  <c r="T51" i="4" s="1"/>
  <c r="D7" i="4"/>
  <c r="E35" i="5"/>
  <c r="E40" i="5" s="1"/>
  <c r="P36" i="12"/>
  <c r="M18" i="10" s="1"/>
  <c r="P153" i="13"/>
  <c r="C4" i="21"/>
  <c r="C37" i="21" s="1"/>
  <c r="C39" i="21" s="1"/>
  <c r="C42" i="21" s="1"/>
  <c r="C91" i="10"/>
  <c r="X21" i="4"/>
  <c r="X54" i="4" s="1"/>
  <c r="AG92" i="10"/>
  <c r="W7" i="8"/>
  <c r="I7" i="8" s="1"/>
  <c r="AW97" i="13"/>
  <c r="J100" i="13"/>
  <c r="J99" i="13"/>
  <c r="H30" i="21"/>
  <c r="H23" i="21" s="1"/>
  <c r="H118" i="10"/>
  <c r="H117" i="10" s="1"/>
  <c r="H109" i="10" s="1"/>
  <c r="H92" i="10"/>
  <c r="F30" i="5"/>
  <c r="F28" i="5" s="1"/>
  <c r="F35" i="5" s="1"/>
  <c r="F40" i="5" s="1"/>
  <c r="V38" i="4"/>
  <c r="G55" i="12"/>
  <c r="H56" i="12"/>
  <c r="H60" i="12" s="1"/>
  <c r="D4" i="21"/>
  <c r="D37" i="21" s="1"/>
  <c r="D39" i="21" s="1"/>
  <c r="D91" i="10"/>
  <c r="E36" i="3"/>
  <c r="BB32" i="3"/>
  <c r="I31" i="21"/>
  <c r="I6" i="21"/>
  <c r="I93" i="10"/>
  <c r="P36" i="2"/>
  <c r="O37" i="2"/>
  <c r="AH29" i="7"/>
  <c r="H21" i="7"/>
  <c r="AI6" i="7"/>
  <c r="I5" i="7"/>
  <c r="K77" i="13"/>
  <c r="H61" i="10"/>
  <c r="AH61" i="10" s="1"/>
  <c r="W25" i="7" s="1"/>
  <c r="I25" i="7" s="1"/>
  <c r="AI25" i="7" s="1"/>
  <c r="J7" i="21"/>
  <c r="J65" i="10"/>
  <c r="AJ65" i="10" s="1"/>
  <c r="Y29" i="7" s="1"/>
  <c r="K29" i="7" s="1"/>
  <c r="E4" i="21"/>
  <c r="E37" i="21" s="1"/>
  <c r="E39" i="21" s="1"/>
  <c r="E91" i="10"/>
  <c r="N60" i="13"/>
  <c r="C29" i="10"/>
  <c r="F61" i="12"/>
  <c r="F62" i="12" s="1"/>
  <c r="F63" i="12" s="1"/>
  <c r="AG99" i="10"/>
  <c r="W8" i="8" s="1"/>
  <c r="I8" i="8" s="1"/>
  <c r="X27" i="4"/>
  <c r="X55" i="4"/>
  <c r="H10" i="5"/>
  <c r="AA26" i="3"/>
  <c r="G26" i="3" s="1"/>
  <c r="W15" i="7"/>
  <c r="I15" i="7" s="1"/>
  <c r="J152" i="17"/>
  <c r="J154" i="17" s="1"/>
  <c r="J155" i="17" s="1"/>
  <c r="AG122" i="10"/>
  <c r="T120" i="10"/>
  <c r="AI51" i="10"/>
  <c r="V49" i="10"/>
  <c r="X7" i="4"/>
  <c r="AG72" i="10"/>
  <c r="T56" i="10"/>
  <c r="T73" i="10" s="1"/>
  <c r="T80" i="10" s="1"/>
  <c r="V18" i="7"/>
  <c r="H18" i="7" s="1"/>
  <c r="Z29" i="3"/>
  <c r="AG52" i="10"/>
  <c r="X19" i="4" s="1"/>
  <c r="H13" i="7"/>
  <c r="AH15" i="7"/>
  <c r="AW15" i="7"/>
  <c r="AH54" i="10"/>
  <c r="U52" i="10"/>
  <c r="U55" i="10" s="1"/>
  <c r="BB26" i="3"/>
  <c r="E18" i="3"/>
  <c r="T117" i="10"/>
  <c r="AG118" i="10"/>
  <c r="AG117" i="10" s="1"/>
  <c r="X35" i="4" s="1"/>
  <c r="H30" i="5" s="1"/>
  <c r="AG110" i="10"/>
  <c r="J84" i="17"/>
  <c r="J86" i="17" s="1"/>
  <c r="G30" i="5"/>
  <c r="G28" i="5" s="1"/>
  <c r="W38" i="4"/>
  <c r="F4" i="21"/>
  <c r="F37" i="21" s="1"/>
  <c r="F39" i="21" s="1"/>
  <c r="F91" i="10"/>
  <c r="AH110" i="10"/>
  <c r="AP13" i="4"/>
  <c r="AO13" i="4"/>
  <c r="D25" i="4"/>
  <c r="G17" i="4"/>
  <c r="G21" i="5"/>
  <c r="F17" i="4"/>
  <c r="AF38" i="7"/>
  <c r="AE38" i="7"/>
  <c r="AF20" i="7"/>
  <c r="AE20" i="7"/>
  <c r="E17" i="4"/>
  <c r="AG37" i="10"/>
  <c r="AI22" i="6"/>
  <c r="M22" i="6" s="1"/>
  <c r="Q37" i="12"/>
  <c r="N34" i="21" s="1"/>
  <c r="P102" i="16"/>
  <c r="M107" i="10"/>
  <c r="AM107" i="10" s="1"/>
  <c r="M20" i="10"/>
  <c r="I89" i="10"/>
  <c r="U89" i="10"/>
  <c r="AH89" i="10" s="1"/>
  <c r="U40" i="10"/>
  <c r="AH40" i="10" s="1"/>
  <c r="I40" i="10"/>
  <c r="U4" i="10"/>
  <c r="AH4" i="10" s="1"/>
  <c r="AA5" i="3" s="1"/>
  <c r="I4" i="10"/>
  <c r="AK21" i="17"/>
  <c r="AJ21" i="17"/>
  <c r="AJ47" i="17" s="1"/>
  <c r="AI20" i="17"/>
  <c r="AI46" i="17" s="1"/>
  <c r="K31" i="17"/>
  <c r="K40" i="17"/>
  <c r="K115" i="17" s="1"/>
  <c r="AT28" i="16"/>
  <c r="L28" i="16" s="1"/>
  <c r="AF16" i="17"/>
  <c r="V54" i="10" s="1"/>
  <c r="L30" i="17"/>
  <c r="L31" i="17" s="1"/>
  <c r="L65" i="16"/>
  <c r="M32" i="17"/>
  <c r="AU65" i="16" s="1"/>
  <c r="AE17" i="16"/>
  <c r="U19" i="10" s="1"/>
  <c r="K64" i="16"/>
  <c r="I14" i="20"/>
  <c r="U100" i="10" s="1"/>
  <c r="AF41" i="17"/>
  <c r="L20" i="17"/>
  <c r="AT8" i="16"/>
  <c r="L8" i="16" s="1"/>
  <c r="AF9" i="16" s="1"/>
  <c r="M33" i="17"/>
  <c r="M19" i="17"/>
  <c r="N21" i="17"/>
  <c r="AG15" i="17"/>
  <c r="W51" i="10" s="1"/>
  <c r="AE19" i="17"/>
  <c r="K42" i="17"/>
  <c r="K41" i="17" s="1"/>
  <c r="K160" i="17"/>
  <c r="AD23" i="17"/>
  <c r="AD43" i="17"/>
  <c r="AE11" i="16"/>
  <c r="U10" i="10" s="1"/>
  <c r="AS29" i="16"/>
  <c r="AE42" i="17"/>
  <c r="AE17" i="17"/>
  <c r="P123" i="16"/>
  <c r="AI35" i="16"/>
  <c r="O122" i="16"/>
  <c r="Y33" i="10" s="1"/>
  <c r="AL33" i="10" s="1"/>
  <c r="Q119" i="16"/>
  <c r="Q118" i="16" s="1"/>
  <c r="AA32" i="10" s="1"/>
  <c r="AN32" i="10" s="1"/>
  <c r="P118" i="16"/>
  <c r="Z32" i="10" s="1"/>
  <c r="AM32" i="10" s="1"/>
  <c r="AF17" i="3" s="1"/>
  <c r="Q17" i="3" s="1"/>
  <c r="R17" i="3" s="1"/>
  <c r="P115" i="16"/>
  <c r="O114" i="16"/>
  <c r="Y28" i="10" s="1"/>
  <c r="AL28" i="10" s="1"/>
  <c r="AX54" i="16"/>
  <c r="AX48" i="16"/>
  <c r="P51" i="17" s="1"/>
  <c r="O54" i="16"/>
  <c r="Y15" i="10" s="1"/>
  <c r="AL15" i="10" s="1"/>
  <c r="AN17" i="6" s="1"/>
  <c r="W17" i="6" s="1"/>
  <c r="AX53" i="16"/>
  <c r="O53" i="16"/>
  <c r="N17" i="21"/>
  <c r="N103" i="10" s="1"/>
  <c r="AN103" i="10" s="1"/>
  <c r="K19" i="13"/>
  <c r="K41" i="13"/>
  <c r="K10" i="12"/>
  <c r="H10" i="10" s="1"/>
  <c r="AF7" i="12"/>
  <c r="AG30" i="12"/>
  <c r="AH35" i="12"/>
  <c r="K71" i="13"/>
  <c r="O34" i="14"/>
  <c r="O18" i="14" s="1"/>
  <c r="AF9" i="13"/>
  <c r="Q75" i="13"/>
  <c r="P73" i="13"/>
  <c r="AG33" i="12"/>
  <c r="AG10" i="12"/>
  <c r="U39" i="4" l="1"/>
  <c r="E18" i="4"/>
  <c r="AO18" i="4" s="1"/>
  <c r="AT89" i="16"/>
  <c r="AT84" i="16"/>
  <c r="AT85" i="16" s="1"/>
  <c r="L101" i="16" s="1"/>
  <c r="L86" i="16" s="1"/>
  <c r="V18" i="10" s="1"/>
  <c r="AI18" i="10" s="1"/>
  <c r="AK20" i="6" s="1"/>
  <c r="Q20" i="6" s="1"/>
  <c r="AB22" i="7"/>
  <c r="N22" i="7" s="1"/>
  <c r="E46" i="7"/>
  <c r="E48" i="7" s="1"/>
  <c r="AF48" i="7" s="1"/>
  <c r="L70" i="10"/>
  <c r="AL70" i="10" s="1"/>
  <c r="AA34" i="7" s="1"/>
  <c r="M34" i="7" s="1"/>
  <c r="M112" i="10"/>
  <c r="M111" i="10" s="1"/>
  <c r="B90" i="10"/>
  <c r="B124" i="10" s="1"/>
  <c r="B126" i="10" s="1"/>
  <c r="B128" i="10" s="1"/>
  <c r="AB91" i="10"/>
  <c r="P111" i="13"/>
  <c r="N58" i="10"/>
  <c r="AN58" i="10" s="1"/>
  <c r="AC22" i="7" s="1"/>
  <c r="O22" i="7" s="1"/>
  <c r="M129" i="13"/>
  <c r="L14" i="10"/>
  <c r="O11" i="12"/>
  <c r="L7" i="10" s="1"/>
  <c r="P133" i="13"/>
  <c r="O54" i="7"/>
  <c r="O40" i="7"/>
  <c r="M104" i="13"/>
  <c r="Q73" i="13"/>
  <c r="Q74" i="13" s="1"/>
  <c r="P154" i="13"/>
  <c r="R33" i="3"/>
  <c r="K21" i="13"/>
  <c r="M150" i="13"/>
  <c r="P144" i="13"/>
  <c r="Q143" i="13"/>
  <c r="Q131" i="13"/>
  <c r="R142" i="13"/>
  <c r="AU37" i="7"/>
  <c r="P37" i="2"/>
  <c r="AI5" i="7"/>
  <c r="H26" i="3"/>
  <c r="AG46" i="7"/>
  <c r="K15" i="20"/>
  <c r="W101" i="10" s="1"/>
  <c r="AJ101" i="10" s="1"/>
  <c r="AH40" i="7"/>
  <c r="BB9" i="3"/>
  <c r="I6" i="20"/>
  <c r="AY71" i="16"/>
  <c r="Q71" i="16" s="1"/>
  <c r="AA23" i="10" s="1"/>
  <c r="AB8" i="3"/>
  <c r="I8" i="3" s="1"/>
  <c r="AK9" i="6"/>
  <c r="Q9" i="6" s="1"/>
  <c r="AG22" i="17"/>
  <c r="M47" i="17"/>
  <c r="AU51" i="16"/>
  <c r="M34" i="16"/>
  <c r="W7" i="10" s="1"/>
  <c r="AJ7" i="10" s="1"/>
  <c r="AC8" i="3" s="1"/>
  <c r="K8" i="3" s="1"/>
  <c r="AG12" i="16"/>
  <c r="K11" i="18" s="1"/>
  <c r="L4" i="18" s="1"/>
  <c r="W14" i="10"/>
  <c r="AJ14" i="10" s="1"/>
  <c r="AL16" i="6" s="1"/>
  <c r="S16" i="6" s="1"/>
  <c r="AW58" i="16"/>
  <c r="N58" i="16"/>
  <c r="L6" i="18" s="1"/>
  <c r="AV50" i="16"/>
  <c r="N50" i="17" s="1"/>
  <c r="AV59" i="16"/>
  <c r="AU60" i="16"/>
  <c r="J7" i="20"/>
  <c r="AF48" i="17"/>
  <c r="J10" i="18"/>
  <c r="J5" i="18" s="1"/>
  <c r="J32" i="20" s="1"/>
  <c r="J31" i="20" s="1"/>
  <c r="K6" i="18"/>
  <c r="AH93" i="10"/>
  <c r="X7" i="8" s="1"/>
  <c r="J7" i="8" s="1"/>
  <c r="BC37" i="7"/>
  <c r="N121" i="10"/>
  <c r="N120" i="10" s="1"/>
  <c r="N33" i="21"/>
  <c r="I31" i="20"/>
  <c r="U118" i="10"/>
  <c r="U117" i="10" s="1"/>
  <c r="U20" i="10"/>
  <c r="AH20" i="10" s="1"/>
  <c r="AJ22" i="6" s="1"/>
  <c r="O22" i="6" s="1"/>
  <c r="I36" i="20"/>
  <c r="N69" i="10"/>
  <c r="AN69" i="10" s="1"/>
  <c r="AC33" i="7" s="1"/>
  <c r="O33" i="7" s="1"/>
  <c r="P94" i="16"/>
  <c r="P92" i="16" s="1"/>
  <c r="AX94" i="16"/>
  <c r="AI15" i="16"/>
  <c r="M35" i="20" s="1"/>
  <c r="Y121" i="10" s="1"/>
  <c r="AL121" i="10" s="1"/>
  <c r="M44" i="10"/>
  <c r="AM44" i="10" s="1"/>
  <c r="AB8" i="7" s="1"/>
  <c r="N8" i="7" s="1"/>
  <c r="AN8" i="7" s="1"/>
  <c r="P10" i="13"/>
  <c r="AE37" i="7"/>
  <c r="D46" i="7"/>
  <c r="D48" i="7" s="1"/>
  <c r="D53" i="7" s="1"/>
  <c r="AF39" i="7"/>
  <c r="AE39" i="7"/>
  <c r="Q91" i="10"/>
  <c r="Q90" i="10" s="1"/>
  <c r="Q124" i="10" s="1"/>
  <c r="Q126" i="10" s="1"/>
  <c r="Q128" i="10" s="1"/>
  <c r="E4" i="20"/>
  <c r="E38" i="20" s="1"/>
  <c r="E40" i="20" s="1"/>
  <c r="E42" i="20" s="1"/>
  <c r="Z24" i="16"/>
  <c r="Z26" i="16" s="1"/>
  <c r="Z43" i="16"/>
  <c r="F107" i="16"/>
  <c r="F141" i="16" s="1"/>
  <c r="F143" i="16" s="1"/>
  <c r="F144" i="16" s="1"/>
  <c r="P29" i="10"/>
  <c r="AC29" i="10" s="1"/>
  <c r="G127" i="16"/>
  <c r="AA22" i="16"/>
  <c r="AA23" i="16" s="1"/>
  <c r="R91" i="10"/>
  <c r="R90" i="10" s="1"/>
  <c r="R124" i="10" s="1"/>
  <c r="R126" i="10" s="1"/>
  <c r="R128" i="10" s="1"/>
  <c r="F4" i="20"/>
  <c r="F38" i="20" s="1"/>
  <c r="F40" i="20" s="1"/>
  <c r="F42" i="20" s="1"/>
  <c r="AB22" i="16"/>
  <c r="AB23" i="16" s="1"/>
  <c r="I131" i="16"/>
  <c r="I130" i="16" s="1"/>
  <c r="J131" i="16" s="1"/>
  <c r="H127" i="16"/>
  <c r="S91" i="10"/>
  <c r="S90" i="10" s="1"/>
  <c r="S124" i="10" s="1"/>
  <c r="S126" i="10" s="1"/>
  <c r="S128" i="10" s="1"/>
  <c r="G4" i="20"/>
  <c r="G38" i="20" s="1"/>
  <c r="G40" i="20" s="1"/>
  <c r="G42" i="20" s="1"/>
  <c r="O91" i="10"/>
  <c r="O90" i="10" s="1"/>
  <c r="O124" i="10" s="1"/>
  <c r="O126" i="10" s="1"/>
  <c r="O128" i="10" s="1"/>
  <c r="C4" i="20"/>
  <c r="C38" i="20" s="1"/>
  <c r="C40" i="20" s="1"/>
  <c r="C42" i="20" s="1"/>
  <c r="AP33" i="6"/>
  <c r="AA33" i="6" s="1"/>
  <c r="AG17" i="3"/>
  <c r="S17" i="3" s="1"/>
  <c r="T17" i="3" s="1"/>
  <c r="AE14" i="3"/>
  <c r="O14" i="3" s="1"/>
  <c r="P14" i="3" s="1"/>
  <c r="AN30" i="6"/>
  <c r="W30" i="6" s="1"/>
  <c r="AV16" i="16"/>
  <c r="AV70" i="16" s="1"/>
  <c r="AV72" i="16" s="1"/>
  <c r="N90" i="16" s="1"/>
  <c r="AV78" i="16"/>
  <c r="AV79" i="16" s="1"/>
  <c r="AV80" i="16" s="1"/>
  <c r="AV83" i="16" s="1"/>
  <c r="AH10" i="16"/>
  <c r="L15" i="20" s="1"/>
  <c r="X101" i="10" s="1"/>
  <c r="AK101" i="10" s="1"/>
  <c r="AU84" i="16"/>
  <c r="AU85" i="16" s="1"/>
  <c r="M101" i="16" s="1"/>
  <c r="AU89" i="16"/>
  <c r="AU81" i="16"/>
  <c r="AU82" i="16" s="1"/>
  <c r="AO33" i="6"/>
  <c r="Y33" i="6" s="1"/>
  <c r="O16" i="16"/>
  <c r="AX17" i="16"/>
  <c r="O41" i="16"/>
  <c r="O35" i="16" s="1"/>
  <c r="AX18" i="16"/>
  <c r="AB11" i="3"/>
  <c r="I11" i="3" s="1"/>
  <c r="L83" i="16"/>
  <c r="AF16" i="16" s="1"/>
  <c r="AT86" i="16"/>
  <c r="AN34" i="6"/>
  <c r="W34" i="6" s="1"/>
  <c r="AE15" i="3"/>
  <c r="O15" i="3" s="1"/>
  <c r="P15" i="3" s="1"/>
  <c r="H8" i="3"/>
  <c r="Q51" i="13"/>
  <c r="Q109" i="13"/>
  <c r="Q153" i="13"/>
  <c r="F18" i="4"/>
  <c r="AP18" i="4" s="1"/>
  <c r="V39" i="4"/>
  <c r="AN20" i="4"/>
  <c r="D20" i="4"/>
  <c r="AN21" i="4" s="1"/>
  <c r="N112" i="10"/>
  <c r="N111" i="10" s="1"/>
  <c r="N25" i="21"/>
  <c r="T13" i="3"/>
  <c r="G18" i="4"/>
  <c r="AQ18" i="4" s="1"/>
  <c r="W39" i="4"/>
  <c r="AN7" i="4"/>
  <c r="D10" i="4"/>
  <c r="V49" i="4"/>
  <c r="V51" i="4" s="1"/>
  <c r="AH10" i="10"/>
  <c r="AJ12" i="6" s="1"/>
  <c r="O12" i="6" s="1"/>
  <c r="I30" i="21"/>
  <c r="I23" i="21" s="1"/>
  <c r="I118" i="10"/>
  <c r="I117" i="10" s="1"/>
  <c r="I109" i="10" s="1"/>
  <c r="AG55" i="10"/>
  <c r="AK29" i="7"/>
  <c r="AL29" i="7"/>
  <c r="J31" i="21"/>
  <c r="J93" i="10"/>
  <c r="J6" i="21"/>
  <c r="D90" i="10"/>
  <c r="D124" i="10" s="1"/>
  <c r="D126" i="10" s="1"/>
  <c r="D128" i="10" s="1"/>
  <c r="C35" i="10"/>
  <c r="C34" i="10"/>
  <c r="D40" i="21"/>
  <c r="D42" i="21"/>
  <c r="AW100" i="13"/>
  <c r="G5" i="21"/>
  <c r="J57" i="12"/>
  <c r="G86" i="10"/>
  <c r="H55" i="12"/>
  <c r="I56" i="12"/>
  <c r="I60" i="12" s="1"/>
  <c r="G61" i="12"/>
  <c r="G62" i="12" s="1"/>
  <c r="G63" i="12" s="1"/>
  <c r="D29" i="10"/>
  <c r="AH21" i="7"/>
  <c r="H38" i="7"/>
  <c r="AH38" i="7" s="1"/>
  <c r="K65" i="10"/>
  <c r="AK65" i="10" s="1"/>
  <c r="Z29" i="7" s="1"/>
  <c r="L29" i="7" s="1"/>
  <c r="K7" i="21"/>
  <c r="C90" i="10"/>
  <c r="C124" i="10" s="1"/>
  <c r="C126" i="10" s="1"/>
  <c r="C128" i="10" s="1"/>
  <c r="AC91" i="10"/>
  <c r="O60" i="13"/>
  <c r="E90" i="10"/>
  <c r="E124" i="10" s="1"/>
  <c r="E126" i="10" s="1"/>
  <c r="E128" i="10" s="1"/>
  <c r="E40" i="21"/>
  <c r="E42" i="21"/>
  <c r="I92" i="10"/>
  <c r="G85" i="10"/>
  <c r="J85" i="17"/>
  <c r="AP84" i="17"/>
  <c r="J107" i="17"/>
  <c r="J109" i="17" s="1"/>
  <c r="J111" i="17" s="1"/>
  <c r="J149" i="17"/>
  <c r="L40" i="17"/>
  <c r="L152" i="17" s="1"/>
  <c r="L154" i="17" s="1"/>
  <c r="X12" i="4"/>
  <c r="H8" i="5"/>
  <c r="W12" i="8"/>
  <c r="I12" i="8" s="1"/>
  <c r="AG120" i="10"/>
  <c r="X42" i="4"/>
  <c r="Z34" i="3"/>
  <c r="V36" i="7"/>
  <c r="H36" i="7" s="1"/>
  <c r="AG56" i="10"/>
  <c r="X20" i="4" s="1"/>
  <c r="H23" i="5" s="1"/>
  <c r="AB26" i="3"/>
  <c r="I26" i="3" s="1"/>
  <c r="X15" i="7"/>
  <c r="J15" i="7" s="1"/>
  <c r="AI15" i="7"/>
  <c r="AJ51" i="10"/>
  <c r="W49" i="10"/>
  <c r="AH13" i="7"/>
  <c r="K152" i="17"/>
  <c r="K154" i="17" s="1"/>
  <c r="BB18" i="3"/>
  <c r="H22" i="5"/>
  <c r="BB29" i="3"/>
  <c r="E27" i="3"/>
  <c r="H27" i="5"/>
  <c r="X56" i="4"/>
  <c r="AA29" i="3"/>
  <c r="G29" i="3" s="1"/>
  <c r="W18" i="7"/>
  <c r="I18" i="7" s="1"/>
  <c r="AI54" i="10"/>
  <c r="V52" i="10"/>
  <c r="V55" i="10" s="1"/>
  <c r="X34" i="4"/>
  <c r="AH18" i="7"/>
  <c r="AW18" i="7"/>
  <c r="H16" i="7"/>
  <c r="P74" i="13"/>
  <c r="M70" i="10"/>
  <c r="AM70" i="10" s="1"/>
  <c r="AB34" i="7" s="1"/>
  <c r="N34" i="7" s="1"/>
  <c r="F40" i="21"/>
  <c r="F42" i="21"/>
  <c r="F90" i="10"/>
  <c r="F124" i="10" s="1"/>
  <c r="F126" i="10" s="1"/>
  <c r="F128" i="10" s="1"/>
  <c r="W49" i="4"/>
  <c r="W51" i="4" s="1"/>
  <c r="Y34" i="4"/>
  <c r="AH100" i="10"/>
  <c r="Y10" i="4" s="1"/>
  <c r="AQ17" i="4"/>
  <c r="G35" i="5"/>
  <c r="G40" i="5" s="1"/>
  <c r="AP17" i="4"/>
  <c r="AO17" i="4"/>
  <c r="E20" i="4"/>
  <c r="G53" i="7"/>
  <c r="AG48" i="7"/>
  <c r="F53" i="7"/>
  <c r="M42" i="6"/>
  <c r="M43" i="6" s="1"/>
  <c r="M52" i="6"/>
  <c r="Q36" i="12"/>
  <c r="N18" i="10" s="1"/>
  <c r="Q102" i="16"/>
  <c r="N20" i="10"/>
  <c r="N107" i="10"/>
  <c r="AN107" i="10" s="1"/>
  <c r="AH19" i="10"/>
  <c r="J14" i="20"/>
  <c r="V100" i="10" s="1"/>
  <c r="V9" i="10"/>
  <c r="J89" i="10"/>
  <c r="V89" i="10"/>
  <c r="AI89" i="10" s="1"/>
  <c r="V40" i="10"/>
  <c r="AI40" i="10" s="1"/>
  <c r="J40" i="10"/>
  <c r="V4" i="10"/>
  <c r="AI4" i="10" s="1"/>
  <c r="AB5" i="3" s="1"/>
  <c r="J4" i="10"/>
  <c r="AJ20" i="17"/>
  <c r="AJ46" i="17" s="1"/>
  <c r="AK47" i="17"/>
  <c r="N33" i="17"/>
  <c r="AF17" i="16"/>
  <c r="L64" i="16"/>
  <c r="AU28" i="16"/>
  <c r="M28" i="16" s="1"/>
  <c r="N32" i="17"/>
  <c r="AV65" i="16" s="1"/>
  <c r="AG16" i="17"/>
  <c r="W54" i="10" s="1"/>
  <c r="M65" i="16"/>
  <c r="M30" i="17"/>
  <c r="M20" i="17"/>
  <c r="AU8" i="16"/>
  <c r="O21" i="17"/>
  <c r="AH15" i="17"/>
  <c r="N19" i="17"/>
  <c r="AG41" i="17"/>
  <c r="AE45" i="17"/>
  <c r="AE18" i="17"/>
  <c r="K159" i="17"/>
  <c r="AQ44" i="17"/>
  <c r="L167" i="17"/>
  <c r="AD32" i="17"/>
  <c r="AD49" i="17"/>
  <c r="I16" i="20"/>
  <c r="U102" i="10" s="1"/>
  <c r="AE43" i="17"/>
  <c r="AF11" i="16"/>
  <c r="AT29" i="16"/>
  <c r="AT30" i="16"/>
  <c r="AF42" i="17"/>
  <c r="AF17" i="17"/>
  <c r="I18" i="20"/>
  <c r="U104" i="10" s="1"/>
  <c r="AH104" i="10" s="1"/>
  <c r="Y26" i="4" s="1"/>
  <c r="Q123" i="16"/>
  <c r="AJ35" i="16"/>
  <c r="N29" i="20" s="1"/>
  <c r="Z115" i="10" s="1"/>
  <c r="AM115" i="10" s="1"/>
  <c r="P122" i="16"/>
  <c r="Z33" i="10" s="1"/>
  <c r="AM33" i="10" s="1"/>
  <c r="M29" i="20"/>
  <c r="Y115" i="10" s="1"/>
  <c r="AL115" i="10" s="1"/>
  <c r="P114" i="16"/>
  <c r="Z28" i="10" s="1"/>
  <c r="AM28" i="10" s="1"/>
  <c r="Q115" i="16"/>
  <c r="Q114" i="16" s="1"/>
  <c r="AA28" i="10" s="1"/>
  <c r="AN28" i="10" s="1"/>
  <c r="AY54" i="16"/>
  <c r="Q54" i="16" s="1"/>
  <c r="AA15" i="10" s="1"/>
  <c r="AN15" i="10" s="1"/>
  <c r="AP17" i="6" s="1"/>
  <c r="AA17" i="6" s="1"/>
  <c r="AY48" i="16"/>
  <c r="Q51" i="17" s="1"/>
  <c r="P54" i="16"/>
  <c r="Z15" i="10" s="1"/>
  <c r="AM15" i="10" s="1"/>
  <c r="AO17" i="6" s="1"/>
  <c r="Y17" i="6" s="1"/>
  <c r="AY53" i="16"/>
  <c r="P53" i="16"/>
  <c r="AH10" i="12"/>
  <c r="AG9" i="13"/>
  <c r="AH30" i="12"/>
  <c r="AA21" i="3"/>
  <c r="G21" i="3" s="1"/>
  <c r="K30" i="13"/>
  <c r="AB20" i="13"/>
  <c r="K22" i="13"/>
  <c r="K16" i="13"/>
  <c r="O26" i="14"/>
  <c r="AH33" i="12"/>
  <c r="AB44" i="13"/>
  <c r="K43" i="13"/>
  <c r="K45" i="13"/>
  <c r="AG7" i="12"/>
  <c r="AB41" i="13"/>
  <c r="H16" i="21"/>
  <c r="H102" i="10" s="1"/>
  <c r="K4" i="12"/>
  <c r="AG9" i="16" l="1"/>
  <c r="W9" i="10" s="1"/>
  <c r="M8" i="16"/>
  <c r="AF46" i="7"/>
  <c r="AG33" i="3"/>
  <c r="S33" i="3" s="1"/>
  <c r="J8" i="3"/>
  <c r="Q132" i="13"/>
  <c r="Q133" i="13" s="1"/>
  <c r="R143" i="13"/>
  <c r="T33" i="3"/>
  <c r="L44" i="13"/>
  <c r="N150" i="13"/>
  <c r="P17" i="12"/>
  <c r="H53" i="10"/>
  <c r="AH53" i="10" s="1"/>
  <c r="N129" i="13"/>
  <c r="AB26" i="13"/>
  <c r="Q154" i="13"/>
  <c r="L8" i="3"/>
  <c r="N70" i="10"/>
  <c r="AN70" i="10" s="1"/>
  <c r="AC34" i="7" s="1"/>
  <c r="O34" i="7" s="1"/>
  <c r="H21" i="3"/>
  <c r="Q111" i="13"/>
  <c r="N104" i="13"/>
  <c r="R6" i="8"/>
  <c r="D6" i="8" s="1"/>
  <c r="D5" i="8" s="1"/>
  <c r="D18" i="8" s="1"/>
  <c r="D20" i="8" s="1"/>
  <c r="E19" i="8" s="1"/>
  <c r="AB90" i="10"/>
  <c r="AB124" i="10" s="1"/>
  <c r="AB126" i="10" s="1"/>
  <c r="AH16" i="7"/>
  <c r="J26" i="3"/>
  <c r="BB27" i="3"/>
  <c r="AH118" i="10"/>
  <c r="AH117" i="10" s="1"/>
  <c r="Y35" i="4" s="1"/>
  <c r="I30" i="5" s="1"/>
  <c r="AL9" i="6"/>
  <c r="S9" i="6" s="1"/>
  <c r="Y21" i="4"/>
  <c r="Y54" i="4" s="1"/>
  <c r="AH92" i="10"/>
  <c r="V118" i="10"/>
  <c r="AI118" i="10" s="1"/>
  <c r="AI117" i="10" s="1"/>
  <c r="Z35" i="4" s="1"/>
  <c r="AW59" i="16"/>
  <c r="AV60" i="16"/>
  <c r="N47" i="17"/>
  <c r="AV51" i="16"/>
  <c r="AH22" i="17"/>
  <c r="X14" i="10"/>
  <c r="AK14" i="10" s="1"/>
  <c r="AM16" i="6" s="1"/>
  <c r="U16" i="6" s="1"/>
  <c r="AH12" i="16"/>
  <c r="L11" i="18" s="1"/>
  <c r="M4" i="18" s="1"/>
  <c r="O58" i="16"/>
  <c r="O34" i="16" s="1"/>
  <c r="Y7" i="10" s="1"/>
  <c r="AL7" i="10" s="1"/>
  <c r="AX58" i="16"/>
  <c r="AW50" i="16"/>
  <c r="O50" i="17" s="1"/>
  <c r="AG48" i="17"/>
  <c r="K7" i="20"/>
  <c r="K10" i="18"/>
  <c r="K5" i="18" s="1"/>
  <c r="K32" i="20" s="1"/>
  <c r="W118" i="10" s="1"/>
  <c r="N34" i="16"/>
  <c r="X7" i="10" s="1"/>
  <c r="AK7" i="10" s="1"/>
  <c r="J6" i="20"/>
  <c r="V93" i="10"/>
  <c r="H50" i="10"/>
  <c r="AH50" i="10" s="1"/>
  <c r="AB29" i="13"/>
  <c r="AB27" i="13"/>
  <c r="AB25" i="13"/>
  <c r="AC25" i="13" s="1"/>
  <c r="AD25" i="13" s="1"/>
  <c r="AE25" i="13" s="1"/>
  <c r="AF25" i="13" s="1"/>
  <c r="AG25" i="13" s="1"/>
  <c r="AH25" i="13" s="1"/>
  <c r="AB28" i="13"/>
  <c r="AE46" i="7"/>
  <c r="V20" i="10"/>
  <c r="AI20" i="10" s="1"/>
  <c r="AK22" i="6" s="1"/>
  <c r="Q22" i="6" s="1"/>
  <c r="J36" i="20"/>
  <c r="AJ15" i="16"/>
  <c r="N35" i="20" s="1"/>
  <c r="Z121" i="10" s="1"/>
  <c r="AM121" i="10" s="1"/>
  <c r="Q94" i="16"/>
  <c r="Q92" i="16" s="1"/>
  <c r="AY94" i="16"/>
  <c r="U122" i="10"/>
  <c r="AH122" i="10" s="1"/>
  <c r="N44" i="10"/>
  <c r="AN44" i="10" s="1"/>
  <c r="AC8" i="7" s="1"/>
  <c r="O8" i="7" s="1"/>
  <c r="AO8" i="7" s="1"/>
  <c r="Q10" i="13"/>
  <c r="AE91" i="10"/>
  <c r="U6" i="8" s="1"/>
  <c r="G6" i="8" s="1"/>
  <c r="G5" i="8" s="1"/>
  <c r="G18" i="8" s="1"/>
  <c r="AD91" i="10"/>
  <c r="T6" i="8" s="1"/>
  <c r="F6" i="8" s="1"/>
  <c r="F5" i="8" s="1"/>
  <c r="F18" i="8" s="1"/>
  <c r="P35" i="10"/>
  <c r="P34" i="10"/>
  <c r="L115" i="17"/>
  <c r="Q29" i="10"/>
  <c r="AD29" i="10" s="1"/>
  <c r="G107" i="16"/>
  <c r="G141" i="16" s="1"/>
  <c r="G143" i="16" s="1"/>
  <c r="G144" i="16" s="1"/>
  <c r="AF91" i="10"/>
  <c r="AF90" i="10" s="1"/>
  <c r="AF124" i="10" s="1"/>
  <c r="AF126" i="10" s="1"/>
  <c r="I127" i="16"/>
  <c r="AC22" i="16"/>
  <c r="AC23" i="16" s="1"/>
  <c r="R29" i="10"/>
  <c r="H107" i="16"/>
  <c r="H141" i="16" s="1"/>
  <c r="H143" i="16" s="1"/>
  <c r="H144" i="16" s="1"/>
  <c r="AB43" i="16"/>
  <c r="AB24" i="16"/>
  <c r="AB26" i="16" s="1"/>
  <c r="AA24" i="16"/>
  <c r="AA26" i="16" s="1"/>
  <c r="AA43" i="16"/>
  <c r="AO30" i="6"/>
  <c r="Y30" i="6" s="1"/>
  <c r="AF14" i="3"/>
  <c r="Q14" i="3" s="1"/>
  <c r="R14" i="3" s="1"/>
  <c r="AG14" i="3"/>
  <c r="S14" i="3" s="1"/>
  <c r="AP30" i="6"/>
  <c r="AA30" i="6" s="1"/>
  <c r="P16" i="16"/>
  <c r="AY17" i="16"/>
  <c r="Q16" i="16" s="1"/>
  <c r="AV84" i="16"/>
  <c r="AV85" i="16" s="1"/>
  <c r="N101" i="16" s="1"/>
  <c r="AV81" i="16"/>
  <c r="AV82" i="16" s="1"/>
  <c r="AW16" i="16"/>
  <c r="AW78" i="16"/>
  <c r="AW79" i="16" s="1"/>
  <c r="AW80" i="16" s="1"/>
  <c r="AW83" i="16" s="1"/>
  <c r="AI10" i="16"/>
  <c r="M15" i="20" s="1"/>
  <c r="Y101" i="10" s="1"/>
  <c r="AL101" i="10" s="1"/>
  <c r="X25" i="10"/>
  <c r="AK25" i="10" s="1"/>
  <c r="AM27" i="6" s="1"/>
  <c r="U27" i="6" s="1"/>
  <c r="N87" i="16"/>
  <c r="M83" i="16"/>
  <c r="AG16" i="16" s="1"/>
  <c r="AU86" i="16"/>
  <c r="AF15" i="3"/>
  <c r="Q15" i="3" s="1"/>
  <c r="R15" i="3" s="1"/>
  <c r="AO34" i="6"/>
  <c r="Y34" i="6" s="1"/>
  <c r="AY18" i="16"/>
  <c r="Q41" i="16" s="1"/>
  <c r="Q35" i="16" s="1"/>
  <c r="P41" i="16"/>
  <c r="P35" i="16" s="1"/>
  <c r="F20" i="4"/>
  <c r="AP21" i="4" s="1"/>
  <c r="G20" i="4"/>
  <c r="G26" i="4" s="1"/>
  <c r="D26" i="4"/>
  <c r="AN13" i="4"/>
  <c r="D34" i="10"/>
  <c r="D35" i="10"/>
  <c r="J92" i="10"/>
  <c r="J118" i="10"/>
  <c r="J117" i="10" s="1"/>
  <c r="J109" i="10" s="1"/>
  <c r="J30" i="21"/>
  <c r="J23" i="21" s="1"/>
  <c r="L7" i="21"/>
  <c r="L65" i="10"/>
  <c r="AL65" i="10" s="1"/>
  <c r="AA29" i="7" s="1"/>
  <c r="M29" i="7" s="1"/>
  <c r="G4" i="21"/>
  <c r="G37" i="21" s="1"/>
  <c r="G39" i="21" s="1"/>
  <c r="G91" i="10"/>
  <c r="G90" i="10" s="1"/>
  <c r="G124" i="10" s="1"/>
  <c r="G126" i="10" s="1"/>
  <c r="G128" i="10" s="1"/>
  <c r="P60" i="13"/>
  <c r="J56" i="12"/>
  <c r="J60" i="12" s="1"/>
  <c r="I55" i="12"/>
  <c r="S6" i="8"/>
  <c r="E6" i="8" s="1"/>
  <c r="E5" i="8" s="1"/>
  <c r="E18" i="8" s="1"/>
  <c r="AC90" i="10"/>
  <c r="AC124" i="10" s="1"/>
  <c r="AC126" i="10" s="1"/>
  <c r="H61" i="12"/>
  <c r="H62" i="12" s="1"/>
  <c r="H63" i="12" s="1"/>
  <c r="E29" i="10"/>
  <c r="K31" i="21"/>
  <c r="K93" i="10"/>
  <c r="K6" i="21"/>
  <c r="AE31" i="6"/>
  <c r="E31" i="6" s="1"/>
  <c r="AC35" i="10"/>
  <c r="AC34" i="10"/>
  <c r="H39" i="7"/>
  <c r="AH39" i="7" s="1"/>
  <c r="AH36" i="7"/>
  <c r="H20" i="7"/>
  <c r="BB34" i="3"/>
  <c r="E31" i="3"/>
  <c r="E37" i="3"/>
  <c r="AJ54" i="10"/>
  <c r="W52" i="10"/>
  <c r="W55" i="10" s="1"/>
  <c r="X18" i="7"/>
  <c r="J18" i="7" s="1"/>
  <c r="AB29" i="3"/>
  <c r="I29" i="3" s="1"/>
  <c r="AC26" i="3"/>
  <c r="K26" i="3" s="1"/>
  <c r="Y15" i="7"/>
  <c r="K15" i="7" s="1"/>
  <c r="AE44" i="17"/>
  <c r="U72" i="10"/>
  <c r="AI18" i="7"/>
  <c r="AG73" i="10"/>
  <c r="AG80" i="10" s="1"/>
  <c r="H7" i="5"/>
  <c r="H14" i="5" s="1"/>
  <c r="H19" i="7"/>
  <c r="X45" i="4"/>
  <c r="H32" i="5"/>
  <c r="H31" i="5" s="1"/>
  <c r="AH41" i="17"/>
  <c r="X51" i="10"/>
  <c r="H29" i="3"/>
  <c r="H7" i="4"/>
  <c r="AJ15" i="7"/>
  <c r="E30" i="3"/>
  <c r="AE23" i="17"/>
  <c r="AE49" i="17" s="1"/>
  <c r="I11" i="5"/>
  <c r="AH102" i="10"/>
  <c r="Y25" i="4" s="1"/>
  <c r="K28" i="12"/>
  <c r="H6" i="10"/>
  <c r="H36" i="10" s="1"/>
  <c r="E26" i="4"/>
  <c r="AO21" i="4"/>
  <c r="E53" i="7"/>
  <c r="AE48" i="7"/>
  <c r="AJ21" i="6"/>
  <c r="O21" i="6" s="1"/>
  <c r="J18" i="20"/>
  <c r="V104" i="10" s="1"/>
  <c r="V19" i="10"/>
  <c r="J16" i="20"/>
  <c r="V102" i="10" s="1"/>
  <c r="V10" i="10"/>
  <c r="K89" i="10"/>
  <c r="W89" i="10"/>
  <c r="AJ89" i="10" s="1"/>
  <c r="W40" i="10"/>
  <c r="AJ40" i="10" s="1"/>
  <c r="K40" i="10"/>
  <c r="K4" i="10"/>
  <c r="W4" i="10"/>
  <c r="AJ4" i="10" s="1"/>
  <c r="AC5" i="3" s="1"/>
  <c r="AK20" i="17"/>
  <c r="AK46" i="17" s="1"/>
  <c r="M31" i="17"/>
  <c r="M40" i="17"/>
  <c r="AG42" i="17"/>
  <c r="AG17" i="17"/>
  <c r="AG43" i="17" s="1"/>
  <c r="AV28" i="16"/>
  <c r="N28" i="16" s="1"/>
  <c r="N30" i="17"/>
  <c r="N31" i="17" s="1"/>
  <c r="N65" i="16"/>
  <c r="O32" i="17"/>
  <c r="AW65" i="16" s="1"/>
  <c r="AH16" i="17"/>
  <c r="X54" i="10" s="1"/>
  <c r="AG17" i="16"/>
  <c r="W19" i="10" s="1"/>
  <c r="M64" i="16"/>
  <c r="J134" i="16"/>
  <c r="AR75" i="16"/>
  <c r="J117" i="17"/>
  <c r="AD33" i="17"/>
  <c r="T81" i="10" s="1"/>
  <c r="O33" i="17"/>
  <c r="P21" i="17"/>
  <c r="O19" i="17"/>
  <c r="AI15" i="17"/>
  <c r="Y51" i="10" s="1"/>
  <c r="AV8" i="16"/>
  <c r="N8" i="16" s="1"/>
  <c r="AH9" i="16" s="1"/>
  <c r="N20" i="17"/>
  <c r="K84" i="17"/>
  <c r="AQ43" i="17"/>
  <c r="K153" i="17"/>
  <c r="K155" i="17" s="1"/>
  <c r="L166" i="17"/>
  <c r="L43" i="17"/>
  <c r="AD58" i="17"/>
  <c r="AF43" i="17"/>
  <c r="AG11" i="16"/>
  <c r="W10" i="10" s="1"/>
  <c r="AU29" i="16"/>
  <c r="AU30" i="16"/>
  <c r="AK35" i="16"/>
  <c r="Q122" i="16"/>
  <c r="AA33" i="10" s="1"/>
  <c r="AN33" i="10" s="1"/>
  <c r="Q53" i="16"/>
  <c r="AH7" i="12"/>
  <c r="K46" i="13"/>
  <c r="K38" i="13"/>
  <c r="K17" i="13"/>
  <c r="AH9" i="13"/>
  <c r="K14" i="20" l="1"/>
  <c r="W100" i="10" s="1"/>
  <c r="H49" i="10"/>
  <c r="E20" i="8"/>
  <c r="F19" i="8" s="1"/>
  <c r="F20" i="8" s="1"/>
  <c r="O129" i="13"/>
  <c r="O104" i="13"/>
  <c r="Q17" i="12"/>
  <c r="Q15" i="12" s="1"/>
  <c r="P15" i="12"/>
  <c r="AB38" i="13"/>
  <c r="O150" i="13"/>
  <c r="H52" i="10"/>
  <c r="H55" i="10" s="1"/>
  <c r="Q61" i="13"/>
  <c r="AB128" i="10"/>
  <c r="C29" i="4"/>
  <c r="C30" i="4" s="1"/>
  <c r="D24" i="8"/>
  <c r="D25" i="8" s="1"/>
  <c r="BB31" i="3"/>
  <c r="AK15" i="16"/>
  <c r="O35" i="20" s="1"/>
  <c r="AA121" i="10" s="1"/>
  <c r="AN121" i="10" s="1"/>
  <c r="V117" i="10"/>
  <c r="AD90" i="10"/>
  <c r="AD124" i="10" s="1"/>
  <c r="AD126" i="10" s="1"/>
  <c r="AD128" i="10" s="1"/>
  <c r="AE8" i="3"/>
  <c r="O8" i="3" s="1"/>
  <c r="AN9" i="6"/>
  <c r="W9" i="6" s="1"/>
  <c r="O47" i="17"/>
  <c r="AW51" i="16"/>
  <c r="AI22" i="17"/>
  <c r="L7" i="20"/>
  <c r="L10" i="18"/>
  <c r="L5" i="18" s="1"/>
  <c r="L32" i="20" s="1"/>
  <c r="L31" i="20" s="1"/>
  <c r="AH48" i="17"/>
  <c r="M6" i="18"/>
  <c r="K31" i="20"/>
  <c r="AY58" i="16"/>
  <c r="P58" i="16"/>
  <c r="N6" i="18" s="1"/>
  <c r="AX50" i="16"/>
  <c r="P50" i="17" s="1"/>
  <c r="AX59" i="16"/>
  <c r="AW60" i="16"/>
  <c r="AD8" i="3"/>
  <c r="M8" i="3" s="1"/>
  <c r="AM9" i="6"/>
  <c r="U9" i="6" s="1"/>
  <c r="W93" i="10"/>
  <c r="K6" i="20"/>
  <c r="V92" i="10"/>
  <c r="AI93" i="10"/>
  <c r="Y14" i="10"/>
  <c r="AL14" i="10" s="1"/>
  <c r="AN16" i="6" s="1"/>
  <c r="W16" i="6" s="1"/>
  <c r="AI12" i="16"/>
  <c r="M11" i="18" s="1"/>
  <c r="N4" i="18" s="1"/>
  <c r="V6" i="8"/>
  <c r="H6" i="8" s="1"/>
  <c r="H5" i="8" s="1"/>
  <c r="H18" i="8" s="1"/>
  <c r="H20" i="8" s="1"/>
  <c r="I19" i="8" s="1"/>
  <c r="AE90" i="10"/>
  <c r="AE124" i="10" s="1"/>
  <c r="AE126" i="10" s="1"/>
  <c r="F29" i="4" s="1"/>
  <c r="W20" i="10"/>
  <c r="AJ20" i="10" s="1"/>
  <c r="AL22" i="6" s="1"/>
  <c r="S22" i="6" s="1"/>
  <c r="K36" i="20"/>
  <c r="V122" i="10"/>
  <c r="AI122" i="10" s="1"/>
  <c r="N86" i="16"/>
  <c r="X18" i="10" s="1"/>
  <c r="AK18" i="10" s="1"/>
  <c r="AM20" i="6" s="1"/>
  <c r="U20" i="6" s="1"/>
  <c r="T14" i="3"/>
  <c r="M152" i="17"/>
  <c r="M154" i="17" s="1"/>
  <c r="M115" i="17"/>
  <c r="AC24" i="16"/>
  <c r="AC26" i="16" s="1"/>
  <c r="AC43" i="16"/>
  <c r="Q34" i="10"/>
  <c r="Q35" i="10"/>
  <c r="R35" i="10"/>
  <c r="R34" i="10"/>
  <c r="S29" i="10"/>
  <c r="I107" i="16"/>
  <c r="I141" i="16" s="1"/>
  <c r="I143" i="16" s="1"/>
  <c r="I144" i="16" s="1"/>
  <c r="AW84" i="16"/>
  <c r="AW85" i="16" s="1"/>
  <c r="O101" i="16" s="1"/>
  <c r="AW81" i="16"/>
  <c r="AW82" i="16" s="1"/>
  <c r="N83" i="16"/>
  <c r="AH16" i="16" s="1"/>
  <c r="AV86" i="16"/>
  <c r="AY16" i="16"/>
  <c r="AY78" i="16"/>
  <c r="AK10" i="16"/>
  <c r="AG15" i="3"/>
  <c r="S15" i="3" s="1"/>
  <c r="T15" i="3" s="1"/>
  <c r="AP34" i="6"/>
  <c r="AA34" i="6" s="1"/>
  <c r="AX16" i="16"/>
  <c r="AX70" i="16" s="1"/>
  <c r="AX72" i="16" s="1"/>
  <c r="P90" i="16" s="1"/>
  <c r="AJ10" i="16"/>
  <c r="AX78" i="16"/>
  <c r="AX79" i="16" s="1"/>
  <c r="AX80" i="16" s="1"/>
  <c r="AX83" i="16" s="1"/>
  <c r="F26" i="4"/>
  <c r="F41" i="5" s="1"/>
  <c r="F42" i="5" s="1"/>
  <c r="AB24" i="13"/>
  <c r="AQ21" i="4"/>
  <c r="H19" i="4"/>
  <c r="AR20" i="4" s="1"/>
  <c r="X46" i="4"/>
  <c r="D41" i="5"/>
  <c r="D42" i="5" s="1"/>
  <c r="D27" i="4"/>
  <c r="E25" i="4" s="1"/>
  <c r="E27" i="4" s="1"/>
  <c r="AA28" i="3"/>
  <c r="G28" i="3" s="1"/>
  <c r="W17" i="7"/>
  <c r="I17" i="7" s="1"/>
  <c r="AH52" i="10"/>
  <c r="Y19" i="4" s="1"/>
  <c r="I22" i="5" s="1"/>
  <c r="W16" i="3"/>
  <c r="AF31" i="6"/>
  <c r="G31" i="6" s="1"/>
  <c r="AD34" i="10"/>
  <c r="AD35" i="10"/>
  <c r="K92" i="10"/>
  <c r="K30" i="21"/>
  <c r="K23" i="21" s="1"/>
  <c r="K118" i="10"/>
  <c r="K117" i="10" s="1"/>
  <c r="K109" i="10" s="1"/>
  <c r="AE29" i="10"/>
  <c r="E34" i="10"/>
  <c r="E35" i="10"/>
  <c r="M7" i="21"/>
  <c r="M65" i="10"/>
  <c r="AM65" i="10" s="1"/>
  <c r="AB29" i="7" s="1"/>
  <c r="N29" i="7" s="1"/>
  <c r="AC128" i="10"/>
  <c r="D29" i="4"/>
  <c r="E24" i="8"/>
  <c r="E28" i="6"/>
  <c r="F31" i="6"/>
  <c r="E45" i="6"/>
  <c r="E48" i="6" s="1"/>
  <c r="G40" i="21"/>
  <c r="G42" i="21"/>
  <c r="W14" i="7"/>
  <c r="I14" i="7" s="1"/>
  <c r="AH49" i="10"/>
  <c r="F29" i="10"/>
  <c r="I61" i="12"/>
  <c r="I62" i="12" s="1"/>
  <c r="L31" i="21"/>
  <c r="L93" i="10"/>
  <c r="L6" i="21"/>
  <c r="K56" i="12"/>
  <c r="J55" i="12"/>
  <c r="N40" i="17"/>
  <c r="N152" i="17" s="1"/>
  <c r="N154" i="17" s="1"/>
  <c r="AW19" i="7"/>
  <c r="BE19" i="7"/>
  <c r="AH19" i="7"/>
  <c r="BB30" i="3"/>
  <c r="E35" i="3"/>
  <c r="AH72" i="10"/>
  <c r="U56" i="10"/>
  <c r="U73" i="10" s="1"/>
  <c r="U80" i="10" s="1"/>
  <c r="H37" i="7"/>
  <c r="BE20" i="7"/>
  <c r="AH20" i="7"/>
  <c r="AW20" i="7"/>
  <c r="AG81" i="10"/>
  <c r="T82" i="10"/>
  <c r="AE32" i="17"/>
  <c r="AE58" i="17" s="1"/>
  <c r="AR7" i="4"/>
  <c r="H10" i="4"/>
  <c r="AK15" i="7"/>
  <c r="AL15" i="7"/>
  <c r="AL51" i="10"/>
  <c r="Y49" i="10"/>
  <c r="L26" i="3"/>
  <c r="AJ18" i="7"/>
  <c r="Y18" i="7"/>
  <c r="K18" i="7" s="1"/>
  <c r="AC29" i="3"/>
  <c r="K29" i="3" s="1"/>
  <c r="AK51" i="10"/>
  <c r="X49" i="10"/>
  <c r="AK54" i="10"/>
  <c r="X52" i="10"/>
  <c r="J29" i="3"/>
  <c r="AF128" i="10"/>
  <c r="G29" i="4"/>
  <c r="H24" i="8"/>
  <c r="J30" i="5"/>
  <c r="Y42" i="4"/>
  <c r="X12" i="8"/>
  <c r="J12" i="8" s="1"/>
  <c r="W117" i="10"/>
  <c r="AJ118" i="10"/>
  <c r="AJ117" i="10" s="1"/>
  <c r="AA35" i="4" s="1"/>
  <c r="G27" i="4"/>
  <c r="G41" i="5"/>
  <c r="G42" i="5" s="1"/>
  <c r="E41" i="5"/>
  <c r="E42" i="5" s="1"/>
  <c r="L14" i="20"/>
  <c r="X100" i="10" s="1"/>
  <c r="X9" i="10"/>
  <c r="L89" i="10"/>
  <c r="X89" i="10"/>
  <c r="AK89" i="10" s="1"/>
  <c r="X40" i="10"/>
  <c r="AK40" i="10" s="1"/>
  <c r="L40" i="10"/>
  <c r="L4" i="10"/>
  <c r="X4" i="10"/>
  <c r="AK4" i="10" s="1"/>
  <c r="AD5" i="3" s="1"/>
  <c r="P33" i="17"/>
  <c r="N64" i="16"/>
  <c r="AH17" i="16"/>
  <c r="X19" i="10" s="1"/>
  <c r="AW28" i="16"/>
  <c r="O28" i="16" s="1"/>
  <c r="P32" i="17"/>
  <c r="AX65" i="16" s="1"/>
  <c r="O30" i="17"/>
  <c r="O65" i="16"/>
  <c r="AI16" i="17"/>
  <c r="Y54" i="10" s="1"/>
  <c r="AH17" i="17"/>
  <c r="AH42" i="17"/>
  <c r="J147" i="16"/>
  <c r="J130" i="16"/>
  <c r="AD39" i="16"/>
  <c r="AD41" i="16" s="1"/>
  <c r="AE31" i="16" s="1"/>
  <c r="Q21" i="17"/>
  <c r="P19" i="17"/>
  <c r="AJ15" i="17"/>
  <c r="Z51" i="10" s="1"/>
  <c r="O20" i="17"/>
  <c r="AW8" i="16"/>
  <c r="O8" i="16" s="1"/>
  <c r="AI9" i="16" s="1"/>
  <c r="Y9" i="10" s="1"/>
  <c r="AI41" i="17"/>
  <c r="K149" i="17"/>
  <c r="K86" i="17"/>
  <c r="K85" i="17"/>
  <c r="AQ84" i="17"/>
  <c r="K107" i="17"/>
  <c r="AF19" i="17"/>
  <c r="L160" i="17"/>
  <c r="L42" i="17"/>
  <c r="K16" i="20"/>
  <c r="W102" i="10" s="1"/>
  <c r="AH11" i="16"/>
  <c r="AV30" i="16"/>
  <c r="AV29" i="16"/>
  <c r="K18" i="20"/>
  <c r="W104" i="10" s="1"/>
  <c r="AD59" i="17"/>
  <c r="AD34" i="17"/>
  <c r="O29" i="20"/>
  <c r="AA115" i="10" s="1"/>
  <c r="AN115" i="10" s="1"/>
  <c r="K24" i="13"/>
  <c r="AA23" i="3"/>
  <c r="G23" i="3" s="1"/>
  <c r="K40" i="13"/>
  <c r="K169" i="13"/>
  <c r="K47" i="13"/>
  <c r="K37" i="13"/>
  <c r="E25" i="8" l="1"/>
  <c r="Q60" i="13"/>
  <c r="P150" i="13"/>
  <c r="K48" i="13"/>
  <c r="K49" i="13" s="1"/>
  <c r="AB40" i="13"/>
  <c r="M14" i="10"/>
  <c r="P11" i="12"/>
  <c r="M7" i="10" s="1"/>
  <c r="N14" i="10"/>
  <c r="Q11" i="12"/>
  <c r="N7" i="10" s="1"/>
  <c r="P104" i="13"/>
  <c r="N8" i="3"/>
  <c r="P129" i="13"/>
  <c r="F24" i="8"/>
  <c r="F25" i="8" s="1"/>
  <c r="X118" i="10"/>
  <c r="X117" i="10" s="1"/>
  <c r="E29" i="4"/>
  <c r="E30" i="4" s="1"/>
  <c r="P47" i="17"/>
  <c r="AX51" i="16"/>
  <c r="AJ22" i="17"/>
  <c r="L6" i="20"/>
  <c r="X93" i="10"/>
  <c r="AX60" i="16"/>
  <c r="AY59" i="16"/>
  <c r="AY60" i="16" s="1"/>
  <c r="P34" i="16"/>
  <c r="Z7" i="10" s="1"/>
  <c r="AY79" i="16"/>
  <c r="AY80" i="16" s="1"/>
  <c r="AY83" i="16" s="1"/>
  <c r="Z21" i="4"/>
  <c r="Z54" i="4" s="1"/>
  <c r="AI92" i="10"/>
  <c r="Y7" i="8"/>
  <c r="K7" i="8" s="1"/>
  <c r="M10" i="18"/>
  <c r="M5" i="18" s="1"/>
  <c r="M32" i="20" s="1"/>
  <c r="Y118" i="10" s="1"/>
  <c r="M7" i="20"/>
  <c r="AI48" i="17"/>
  <c r="AE128" i="10"/>
  <c r="AJ12" i="16"/>
  <c r="N11" i="18" s="1"/>
  <c r="O4" i="18" s="1"/>
  <c r="Z14" i="10"/>
  <c r="Q58" i="16"/>
  <c r="O6" i="18" s="1"/>
  <c r="AY50" i="16"/>
  <c r="Q50" i="17" s="1"/>
  <c r="W92" i="10"/>
  <c r="AJ93" i="10"/>
  <c r="P8" i="3"/>
  <c r="G24" i="8"/>
  <c r="H25" i="8"/>
  <c r="AD11" i="3"/>
  <c r="M11" i="3" s="1"/>
  <c r="X20" i="10"/>
  <c r="AK20" i="10" s="1"/>
  <c r="AM22" i="6" s="1"/>
  <c r="U22" i="6" s="1"/>
  <c r="L36" i="20"/>
  <c r="W122" i="10"/>
  <c r="AJ122" i="10" s="1"/>
  <c r="O15" i="20"/>
  <c r="AA101" i="10" s="1"/>
  <c r="AN101" i="10" s="1"/>
  <c r="N115" i="17"/>
  <c r="S35" i="10"/>
  <c r="S34" i="10"/>
  <c r="AX84" i="16"/>
  <c r="AX85" i="16" s="1"/>
  <c r="P101" i="16" s="1"/>
  <c r="AX81" i="16"/>
  <c r="AX82" i="16" s="1"/>
  <c r="AW86" i="16"/>
  <c r="O83" i="16"/>
  <c r="AI16" i="16" s="1"/>
  <c r="N15" i="20"/>
  <c r="Z101" i="10" s="1"/>
  <c r="AM101" i="10" s="1"/>
  <c r="Z25" i="10"/>
  <c r="AM25" i="10" s="1"/>
  <c r="AO27" i="6" s="1"/>
  <c r="Y27" i="6" s="1"/>
  <c r="P87" i="16"/>
  <c r="AG82" i="10"/>
  <c r="AG84" i="10" s="1"/>
  <c r="V47" i="7"/>
  <c r="H47" i="7" s="1"/>
  <c r="AH47" i="7" s="1"/>
  <c r="X23" i="4"/>
  <c r="D30" i="4"/>
  <c r="Y7" i="4"/>
  <c r="Y14" i="4" s="1"/>
  <c r="AH55" i="10"/>
  <c r="AI14" i="7"/>
  <c r="I13" i="7"/>
  <c r="M31" i="21"/>
  <c r="M93" i="10"/>
  <c r="M6" i="21"/>
  <c r="J61" i="12"/>
  <c r="G29" i="10"/>
  <c r="AL55" i="12"/>
  <c r="AE35" i="10"/>
  <c r="AE34" i="10"/>
  <c r="X16" i="3"/>
  <c r="AG31" i="6"/>
  <c r="I31" i="6" s="1"/>
  <c r="G28" i="6"/>
  <c r="G45" i="6"/>
  <c r="G48" i="6" s="1"/>
  <c r="H31" i="6"/>
  <c r="E53" i="6"/>
  <c r="F28" i="6"/>
  <c r="E54" i="6"/>
  <c r="E46" i="6"/>
  <c r="L92" i="10"/>
  <c r="AI17" i="7"/>
  <c r="I16" i="7"/>
  <c r="L30" i="21"/>
  <c r="L23" i="21" s="1"/>
  <c r="L118" i="10"/>
  <c r="L117" i="10" s="1"/>
  <c r="L109" i="10" s="1"/>
  <c r="H28" i="3"/>
  <c r="G27" i="3"/>
  <c r="I64" i="12"/>
  <c r="I63" i="12"/>
  <c r="AF29" i="10"/>
  <c r="F34" i="10"/>
  <c r="F35" i="10"/>
  <c r="G19" i="8"/>
  <c r="G20" i="8" s="1"/>
  <c r="W36" i="7"/>
  <c r="I36" i="7" s="1"/>
  <c r="AA34" i="3"/>
  <c r="G34" i="3" s="1"/>
  <c r="AD29" i="3"/>
  <c r="M29" i="3" s="1"/>
  <c r="Z18" i="7"/>
  <c r="L18" i="7" s="1"/>
  <c r="AE26" i="3"/>
  <c r="O26" i="3" s="1"/>
  <c r="AA15" i="7"/>
  <c r="M15" i="7" s="1"/>
  <c r="E42" i="3"/>
  <c r="BB35" i="3"/>
  <c r="X55" i="10"/>
  <c r="AM51" i="10"/>
  <c r="Z49" i="10"/>
  <c r="AR13" i="4"/>
  <c r="AL54" i="10"/>
  <c r="Y52" i="10"/>
  <c r="Y55" i="10" s="1"/>
  <c r="H46" i="7"/>
  <c r="H56" i="7" s="1"/>
  <c r="AW37" i="7"/>
  <c r="BE37" i="7"/>
  <c r="AH37" i="7"/>
  <c r="H51" i="7"/>
  <c r="L29" i="3"/>
  <c r="AL18" i="7"/>
  <c r="AK18" i="7"/>
  <c r="AD26" i="3"/>
  <c r="M26" i="3" s="1"/>
  <c r="Z15" i="7"/>
  <c r="L15" i="7" s="1"/>
  <c r="T84" i="10"/>
  <c r="T30" i="10"/>
  <c r="AG30" i="10" s="1"/>
  <c r="AI32" i="6" s="1"/>
  <c r="M32" i="6" s="1"/>
  <c r="I32" i="5"/>
  <c r="K30" i="5"/>
  <c r="Y12" i="8"/>
  <c r="K12" i="8" s="1"/>
  <c r="Z42" i="4"/>
  <c r="H25" i="4"/>
  <c r="G30" i="4"/>
  <c r="F25" i="4"/>
  <c r="F27" i="4" s="1"/>
  <c r="F30" i="4" s="1"/>
  <c r="L16" i="20"/>
  <c r="X102" i="10" s="1"/>
  <c r="X10" i="10"/>
  <c r="M89" i="10"/>
  <c r="Y89" i="10"/>
  <c r="AL89" i="10" s="1"/>
  <c r="M40" i="10"/>
  <c r="Y40" i="10"/>
  <c r="AL40" i="10" s="1"/>
  <c r="Y4" i="10"/>
  <c r="AL4" i="10" s="1"/>
  <c r="AE5" i="3" s="1"/>
  <c r="M4" i="10"/>
  <c r="AX28" i="16"/>
  <c r="P28" i="16" s="1"/>
  <c r="AX30" i="16" s="1"/>
  <c r="P65" i="16"/>
  <c r="P30" i="17"/>
  <c r="P31" i="17" s="1"/>
  <c r="AJ16" i="17"/>
  <c r="Z54" i="10" s="1"/>
  <c r="Q32" i="17"/>
  <c r="AY65" i="16" s="1"/>
  <c r="O64" i="16"/>
  <c r="AI17" i="16"/>
  <c r="AH43" i="17"/>
  <c r="K131" i="16"/>
  <c r="AD22" i="16"/>
  <c r="AD23" i="16" s="1"/>
  <c r="J127" i="16"/>
  <c r="T29" i="10" s="1"/>
  <c r="Q33" i="17"/>
  <c r="Q19" i="17"/>
  <c r="AK15" i="17"/>
  <c r="P20" i="17"/>
  <c r="AX8" i="16"/>
  <c r="P8" i="16" s="1"/>
  <c r="AJ9" i="16" s="1"/>
  <c r="AJ41" i="17"/>
  <c r="M14" i="20"/>
  <c r="Y100" i="10" s="1"/>
  <c r="K108" i="17"/>
  <c r="K109" i="17" s="1"/>
  <c r="K111" i="17" s="1"/>
  <c r="AF45" i="17"/>
  <c r="AF18" i="17"/>
  <c r="V72" i="10" s="1"/>
  <c r="M167" i="17"/>
  <c r="L159" i="17"/>
  <c r="AR44" i="17"/>
  <c r="L41" i="17"/>
  <c r="AD60" i="17"/>
  <c r="AD36" i="17"/>
  <c r="L18" i="20"/>
  <c r="X104" i="10" s="1"/>
  <c r="AI11" i="16"/>
  <c r="Y10" i="10" s="1"/>
  <c r="AW29" i="16"/>
  <c r="AW30" i="16"/>
  <c r="O31" i="17"/>
  <c r="O40" i="17"/>
  <c r="O115" i="17" s="1"/>
  <c r="AI42" i="17"/>
  <c r="AI17" i="17"/>
  <c r="AB37" i="13"/>
  <c r="AA20" i="3"/>
  <c r="G20" i="3" s="1"/>
  <c r="K39" i="13"/>
  <c r="AA24" i="3"/>
  <c r="G24" i="3" s="1"/>
  <c r="AM14" i="10" l="1"/>
  <c r="AO16" i="6" s="1"/>
  <c r="Y16" i="6" s="1"/>
  <c r="AM7" i="10"/>
  <c r="Q104" i="13"/>
  <c r="H24" i="3"/>
  <c r="K83" i="13"/>
  <c r="Q150" i="13"/>
  <c r="AB39" i="13"/>
  <c r="Q129" i="13"/>
  <c r="N7" i="21"/>
  <c r="N65" i="10"/>
  <c r="AN65" i="10" s="1"/>
  <c r="AC29" i="7" s="1"/>
  <c r="O29" i="7" s="1"/>
  <c r="AI16" i="7"/>
  <c r="N26" i="3"/>
  <c r="H27" i="3"/>
  <c r="AK118" i="10"/>
  <c r="AK117" i="10" s="1"/>
  <c r="AB35" i="4" s="1"/>
  <c r="L30" i="5" s="1"/>
  <c r="G25" i="8"/>
  <c r="AF8" i="3"/>
  <c r="Q8" i="3" s="1"/>
  <c r="AO9" i="6"/>
  <c r="Y9" i="6" s="1"/>
  <c r="AJ92" i="10"/>
  <c r="Z7" i="8"/>
  <c r="L7" i="8" s="1"/>
  <c r="AA21" i="4"/>
  <c r="AA54" i="4" s="1"/>
  <c r="X92" i="10"/>
  <c r="AK93" i="10"/>
  <c r="M31" i="20"/>
  <c r="Q47" i="17"/>
  <c r="AK22" i="17"/>
  <c r="AY51" i="16"/>
  <c r="AJ48" i="17"/>
  <c r="N10" i="18"/>
  <c r="N5" i="18" s="1"/>
  <c r="N32" i="20" s="1"/>
  <c r="N31" i="20" s="1"/>
  <c r="N7" i="20"/>
  <c r="Q34" i="16"/>
  <c r="AA7" i="10" s="1"/>
  <c r="AN7" i="10" s="1"/>
  <c r="AA14" i="10"/>
  <c r="AN14" i="10" s="1"/>
  <c r="AP16" i="6" s="1"/>
  <c r="AA16" i="6" s="1"/>
  <c r="AK12" i="16"/>
  <c r="O11" i="18" s="1"/>
  <c r="M6" i="20"/>
  <c r="Y93" i="10"/>
  <c r="Y20" i="10"/>
  <c r="AL20" i="10" s="1"/>
  <c r="AN22" i="6" s="1"/>
  <c r="W22" i="6" s="1"/>
  <c r="M36" i="20"/>
  <c r="X122" i="10"/>
  <c r="AY84" i="16"/>
  <c r="AY85" i="16" s="1"/>
  <c r="Q101" i="16" s="1"/>
  <c r="AY81" i="16"/>
  <c r="AY82" i="16" s="1"/>
  <c r="P86" i="16"/>
  <c r="Z18" i="10" s="1"/>
  <c r="AM18" i="10" s="1"/>
  <c r="AX86" i="16"/>
  <c r="P83" i="16"/>
  <c r="AJ16" i="16" s="1"/>
  <c r="K36" i="13"/>
  <c r="AG86" i="10"/>
  <c r="AG29" i="10"/>
  <c r="Z16" i="3" s="1"/>
  <c r="H25" i="5"/>
  <c r="H21" i="5" s="1"/>
  <c r="X53" i="4"/>
  <c r="X30" i="4"/>
  <c r="Z38" i="3"/>
  <c r="H52" i="7"/>
  <c r="P40" i="17"/>
  <c r="P152" i="17" s="1"/>
  <c r="P154" i="17" s="1"/>
  <c r="AF35" i="10"/>
  <c r="AF34" i="10"/>
  <c r="AH31" i="6"/>
  <c r="K31" i="6" s="1"/>
  <c r="Y16" i="3"/>
  <c r="G53" i="6"/>
  <c r="G54" i="6"/>
  <c r="G46" i="6"/>
  <c r="H28" i="6"/>
  <c r="J31" i="6"/>
  <c r="I28" i="6"/>
  <c r="I45" i="6"/>
  <c r="I48" i="6" s="1"/>
  <c r="AI13" i="7"/>
  <c r="I19" i="7"/>
  <c r="I8" i="5"/>
  <c r="I67" i="12"/>
  <c r="I65" i="12"/>
  <c r="G35" i="10"/>
  <c r="G34" i="10"/>
  <c r="J62" i="12"/>
  <c r="J63" i="12" s="1"/>
  <c r="AL61" i="12"/>
  <c r="M92" i="10"/>
  <c r="M30" i="21"/>
  <c r="M23" i="21" s="1"/>
  <c r="M118" i="10"/>
  <c r="M117" i="10" s="1"/>
  <c r="M109" i="10" s="1"/>
  <c r="P26" i="3"/>
  <c r="AM54" i="10"/>
  <c r="Z52" i="10"/>
  <c r="Z55" i="10" s="1"/>
  <c r="N29" i="3"/>
  <c r="T86" i="10"/>
  <c r="T85" i="10"/>
  <c r="AE29" i="3"/>
  <c r="O29" i="3" s="1"/>
  <c r="AA18" i="7"/>
  <c r="M18" i="7" s="1"/>
  <c r="AK41" i="17"/>
  <c r="AA51" i="10"/>
  <c r="H48" i="7"/>
  <c r="J159" i="16" s="1"/>
  <c r="K162" i="16" s="1"/>
  <c r="K135" i="16" s="1"/>
  <c r="AE40" i="16" s="1"/>
  <c r="I37" i="20" s="1"/>
  <c r="AH46" i="7"/>
  <c r="G37" i="3"/>
  <c r="H34" i="3"/>
  <c r="V56" i="10"/>
  <c r="V73" i="10" s="1"/>
  <c r="V80" i="10" s="1"/>
  <c r="AI72" i="10"/>
  <c r="AB15" i="7"/>
  <c r="N15" i="7" s="1"/>
  <c r="AF26" i="3"/>
  <c r="Q26" i="3" s="1"/>
  <c r="I39" i="7"/>
  <c r="AI39" i="7" s="1"/>
  <c r="AI36" i="7"/>
  <c r="J32" i="5"/>
  <c r="AA42" i="4"/>
  <c r="Z12" i="8"/>
  <c r="L12" i="8" s="1"/>
  <c r="Y117" i="10"/>
  <c r="AL118" i="10"/>
  <c r="AL117" i="10" s="1"/>
  <c r="AC35" i="4" s="1"/>
  <c r="M18" i="20"/>
  <c r="Y104" i="10" s="1"/>
  <c r="Y19" i="10"/>
  <c r="N14" i="20"/>
  <c r="Z100" i="10" s="1"/>
  <c r="Z9" i="10"/>
  <c r="N89" i="10"/>
  <c r="AA89" i="10" s="1"/>
  <c r="AN89" i="10" s="1"/>
  <c r="Z89" i="10"/>
  <c r="AM89" i="10" s="1"/>
  <c r="N40" i="10"/>
  <c r="AA40" i="10" s="1"/>
  <c r="AN40" i="10" s="1"/>
  <c r="Z40" i="10"/>
  <c r="AM40" i="10" s="1"/>
  <c r="Z4" i="10"/>
  <c r="AM4" i="10" s="1"/>
  <c r="AF5" i="3" s="1"/>
  <c r="N4" i="10"/>
  <c r="AA4" i="10" s="1"/>
  <c r="AN4" i="10" s="1"/>
  <c r="AG5" i="3" s="1"/>
  <c r="J107" i="16"/>
  <c r="AJ42" i="17"/>
  <c r="AJ17" i="17"/>
  <c r="AJ43" i="17" s="1"/>
  <c r="P64" i="16"/>
  <c r="AJ17" i="16"/>
  <c r="AY28" i="16"/>
  <c r="Q28" i="16" s="1"/>
  <c r="Q30" i="17"/>
  <c r="Q31" i="17" s="1"/>
  <c r="Q65" i="16"/>
  <c r="AK16" i="17"/>
  <c r="AA54" i="10" s="1"/>
  <c r="AD24" i="16"/>
  <c r="AD43" i="16"/>
  <c r="Q20" i="17"/>
  <c r="AY8" i="16"/>
  <c r="Q8" i="16" s="1"/>
  <c r="AK9" i="16" s="1"/>
  <c r="K134" i="16"/>
  <c r="AS75" i="16"/>
  <c r="K80" i="16" s="1"/>
  <c r="U21" i="10" s="1"/>
  <c r="K117" i="17"/>
  <c r="AE33" i="17"/>
  <c r="U81" i="10" s="1"/>
  <c r="U82" i="10" s="1"/>
  <c r="AF23" i="17"/>
  <c r="AF44" i="17"/>
  <c r="M43" i="17"/>
  <c r="M166" i="17"/>
  <c r="L84" i="17"/>
  <c r="AR43" i="17"/>
  <c r="L153" i="17"/>
  <c r="L155" i="17" s="1"/>
  <c r="AD38" i="17"/>
  <c r="AD62" i="17"/>
  <c r="H5" i="20"/>
  <c r="M16" i="20"/>
  <c r="Y102" i="10" s="1"/>
  <c r="O152" i="17"/>
  <c r="O154" i="17" s="1"/>
  <c r="AI43" i="17"/>
  <c r="AJ11" i="16"/>
  <c r="AX29" i="16"/>
  <c r="G22" i="3"/>
  <c r="AB36" i="13"/>
  <c r="H20" i="3"/>
  <c r="AB81" i="13"/>
  <c r="K79" i="13"/>
  <c r="N31" i="21" l="1"/>
  <c r="N6" i="21"/>
  <c r="N93" i="10"/>
  <c r="N92" i="10" s="1"/>
  <c r="H22" i="3"/>
  <c r="R8" i="3"/>
  <c r="K150" i="17"/>
  <c r="K85" i="13"/>
  <c r="L86" i="13"/>
  <c r="K84" i="13"/>
  <c r="AI19" i="7"/>
  <c r="H37" i="3"/>
  <c r="R26" i="3"/>
  <c r="BB38" i="3"/>
  <c r="U123" i="10"/>
  <c r="I34" i="20"/>
  <c r="Z118" i="10"/>
  <c r="Z117" i="10" s="1"/>
  <c r="Z93" i="10"/>
  <c r="N6" i="20"/>
  <c r="AA7" i="8"/>
  <c r="M7" i="8" s="1"/>
  <c r="AB21" i="4"/>
  <c r="AB54" i="4" s="1"/>
  <c r="AK92" i="10"/>
  <c r="AG8" i="3"/>
  <c r="S8" i="3" s="1"/>
  <c r="AP9" i="6"/>
  <c r="AA9" i="6" s="1"/>
  <c r="AK48" i="17"/>
  <c r="O10" i="18"/>
  <c r="O5" i="18" s="1"/>
  <c r="O32" i="20" s="1"/>
  <c r="O31" i="20" s="1"/>
  <c r="O7" i="20"/>
  <c r="Y92" i="10"/>
  <c r="AL93" i="10"/>
  <c r="Z20" i="10"/>
  <c r="AM20" i="10" s="1"/>
  <c r="AO22" i="6" s="1"/>
  <c r="Y22" i="6" s="1"/>
  <c r="N36" i="20"/>
  <c r="AK122" i="10"/>
  <c r="Y122" i="10"/>
  <c r="P115" i="17"/>
  <c r="AF11" i="3"/>
  <c r="Q11" i="3" s="1"/>
  <c r="AO20" i="6"/>
  <c r="Y20" i="6" s="1"/>
  <c r="AY86" i="16"/>
  <c r="Q83" i="16"/>
  <c r="AK16" i="16" s="1"/>
  <c r="H17" i="4"/>
  <c r="AR17" i="4" s="1"/>
  <c r="AI31" i="6"/>
  <c r="M31" i="6" s="1"/>
  <c r="M28" i="6" s="1"/>
  <c r="G19" i="3"/>
  <c r="I54" i="6"/>
  <c r="I46" i="6"/>
  <c r="J28" i="6"/>
  <c r="I53" i="6"/>
  <c r="J64" i="12"/>
  <c r="AL62" i="12"/>
  <c r="K28" i="6"/>
  <c r="L31" i="6"/>
  <c r="K45" i="6"/>
  <c r="K48" i="6" s="1"/>
  <c r="AN51" i="10"/>
  <c r="AA49" i="10"/>
  <c r="P29" i="3"/>
  <c r="X36" i="7"/>
  <c r="J36" i="7" s="1"/>
  <c r="AB34" i="3"/>
  <c r="I34" i="3" s="1"/>
  <c r="E12" i="3"/>
  <c r="BB16" i="3"/>
  <c r="Q40" i="17"/>
  <c r="Q152" i="17" s="1"/>
  <c r="Q154" i="17" s="1"/>
  <c r="AF29" i="3"/>
  <c r="Q29" i="3" s="1"/>
  <c r="AB18" i="7"/>
  <c r="N18" i="7" s="1"/>
  <c r="U84" i="10"/>
  <c r="U30" i="10"/>
  <c r="H4" i="20"/>
  <c r="T91" i="10"/>
  <c r="AN54" i="10"/>
  <c r="AA52" i="10"/>
  <c r="H55" i="7"/>
  <c r="H53" i="7"/>
  <c r="AH48" i="7"/>
  <c r="K80" i="13"/>
  <c r="H71" i="10"/>
  <c r="K32" i="5"/>
  <c r="M30" i="5"/>
  <c r="N18" i="20"/>
  <c r="Z104" i="10" s="1"/>
  <c r="Z19" i="10"/>
  <c r="O14" i="20"/>
  <c r="AA100" i="10" s="1"/>
  <c r="AA9" i="10"/>
  <c r="N16" i="20"/>
  <c r="Z102" i="10" s="1"/>
  <c r="Z10" i="10"/>
  <c r="J141" i="16"/>
  <c r="Q64" i="16"/>
  <c r="AK17" i="16"/>
  <c r="AK17" i="17"/>
  <c r="AK42" i="17"/>
  <c r="K130" i="16"/>
  <c r="K147" i="16"/>
  <c r="AE39" i="16"/>
  <c r="AE41" i="16" s="1"/>
  <c r="AF31" i="16" s="1"/>
  <c r="K63" i="16"/>
  <c r="AE34" i="17"/>
  <c r="AE59" i="17"/>
  <c r="AF49" i="17"/>
  <c r="AF32" i="17"/>
  <c r="M42" i="17"/>
  <c r="M160" i="17"/>
  <c r="AG19" i="17"/>
  <c r="L86" i="17"/>
  <c r="L107" i="17"/>
  <c r="L85" i="17"/>
  <c r="L149" i="17"/>
  <c r="AK11" i="16"/>
  <c r="AY30" i="16"/>
  <c r="AY29" i="16"/>
  <c r="AM118" i="10" l="1"/>
  <c r="AM117" i="10" s="1"/>
  <c r="AD35" i="4" s="1"/>
  <c r="N30" i="5" s="1"/>
  <c r="H19" i="3"/>
  <c r="T8" i="3"/>
  <c r="N118" i="10"/>
  <c r="N117" i="10" s="1"/>
  <c r="N109" i="10" s="1"/>
  <c r="N30" i="21"/>
  <c r="N23" i="21" s="1"/>
  <c r="AH123" i="10"/>
  <c r="U120" i="10"/>
  <c r="AA118" i="10"/>
  <c r="AA117" i="10" s="1"/>
  <c r="AL92" i="10"/>
  <c r="AC21" i="4"/>
  <c r="AC54" i="4" s="1"/>
  <c r="AB7" i="8"/>
  <c r="N7" i="8" s="1"/>
  <c r="AA93" i="10"/>
  <c r="O6" i="20"/>
  <c r="Z92" i="10"/>
  <c r="AM93" i="10"/>
  <c r="AA20" i="10"/>
  <c r="AN20" i="10" s="1"/>
  <c r="AP22" i="6" s="1"/>
  <c r="AA22" i="6" s="1"/>
  <c r="O36" i="20"/>
  <c r="AA122" i="10" s="1"/>
  <c r="Z122" i="10"/>
  <c r="AA12" i="8"/>
  <c r="M12" i="8" s="1"/>
  <c r="AB42" i="4"/>
  <c r="L32" i="5" s="1"/>
  <c r="AL122" i="10"/>
  <c r="AC42" i="4" s="1"/>
  <c r="Q115" i="17"/>
  <c r="G18" i="3"/>
  <c r="M45" i="6"/>
  <c r="M46" i="6" s="1"/>
  <c r="J67" i="12"/>
  <c r="J65" i="12"/>
  <c r="K53" i="6"/>
  <c r="K54" i="6"/>
  <c r="L28" i="6"/>
  <c r="K46" i="6"/>
  <c r="AC18" i="7"/>
  <c r="O18" i="7" s="1"/>
  <c r="AG29" i="3"/>
  <c r="S29" i="3" s="1"/>
  <c r="BB12" i="3"/>
  <c r="E40" i="3"/>
  <c r="T90" i="10"/>
  <c r="AG91" i="10"/>
  <c r="M53" i="6"/>
  <c r="U85" i="10"/>
  <c r="R29" i="3"/>
  <c r="AA55" i="10"/>
  <c r="AG26" i="3"/>
  <c r="S26" i="3" s="1"/>
  <c r="AC15" i="7"/>
  <c r="O15" i="7" s="1"/>
  <c r="I37" i="3"/>
  <c r="J34" i="3"/>
  <c r="J39" i="7"/>
  <c r="AJ39" i="7" s="1"/>
  <c r="AJ36" i="7"/>
  <c r="U17" i="10"/>
  <c r="AH71" i="10"/>
  <c r="AH57" i="10" s="1"/>
  <c r="AH56" i="10" s="1"/>
  <c r="AH73" i="10" s="1"/>
  <c r="H57" i="10"/>
  <c r="H56" i="10" s="1"/>
  <c r="H73" i="10" s="1"/>
  <c r="O18" i="20"/>
  <c r="AA104" i="10" s="1"/>
  <c r="AA19" i="10"/>
  <c r="O16" i="20"/>
  <c r="AA102" i="10" s="1"/>
  <c r="AA10" i="10"/>
  <c r="J7" i="16"/>
  <c r="J5" i="16" s="1"/>
  <c r="AD8" i="16"/>
  <c r="T12" i="10" s="1"/>
  <c r="AG12" i="10" s="1"/>
  <c r="AI14" i="6" s="1"/>
  <c r="M14" i="6" s="1"/>
  <c r="AK43" i="17"/>
  <c r="L131" i="16"/>
  <c r="K127" i="16"/>
  <c r="AE22" i="16"/>
  <c r="AE23" i="16" s="1"/>
  <c r="AE43" i="16" s="1"/>
  <c r="AE60" i="17"/>
  <c r="AE36" i="17"/>
  <c r="U86" i="10" s="1"/>
  <c r="AF58" i="17"/>
  <c r="AS44" i="17"/>
  <c r="M159" i="17"/>
  <c r="M41" i="17"/>
  <c r="N167" i="17"/>
  <c r="AG45" i="17"/>
  <c r="AG18" i="17"/>
  <c r="W72" i="10" s="1"/>
  <c r="L108" i="17"/>
  <c r="L109" i="17" s="1"/>
  <c r="L111" i="17" s="1"/>
  <c r="AN118" i="10" l="1"/>
  <c r="AN117" i="10" s="1"/>
  <c r="AE35" i="4" s="1"/>
  <c r="O30" i="5" s="1"/>
  <c r="P30" i="5" s="1"/>
  <c r="J37" i="3"/>
  <c r="T26" i="3"/>
  <c r="X13" i="8"/>
  <c r="J13" i="8" s="1"/>
  <c r="Y43" i="4"/>
  <c r="AH120" i="10"/>
  <c r="AA92" i="10"/>
  <c r="AN93" i="10"/>
  <c r="AD21" i="4"/>
  <c r="AD54" i="4" s="1"/>
  <c r="AC7" i="8"/>
  <c r="O7" i="8" s="1"/>
  <c r="AM92" i="10"/>
  <c r="AM122" i="10"/>
  <c r="AD42" i="4" s="1"/>
  <c r="AB12" i="8"/>
  <c r="N12" i="8" s="1"/>
  <c r="G30" i="3"/>
  <c r="H18" i="3"/>
  <c r="G44" i="3"/>
  <c r="AJ72" i="10"/>
  <c r="W56" i="10"/>
  <c r="W73" i="10" s="1"/>
  <c r="W80" i="10" s="1"/>
  <c r="AG90" i="10"/>
  <c r="W6" i="8"/>
  <c r="I6" i="8" s="1"/>
  <c r="I5" i="8" s="1"/>
  <c r="T29" i="3"/>
  <c r="K107" i="16"/>
  <c r="U29" i="10"/>
  <c r="W35" i="7"/>
  <c r="I35" i="7" s="1"/>
  <c r="M32" i="5"/>
  <c r="AN122" i="10"/>
  <c r="J4" i="16"/>
  <c r="T6" i="10"/>
  <c r="M39" i="6"/>
  <c r="M48" i="6" s="1"/>
  <c r="H26" i="20"/>
  <c r="AD14" i="16"/>
  <c r="AD26" i="16" s="1"/>
  <c r="AE38" i="17"/>
  <c r="I5" i="20"/>
  <c r="U91" i="10" s="1"/>
  <c r="AE62" i="17"/>
  <c r="M84" i="17"/>
  <c r="M153" i="17"/>
  <c r="M155" i="17" s="1"/>
  <c r="AS43" i="17"/>
  <c r="N43" i="17"/>
  <c r="N166" i="17"/>
  <c r="AG23" i="17"/>
  <c r="AG44" i="17"/>
  <c r="L134" i="16"/>
  <c r="AT75" i="16"/>
  <c r="L80" i="16" s="1"/>
  <c r="V21" i="10" s="1"/>
  <c r="L117" i="17"/>
  <c r="AF33" i="17"/>
  <c r="V81" i="10" s="1"/>
  <c r="H30" i="3" l="1"/>
  <c r="J143" i="16"/>
  <c r="J144" i="16" s="1"/>
  <c r="I33" i="5"/>
  <c r="I31" i="5" s="1"/>
  <c r="Y45" i="4"/>
  <c r="AN92" i="10"/>
  <c r="AE21" i="4"/>
  <c r="AE54" i="4" s="1"/>
  <c r="AD7" i="8"/>
  <c r="P7" i="8" s="1"/>
  <c r="AC12" i="8"/>
  <c r="O12" i="8" s="1"/>
  <c r="V82" i="10"/>
  <c r="H25" i="20"/>
  <c r="H23" i="20" s="1"/>
  <c r="R23" i="20" s="1"/>
  <c r="T112" i="10"/>
  <c r="AC34" i="3"/>
  <c r="K34" i="3" s="1"/>
  <c r="Y36" i="7"/>
  <c r="K36" i="7" s="1"/>
  <c r="AI35" i="7"/>
  <c r="I21" i="7"/>
  <c r="AA32" i="3"/>
  <c r="G32" i="3" s="1"/>
  <c r="N32" i="5"/>
  <c r="AE42" i="4"/>
  <c r="AD12" i="8"/>
  <c r="P12" i="8" s="1"/>
  <c r="T36" i="10"/>
  <c r="T35" i="10"/>
  <c r="T34" i="10"/>
  <c r="AG6" i="10"/>
  <c r="M149" i="17"/>
  <c r="M86" i="17"/>
  <c r="M107" i="17"/>
  <c r="M85" i="17"/>
  <c r="N160" i="17"/>
  <c r="N42" i="17"/>
  <c r="AH19" i="17"/>
  <c r="AG32" i="17"/>
  <c r="AG49" i="17"/>
  <c r="AF39" i="16"/>
  <c r="L63" i="16"/>
  <c r="AF19" i="16"/>
  <c r="AF34" i="17"/>
  <c r="AF59" i="17"/>
  <c r="Y46" i="4" l="1"/>
  <c r="I19" i="4"/>
  <c r="H38" i="20"/>
  <c r="H40" i="20" s="1"/>
  <c r="H42" i="20" s="1"/>
  <c r="L62" i="16"/>
  <c r="V17" i="10"/>
  <c r="L34" i="3"/>
  <c r="K37" i="3"/>
  <c r="T111" i="10"/>
  <c r="T109" i="10" s="1"/>
  <c r="T124" i="10" s="1"/>
  <c r="T126" i="10" s="1"/>
  <c r="AG112" i="10"/>
  <c r="AG111" i="10" s="1"/>
  <c r="V84" i="10"/>
  <c r="V30" i="10"/>
  <c r="K39" i="7"/>
  <c r="AL36" i="7"/>
  <c r="AK36" i="7"/>
  <c r="AI21" i="7"/>
  <c r="I38" i="7"/>
  <c r="AI38" i="7" s="1"/>
  <c r="I20" i="7"/>
  <c r="G31" i="3"/>
  <c r="H32" i="3"/>
  <c r="G36" i="3"/>
  <c r="Y20" i="4"/>
  <c r="Y15" i="4" s="1"/>
  <c r="O32" i="5"/>
  <c r="AG35" i="10"/>
  <c r="AG34" i="10"/>
  <c r="AG36" i="10"/>
  <c r="AG5" i="10"/>
  <c r="Z7" i="3"/>
  <c r="AI8" i="6"/>
  <c r="M8" i="6" s="1"/>
  <c r="M108" i="17"/>
  <c r="M109" i="17" s="1"/>
  <c r="M111" i="17" s="1"/>
  <c r="O167" i="17"/>
  <c r="N41" i="17"/>
  <c r="N159" i="17"/>
  <c r="AH18" i="17"/>
  <c r="X72" i="10" s="1"/>
  <c r="AH45" i="17"/>
  <c r="AG58" i="17"/>
  <c r="AF20" i="16"/>
  <c r="AF36" i="17"/>
  <c r="AF60" i="17"/>
  <c r="H36" i="3" l="1"/>
  <c r="L37" i="3"/>
  <c r="P32" i="5"/>
  <c r="AL39" i="7"/>
  <c r="AK39" i="7"/>
  <c r="X36" i="4"/>
  <c r="W14" i="8"/>
  <c r="I14" i="8" s="1"/>
  <c r="I11" i="8" s="1"/>
  <c r="I18" i="8" s="1"/>
  <c r="I20" i="8" s="1"/>
  <c r="AG109" i="10"/>
  <c r="AG124" i="10" s="1"/>
  <c r="AG126" i="10" s="1"/>
  <c r="AG128" i="10" s="1"/>
  <c r="AK72" i="10"/>
  <c r="X56" i="10"/>
  <c r="X73" i="10" s="1"/>
  <c r="X80" i="10" s="1"/>
  <c r="T128" i="10"/>
  <c r="V16" i="10"/>
  <c r="V37" i="10"/>
  <c r="V86" i="10"/>
  <c r="V85" i="10"/>
  <c r="I23" i="5"/>
  <c r="H31" i="3"/>
  <c r="G35" i="3"/>
  <c r="I37" i="7"/>
  <c r="AI20" i="7"/>
  <c r="E6" i="3"/>
  <c r="BB7" i="3"/>
  <c r="E39" i="3"/>
  <c r="M7" i="6"/>
  <c r="M49" i="6" s="1"/>
  <c r="M134" i="16"/>
  <c r="AU75" i="16"/>
  <c r="M80" i="16" s="1"/>
  <c r="W21" i="10" s="1"/>
  <c r="AG33" i="17"/>
  <c r="W81" i="10" s="1"/>
  <c r="M117" i="17"/>
  <c r="O43" i="17"/>
  <c r="O166" i="17"/>
  <c r="N84" i="17"/>
  <c r="N153" i="17"/>
  <c r="N155" i="17" s="1"/>
  <c r="AH23" i="17"/>
  <c r="AH44" i="17"/>
  <c r="AF38" i="17"/>
  <c r="J5" i="20"/>
  <c r="V91" i="10" s="1"/>
  <c r="AF62" i="17"/>
  <c r="N8" i="6" l="1"/>
  <c r="Z36" i="7"/>
  <c r="L36" i="7" s="1"/>
  <c r="AD34" i="3"/>
  <c r="M34" i="3" s="1"/>
  <c r="H29" i="4"/>
  <c r="I24" i="8"/>
  <c r="I25" i="8" s="1"/>
  <c r="J19" i="8"/>
  <c r="H29" i="5"/>
  <c r="H28" i="5" s="1"/>
  <c r="H35" i="5" s="1"/>
  <c r="H40" i="5" s="1"/>
  <c r="X38" i="4"/>
  <c r="X39" i="4" s="1"/>
  <c r="W82" i="10"/>
  <c r="G42" i="3"/>
  <c r="H35" i="3"/>
  <c r="AI37" i="7"/>
  <c r="I51" i="7"/>
  <c r="E48" i="3"/>
  <c r="BB6" i="3"/>
  <c r="N14" i="6"/>
  <c r="M50" i="6"/>
  <c r="N28" i="6"/>
  <c r="M54" i="6"/>
  <c r="N22" i="6"/>
  <c r="N31" i="6"/>
  <c r="N21" i="6"/>
  <c r="N10" i="6"/>
  <c r="N18" i="6"/>
  <c r="N27" i="6"/>
  <c r="N30" i="6"/>
  <c r="N13" i="6"/>
  <c r="N34" i="6"/>
  <c r="N11" i="6"/>
  <c r="N20" i="6"/>
  <c r="N7" i="6"/>
  <c r="N23" i="6"/>
  <c r="N26" i="6"/>
  <c r="N32" i="6"/>
  <c r="N19" i="6"/>
  <c r="N9" i="6"/>
  <c r="N15" i="6"/>
  <c r="N29" i="6"/>
  <c r="N24" i="6"/>
  <c r="N12" i="6"/>
  <c r="N33" i="6"/>
  <c r="N17" i="6"/>
  <c r="N25" i="6"/>
  <c r="N16" i="6"/>
  <c r="M40" i="6"/>
  <c r="AG39" i="16"/>
  <c r="M63" i="16"/>
  <c r="AG34" i="17"/>
  <c r="AG59" i="17"/>
  <c r="AI19" i="17"/>
  <c r="O42" i="17"/>
  <c r="O160" i="17"/>
  <c r="N107" i="17"/>
  <c r="N108" i="17" s="1"/>
  <c r="N85" i="17"/>
  <c r="N149" i="17"/>
  <c r="N86" i="17"/>
  <c r="AH32" i="17"/>
  <c r="AH49" i="17"/>
  <c r="W17" i="10" l="1"/>
  <c r="M37" i="3"/>
  <c r="N34" i="3"/>
  <c r="H18" i="4"/>
  <c r="X49" i="4"/>
  <c r="X51" i="4" s="1"/>
  <c r="W30" i="10"/>
  <c r="W84" i="10"/>
  <c r="L39" i="7"/>
  <c r="AG36" i="17"/>
  <c r="AG60" i="17"/>
  <c r="AI18" i="17"/>
  <c r="Y72" i="10" s="1"/>
  <c r="AI45" i="17"/>
  <c r="O41" i="17"/>
  <c r="O159" i="17"/>
  <c r="P167" i="17"/>
  <c r="AH33" i="17"/>
  <c r="X81" i="10" s="1"/>
  <c r="AV75" i="16"/>
  <c r="N80" i="16" s="1"/>
  <c r="X21" i="10" s="1"/>
  <c r="N109" i="17"/>
  <c r="N111" i="17" s="1"/>
  <c r="AH58" i="17"/>
  <c r="N37" i="3" l="1"/>
  <c r="W86" i="10"/>
  <c r="W85" i="10"/>
  <c r="AR18" i="4"/>
  <c r="H20" i="4"/>
  <c r="Y56" i="10"/>
  <c r="Y73" i="10" s="1"/>
  <c r="Y80" i="10" s="1"/>
  <c r="AL72" i="10"/>
  <c r="X82" i="10"/>
  <c r="AG38" i="17"/>
  <c r="AG62" i="17"/>
  <c r="K5" i="20"/>
  <c r="W91" i="10" s="1"/>
  <c r="AI23" i="17"/>
  <c r="AI44" i="17"/>
  <c r="O84" i="17"/>
  <c r="O153" i="17"/>
  <c r="O155" i="17" s="1"/>
  <c r="P43" i="17"/>
  <c r="P166" i="17"/>
  <c r="N63" i="16"/>
  <c r="AH19" i="16"/>
  <c r="N134" i="16"/>
  <c r="AH59" i="17"/>
  <c r="AH34" i="17"/>
  <c r="X84" i="10" l="1"/>
  <c r="X30" i="10"/>
  <c r="AE34" i="3"/>
  <c r="O34" i="3" s="1"/>
  <c r="AA36" i="7"/>
  <c r="M36" i="7" s="1"/>
  <c r="AR21" i="4"/>
  <c r="H26" i="4"/>
  <c r="N62" i="16"/>
  <c r="X17" i="10"/>
  <c r="AI49" i="17"/>
  <c r="AI32" i="17"/>
  <c r="O86" i="17"/>
  <c r="O85" i="17"/>
  <c r="O149" i="17"/>
  <c r="O107" i="17"/>
  <c r="AJ19" i="17"/>
  <c r="P160" i="17"/>
  <c r="Q167" i="17" s="1"/>
  <c r="P42" i="17"/>
  <c r="AH20" i="16"/>
  <c r="AH39" i="16"/>
  <c r="AH36" i="17"/>
  <c r="AH60" i="17"/>
  <c r="O37" i="3" l="1"/>
  <c r="P34" i="3"/>
  <c r="X85" i="10"/>
  <c r="X86" i="10"/>
  <c r="H41" i="5"/>
  <c r="H42" i="5" s="1"/>
  <c r="H27" i="4"/>
  <c r="M39" i="7"/>
  <c r="X16" i="10"/>
  <c r="X37" i="10"/>
  <c r="AI58" i="17"/>
  <c r="O108" i="17"/>
  <c r="O109" i="17" s="1"/>
  <c r="O111" i="17" s="1"/>
  <c r="AJ45" i="17"/>
  <c r="AJ18" i="17"/>
  <c r="Z72" i="10" s="1"/>
  <c r="Q43" i="17"/>
  <c r="Q166" i="17"/>
  <c r="P41" i="17"/>
  <c r="P159" i="17"/>
  <c r="AH38" i="17"/>
  <c r="L5" i="20"/>
  <c r="AH62" i="17"/>
  <c r="P37" i="3" l="1"/>
  <c r="X91" i="10"/>
  <c r="AM72" i="10"/>
  <c r="Z56" i="10"/>
  <c r="Z73" i="10" s="1"/>
  <c r="Z80" i="10" s="1"/>
  <c r="I25" i="4"/>
  <c r="H30" i="4"/>
  <c r="O134" i="16"/>
  <c r="AW75" i="16"/>
  <c r="O80" i="16" s="1"/>
  <c r="Y21" i="10" s="1"/>
  <c r="AI33" i="17"/>
  <c r="Y81" i="10" s="1"/>
  <c r="AJ23" i="17"/>
  <c r="AJ44" i="17"/>
  <c r="Q160" i="17"/>
  <c r="Q42" i="17"/>
  <c r="AK19" i="17"/>
  <c r="P84" i="17"/>
  <c r="P153" i="17"/>
  <c r="P155" i="17" s="1"/>
  <c r="AB36" i="7" l="1"/>
  <c r="N36" i="7" s="1"/>
  <c r="AF34" i="3"/>
  <c r="Q34" i="3" s="1"/>
  <c r="Y82" i="10"/>
  <c r="AI39" i="16"/>
  <c r="O63" i="16"/>
  <c r="AI34" i="17"/>
  <c r="AI59" i="17"/>
  <c r="AJ49" i="17"/>
  <c r="AJ32" i="17"/>
  <c r="Q159" i="17"/>
  <c r="Q41" i="17"/>
  <c r="Q84" i="17" s="1"/>
  <c r="AK18" i="17"/>
  <c r="AA72" i="10" s="1"/>
  <c r="AK45" i="17"/>
  <c r="P149" i="17"/>
  <c r="P86" i="17"/>
  <c r="P107" i="17"/>
  <c r="P108" i="17" s="1"/>
  <c r="P85" i="17"/>
  <c r="AN72" i="10" l="1"/>
  <c r="AA56" i="10"/>
  <c r="AA73" i="10" s="1"/>
  <c r="AA80" i="10" s="1"/>
  <c r="Y30" i="10"/>
  <c r="Y84" i="10"/>
  <c r="Y17" i="10"/>
  <c r="Q37" i="3"/>
  <c r="R34" i="3"/>
  <c r="N39" i="7"/>
  <c r="AI36" i="17"/>
  <c r="AI60" i="17"/>
  <c r="AJ58" i="17"/>
  <c r="Q153" i="17"/>
  <c r="Q155" i="17" s="1"/>
  <c r="AK23" i="17"/>
  <c r="AK44" i="17"/>
  <c r="AJ33" i="17"/>
  <c r="Z81" i="10" s="1"/>
  <c r="AX75" i="16"/>
  <c r="P80" i="16" s="1"/>
  <c r="Z21" i="10" s="1"/>
  <c r="P109" i="17"/>
  <c r="P111" i="17" s="1"/>
  <c r="R37" i="3" l="1"/>
  <c r="Y86" i="10"/>
  <c r="Y85" i="10"/>
  <c r="Z82" i="10"/>
  <c r="AC36" i="7"/>
  <c r="O36" i="7" s="1"/>
  <c r="AG34" i="3"/>
  <c r="S34" i="3" s="1"/>
  <c r="AI38" i="17"/>
  <c r="M5" i="20"/>
  <c r="Y91" i="10" s="1"/>
  <c r="AI62" i="17"/>
  <c r="Q149" i="17"/>
  <c r="Q86" i="17"/>
  <c r="Q85" i="17"/>
  <c r="Q107" i="17"/>
  <c r="AK32" i="17"/>
  <c r="AK49" i="17"/>
  <c r="P63" i="16"/>
  <c r="AJ19" i="16"/>
  <c r="P134" i="16"/>
  <c r="AJ59" i="17"/>
  <c r="AJ34" i="17"/>
  <c r="P62" i="16" l="1"/>
  <c r="Z17" i="10"/>
  <c r="Z84" i="10"/>
  <c r="Z30" i="10"/>
  <c r="S37" i="3"/>
  <c r="T34" i="3"/>
  <c r="O39" i="7"/>
  <c r="Q108" i="17"/>
  <c r="Q109" i="17" s="1"/>
  <c r="Q111" i="17" s="1"/>
  <c r="AK58" i="17"/>
  <c r="AJ20" i="16"/>
  <c r="AJ39" i="16"/>
  <c r="AJ36" i="17"/>
  <c r="AJ60" i="17"/>
  <c r="T37" i="3" l="1"/>
  <c r="Z86" i="10"/>
  <c r="Z85" i="10"/>
  <c r="Z16" i="10"/>
  <c r="Z37" i="10"/>
  <c r="Q134" i="16"/>
  <c r="AK39" i="16" s="1"/>
  <c r="AK33" i="17"/>
  <c r="AA81" i="10" s="1"/>
  <c r="AY75" i="16"/>
  <c r="Q80" i="16" s="1"/>
  <c r="AA21" i="10" s="1"/>
  <c r="AJ38" i="17"/>
  <c r="AJ62" i="17"/>
  <c r="N5" i="20"/>
  <c r="Z91" i="10" s="1"/>
  <c r="AA82" i="10" l="1"/>
  <c r="AK34" i="17"/>
  <c r="AK59" i="17"/>
  <c r="Q63" i="16"/>
  <c r="AA30" i="10" l="1"/>
  <c r="AA84" i="10"/>
  <c r="AA17" i="10"/>
  <c r="AK36" i="17"/>
  <c r="AK60" i="17"/>
  <c r="AA85" i="10" l="1"/>
  <c r="AA86" i="10"/>
  <c r="AK38" i="17"/>
  <c r="O5" i="20"/>
  <c r="AA91" i="10" s="1"/>
  <c r="AK62" i="17"/>
  <c r="G155" i="13" l="1"/>
  <c r="H155" i="13" l="1"/>
  <c r="I155" i="13" l="1"/>
  <c r="J155" i="13" l="1"/>
  <c r="K155" i="13" l="1"/>
  <c r="K92" i="13" l="1"/>
  <c r="L155" i="13"/>
  <c r="L93" i="13" l="1"/>
  <c r="L92" i="13" s="1"/>
  <c r="H78" i="10"/>
  <c r="H77" i="10" s="1"/>
  <c r="H80" i="10" s="1"/>
  <c r="K87" i="13"/>
  <c r="M155" i="13"/>
  <c r="M93" i="13" l="1"/>
  <c r="M92" i="13" s="1"/>
  <c r="K97" i="13"/>
  <c r="K98" i="13" s="1"/>
  <c r="AH78" i="10"/>
  <c r="W44" i="7" s="1"/>
  <c r="I44" i="7" s="1"/>
  <c r="I43" i="7" s="1"/>
  <c r="I78" i="10"/>
  <c r="AI78" i="10" s="1"/>
  <c r="X44" i="7" s="1"/>
  <c r="J44" i="7" s="1"/>
  <c r="L87" i="13"/>
  <c r="N155" i="13"/>
  <c r="K100" i="13" l="1"/>
  <c r="K57" i="12" s="1"/>
  <c r="K60" i="12" s="1"/>
  <c r="L56" i="12" s="1"/>
  <c r="N93" i="13"/>
  <c r="K99" i="13"/>
  <c r="K34" i="12"/>
  <c r="H21" i="10" s="1"/>
  <c r="AH21" i="10" s="1"/>
  <c r="AJ23" i="6" s="1"/>
  <c r="O23" i="6" s="1"/>
  <c r="H81" i="10"/>
  <c r="AI44" i="7"/>
  <c r="AH77" i="10"/>
  <c r="Y22" i="4" s="1"/>
  <c r="I77" i="10"/>
  <c r="J43" i="7"/>
  <c r="AJ44" i="7"/>
  <c r="AI43" i="7"/>
  <c r="I46" i="7"/>
  <c r="AI46" i="7" s="1"/>
  <c r="J78" i="10"/>
  <c r="AJ78" i="10" s="1"/>
  <c r="Y44" i="7" s="1"/>
  <c r="K44" i="7" s="1"/>
  <c r="M87" i="13"/>
  <c r="AI77" i="10"/>
  <c r="Z22" i="4" s="1"/>
  <c r="O155" i="13"/>
  <c r="H5" i="21" l="1"/>
  <c r="H91" i="10" s="1"/>
  <c r="AH91" i="10" s="1"/>
  <c r="O93" i="13"/>
  <c r="O92" i="13" s="1"/>
  <c r="N92" i="13"/>
  <c r="Y8" i="4"/>
  <c r="Y12" i="4" s="1"/>
  <c r="I7" i="4" s="1"/>
  <c r="AH80" i="10"/>
  <c r="I56" i="7" s="1"/>
  <c r="AH81" i="10"/>
  <c r="H82" i="10"/>
  <c r="H86" i="10" s="1"/>
  <c r="H20" i="21"/>
  <c r="H13" i="21" s="1"/>
  <c r="K29" i="12"/>
  <c r="H17" i="10" s="1"/>
  <c r="K55" i="12"/>
  <c r="H29" i="10" s="1"/>
  <c r="AH29" i="10" s="1"/>
  <c r="AL44" i="7"/>
  <c r="K43" i="7"/>
  <c r="AK44" i="7"/>
  <c r="J24" i="5"/>
  <c r="Z8" i="4"/>
  <c r="AJ43" i="7"/>
  <c r="J77" i="10"/>
  <c r="Q155" i="13"/>
  <c r="P155" i="13"/>
  <c r="AJ77" i="10"/>
  <c r="AA22" i="4" s="1"/>
  <c r="H4" i="21" l="1"/>
  <c r="H37" i="21" s="1"/>
  <c r="H39" i="21" s="1"/>
  <c r="H42" i="21" s="1"/>
  <c r="I9" i="5"/>
  <c r="I7" i="5" s="1"/>
  <c r="P93" i="13"/>
  <c r="P92" i="13" s="1"/>
  <c r="K78" i="10"/>
  <c r="AK78" i="10" s="1"/>
  <c r="Z44" i="7" s="1"/>
  <c r="L44" i="7" s="1"/>
  <c r="L43" i="7" s="1"/>
  <c r="N87" i="13"/>
  <c r="W47" i="7"/>
  <c r="I47" i="7" s="1"/>
  <c r="AI47" i="7" s="1"/>
  <c r="Y23" i="4"/>
  <c r="I25" i="5" s="1"/>
  <c r="H30" i="10"/>
  <c r="AH30" i="10" s="1"/>
  <c r="AJ32" i="6" s="1"/>
  <c r="O32" i="6" s="1"/>
  <c r="I24" i="5"/>
  <c r="Y16" i="4"/>
  <c r="AH82" i="10"/>
  <c r="AH84" i="10" s="1"/>
  <c r="I52" i="7" s="1"/>
  <c r="H106" i="10"/>
  <c r="H99" i="10" s="1"/>
  <c r="H90" i="10" s="1"/>
  <c r="H124" i="10" s="1"/>
  <c r="H126" i="10" s="1"/>
  <c r="H84" i="10"/>
  <c r="H85" i="10" s="1"/>
  <c r="K61" i="12"/>
  <c r="K42" i="12"/>
  <c r="K24" i="5"/>
  <c r="AA8" i="4"/>
  <c r="AL43" i="7"/>
  <c r="AK43" i="7"/>
  <c r="J9" i="5"/>
  <c r="I10" i="4"/>
  <c r="AS7" i="4"/>
  <c r="L78" i="10"/>
  <c r="L77" i="10" s="1"/>
  <c r="O87" i="13"/>
  <c r="AJ31" i="6"/>
  <c r="O31" i="6" s="1"/>
  <c r="AA16" i="3"/>
  <c r="G16" i="3" s="1"/>
  <c r="X6" i="8"/>
  <c r="J6" i="8" s="1"/>
  <c r="H37" i="10"/>
  <c r="AH17" i="10"/>
  <c r="H34" i="10"/>
  <c r="H35" i="10"/>
  <c r="Q93" i="13" l="1"/>
  <c r="Q92" i="13" s="1"/>
  <c r="Q87" i="13" s="1"/>
  <c r="H40" i="21"/>
  <c r="K77" i="10"/>
  <c r="AK77" i="10"/>
  <c r="AB22" i="4" s="1"/>
  <c r="L24" i="5" s="1"/>
  <c r="Y53" i="4"/>
  <c r="Y17" i="4"/>
  <c r="Z16" i="4" s="1"/>
  <c r="I48" i="7"/>
  <c r="I53" i="7" s="1"/>
  <c r="AA38" i="3"/>
  <c r="G38" i="3" s="1"/>
  <c r="AH86" i="10"/>
  <c r="K62" i="12"/>
  <c r="K64" i="12" s="1"/>
  <c r="AL78" i="10"/>
  <c r="AA44" i="7" s="1"/>
  <c r="M44" i="7" s="1"/>
  <c r="M43" i="7" s="1"/>
  <c r="I14" i="5"/>
  <c r="K9" i="5"/>
  <c r="M78" i="10"/>
  <c r="M77" i="10" s="1"/>
  <c r="P87" i="13"/>
  <c r="O28" i="6"/>
  <c r="O45" i="6"/>
  <c r="H128" i="10"/>
  <c r="AJ19" i="6"/>
  <c r="O19" i="6" s="1"/>
  <c r="AA10" i="3"/>
  <c r="G10" i="3" s="1"/>
  <c r="G12" i="3"/>
  <c r="H16" i="3"/>
  <c r="AI48" i="7" l="1"/>
  <c r="K159" i="16"/>
  <c r="L162" i="16" s="1"/>
  <c r="L135" i="16" s="1"/>
  <c r="AF40" i="16" s="1"/>
  <c r="N78" i="10"/>
  <c r="AN78" i="10" s="1"/>
  <c r="AC44" i="7" s="1"/>
  <c r="O44" i="7" s="1"/>
  <c r="O43" i="7" s="1"/>
  <c r="AB8" i="4"/>
  <c r="L9" i="5" s="1"/>
  <c r="H38" i="3"/>
  <c r="O53" i="6"/>
  <c r="I55" i="7"/>
  <c r="AL77" i="10"/>
  <c r="AC22" i="4" s="1"/>
  <c r="M24" i="5" s="1"/>
  <c r="K63" i="12"/>
  <c r="AM78" i="10"/>
  <c r="AB44" i="7" s="1"/>
  <c r="N44" i="7" s="1"/>
  <c r="N43" i="7" s="1"/>
  <c r="O46" i="6"/>
  <c r="H10" i="3"/>
  <c r="K65" i="12"/>
  <c r="K67" i="12"/>
  <c r="G43" i="3"/>
  <c r="H12" i="3"/>
  <c r="G41" i="3"/>
  <c r="AN77" i="10"/>
  <c r="AE22" i="4" s="1"/>
  <c r="L147" i="16" l="1"/>
  <c r="L130" i="16"/>
  <c r="M131" i="16" s="1"/>
  <c r="N77" i="10"/>
  <c r="AC8" i="4"/>
  <c r="M9" i="5" s="1"/>
  <c r="AM77" i="10"/>
  <c r="AD22" i="4" s="1"/>
  <c r="N24" i="5" s="1"/>
  <c r="AF22" i="16"/>
  <c r="AF23" i="16" s="1"/>
  <c r="J37" i="20"/>
  <c r="AF41" i="16"/>
  <c r="AG31" i="16" s="1"/>
  <c r="O24" i="5"/>
  <c r="AE8" i="4"/>
  <c r="L127" i="16" l="1"/>
  <c r="AD8" i="4"/>
  <c r="N9" i="5" s="1"/>
  <c r="V123" i="10"/>
  <c r="J34" i="20"/>
  <c r="AF43" i="16"/>
  <c r="AF24" i="16"/>
  <c r="L107" i="16"/>
  <c r="L141" i="16" s="1"/>
  <c r="L18" i="16" s="1"/>
  <c r="V29" i="10"/>
  <c r="P24" i="5"/>
  <c r="O9" i="5"/>
  <c r="AI123" i="10" l="1"/>
  <c r="V120" i="10"/>
  <c r="L7" i="16"/>
  <c r="L5" i="16" s="1"/>
  <c r="AF8" i="16"/>
  <c r="P9" i="5"/>
  <c r="AU73" i="16"/>
  <c r="AW73" i="16" s="1"/>
  <c r="AY73" i="16" s="1"/>
  <c r="AY70" i="16" s="1"/>
  <c r="AY72" i="16" s="1"/>
  <c r="Q90" i="16" s="1"/>
  <c r="AS70" i="16"/>
  <c r="AS72" i="16" s="1"/>
  <c r="K90" i="16" s="1"/>
  <c r="V12" i="10" l="1"/>
  <c r="AI12" i="10" s="1"/>
  <c r="AK14" i="6" s="1"/>
  <c r="Q14" i="6" s="1"/>
  <c r="AF14" i="16"/>
  <c r="AF26" i="16" s="1"/>
  <c r="L4" i="16"/>
  <c r="L143" i="16" s="1"/>
  <c r="L144" i="16" s="1"/>
  <c r="V6" i="10"/>
  <c r="Y13" i="8"/>
  <c r="K13" i="8" s="1"/>
  <c r="Z43" i="4"/>
  <c r="AI120" i="10"/>
  <c r="U25" i="10"/>
  <c r="AH25" i="10" s="1"/>
  <c r="AJ27" i="6" s="1"/>
  <c r="O27" i="6" s="1"/>
  <c r="K87" i="16"/>
  <c r="K86" i="16" s="1"/>
  <c r="AE19" i="16"/>
  <c r="AA25" i="10"/>
  <c r="AN25" i="10" s="1"/>
  <c r="AP27" i="6" s="1"/>
  <c r="AA27" i="6" s="1"/>
  <c r="Q87" i="16"/>
  <c r="Q86" i="16" s="1"/>
  <c r="AK19" i="16"/>
  <c r="AU70" i="16"/>
  <c r="AU72" i="16" s="1"/>
  <c r="M90" i="16" s="1"/>
  <c r="AW70" i="16"/>
  <c r="AW72" i="16" s="1"/>
  <c r="O90" i="16" s="1"/>
  <c r="V34" i="10" l="1"/>
  <c r="V36" i="10"/>
  <c r="V35" i="10"/>
  <c r="J33" i="5"/>
  <c r="Z45" i="4"/>
  <c r="Y25" i="10"/>
  <c r="AL25" i="10" s="1"/>
  <c r="AN27" i="6" s="1"/>
  <c r="W27" i="6" s="1"/>
  <c r="O87" i="16"/>
  <c r="O86" i="16" s="1"/>
  <c r="AI19" i="16"/>
  <c r="AE20" i="16"/>
  <c r="AE24" i="16" s="1"/>
  <c r="S20" i="20"/>
  <c r="S21" i="20" s="1"/>
  <c r="I20" i="20"/>
  <c r="J20" i="20"/>
  <c r="W25" i="10"/>
  <c r="AJ25" i="10" s="1"/>
  <c r="AL27" i="6" s="1"/>
  <c r="S27" i="6" s="1"/>
  <c r="M87" i="16"/>
  <c r="M86" i="16" s="1"/>
  <c r="AG19" i="16"/>
  <c r="AA18" i="10"/>
  <c r="Q62" i="16"/>
  <c r="U18" i="10"/>
  <c r="K62" i="16"/>
  <c r="K141" i="16" s="1"/>
  <c r="K18" i="16" s="1"/>
  <c r="AK20" i="16"/>
  <c r="O20" i="20"/>
  <c r="O42" i="6"/>
  <c r="AO2" i="13"/>
  <c r="AP4" i="13" s="1"/>
  <c r="M13" i="13"/>
  <c r="M11" i="13" l="1"/>
  <c r="J31" i="5"/>
  <c r="J19" i="4"/>
  <c r="Z46" i="4"/>
  <c r="AQ1" i="13"/>
  <c r="J46" i="10"/>
  <c r="AJ46" i="10" s="1"/>
  <c r="Y10" i="7" s="1"/>
  <c r="K10" i="7" s="1"/>
  <c r="AL10" i="7" s="1"/>
  <c r="J47" i="10"/>
  <c r="AJ47" i="10" s="1"/>
  <c r="Y11" i="7" s="1"/>
  <c r="K11" i="7" s="1"/>
  <c r="U20" i="20"/>
  <c r="U21" i="20" s="1"/>
  <c r="AG20" i="16"/>
  <c r="K20" i="20"/>
  <c r="V20" i="20" s="1"/>
  <c r="V21" i="20" s="1"/>
  <c r="L20" i="20"/>
  <c r="AA106" i="10"/>
  <c r="AA99" i="10" s="1"/>
  <c r="AA90" i="10" s="1"/>
  <c r="O13" i="20"/>
  <c r="O4" i="20" s="1"/>
  <c r="W18" i="10"/>
  <c r="M62" i="16"/>
  <c r="AE8" i="16"/>
  <c r="K7" i="16"/>
  <c r="K5" i="16" s="1"/>
  <c r="AH18" i="10"/>
  <c r="U37" i="10"/>
  <c r="U16" i="10"/>
  <c r="I13" i="20"/>
  <c r="I4" i="20" s="1"/>
  <c r="U106" i="10"/>
  <c r="M20" i="20"/>
  <c r="AI20" i="16"/>
  <c r="N20" i="20"/>
  <c r="AN18" i="10"/>
  <c r="AA37" i="10"/>
  <c r="AA16" i="10"/>
  <c r="T20" i="20"/>
  <c r="T21" i="20" s="1"/>
  <c r="Y18" i="10"/>
  <c r="O62" i="16"/>
  <c r="J13" i="20"/>
  <c r="J4" i="20" s="1"/>
  <c r="V106" i="10"/>
  <c r="V99" i="10" s="1"/>
  <c r="V90" i="10" s="1"/>
  <c r="N15" i="13"/>
  <c r="L13" i="13"/>
  <c r="L15" i="13"/>
  <c r="O11" i="13" l="1"/>
  <c r="AP2" i="13"/>
  <c r="AQ4" i="13" s="1"/>
  <c r="M15" i="13"/>
  <c r="U99" i="10"/>
  <c r="U90" i="10" s="1"/>
  <c r="AH106" i="10"/>
  <c r="AA11" i="3"/>
  <c r="G11" i="3" s="1"/>
  <c r="AJ20" i="6"/>
  <c r="O20" i="6" s="1"/>
  <c r="AH37" i="10"/>
  <c r="AH16" i="10"/>
  <c r="AL18" i="10"/>
  <c r="Y16" i="10"/>
  <c r="Y37" i="10"/>
  <c r="AG11" i="3"/>
  <c r="S11" i="3" s="1"/>
  <c r="T11" i="3" s="1"/>
  <c r="AP20" i="6"/>
  <c r="AA20" i="6" s="1"/>
  <c r="M13" i="20"/>
  <c r="M4" i="20" s="1"/>
  <c r="Y106" i="10"/>
  <c r="Y99" i="10" s="1"/>
  <c r="Y90" i="10" s="1"/>
  <c r="K4" i="16"/>
  <c r="K143" i="16" s="1"/>
  <c r="K144" i="16" s="1"/>
  <c r="U6" i="10"/>
  <c r="U12" i="10"/>
  <c r="AH12" i="10" s="1"/>
  <c r="AJ14" i="6" s="1"/>
  <c r="O14" i="6" s="1"/>
  <c r="I26" i="20"/>
  <c r="AE14" i="16"/>
  <c r="AE26" i="16" s="1"/>
  <c r="J26" i="20"/>
  <c r="AJ18" i="10"/>
  <c r="W37" i="10"/>
  <c r="W16" i="10"/>
  <c r="X106" i="10"/>
  <c r="X99" i="10" s="1"/>
  <c r="X90" i="10" s="1"/>
  <c r="L13" i="20"/>
  <c r="L4" i="20" s="1"/>
  <c r="K13" i="20"/>
  <c r="K4" i="20" s="1"/>
  <c r="W106" i="10"/>
  <c r="W99" i="10" s="1"/>
  <c r="W90" i="10" s="1"/>
  <c r="Z106" i="10"/>
  <c r="Z99" i="10" s="1"/>
  <c r="Z90" i="10" s="1"/>
  <c r="N13" i="20"/>
  <c r="N4" i="20" s="1"/>
  <c r="Y20" i="20"/>
  <c r="Y21" i="20" s="1"/>
  <c r="X20" i="20"/>
  <c r="X21" i="20" s="1"/>
  <c r="W20" i="20"/>
  <c r="W21" i="20" s="1"/>
  <c r="AE14" i="13"/>
  <c r="O15" i="13"/>
  <c r="K47" i="10"/>
  <c r="AK47" i="10" s="1"/>
  <c r="Z11" i="7" s="1"/>
  <c r="L11" i="7" s="1"/>
  <c r="AL11" i="7" s="1"/>
  <c r="AC14" i="13"/>
  <c r="I47" i="10"/>
  <c r="AI47" i="10" s="1"/>
  <c r="X11" i="7" s="1"/>
  <c r="J11" i="7" s="1"/>
  <c r="I46" i="10"/>
  <c r="AI46" i="10" s="1"/>
  <c r="X10" i="7" s="1"/>
  <c r="J10" i="7" s="1"/>
  <c r="AC25" i="3"/>
  <c r="K25" i="3" s="1"/>
  <c r="AD14" i="13"/>
  <c r="AR1" i="13" l="1"/>
  <c r="AN20" i="6"/>
  <c r="W20" i="6" s="1"/>
  <c r="AE11" i="3"/>
  <c r="O11" i="3" s="1"/>
  <c r="AH6" i="10"/>
  <c r="U34" i="10"/>
  <c r="U35" i="10"/>
  <c r="U36" i="10"/>
  <c r="AL20" i="6"/>
  <c r="S20" i="6" s="1"/>
  <c r="AC11" i="3"/>
  <c r="K11" i="3" s="1"/>
  <c r="J25" i="20"/>
  <c r="J23" i="20" s="1"/>
  <c r="V112" i="10"/>
  <c r="O18" i="6"/>
  <c r="H11" i="3"/>
  <c r="J11" i="3"/>
  <c r="G9" i="3"/>
  <c r="U112" i="10"/>
  <c r="I25" i="20"/>
  <c r="I23" i="20" s="1"/>
  <c r="AH99" i="10"/>
  <c r="Y27" i="4"/>
  <c r="O39" i="6"/>
  <c r="O48" i="6" s="1"/>
  <c r="AJ11" i="7"/>
  <c r="AK11" i="7"/>
  <c r="AB25" i="3"/>
  <c r="I25" i="3" s="1"/>
  <c r="AD25" i="3"/>
  <c r="M25" i="3" s="1"/>
  <c r="AF14" i="13"/>
  <c r="L47" i="10"/>
  <c r="AL47" i="10" s="1"/>
  <c r="AA11" i="7" s="1"/>
  <c r="M11" i="7" s="1"/>
  <c r="AM11" i="7" s="1"/>
  <c r="P15" i="13"/>
  <c r="AJ10" i="7"/>
  <c r="AK10" i="7"/>
  <c r="N25" i="3" l="1"/>
  <c r="J25" i="3"/>
  <c r="AQ2" i="13"/>
  <c r="AR4" i="13" s="1"/>
  <c r="P11" i="13"/>
  <c r="AH112" i="10"/>
  <c r="AH111" i="10" s="1"/>
  <c r="U111" i="10"/>
  <c r="U109" i="10" s="1"/>
  <c r="U124" i="10" s="1"/>
  <c r="U126" i="10" s="1"/>
  <c r="AJ8" i="6"/>
  <c r="O8" i="6" s="1"/>
  <c r="AA7" i="3"/>
  <c r="G7" i="3" s="1"/>
  <c r="AH5" i="10"/>
  <c r="AH36" i="10"/>
  <c r="AH35" i="10"/>
  <c r="AH34" i="10"/>
  <c r="X8" i="8"/>
  <c r="J8" i="8" s="1"/>
  <c r="J5" i="8" s="1"/>
  <c r="AH90" i="10"/>
  <c r="S23" i="20"/>
  <c r="I38" i="20"/>
  <c r="I40" i="20" s="1"/>
  <c r="I42" i="20" s="1"/>
  <c r="AI112" i="10"/>
  <c r="AI111" i="10" s="1"/>
  <c r="V111" i="10"/>
  <c r="V109" i="10" s="1"/>
  <c r="V124" i="10" s="1"/>
  <c r="V126" i="10" s="1"/>
  <c r="V128" i="10" s="1"/>
  <c r="H9" i="3"/>
  <c r="G40" i="3"/>
  <c r="P11" i="3"/>
  <c r="R11" i="3"/>
  <c r="L11" i="3"/>
  <c r="N11" i="3"/>
  <c r="O51" i="6"/>
  <c r="O43" i="6"/>
  <c r="O52" i="6"/>
  <c r="J38" i="20"/>
  <c r="J40" i="20" s="1"/>
  <c r="J42" i="20" s="1"/>
  <c r="T23" i="20"/>
  <c r="I27" i="5"/>
  <c r="I21" i="5" s="1"/>
  <c r="Y56" i="4"/>
  <c r="Y30" i="4"/>
  <c r="L25" i="3"/>
  <c r="AG14" i="13"/>
  <c r="M47" i="10"/>
  <c r="AM47" i="10" s="1"/>
  <c r="AB11" i="7" s="1"/>
  <c r="N11" i="7" s="1"/>
  <c r="AN11" i="7" s="1"/>
  <c r="Q15" i="13"/>
  <c r="AE25" i="3"/>
  <c r="O25" i="3" s="1"/>
  <c r="P25" i="3" l="1"/>
  <c r="Y31" i="4"/>
  <c r="Q11" i="13"/>
  <c r="I17" i="4"/>
  <c r="AI109" i="10"/>
  <c r="Y14" i="8"/>
  <c r="K14" i="8" s="1"/>
  <c r="K11" i="8" s="1"/>
  <c r="Z36" i="4"/>
  <c r="H7" i="3"/>
  <c r="G6" i="3"/>
  <c r="G39" i="3"/>
  <c r="U128" i="10"/>
  <c r="O7" i="6"/>
  <c r="AH109" i="10"/>
  <c r="AH124" i="10" s="1"/>
  <c r="AH126" i="10" s="1"/>
  <c r="Y36" i="4"/>
  <c r="X14" i="8"/>
  <c r="J14" i="8" s="1"/>
  <c r="J11" i="8" s="1"/>
  <c r="J18" i="8" s="1"/>
  <c r="J20" i="8" s="1"/>
  <c r="K19" i="8" s="1"/>
  <c r="AF25" i="3"/>
  <c r="Q25" i="3" s="1"/>
  <c r="N47" i="10"/>
  <c r="AN47" i="10" s="1"/>
  <c r="AC11" i="7" s="1"/>
  <c r="O11" i="7" s="1"/>
  <c r="AO11" i="7" s="1"/>
  <c r="AH14" i="13"/>
  <c r="R25" i="3" l="1"/>
  <c r="O49" i="6"/>
  <c r="O54" i="6"/>
  <c r="AR2" i="13"/>
  <c r="P8" i="6"/>
  <c r="I29" i="4"/>
  <c r="J24" i="8"/>
  <c r="J25" i="8" s="1"/>
  <c r="AH128" i="10"/>
  <c r="P11" i="6"/>
  <c r="P15" i="6"/>
  <c r="P22" i="6"/>
  <c r="P34" i="6"/>
  <c r="P33" i="6"/>
  <c r="P25" i="6"/>
  <c r="P26" i="6"/>
  <c r="P21" i="6"/>
  <c r="P9" i="6"/>
  <c r="P12" i="6"/>
  <c r="P29" i="6"/>
  <c r="O40" i="6"/>
  <c r="P10" i="6"/>
  <c r="P13" i="6"/>
  <c r="P17" i="6"/>
  <c r="P30" i="6"/>
  <c r="P7" i="6"/>
  <c r="P24" i="6"/>
  <c r="P16" i="6"/>
  <c r="P23" i="6"/>
  <c r="P32" i="6"/>
  <c r="P31" i="6"/>
  <c r="P19" i="6"/>
  <c r="P28" i="6"/>
  <c r="P27" i="6"/>
  <c r="P20" i="6"/>
  <c r="P14" i="6"/>
  <c r="O50" i="6"/>
  <c r="P18" i="6"/>
  <c r="Z38" i="4"/>
  <c r="J29" i="5"/>
  <c r="J28" i="5" s="1"/>
  <c r="I29" i="5"/>
  <c r="Y38" i="4"/>
  <c r="G45" i="3"/>
  <c r="H6" i="3"/>
  <c r="G48" i="3"/>
  <c r="AG25" i="3"/>
  <c r="S25" i="3" s="1"/>
  <c r="T25" i="3" l="1"/>
  <c r="H48" i="3"/>
  <c r="I18" i="4"/>
  <c r="Y49" i="4"/>
  <c r="Y51" i="4" s="1"/>
  <c r="Y52" i="4" s="1"/>
  <c r="Z39" i="4"/>
  <c r="J18" i="4"/>
  <c r="Y39" i="4"/>
  <c r="I28" i="5"/>
  <c r="I20" i="4" l="1"/>
  <c r="I26" i="4" s="1"/>
  <c r="I35" i="5"/>
  <c r="I40" i="5" s="1"/>
  <c r="I41" i="5" l="1"/>
  <c r="I42" i="5" s="1"/>
  <c r="I27" i="4"/>
  <c r="I30" i="4" l="1"/>
  <c r="J25" i="4"/>
  <c r="I43" i="10" l="1"/>
  <c r="AI43" i="10" s="1"/>
  <c r="AC7" i="13"/>
  <c r="L11" i="13"/>
  <c r="L8" i="13"/>
  <c r="L5" i="13" l="1"/>
  <c r="K45" i="10"/>
  <c r="AK45" i="10" s="1"/>
  <c r="Z9" i="7" s="1"/>
  <c r="L9" i="7" s="1"/>
  <c r="X7" i="7"/>
  <c r="J7" i="7" s="1"/>
  <c r="L35" i="12"/>
  <c r="I22" i="10" s="1"/>
  <c r="AI22" i="10" s="1"/>
  <c r="AK24" i="6" s="1"/>
  <c r="Q24" i="6" s="1"/>
  <c r="L12" i="13"/>
  <c r="AC11" i="13"/>
  <c r="I45" i="10"/>
  <c r="AI45" i="10" s="1"/>
  <c r="X9" i="7" s="1"/>
  <c r="J9" i="7" s="1"/>
  <c r="AJ9" i="7" s="1"/>
  <c r="L33" i="12"/>
  <c r="L31" i="12" s="1"/>
  <c r="L7" i="12" l="1"/>
  <c r="L67" i="13"/>
  <c r="I68" i="10" s="1"/>
  <c r="AI68" i="10" s="1"/>
  <c r="X32" i="7" s="1"/>
  <c r="J32" i="7" s="1"/>
  <c r="AJ32" i="7" s="1"/>
  <c r="L72" i="13"/>
  <c r="AC72" i="13" s="1"/>
  <c r="L30" i="12"/>
  <c r="I19" i="10" s="1"/>
  <c r="AI19" i="10" s="1"/>
  <c r="AK21" i="6" s="1"/>
  <c r="Q21" i="6" s="1"/>
  <c r="AM25" i="13"/>
  <c r="L69" i="13"/>
  <c r="AC69" i="13" s="1"/>
  <c r="AM28" i="13"/>
  <c r="AM29" i="13"/>
  <c r="L78" i="13"/>
  <c r="AC78" i="13" s="1"/>
  <c r="AM26" i="13"/>
  <c r="AC26" i="13" s="1"/>
  <c r="L66" i="13"/>
  <c r="I66" i="10" s="1"/>
  <c r="AI66" i="10" s="1"/>
  <c r="X30" i="7" s="1"/>
  <c r="J30" i="7" s="1"/>
  <c r="AJ30" i="7" s="1"/>
  <c r="I9" i="10"/>
  <c r="AI9" i="10" s="1"/>
  <c r="AK11" i="6" s="1"/>
  <c r="Q11" i="6" s="1"/>
  <c r="L6" i="12"/>
  <c r="I14" i="21"/>
  <c r="I100" i="10" s="1"/>
  <c r="L6" i="13"/>
  <c r="AC5" i="13" s="1"/>
  <c r="AC17" i="13" s="1"/>
  <c r="L20" i="13" s="1"/>
  <c r="AM27" i="13"/>
  <c r="L54" i="13"/>
  <c r="AC54" i="13" s="1"/>
  <c r="L19" i="13"/>
  <c r="L35" i="13"/>
  <c r="M12" i="13"/>
  <c r="J45" i="10"/>
  <c r="AJ45" i="10" s="1"/>
  <c r="Y9" i="7" s="1"/>
  <c r="K9" i="7" s="1"/>
  <c r="AK9" i="7" s="1"/>
  <c r="N12" i="13"/>
  <c r="AE11" i="13"/>
  <c r="AD11" i="13"/>
  <c r="AC44" i="13"/>
  <c r="L33" i="13"/>
  <c r="L32" i="13"/>
  <c r="L34" i="13"/>
  <c r="AJ7" i="7"/>
  <c r="J6" i="7"/>
  <c r="AD7" i="13"/>
  <c r="M8" i="13"/>
  <c r="J43" i="10"/>
  <c r="M5" i="13"/>
  <c r="I42" i="10"/>
  <c r="I41" i="10" s="1"/>
  <c r="I62" i="10"/>
  <c r="AI62" i="10" s="1"/>
  <c r="X26" i="7" s="1"/>
  <c r="J26" i="7" s="1"/>
  <c r="AJ26" i="7" s="1"/>
  <c r="AC56" i="13"/>
  <c r="K43" i="10"/>
  <c r="N8" i="13"/>
  <c r="AE7" i="13"/>
  <c r="N5" i="13"/>
  <c r="AF11" i="13"/>
  <c r="O12" i="13"/>
  <c r="L45" i="10"/>
  <c r="AL45" i="10" s="1"/>
  <c r="AA9" i="7" s="1"/>
  <c r="M9" i="7" s="1"/>
  <c r="AM9" i="7" s="1"/>
  <c r="I23" i="10"/>
  <c r="AI23" i="10" s="1"/>
  <c r="AK25" i="6" s="1"/>
  <c r="Q25" i="6" s="1"/>
  <c r="AI42" i="10"/>
  <c r="AI41" i="10" s="1"/>
  <c r="I64" i="10" l="1"/>
  <c r="AI64" i="10" s="1"/>
  <c r="X28" i="7" s="1"/>
  <c r="J28" i="7" s="1"/>
  <c r="AJ28" i="7" s="1"/>
  <c r="L70" i="13"/>
  <c r="I67" i="10" s="1"/>
  <c r="AI67" i="10" s="1"/>
  <c r="X31" i="7" s="1"/>
  <c r="J31" i="7" s="1"/>
  <c r="AJ31" i="7" s="1"/>
  <c r="I18" i="21"/>
  <c r="I104" i="10" s="1"/>
  <c r="AI104" i="10" s="1"/>
  <c r="Z26" i="4" s="1"/>
  <c r="I59" i="10"/>
  <c r="AI59" i="10" s="1"/>
  <c r="X23" i="7" s="1"/>
  <c r="J23" i="7" s="1"/>
  <c r="AM24" i="13"/>
  <c r="L76" i="13"/>
  <c r="L77" i="13" s="1"/>
  <c r="L64" i="13"/>
  <c r="L65" i="13" s="1"/>
  <c r="AC67" i="13"/>
  <c r="L52" i="13"/>
  <c r="L53" i="13" s="1"/>
  <c r="L41" i="13"/>
  <c r="AC41" i="13" s="1"/>
  <c r="M67" i="13"/>
  <c r="N67" i="13" s="1"/>
  <c r="L21" i="13"/>
  <c r="L10" i="12"/>
  <c r="AB21" i="3"/>
  <c r="I21" i="3" s="1"/>
  <c r="M69" i="13"/>
  <c r="AO25" i="13"/>
  <c r="L30" i="13"/>
  <c r="L45" i="13"/>
  <c r="L43" i="13"/>
  <c r="AL9" i="7"/>
  <c r="O8" i="13"/>
  <c r="AF7" i="13"/>
  <c r="L43" i="10"/>
  <c r="O5" i="13"/>
  <c r="J42" i="10"/>
  <c r="J41" i="10" s="1"/>
  <c r="AJ43" i="10"/>
  <c r="AG11" i="13"/>
  <c r="P12" i="13"/>
  <c r="M45" i="10"/>
  <c r="AM45" i="10" s="1"/>
  <c r="AB9" i="7" s="1"/>
  <c r="N9" i="7" s="1"/>
  <c r="AN9" i="7" s="1"/>
  <c r="K42" i="10"/>
  <c r="K41" i="10" s="1"/>
  <c r="AK43" i="10"/>
  <c r="AI100" i="10"/>
  <c r="N35" i="12"/>
  <c r="K22" i="10" s="1"/>
  <c r="AK22" i="10" s="1"/>
  <c r="AM24" i="6" s="1"/>
  <c r="U24" i="6" s="1"/>
  <c r="AO29" i="13"/>
  <c r="N6" i="13"/>
  <c r="AO28" i="13"/>
  <c r="AO26" i="13"/>
  <c r="AE26" i="13" s="1"/>
  <c r="N33" i="12"/>
  <c r="N31" i="12" s="1"/>
  <c r="N30" i="12"/>
  <c r="N7" i="12"/>
  <c r="AO27" i="13"/>
  <c r="AN26" i="13"/>
  <c r="AD26" i="13" s="1"/>
  <c r="M35" i="12"/>
  <c r="J22" i="10" s="1"/>
  <c r="AJ22" i="10" s="1"/>
  <c r="AL24" i="6" s="1"/>
  <c r="S24" i="6" s="1"/>
  <c r="M6" i="13"/>
  <c r="AN29" i="13"/>
  <c r="M33" i="12"/>
  <c r="M31" i="12" s="1"/>
  <c r="AN28" i="13"/>
  <c r="M30" i="12"/>
  <c r="M7" i="12"/>
  <c r="AN27" i="13"/>
  <c r="M54" i="13"/>
  <c r="AJ6" i="7"/>
  <c r="J5" i="7"/>
  <c r="M72" i="13"/>
  <c r="L22" i="13"/>
  <c r="AC20" i="13"/>
  <c r="L16" i="13"/>
  <c r="AN25" i="13"/>
  <c r="M66" i="13"/>
  <c r="M78" i="13"/>
  <c r="P34" i="14" l="1"/>
  <c r="P18" i="14" s="1"/>
  <c r="P26" i="14" s="1"/>
  <c r="L71" i="13"/>
  <c r="I61" i="10"/>
  <c r="AI61" i="10" s="1"/>
  <c r="M44" i="13"/>
  <c r="I53" i="10"/>
  <c r="AI53" i="10" s="1"/>
  <c r="AI52" i="10" s="1"/>
  <c r="Z19" i="4" s="1"/>
  <c r="J21" i="3"/>
  <c r="AD5" i="13"/>
  <c r="AD17" i="13" s="1"/>
  <c r="O67" i="13"/>
  <c r="AE5" i="13"/>
  <c r="AD69" i="13"/>
  <c r="J68" i="10"/>
  <c r="AJ68" i="10" s="1"/>
  <c r="Y32" i="7" s="1"/>
  <c r="K32" i="7" s="1"/>
  <c r="AK32" i="7" s="1"/>
  <c r="AJ5" i="7"/>
  <c r="J64" i="10"/>
  <c r="AJ64" i="10" s="1"/>
  <c r="Y28" i="7" s="1"/>
  <c r="K28" i="7" s="1"/>
  <c r="AK28" i="7" s="1"/>
  <c r="N69" i="13"/>
  <c r="I10" i="10"/>
  <c r="AI10" i="10" s="1"/>
  <c r="AK12" i="6" s="1"/>
  <c r="Q12" i="6" s="1"/>
  <c r="Q39" i="6" s="1"/>
  <c r="L4" i="12"/>
  <c r="I16" i="21"/>
  <c r="I102" i="10" s="1"/>
  <c r="AI102" i="10" s="1"/>
  <c r="Z25" i="4" s="1"/>
  <c r="AP25" i="13"/>
  <c r="K68" i="10"/>
  <c r="AK68" i="10" s="1"/>
  <c r="Z32" i="7" s="1"/>
  <c r="L32" i="7" s="1"/>
  <c r="AD67" i="13"/>
  <c r="AO24" i="13"/>
  <c r="L17" i="13"/>
  <c r="L26" i="13"/>
  <c r="AC29" i="13"/>
  <c r="AC27" i="13" s="1"/>
  <c r="AC24" i="13" s="1"/>
  <c r="L28" i="13"/>
  <c r="L25" i="13"/>
  <c r="L46" i="13"/>
  <c r="I50" i="10"/>
  <c r="AE67" i="13"/>
  <c r="AK42" i="10"/>
  <c r="AK41" i="10" s="1"/>
  <c r="Z7" i="7"/>
  <c r="L7" i="7" s="1"/>
  <c r="K18" i="21"/>
  <c r="K104" i="10" s="1"/>
  <c r="AK104" i="10" s="1"/>
  <c r="AB26" i="4" s="1"/>
  <c r="K19" i="10"/>
  <c r="AK19" i="10" s="1"/>
  <c r="AM21" i="6" s="1"/>
  <c r="U21" i="6" s="1"/>
  <c r="AJ23" i="7"/>
  <c r="AL43" i="10"/>
  <c r="L42" i="10"/>
  <c r="L41" i="10" s="1"/>
  <c r="J23" i="10"/>
  <c r="AJ23" i="10" s="1"/>
  <c r="AL25" i="6" s="1"/>
  <c r="S25" i="6" s="1"/>
  <c r="Z10" i="4"/>
  <c r="M76" i="13"/>
  <c r="AD78" i="13"/>
  <c r="N78" i="13"/>
  <c r="J66" i="10"/>
  <c r="AJ66" i="10" s="1"/>
  <c r="Y30" i="7" s="1"/>
  <c r="K30" i="7" s="1"/>
  <c r="N66" i="13"/>
  <c r="M64" i="13"/>
  <c r="AJ42" i="10"/>
  <c r="AJ41" i="10" s="1"/>
  <c r="Y7" i="7"/>
  <c r="K7" i="7" s="1"/>
  <c r="M70" i="13"/>
  <c r="AD72" i="13"/>
  <c r="N72" i="13"/>
  <c r="O35" i="12"/>
  <c r="L22" i="10" s="1"/>
  <c r="AL22" i="10" s="1"/>
  <c r="AN24" i="6" s="1"/>
  <c r="W24" i="6" s="1"/>
  <c r="AP28" i="13"/>
  <c r="O6" i="13"/>
  <c r="O33" i="12"/>
  <c r="O31" i="12" s="1"/>
  <c r="AP26" i="13"/>
  <c r="AF26" i="13" s="1"/>
  <c r="O30" i="12"/>
  <c r="AP29" i="13"/>
  <c r="O7" i="12"/>
  <c r="L14" i="21" s="1"/>
  <c r="AP27" i="13"/>
  <c r="N6" i="12"/>
  <c r="K9" i="10"/>
  <c r="AK9" i="10" s="1"/>
  <c r="AM11" i="6" s="1"/>
  <c r="U11" i="6" s="1"/>
  <c r="K23" i="10"/>
  <c r="AK23" i="10" s="1"/>
  <c r="AM25" i="6" s="1"/>
  <c r="U25" i="6" s="1"/>
  <c r="AN24" i="13"/>
  <c r="AD54" i="13"/>
  <c r="M52" i="13"/>
  <c r="J59" i="10"/>
  <c r="N54" i="13"/>
  <c r="P8" i="13"/>
  <c r="AG7" i="13"/>
  <c r="M43" i="10"/>
  <c r="P5" i="13"/>
  <c r="J62" i="10"/>
  <c r="AJ62" i="10" s="1"/>
  <c r="Y26" i="7" s="1"/>
  <c r="K26" i="7" s="1"/>
  <c r="AD56" i="13"/>
  <c r="Q12" i="13"/>
  <c r="N45" i="10"/>
  <c r="AN45" i="10" s="1"/>
  <c r="AC9" i="7" s="1"/>
  <c r="O9" i="7" s="1"/>
  <c r="AO9" i="7" s="1"/>
  <c r="AH11" i="13"/>
  <c r="K14" i="21"/>
  <c r="M6" i="12"/>
  <c r="J9" i="10"/>
  <c r="AJ9" i="10" s="1"/>
  <c r="AL11" i="6" s="1"/>
  <c r="S11" i="6" s="1"/>
  <c r="J14" i="21"/>
  <c r="J18" i="21"/>
  <c r="J104" i="10" s="1"/>
  <c r="AJ104" i="10" s="1"/>
  <c r="AA26" i="4" s="1"/>
  <c r="J19" i="10"/>
  <c r="AJ19" i="10" s="1"/>
  <c r="AL21" i="6" s="1"/>
  <c r="S21" i="6" s="1"/>
  <c r="I52" i="10" l="1"/>
  <c r="AB28" i="3"/>
  <c r="I28" i="3" s="1"/>
  <c r="X17" i="7"/>
  <c r="J17" i="7" s="1"/>
  <c r="AJ17" i="7" s="1"/>
  <c r="AE17" i="13"/>
  <c r="K64" i="10"/>
  <c r="AK64" i="10" s="1"/>
  <c r="Z28" i="7" s="1"/>
  <c r="L28" i="7" s="1"/>
  <c r="L37" i="13"/>
  <c r="L38" i="13"/>
  <c r="M65" i="13"/>
  <c r="P67" i="13"/>
  <c r="AF5" i="13"/>
  <c r="M53" i="13"/>
  <c r="AL32" i="7"/>
  <c r="AL28" i="7"/>
  <c r="AE69" i="13"/>
  <c r="O69" i="13"/>
  <c r="L28" i="12"/>
  <c r="I6" i="10"/>
  <c r="M19" i="13"/>
  <c r="L27" i="13"/>
  <c r="L100" i="10"/>
  <c r="AF67" i="13"/>
  <c r="L68" i="10"/>
  <c r="AL68" i="10" s="1"/>
  <c r="AA32" i="7" s="1"/>
  <c r="M32" i="7" s="1"/>
  <c r="K6" i="7"/>
  <c r="AK7" i="7"/>
  <c r="I49" i="10"/>
  <c r="AI50" i="10"/>
  <c r="L47" i="13"/>
  <c r="L169" i="13"/>
  <c r="AA7" i="7"/>
  <c r="M7" i="7" s="1"/>
  <c r="AL42" i="10"/>
  <c r="AL41" i="10" s="1"/>
  <c r="M34" i="13"/>
  <c r="M35" i="13"/>
  <c r="M31" i="13"/>
  <c r="M32" i="13"/>
  <c r="M33" i="13"/>
  <c r="M10" i="12"/>
  <c r="J11" i="5"/>
  <c r="AQ26" i="13"/>
  <c r="AG26" i="13" s="1"/>
  <c r="P6" i="13"/>
  <c r="AQ28" i="13"/>
  <c r="AQ29" i="13"/>
  <c r="P35" i="12"/>
  <c r="M22" i="10" s="1"/>
  <c r="AM22" i="10" s="1"/>
  <c r="AO24" i="6" s="1"/>
  <c r="Y24" i="6" s="1"/>
  <c r="P33" i="12"/>
  <c r="P31" i="12" s="1"/>
  <c r="P30" i="12"/>
  <c r="P7" i="12"/>
  <c r="AQ27" i="13"/>
  <c r="AM43" i="10"/>
  <c r="M42" i="10"/>
  <c r="M41" i="10" s="1"/>
  <c r="N64" i="13"/>
  <c r="O66" i="13"/>
  <c r="K66" i="10"/>
  <c r="AK66" i="10" s="1"/>
  <c r="Z30" i="7" s="1"/>
  <c r="L30" i="7" s="1"/>
  <c r="AL26" i="7"/>
  <c r="AK26" i="7"/>
  <c r="AL30" i="7"/>
  <c r="AK30" i="7"/>
  <c r="AB23" i="3"/>
  <c r="I23" i="3" s="1"/>
  <c r="L40" i="13"/>
  <c r="J16" i="7"/>
  <c r="J100" i="10"/>
  <c r="K62" i="10"/>
  <c r="AK62" i="10" s="1"/>
  <c r="Z26" i="7" s="1"/>
  <c r="L26" i="7" s="1"/>
  <c r="AE56" i="13"/>
  <c r="K100" i="10"/>
  <c r="O6" i="12"/>
  <c r="L9" i="10"/>
  <c r="AL9" i="10" s="1"/>
  <c r="AN11" i="6" s="1"/>
  <c r="W11" i="6" s="1"/>
  <c r="AQ25" i="13"/>
  <c r="AE78" i="13"/>
  <c r="N76" i="13"/>
  <c r="O78" i="13"/>
  <c r="N52" i="13"/>
  <c r="AE54" i="13"/>
  <c r="K59" i="10"/>
  <c r="O54" i="13"/>
  <c r="L18" i="21"/>
  <c r="L104" i="10" s="1"/>
  <c r="AL104" i="10" s="1"/>
  <c r="AC26" i="4" s="1"/>
  <c r="L19" i="10"/>
  <c r="AL19" i="10" s="1"/>
  <c r="AN21" i="6" s="1"/>
  <c r="W21" i="6" s="1"/>
  <c r="AE72" i="13"/>
  <c r="N70" i="13"/>
  <c r="O72" i="13"/>
  <c r="AJ59" i="10"/>
  <c r="M77" i="13"/>
  <c r="J61" i="10"/>
  <c r="AJ61" i="10" s="1"/>
  <c r="Y25" i="7" s="1"/>
  <c r="K25" i="7" s="1"/>
  <c r="J22" i="5"/>
  <c r="N43" i="10"/>
  <c r="Q8" i="13"/>
  <c r="AH7" i="13"/>
  <c r="Q5" i="13"/>
  <c r="J67" i="10"/>
  <c r="AJ67" i="10" s="1"/>
  <c r="Y31" i="7" s="1"/>
  <c r="K31" i="7" s="1"/>
  <c r="Q34" i="14"/>
  <c r="Q18" i="14" s="1"/>
  <c r="M71" i="13"/>
  <c r="L23" i="10"/>
  <c r="AL23" i="10" s="1"/>
  <c r="AN25" i="6" s="1"/>
  <c r="W25" i="6" s="1"/>
  <c r="X25" i="7"/>
  <c r="J25" i="7" s="1"/>
  <c r="M20" i="13"/>
  <c r="I27" i="3"/>
  <c r="J28" i="3"/>
  <c r="L6" i="7"/>
  <c r="AL7" i="7"/>
  <c r="AP24" i="13"/>
  <c r="I55" i="10" l="1"/>
  <c r="AF17" i="13"/>
  <c r="AF69" i="13"/>
  <c r="M41" i="13"/>
  <c r="AD41" i="13" s="1"/>
  <c r="L48" i="13"/>
  <c r="L49" i="13" s="1"/>
  <c r="Q67" i="13"/>
  <c r="N65" i="13"/>
  <c r="AC40" i="13"/>
  <c r="AG5" i="13"/>
  <c r="AC38" i="13"/>
  <c r="M16" i="13"/>
  <c r="AD29" i="13" s="1"/>
  <c r="AD27" i="13" s="1"/>
  <c r="AD24" i="13" s="1"/>
  <c r="L24" i="13"/>
  <c r="M21" i="13"/>
  <c r="N53" i="13"/>
  <c r="AJ16" i="7"/>
  <c r="J27" i="3"/>
  <c r="P69" i="13"/>
  <c r="L64" i="10"/>
  <c r="AL64" i="10" s="1"/>
  <c r="AA28" i="7" s="1"/>
  <c r="M28" i="7" s="1"/>
  <c r="L39" i="13"/>
  <c r="AB24" i="3"/>
  <c r="I24" i="3" s="1"/>
  <c r="I36" i="10"/>
  <c r="AI6" i="10"/>
  <c r="AR25" i="13"/>
  <c r="AQ24" i="13"/>
  <c r="AR26" i="13"/>
  <c r="AH26" i="13" s="1"/>
  <c r="Q35" i="12"/>
  <c r="N22" i="10" s="1"/>
  <c r="AN22" i="10" s="1"/>
  <c r="AP24" i="6" s="1"/>
  <c r="AA24" i="6" s="1"/>
  <c r="Q33" i="12"/>
  <c r="Q31" i="12" s="1"/>
  <c r="AR29" i="13"/>
  <c r="AR28" i="13"/>
  <c r="Q6" i="13"/>
  <c r="Q7" i="12"/>
  <c r="N14" i="21" s="1"/>
  <c r="Q30" i="12"/>
  <c r="AR27" i="13"/>
  <c r="AF54" i="13"/>
  <c r="O52" i="13"/>
  <c r="L59" i="10"/>
  <c r="P54" i="13"/>
  <c r="AJ100" i="10"/>
  <c r="AK59" i="10"/>
  <c r="N19" i="13"/>
  <c r="N31" i="13"/>
  <c r="N35" i="13"/>
  <c r="N32" i="13"/>
  <c r="N10" i="12"/>
  <c r="K16" i="21" s="1"/>
  <c r="N33" i="13"/>
  <c r="N34" i="13"/>
  <c r="J10" i="10"/>
  <c r="AJ10" i="10" s="1"/>
  <c r="AL12" i="6" s="1"/>
  <c r="S12" i="6" s="1"/>
  <c r="J16" i="21"/>
  <c r="AN43" i="10"/>
  <c r="N42" i="10"/>
  <c r="N41" i="10" s="1"/>
  <c r="AB7" i="7"/>
  <c r="N7" i="7" s="1"/>
  <c r="AM42" i="10"/>
  <c r="AM41" i="10" s="1"/>
  <c r="M45" i="13"/>
  <c r="AD44" i="13"/>
  <c r="M43" i="13"/>
  <c r="N20" i="13"/>
  <c r="AF78" i="13"/>
  <c r="O76" i="13"/>
  <c r="P78" i="13"/>
  <c r="AI49" i="10"/>
  <c r="X14" i="7"/>
  <c r="J14" i="7" s="1"/>
  <c r="L5" i="7"/>
  <c r="AL6" i="7"/>
  <c r="Y23" i="7"/>
  <c r="K23" i="7" s="1"/>
  <c r="N77" i="13"/>
  <c r="K61" i="10"/>
  <c r="AK61" i="10" s="1"/>
  <c r="Z25" i="7" s="1"/>
  <c r="L25" i="7" s="1"/>
  <c r="M9" i="10"/>
  <c r="AM9" i="10" s="1"/>
  <c r="AO11" i="6" s="1"/>
  <c r="Y11" i="6" s="1"/>
  <c r="P6" i="12"/>
  <c r="M22" i="13"/>
  <c r="AD20" i="13"/>
  <c r="M23" i="10"/>
  <c r="AM23" i="10" s="1"/>
  <c r="AO25" i="6" s="1"/>
  <c r="Y25" i="6" s="1"/>
  <c r="M30" i="13"/>
  <c r="AC21" i="3"/>
  <c r="K21" i="3" s="1"/>
  <c r="K5" i="7"/>
  <c r="AK6" i="7"/>
  <c r="AK25" i="7"/>
  <c r="AL25" i="7"/>
  <c r="AK31" i="7"/>
  <c r="AL31" i="7"/>
  <c r="M19" i="10"/>
  <c r="AM19" i="10" s="1"/>
  <c r="AO21" i="6" s="1"/>
  <c r="Y21" i="6" s="1"/>
  <c r="M18" i="21"/>
  <c r="M104" i="10" s="1"/>
  <c r="AM104" i="10" s="1"/>
  <c r="AD26" i="4" s="1"/>
  <c r="O70" i="13"/>
  <c r="AF72" i="13"/>
  <c r="P72" i="13"/>
  <c r="M14" i="21"/>
  <c r="AC37" i="13"/>
  <c r="AB20" i="3"/>
  <c r="I20" i="3" s="1"/>
  <c r="AG67" i="13"/>
  <c r="M68" i="10"/>
  <c r="AM68" i="10" s="1"/>
  <c r="AB32" i="7" s="1"/>
  <c r="N32" i="7" s="1"/>
  <c r="AK100" i="10"/>
  <c r="AL100" i="10"/>
  <c r="AJ25" i="7"/>
  <c r="R34" i="14"/>
  <c r="R18" i="14" s="1"/>
  <c r="R26" i="14" s="1"/>
  <c r="K67" i="10"/>
  <c r="AK67" i="10" s="1"/>
  <c r="Z31" i="7" s="1"/>
  <c r="L31" i="7" s="1"/>
  <c r="N71" i="13"/>
  <c r="Q26" i="14"/>
  <c r="V26" i="14" s="1"/>
  <c r="V18" i="14"/>
  <c r="AF56" i="13"/>
  <c r="L62" i="10"/>
  <c r="AL62" i="10" s="1"/>
  <c r="AA26" i="7" s="1"/>
  <c r="M26" i="7" s="1"/>
  <c r="O64" i="13"/>
  <c r="P66" i="13"/>
  <c r="L66" i="10"/>
  <c r="AL66" i="10" s="1"/>
  <c r="AA30" i="7" s="1"/>
  <c r="M30" i="7" s="1"/>
  <c r="M4" i="12"/>
  <c r="AM7" i="7"/>
  <c r="M6" i="7"/>
  <c r="AG17" i="13" l="1"/>
  <c r="L81" i="13"/>
  <c r="AC81" i="13" s="1"/>
  <c r="M17" i="13"/>
  <c r="M28" i="13"/>
  <c r="M40" i="13" s="1"/>
  <c r="M26" i="13"/>
  <c r="M38" i="13" s="1"/>
  <c r="O53" i="13"/>
  <c r="O65" i="13"/>
  <c r="AH5" i="13"/>
  <c r="J24" i="3"/>
  <c r="AC39" i="13"/>
  <c r="AC36" i="13" s="1"/>
  <c r="N41" i="13"/>
  <c r="AE41" i="13" s="1"/>
  <c r="Q69" i="13"/>
  <c r="N64" i="10" s="1"/>
  <c r="AN64" i="10" s="1"/>
  <c r="AC28" i="7" s="1"/>
  <c r="O28" i="7" s="1"/>
  <c r="L83" i="13"/>
  <c r="N21" i="13"/>
  <c r="J53" i="10"/>
  <c r="J52" i="10" s="1"/>
  <c r="J50" i="10"/>
  <c r="AJ50" i="10" s="1"/>
  <c r="L21" i="3"/>
  <c r="M25" i="13"/>
  <c r="M37" i="13" s="1"/>
  <c r="AK5" i="7"/>
  <c r="L36" i="13"/>
  <c r="M64" i="10"/>
  <c r="AM64" i="10" s="1"/>
  <c r="AB28" i="7" s="1"/>
  <c r="N28" i="7" s="1"/>
  <c r="AG69" i="13"/>
  <c r="I22" i="3"/>
  <c r="N44" i="13"/>
  <c r="AE44" i="13" s="1"/>
  <c r="AK8" i="6"/>
  <c r="Q8" i="6" s="1"/>
  <c r="AI5" i="10"/>
  <c r="AI36" i="10"/>
  <c r="AB7" i="3"/>
  <c r="I7" i="3" s="1"/>
  <c r="AL5" i="7"/>
  <c r="N100" i="10"/>
  <c r="N45" i="13"/>
  <c r="O35" i="13"/>
  <c r="O19" i="13"/>
  <c r="O31" i="13"/>
  <c r="O34" i="13"/>
  <c r="O32" i="13"/>
  <c r="O33" i="13"/>
  <c r="O10" i="12"/>
  <c r="AC10" i="4"/>
  <c r="N18" i="21"/>
  <c r="N104" i="10" s="1"/>
  <c r="AN104" i="10" s="1"/>
  <c r="AE26" i="4" s="1"/>
  <c r="N19" i="10"/>
  <c r="AN19" i="10" s="1"/>
  <c r="AP21" i="6" s="1"/>
  <c r="AA21" i="6" s="1"/>
  <c r="M62" i="10"/>
  <c r="AM62" i="10" s="1"/>
  <c r="AB26" i="7" s="1"/>
  <c r="N26" i="7" s="1"/>
  <c r="AG56" i="13"/>
  <c r="AK23" i="7"/>
  <c r="AL23" i="7"/>
  <c r="L67" i="10"/>
  <c r="AL67" i="10" s="1"/>
  <c r="AA31" i="7" s="1"/>
  <c r="M31" i="7" s="1"/>
  <c r="S34" i="14"/>
  <c r="S18" i="14" s="1"/>
  <c r="S26" i="14" s="1"/>
  <c r="O71" i="13"/>
  <c r="N6" i="7"/>
  <c r="AN7" i="7"/>
  <c r="AJ14" i="7"/>
  <c r="J13" i="7"/>
  <c r="Z7" i="4"/>
  <c r="AI55" i="10"/>
  <c r="AN42" i="10"/>
  <c r="AN41" i="10" s="1"/>
  <c r="AC7" i="7"/>
  <c r="O7" i="7" s="1"/>
  <c r="Z23" i="7"/>
  <c r="L23" i="7" s="1"/>
  <c r="AB10" i="4"/>
  <c r="M46" i="13"/>
  <c r="P64" i="13"/>
  <c r="Q66" i="13"/>
  <c r="M66" i="10"/>
  <c r="AM66" i="10" s="1"/>
  <c r="AB30" i="7" s="1"/>
  <c r="N30" i="7" s="1"/>
  <c r="AD21" i="3"/>
  <c r="M21" i="3" s="1"/>
  <c r="N30" i="13"/>
  <c r="N23" i="10"/>
  <c r="AN23" i="10" s="1"/>
  <c r="AP25" i="6" s="1"/>
  <c r="AA25" i="6" s="1"/>
  <c r="AG78" i="13"/>
  <c r="Q78" i="13"/>
  <c r="P76" i="13"/>
  <c r="AA10" i="4"/>
  <c r="K102" i="10"/>
  <c r="L61" i="10"/>
  <c r="AL61" i="10" s="1"/>
  <c r="AA25" i="7" s="1"/>
  <c r="M25" i="7" s="1"/>
  <c r="O77" i="13"/>
  <c r="J20" i="3"/>
  <c r="AR24" i="13"/>
  <c r="AG54" i="13"/>
  <c r="P52" i="13"/>
  <c r="Q54" i="13"/>
  <c r="M59" i="10"/>
  <c r="K10" i="10"/>
  <c r="AK10" i="10" s="1"/>
  <c r="AM12" i="6" s="1"/>
  <c r="U12" i="6" s="1"/>
  <c r="N4" i="12"/>
  <c r="N9" i="10"/>
  <c r="AN9" i="10" s="1"/>
  <c r="AP11" i="6" s="1"/>
  <c r="AA11" i="6" s="1"/>
  <c r="Q6" i="12"/>
  <c r="AH67" i="13"/>
  <c r="N68" i="10"/>
  <c r="AN68" i="10" s="1"/>
  <c r="AC32" i="7" s="1"/>
  <c r="O32" i="7" s="1"/>
  <c r="J102" i="10"/>
  <c r="AM6" i="7"/>
  <c r="M5" i="7"/>
  <c r="N22" i="13"/>
  <c r="AE20" i="13"/>
  <c r="N16" i="13"/>
  <c r="AL59" i="10"/>
  <c r="M100" i="10"/>
  <c r="O20" i="13"/>
  <c r="M28" i="12"/>
  <c r="J6" i="10"/>
  <c r="Q72" i="13"/>
  <c r="AG72" i="13"/>
  <c r="P70" i="13"/>
  <c r="L79" i="13"/>
  <c r="M27" i="13"/>
  <c r="AH17" i="13" l="1"/>
  <c r="AH69" i="13"/>
  <c r="AJ53" i="10"/>
  <c r="AC28" i="3" s="1"/>
  <c r="K28" i="3" s="1"/>
  <c r="AC23" i="3"/>
  <c r="K23" i="3" s="1"/>
  <c r="J49" i="10"/>
  <c r="J55" i="10" s="1"/>
  <c r="M24" i="13"/>
  <c r="AD38" i="13"/>
  <c r="J22" i="3"/>
  <c r="L84" i="13"/>
  <c r="L150" i="17"/>
  <c r="M86" i="13"/>
  <c r="L85" i="13"/>
  <c r="L97" i="13"/>
  <c r="AD40" i="13"/>
  <c r="O21" i="13"/>
  <c r="N21" i="3"/>
  <c r="O41" i="13"/>
  <c r="AF41" i="13" s="1"/>
  <c r="N43" i="13"/>
  <c r="N46" i="13" s="1"/>
  <c r="P53" i="13"/>
  <c r="O16" i="13"/>
  <c r="O28" i="13" s="1"/>
  <c r="P65" i="13"/>
  <c r="AM5" i="7"/>
  <c r="I19" i="3"/>
  <c r="J19" i="3" s="1"/>
  <c r="O44" i="13"/>
  <c r="AF44" i="13" s="1"/>
  <c r="I6" i="3"/>
  <c r="J7" i="3"/>
  <c r="Q7" i="6"/>
  <c r="R8" i="6" s="1"/>
  <c r="AO7" i="7"/>
  <c r="O6" i="7"/>
  <c r="Q20" i="13"/>
  <c r="P20" i="13"/>
  <c r="P19" i="13"/>
  <c r="P31" i="13"/>
  <c r="P35" i="13"/>
  <c r="P33" i="13"/>
  <c r="P10" i="12"/>
  <c r="M16" i="21" s="1"/>
  <c r="P32" i="13"/>
  <c r="P34" i="13"/>
  <c r="L10" i="10"/>
  <c r="AL10" i="10" s="1"/>
  <c r="AN12" i="6" s="1"/>
  <c r="W12" i="6" s="1"/>
  <c r="O4" i="12"/>
  <c r="J8" i="5"/>
  <c r="Z12" i="4"/>
  <c r="AJ102" i="10"/>
  <c r="AF20" i="13"/>
  <c r="O22" i="13"/>
  <c r="AK102" i="10"/>
  <c r="AD37" i="13"/>
  <c r="AC20" i="3"/>
  <c r="K20" i="3" s="1"/>
  <c r="N66" i="10"/>
  <c r="AN66" i="10" s="1"/>
  <c r="AC30" i="7" s="1"/>
  <c r="O30" i="7" s="1"/>
  <c r="Q64" i="13"/>
  <c r="AJ13" i="7"/>
  <c r="J19" i="7"/>
  <c r="AH56" i="13"/>
  <c r="N62" i="10"/>
  <c r="AN62" i="10" s="1"/>
  <c r="AC26" i="7" s="1"/>
  <c r="O26" i="7" s="1"/>
  <c r="AE21" i="3"/>
  <c r="O21" i="3" s="1"/>
  <c r="O30" i="13"/>
  <c r="I71" i="10"/>
  <c r="L80" i="13"/>
  <c r="M47" i="13"/>
  <c r="M169" i="13"/>
  <c r="K11" i="5"/>
  <c r="J36" i="10"/>
  <c r="N28" i="12"/>
  <c r="K6" i="10"/>
  <c r="AH54" i="13"/>
  <c r="Q52" i="13"/>
  <c r="N59" i="10"/>
  <c r="L11" i="5"/>
  <c r="L16" i="21"/>
  <c r="AC24" i="3"/>
  <c r="K24" i="3" s="1"/>
  <c r="M39" i="13"/>
  <c r="N17" i="13"/>
  <c r="AE29" i="13"/>
  <c r="AE27" i="13" s="1"/>
  <c r="AE24" i="13" s="1"/>
  <c r="N28" i="13"/>
  <c r="N26" i="13"/>
  <c r="K50" i="10"/>
  <c r="N25" i="13"/>
  <c r="AM59" i="10"/>
  <c r="T34" i="14"/>
  <c r="T18" i="14" s="1"/>
  <c r="T26" i="14" s="1"/>
  <c r="M67" i="10"/>
  <c r="AM67" i="10" s="1"/>
  <c r="AB31" i="7" s="1"/>
  <c r="N31" i="7" s="1"/>
  <c r="P71" i="13"/>
  <c r="AN6" i="7"/>
  <c r="N5" i="7"/>
  <c r="M11" i="5"/>
  <c r="AM100" i="10"/>
  <c r="AA23" i="7"/>
  <c r="M23" i="7" s="1"/>
  <c r="M61" i="10"/>
  <c r="AM61" i="10" s="1"/>
  <c r="AB25" i="7" s="1"/>
  <c r="N25" i="7" s="1"/>
  <c r="P77" i="13"/>
  <c r="AJ49" i="10"/>
  <c r="Y14" i="7"/>
  <c r="K14" i="7" s="1"/>
  <c r="AH72" i="13"/>
  <c r="Q70" i="13"/>
  <c r="AH78" i="13"/>
  <c r="Q76" i="13"/>
  <c r="AN100" i="10"/>
  <c r="I18" i="3" l="1"/>
  <c r="AJ52" i="10"/>
  <c r="AA19" i="4" s="1"/>
  <c r="K22" i="5" s="1"/>
  <c r="Y17" i="7"/>
  <c r="K17" i="7" s="1"/>
  <c r="O43" i="13"/>
  <c r="O46" i="13" s="1"/>
  <c r="O45" i="13"/>
  <c r="P44" i="13" s="1"/>
  <c r="O17" i="13"/>
  <c r="L50" i="10"/>
  <c r="AL50" i="10" s="1"/>
  <c r="O25" i="13"/>
  <c r="O37" i="13" s="1"/>
  <c r="AF29" i="13"/>
  <c r="AF27" i="13" s="1"/>
  <c r="AF24" i="13" s="1"/>
  <c r="O26" i="13"/>
  <c r="O38" i="13" s="1"/>
  <c r="AD39" i="13"/>
  <c r="AD36" i="13" s="1"/>
  <c r="L24" i="3"/>
  <c r="M48" i="13"/>
  <c r="M81" i="13" s="1"/>
  <c r="L98" i="13"/>
  <c r="N38" i="13"/>
  <c r="P21" i="3"/>
  <c r="Q65" i="13"/>
  <c r="P41" i="13"/>
  <c r="AG41" i="13" s="1"/>
  <c r="K53" i="10"/>
  <c r="P21" i="13"/>
  <c r="AN5" i="7"/>
  <c r="Q49" i="6"/>
  <c r="R29" i="6"/>
  <c r="R24" i="6"/>
  <c r="R21" i="6"/>
  <c r="R14" i="6"/>
  <c r="R33" i="6"/>
  <c r="R12" i="6"/>
  <c r="R22" i="6"/>
  <c r="R30" i="6"/>
  <c r="Q50" i="6"/>
  <c r="R7" i="6"/>
  <c r="R17" i="6"/>
  <c r="R9" i="6"/>
  <c r="R15" i="6"/>
  <c r="R20" i="6"/>
  <c r="R11" i="6"/>
  <c r="R16" i="6"/>
  <c r="R26" i="6"/>
  <c r="R13" i="6"/>
  <c r="R25" i="6"/>
  <c r="R27" i="6"/>
  <c r="R34" i="6"/>
  <c r="Q40" i="6"/>
  <c r="R10" i="6"/>
  <c r="J6" i="3"/>
  <c r="I45" i="3"/>
  <c r="K22" i="3"/>
  <c r="N27" i="13"/>
  <c r="Q22" i="13"/>
  <c r="AH20" i="13"/>
  <c r="N61" i="10"/>
  <c r="AN61" i="10" s="1"/>
  <c r="AC25" i="7" s="1"/>
  <c r="O25" i="7" s="1"/>
  <c r="Q77" i="13"/>
  <c r="L102" i="10"/>
  <c r="M36" i="13"/>
  <c r="O28" i="12"/>
  <c r="L6" i="10"/>
  <c r="O5" i="7"/>
  <c r="AO6" i="7"/>
  <c r="M102" i="10"/>
  <c r="L20" i="3"/>
  <c r="I44" i="3"/>
  <c r="J18" i="3"/>
  <c r="I30" i="3"/>
  <c r="AI71" i="10"/>
  <c r="I57" i="10"/>
  <c r="I56" i="10" s="1"/>
  <c r="I73" i="10" s="1"/>
  <c r="I80" i="10" s="1"/>
  <c r="AB25" i="4"/>
  <c r="N67" i="10"/>
  <c r="AN67" i="10" s="1"/>
  <c r="AC31" i="7" s="1"/>
  <c r="O31" i="7" s="1"/>
  <c r="U34" i="14"/>
  <c r="U18" i="14" s="1"/>
  <c r="U26" i="14" s="1"/>
  <c r="Q71" i="13"/>
  <c r="AG20" i="13"/>
  <c r="P22" i="13"/>
  <c r="AK14" i="7"/>
  <c r="AL14" i="7"/>
  <c r="K13" i="7"/>
  <c r="AN59" i="10"/>
  <c r="Q19" i="13"/>
  <c r="Q10" i="12"/>
  <c r="N16" i="21" s="1"/>
  <c r="Q31" i="13"/>
  <c r="Q35" i="13"/>
  <c r="Q33" i="13"/>
  <c r="Q34" i="13"/>
  <c r="Q32" i="13"/>
  <c r="Q16" i="13"/>
  <c r="L49" i="10"/>
  <c r="AA25" i="4"/>
  <c r="P16" i="13"/>
  <c r="M10" i="10"/>
  <c r="AM10" i="10" s="1"/>
  <c r="AO12" i="6" s="1"/>
  <c r="Y12" i="6" s="1"/>
  <c r="P4" i="12"/>
  <c r="AB23" i="7"/>
  <c r="N23" i="7" s="1"/>
  <c r="Q53" i="13"/>
  <c r="AA7" i="4"/>
  <c r="AJ55" i="10"/>
  <c r="N37" i="13"/>
  <c r="K36" i="10"/>
  <c r="AL17" i="7"/>
  <c r="AK17" i="7"/>
  <c r="K16" i="7"/>
  <c r="J7" i="4"/>
  <c r="AK50" i="10"/>
  <c r="K49" i="10"/>
  <c r="N169" i="13"/>
  <c r="N47" i="13"/>
  <c r="AD10" i="4"/>
  <c r="AE10" i="4"/>
  <c r="N40" i="13"/>
  <c r="AD23" i="3"/>
  <c r="M23" i="3" s="1"/>
  <c r="AE23" i="3"/>
  <c r="O23" i="3" s="1"/>
  <c r="O40" i="13"/>
  <c r="AJ19" i="7"/>
  <c r="K27" i="3"/>
  <c r="L28" i="3"/>
  <c r="P30" i="13"/>
  <c r="AF21" i="3"/>
  <c r="Q21" i="3" s="1"/>
  <c r="J7" i="5"/>
  <c r="L53" i="10" l="1"/>
  <c r="L52" i="10" s="1"/>
  <c r="AG44" i="13"/>
  <c r="P43" i="13"/>
  <c r="P46" i="13" s="1"/>
  <c r="O27" i="13"/>
  <c r="AE24" i="3" s="1"/>
  <c r="O24" i="3" s="1"/>
  <c r="M49" i="13"/>
  <c r="AL53" i="10"/>
  <c r="AL52" i="10" s="1"/>
  <c r="AC19" i="4" s="1"/>
  <c r="AF38" i="13"/>
  <c r="R21" i="3"/>
  <c r="P45" i="13"/>
  <c r="AE38" i="13"/>
  <c r="O169" i="13"/>
  <c r="L100" i="13"/>
  <c r="L99" i="13"/>
  <c r="L34" i="12"/>
  <c r="I81" i="10"/>
  <c r="AI81" i="10" s="1"/>
  <c r="N39" i="13"/>
  <c r="N36" i="13" s="1"/>
  <c r="AF40" i="13"/>
  <c r="AE40" i="13"/>
  <c r="M83" i="13"/>
  <c r="L22" i="3"/>
  <c r="N48" i="13"/>
  <c r="N83" i="13" s="1"/>
  <c r="O24" i="13"/>
  <c r="Q41" i="13"/>
  <c r="AK53" i="10"/>
  <c r="K52" i="10"/>
  <c r="K55" i="10" s="1"/>
  <c r="Q21" i="13"/>
  <c r="L27" i="3"/>
  <c r="AO5" i="7"/>
  <c r="N24" i="13"/>
  <c r="AD24" i="3"/>
  <c r="M24" i="3" s="1"/>
  <c r="O47" i="13"/>
  <c r="K19" i="3"/>
  <c r="L55" i="10"/>
  <c r="J30" i="3"/>
  <c r="AL102" i="10"/>
  <c r="AM102" i="10"/>
  <c r="AF37" i="13"/>
  <c r="AE20" i="3"/>
  <c r="O20" i="3" s="1"/>
  <c r="P28" i="12"/>
  <c r="M6" i="10"/>
  <c r="N10" i="10"/>
  <c r="AN10" i="10" s="1"/>
  <c r="AP12" i="6" s="1"/>
  <c r="AA12" i="6" s="1"/>
  <c r="Q4" i="12"/>
  <c r="AC23" i="7"/>
  <c r="O23" i="7" s="1"/>
  <c r="AA12" i="4"/>
  <c r="K8" i="5"/>
  <c r="AD81" i="13"/>
  <c r="M79" i="13"/>
  <c r="O11" i="5"/>
  <c r="AG21" i="3"/>
  <c r="S21" i="3" s="1"/>
  <c r="Q30" i="13"/>
  <c r="AG29" i="13"/>
  <c r="AG27" i="13" s="1"/>
  <c r="AG24" i="13" s="1"/>
  <c r="P28" i="13"/>
  <c r="P26" i="13"/>
  <c r="P17" i="13"/>
  <c r="P25" i="13"/>
  <c r="M50" i="10"/>
  <c r="L36" i="10"/>
  <c r="AT7" i="4"/>
  <c r="J10" i="4"/>
  <c r="J14" i="5"/>
  <c r="AK13" i="7"/>
  <c r="K19" i="7"/>
  <c r="AK16" i="7"/>
  <c r="AL16" i="7"/>
  <c r="N11" i="5"/>
  <c r="AL49" i="10"/>
  <c r="AA14" i="7"/>
  <c r="M14" i="7" s="1"/>
  <c r="Z14" i="7"/>
  <c r="L14" i="7" s="1"/>
  <c r="AK49" i="10"/>
  <c r="N102" i="10"/>
  <c r="AE37" i="13"/>
  <c r="AD20" i="3"/>
  <c r="M20" i="3" s="1"/>
  <c r="AH29" i="13"/>
  <c r="AH27" i="13" s="1"/>
  <c r="AH24" i="13" s="1"/>
  <c r="Q28" i="13"/>
  <c r="Q26" i="13"/>
  <c r="Q17" i="13"/>
  <c r="Q25" i="13"/>
  <c r="N50" i="10"/>
  <c r="X35" i="7"/>
  <c r="J35" i="7" s="1"/>
  <c r="AI57" i="10"/>
  <c r="AA17" i="7" l="1"/>
  <c r="M17" i="7" s="1"/>
  <c r="M16" i="7" s="1"/>
  <c r="AE28" i="3"/>
  <c r="O28" i="3" s="1"/>
  <c r="O39" i="13"/>
  <c r="O36" i="13" s="1"/>
  <c r="M53" i="10"/>
  <c r="I82" i="10"/>
  <c r="I86" i="10" s="1"/>
  <c r="N49" i="13"/>
  <c r="L29" i="12"/>
  <c r="I21" i="10"/>
  <c r="AI21" i="10" s="1"/>
  <c r="AK23" i="6" s="1"/>
  <c r="Q23" i="6" s="1"/>
  <c r="I20" i="21"/>
  <c r="L19" i="3"/>
  <c r="AH41" i="13"/>
  <c r="N24" i="3"/>
  <c r="I5" i="21"/>
  <c r="I91" i="10" s="1"/>
  <c r="AI91" i="10" s="1"/>
  <c r="Y6" i="8" s="1"/>
  <c r="K6" i="8" s="1"/>
  <c r="L57" i="12"/>
  <c r="L60" i="12" s="1"/>
  <c r="O48" i="13"/>
  <c r="M150" i="17"/>
  <c r="N86" i="13"/>
  <c r="M97" i="13"/>
  <c r="M85" i="13"/>
  <c r="M84" i="13"/>
  <c r="Q44" i="13"/>
  <c r="T21" i="3"/>
  <c r="P38" i="13"/>
  <c r="N81" i="13"/>
  <c r="AD28" i="3"/>
  <c r="M28" i="3" s="1"/>
  <c r="P28" i="3" s="1"/>
  <c r="Z17" i="7"/>
  <c r="L17" i="7" s="1"/>
  <c r="L16" i="7" s="1"/>
  <c r="AK52" i="10"/>
  <c r="AB19" i="4" s="1"/>
  <c r="L22" i="5" s="1"/>
  <c r="Q38" i="13"/>
  <c r="AE39" i="13"/>
  <c r="AE36" i="13" s="1"/>
  <c r="Z23" i="4"/>
  <c r="J25" i="5" s="1"/>
  <c r="X47" i="7"/>
  <c r="J47" i="7" s="1"/>
  <c r="AJ47" i="7" s="1"/>
  <c r="P24" i="3"/>
  <c r="K18" i="3"/>
  <c r="M22" i="3"/>
  <c r="P11" i="5"/>
  <c r="Q27" i="13"/>
  <c r="O22" i="3"/>
  <c r="P27" i="13"/>
  <c r="P47" i="13"/>
  <c r="P169" i="13"/>
  <c r="AI56" i="10"/>
  <c r="AB32" i="3"/>
  <c r="I32" i="3" s="1"/>
  <c r="N20" i="3"/>
  <c r="N49" i="10"/>
  <c r="AN50" i="10"/>
  <c r="AD25" i="4"/>
  <c r="J71" i="10"/>
  <c r="M80" i="13"/>
  <c r="Q28" i="12"/>
  <c r="N6" i="10"/>
  <c r="K7" i="5"/>
  <c r="M13" i="7"/>
  <c r="AB7" i="4"/>
  <c r="K7" i="4"/>
  <c r="AC7" i="4"/>
  <c r="AL55" i="10"/>
  <c r="M22" i="5"/>
  <c r="AF23" i="3"/>
  <c r="Q23" i="3" s="1"/>
  <c r="P40" i="13"/>
  <c r="Q37" i="13"/>
  <c r="M36" i="10"/>
  <c r="AC25" i="4"/>
  <c r="P37" i="13"/>
  <c r="AJ35" i="7"/>
  <c r="J21" i="7"/>
  <c r="O27" i="3"/>
  <c r="AN102" i="10"/>
  <c r="L13" i="7"/>
  <c r="AG23" i="3"/>
  <c r="S23" i="3" s="1"/>
  <c r="Q40" i="13"/>
  <c r="N84" i="13"/>
  <c r="O86" i="13"/>
  <c r="N150" i="17"/>
  <c r="N85" i="13"/>
  <c r="N97" i="13"/>
  <c r="AK19" i="7"/>
  <c r="AL19" i="7"/>
  <c r="AM50" i="10"/>
  <c r="M49" i="10"/>
  <c r="P20" i="3"/>
  <c r="AF39" i="13" l="1"/>
  <c r="AF36" i="13" s="1"/>
  <c r="I84" i="10"/>
  <c r="I85" i="10" s="1"/>
  <c r="I30" i="10"/>
  <c r="AI30" i="10" s="1"/>
  <c r="AK32" i="6" s="1"/>
  <c r="Q32" i="6" s="1"/>
  <c r="R32" i="6" s="1"/>
  <c r="AM53" i="10"/>
  <c r="M52" i="10"/>
  <c r="M55" i="10" s="1"/>
  <c r="AK55" i="10"/>
  <c r="P39" i="13"/>
  <c r="P36" i="13" s="1"/>
  <c r="AH38" i="13"/>
  <c r="O83" i="13"/>
  <c r="O81" i="13"/>
  <c r="O49" i="13"/>
  <c r="Q39" i="13"/>
  <c r="Q36" i="13" s="1"/>
  <c r="M27" i="3"/>
  <c r="P27" i="3" s="1"/>
  <c r="N28" i="3"/>
  <c r="L55" i="12"/>
  <c r="M56" i="12"/>
  <c r="N22" i="3"/>
  <c r="AG38" i="13"/>
  <c r="AG40" i="13"/>
  <c r="AE81" i="13"/>
  <c r="N79" i="13"/>
  <c r="N80" i="13" s="1"/>
  <c r="Q45" i="13"/>
  <c r="Q43" i="13"/>
  <c r="AH44" i="13"/>
  <c r="P48" i="13"/>
  <c r="P81" i="13" s="1"/>
  <c r="I106" i="10"/>
  <c r="I13" i="21"/>
  <c r="I4" i="21" s="1"/>
  <c r="I37" i="21" s="1"/>
  <c r="I39" i="21" s="1"/>
  <c r="M98" i="13"/>
  <c r="R23" i="6"/>
  <c r="Q42" i="6"/>
  <c r="AH40" i="13"/>
  <c r="I17" i="10"/>
  <c r="L42" i="12"/>
  <c r="L18" i="3"/>
  <c r="K30" i="3"/>
  <c r="K44" i="3"/>
  <c r="P22" i="3"/>
  <c r="M19" i="3"/>
  <c r="M19" i="7"/>
  <c r="L19" i="7"/>
  <c r="AM13" i="7"/>
  <c r="AL13" i="7"/>
  <c r="P24" i="13"/>
  <c r="Q24" i="13"/>
  <c r="AG24" i="3"/>
  <c r="S24" i="3" s="1"/>
  <c r="O19" i="3"/>
  <c r="AF24" i="3"/>
  <c r="Q24" i="3" s="1"/>
  <c r="J32" i="3"/>
  <c r="I31" i="3"/>
  <c r="I36" i="3"/>
  <c r="K14" i="5"/>
  <c r="Z20" i="4"/>
  <c r="AI73" i="10"/>
  <c r="AI80" i="10" s="1"/>
  <c r="AI82" i="10" s="1"/>
  <c r="N36" i="10"/>
  <c r="N98" i="13"/>
  <c r="L8" i="5"/>
  <c r="AB12" i="4"/>
  <c r="AC12" i="4"/>
  <c r="M8" i="5"/>
  <c r="M7" i="5" s="1"/>
  <c r="M14" i="5" s="1"/>
  <c r="AM49" i="10"/>
  <c r="AB14" i="7"/>
  <c r="N14" i="7" s="1"/>
  <c r="AE25" i="4"/>
  <c r="K10" i="4"/>
  <c r="AC14" i="7"/>
  <c r="O14" i="7" s="1"/>
  <c r="AN49" i="10"/>
  <c r="AH37" i="13"/>
  <c r="AG20" i="3"/>
  <c r="S20" i="3" s="1"/>
  <c r="AJ21" i="7"/>
  <c r="J20" i="7"/>
  <c r="J38" i="7"/>
  <c r="AJ38" i="7" s="1"/>
  <c r="AJ71" i="10"/>
  <c r="J57" i="10"/>
  <c r="J56" i="10" s="1"/>
  <c r="J73" i="10" s="1"/>
  <c r="J80" i="10" s="1"/>
  <c r="AG37" i="13"/>
  <c r="AF20" i="3"/>
  <c r="Q20" i="3" s="1"/>
  <c r="P49" i="13" l="1"/>
  <c r="AM52" i="10"/>
  <c r="AD19" i="4" s="1"/>
  <c r="N22" i="5" s="1"/>
  <c r="AB17" i="7"/>
  <c r="N17" i="7" s="1"/>
  <c r="N16" i="7" s="1"/>
  <c r="AF28" i="3"/>
  <c r="Q28" i="3" s="1"/>
  <c r="K71" i="10"/>
  <c r="AK71" i="10" s="1"/>
  <c r="I40" i="21"/>
  <c r="I42" i="21"/>
  <c r="L61" i="12"/>
  <c r="L62" i="12" s="1"/>
  <c r="I29" i="10"/>
  <c r="AI29" i="10" s="1"/>
  <c r="AI106" i="10"/>
  <c r="I99" i="10"/>
  <c r="I90" i="10" s="1"/>
  <c r="I124" i="10" s="1"/>
  <c r="I126" i="10" s="1"/>
  <c r="I128" i="10" s="1"/>
  <c r="N19" i="3"/>
  <c r="N27" i="3"/>
  <c r="N100" i="13"/>
  <c r="K5" i="21" s="1"/>
  <c r="P83" i="13"/>
  <c r="N53" i="10"/>
  <c r="Q46" i="13"/>
  <c r="AH39" i="13"/>
  <c r="AH36" i="13" s="1"/>
  <c r="O79" i="13"/>
  <c r="AF81" i="13"/>
  <c r="R24" i="3"/>
  <c r="I37" i="10"/>
  <c r="AI17" i="10"/>
  <c r="P86" i="13"/>
  <c r="O150" i="17"/>
  <c r="O97" i="13"/>
  <c r="O84" i="13"/>
  <c r="O85" i="13"/>
  <c r="S22" i="3"/>
  <c r="S19" i="3" s="1"/>
  <c r="J36" i="3"/>
  <c r="J81" i="10"/>
  <c r="AJ81" i="10" s="1"/>
  <c r="M99" i="13"/>
  <c r="M100" i="13"/>
  <c r="M34" i="12"/>
  <c r="AG39" i="13"/>
  <c r="AG36" i="13" s="1"/>
  <c r="L30" i="3"/>
  <c r="M18" i="3"/>
  <c r="P19" i="3"/>
  <c r="L7" i="5"/>
  <c r="L14" i="5" s="1"/>
  <c r="O18" i="3"/>
  <c r="T24" i="3"/>
  <c r="Q22" i="3"/>
  <c r="Y35" i="7"/>
  <c r="K35" i="7" s="1"/>
  <c r="AJ57" i="10"/>
  <c r="AD7" i="4"/>
  <c r="L7" i="4"/>
  <c r="AI84" i="10"/>
  <c r="AI86" i="10"/>
  <c r="J23" i="5"/>
  <c r="Z53" i="4"/>
  <c r="AJ20" i="7"/>
  <c r="J37" i="7"/>
  <c r="T20" i="3"/>
  <c r="J31" i="3"/>
  <c r="I35" i="3"/>
  <c r="R20" i="3"/>
  <c r="K81" i="10"/>
  <c r="AK81" i="10" s="1"/>
  <c r="AB23" i="4" s="1"/>
  <c r="N99" i="13"/>
  <c r="N34" i="12"/>
  <c r="AE7" i="4"/>
  <c r="P79" i="13"/>
  <c r="AG81" i="13"/>
  <c r="O13" i="7"/>
  <c r="M7" i="4"/>
  <c r="M10" i="4" s="1"/>
  <c r="N13" i="7"/>
  <c r="K57" i="10" l="1"/>
  <c r="K56" i="10" s="1"/>
  <c r="K73" i="10" s="1"/>
  <c r="K80" i="10" s="1"/>
  <c r="K82" i="10" s="1"/>
  <c r="K86" i="10" s="1"/>
  <c r="R28" i="3"/>
  <c r="Q27" i="3"/>
  <c r="R27" i="3" s="1"/>
  <c r="AM55" i="10"/>
  <c r="I34" i="10"/>
  <c r="N57" i="12"/>
  <c r="I35" i="10"/>
  <c r="O98" i="13"/>
  <c r="Q47" i="13"/>
  <c r="Q169" i="13"/>
  <c r="AN53" i="10"/>
  <c r="N52" i="10"/>
  <c r="N55" i="10" s="1"/>
  <c r="P150" i="17"/>
  <c r="P97" i="13"/>
  <c r="Q86" i="13"/>
  <c r="P85" i="13"/>
  <c r="P84" i="13"/>
  <c r="AB10" i="3"/>
  <c r="I10" i="3" s="1"/>
  <c r="AI37" i="10"/>
  <c r="AI16" i="10"/>
  <c r="AK19" i="6"/>
  <c r="Q19" i="6" s="1"/>
  <c r="AI34" i="10"/>
  <c r="AI35" i="10"/>
  <c r="J21" i="10"/>
  <c r="AJ21" i="10" s="1"/>
  <c r="AL23" i="6" s="1"/>
  <c r="S23" i="6" s="1"/>
  <c r="S42" i="6" s="1"/>
  <c r="M29" i="12"/>
  <c r="J20" i="21"/>
  <c r="R22" i="3"/>
  <c r="M57" i="12"/>
  <c r="M60" i="12" s="1"/>
  <c r="J5" i="21"/>
  <c r="J91" i="10" s="1"/>
  <c r="AJ91" i="10" s="1"/>
  <c r="AA23" i="4"/>
  <c r="K25" i="5" s="1"/>
  <c r="Y47" i="7"/>
  <c r="K47" i="7" s="1"/>
  <c r="L63" i="12"/>
  <c r="L64" i="12"/>
  <c r="J82" i="10"/>
  <c r="Z27" i="4"/>
  <c r="AI99" i="10"/>
  <c r="O80" i="13"/>
  <c r="L71" i="10"/>
  <c r="AB16" i="3"/>
  <c r="I16" i="3" s="1"/>
  <c r="AK31" i="6"/>
  <c r="Q31" i="6" s="1"/>
  <c r="N18" i="3"/>
  <c r="O44" i="3"/>
  <c r="O30" i="3"/>
  <c r="P18" i="3"/>
  <c r="M30" i="3"/>
  <c r="M44" i="3"/>
  <c r="N19" i="7"/>
  <c r="AO13" i="7"/>
  <c r="AN13" i="7"/>
  <c r="Q19" i="3"/>
  <c r="T22" i="3"/>
  <c r="AJ37" i="7"/>
  <c r="J46" i="7"/>
  <c r="J51" i="7"/>
  <c r="P80" i="13"/>
  <c r="M71" i="10"/>
  <c r="AB38" i="3"/>
  <c r="I38" i="3" s="1"/>
  <c r="J52" i="7"/>
  <c r="I42" i="3"/>
  <c r="J35" i="3"/>
  <c r="Z35" i="7"/>
  <c r="L35" i="7" s="1"/>
  <c r="L21" i="7" s="1"/>
  <c r="AK57" i="10"/>
  <c r="O8" i="5"/>
  <c r="O7" i="5" s="1"/>
  <c r="AE12" i="4"/>
  <c r="AD12" i="4"/>
  <c r="N8" i="5"/>
  <c r="L25" i="5"/>
  <c r="Z47" i="7"/>
  <c r="L47" i="7" s="1"/>
  <c r="AJ56" i="10"/>
  <c r="AC32" i="3"/>
  <c r="K32" i="3" s="1"/>
  <c r="AL35" i="7"/>
  <c r="AK35" i="7"/>
  <c r="K21" i="7"/>
  <c r="K91" i="10"/>
  <c r="K21" i="10"/>
  <c r="AK21" i="10" s="1"/>
  <c r="AM23" i="6" s="1"/>
  <c r="U23" i="6" s="1"/>
  <c r="N29" i="12"/>
  <c r="K20" i="21"/>
  <c r="S18" i="3"/>
  <c r="L10" i="4"/>
  <c r="J27" i="5" l="1"/>
  <c r="J21" i="5" s="1"/>
  <c r="J35" i="5" s="1"/>
  <c r="J40" i="5" s="1"/>
  <c r="Z56" i="4"/>
  <c r="Z30" i="4"/>
  <c r="J86" i="10"/>
  <c r="J30" i="10"/>
  <c r="AJ30" i="10" s="1"/>
  <c r="AL32" i="6" s="1"/>
  <c r="S32" i="6" s="1"/>
  <c r="J84" i="10"/>
  <c r="J85" i="10" s="1"/>
  <c r="L67" i="12"/>
  <c r="L65" i="12"/>
  <c r="J10" i="3"/>
  <c r="I9" i="3"/>
  <c r="I39" i="3"/>
  <c r="AK47" i="7"/>
  <c r="AL47" i="7"/>
  <c r="P98" i="13"/>
  <c r="N56" i="12"/>
  <c r="N60" i="12" s="1"/>
  <c r="O56" i="12" s="1"/>
  <c r="M55" i="12"/>
  <c r="T19" i="3"/>
  <c r="Q45" i="6"/>
  <c r="Q48" i="6" s="1"/>
  <c r="Q28" i="6"/>
  <c r="Q53" i="6" s="1"/>
  <c r="R31" i="6"/>
  <c r="J16" i="3"/>
  <c r="I12" i="3"/>
  <c r="I41" i="3" s="1"/>
  <c r="J106" i="10"/>
  <c r="J13" i="21"/>
  <c r="J4" i="21" s="1"/>
  <c r="J37" i="21" s="1"/>
  <c r="J39" i="21" s="1"/>
  <c r="AC17" i="7"/>
  <c r="O17" i="7" s="1"/>
  <c r="O16" i="7" s="1"/>
  <c r="AG28" i="3"/>
  <c r="S28" i="3" s="1"/>
  <c r="AN52" i="10"/>
  <c r="AL71" i="10"/>
  <c r="L57" i="10"/>
  <c r="L56" i="10" s="1"/>
  <c r="L73" i="10" s="1"/>
  <c r="L80" i="10" s="1"/>
  <c r="M42" i="12"/>
  <c r="J17" i="10"/>
  <c r="Q48" i="13"/>
  <c r="O100" i="13"/>
  <c r="O34" i="12"/>
  <c r="L81" i="10"/>
  <c r="AL81" i="10" s="1"/>
  <c r="O99" i="13"/>
  <c r="AI90" i="10"/>
  <c r="AI124" i="10" s="1"/>
  <c r="AI126" i="10" s="1"/>
  <c r="Y8" i="8"/>
  <c r="K8" i="8" s="1"/>
  <c r="K5" i="8" s="1"/>
  <c r="K18" i="8" s="1"/>
  <c r="K20" i="8" s="1"/>
  <c r="L19" i="8" s="1"/>
  <c r="R19" i="6"/>
  <c r="Q18" i="6"/>
  <c r="N30" i="3"/>
  <c r="P30" i="3"/>
  <c r="Q18" i="3"/>
  <c r="R19" i="3"/>
  <c r="N7" i="5"/>
  <c r="N14" i="5" s="1"/>
  <c r="P8" i="5"/>
  <c r="O14" i="5"/>
  <c r="K30" i="10"/>
  <c r="AK30" i="10" s="1"/>
  <c r="AM32" i="6" s="1"/>
  <c r="U32" i="6" s="1"/>
  <c r="K84" i="10"/>
  <c r="K85" i="10" s="1"/>
  <c r="N42" i="12"/>
  <c r="K17" i="10"/>
  <c r="AM71" i="10"/>
  <c r="M57" i="10"/>
  <c r="M56" i="10" s="1"/>
  <c r="M73" i="10" s="1"/>
  <c r="M80" i="10" s="1"/>
  <c r="N7" i="4"/>
  <c r="J56" i="7"/>
  <c r="J48" i="7"/>
  <c r="L159" i="16" s="1"/>
  <c r="M162" i="16" s="1"/>
  <c r="M135" i="16" s="1"/>
  <c r="AJ46" i="7"/>
  <c r="K20" i="7"/>
  <c r="AL21" i="7"/>
  <c r="AK21" i="7"/>
  <c r="K38" i="7"/>
  <c r="U42" i="6"/>
  <c r="Z6" i="8"/>
  <c r="L6" i="8" s="1"/>
  <c r="AK91" i="10"/>
  <c r="L32" i="3"/>
  <c r="K31" i="3"/>
  <c r="K36" i="3"/>
  <c r="O7" i="4"/>
  <c r="O10" i="4" s="1"/>
  <c r="L20" i="7"/>
  <c r="L38" i="7"/>
  <c r="J38" i="3"/>
  <c r="AA20" i="4"/>
  <c r="AJ73" i="10"/>
  <c r="AJ80" i="10" s="1"/>
  <c r="AJ82" i="10" s="1"/>
  <c r="AD32" i="3"/>
  <c r="M32" i="3" s="1"/>
  <c r="AK56" i="10"/>
  <c r="K106" i="10"/>
  <c r="K13" i="21"/>
  <c r="K4" i="21" s="1"/>
  <c r="K37" i="21" s="1"/>
  <c r="K39" i="21" s="1"/>
  <c r="N55" i="12" l="1"/>
  <c r="N61" i="12" s="1"/>
  <c r="N62" i="12" s="1"/>
  <c r="N64" i="12" s="1"/>
  <c r="L82" i="10"/>
  <c r="L84" i="10" s="1"/>
  <c r="L85" i="10" s="1"/>
  <c r="M61" i="12"/>
  <c r="M62" i="12" s="1"/>
  <c r="J29" i="10"/>
  <c r="AA35" i="7"/>
  <c r="M35" i="7" s="1"/>
  <c r="M21" i="7" s="1"/>
  <c r="AL57" i="10"/>
  <c r="P99" i="13"/>
  <c r="P100" i="13"/>
  <c r="M81" i="10"/>
  <c r="AM81" i="10" s="1"/>
  <c r="P34" i="12"/>
  <c r="AE19" i="4"/>
  <c r="O22" i="5" s="1"/>
  <c r="P22" i="5" s="1"/>
  <c r="AN55" i="10"/>
  <c r="T28" i="3"/>
  <c r="S27" i="3"/>
  <c r="O19" i="7"/>
  <c r="AJ106" i="10"/>
  <c r="J99" i="10"/>
  <c r="J90" i="10" s="1"/>
  <c r="J124" i="10" s="1"/>
  <c r="J126" i="10" s="1"/>
  <c r="J128" i="10" s="1"/>
  <c r="I40" i="3"/>
  <c r="I48" i="3"/>
  <c r="J9" i="3"/>
  <c r="J12" i="3"/>
  <c r="I43" i="3"/>
  <c r="J42" i="21"/>
  <c r="J40" i="21"/>
  <c r="L36" i="3"/>
  <c r="Q43" i="6"/>
  <c r="R18" i="6"/>
  <c r="Q54" i="6"/>
  <c r="Q52" i="6"/>
  <c r="Q51" i="6"/>
  <c r="J29" i="4"/>
  <c r="K24" i="8"/>
  <c r="K25" i="8" s="1"/>
  <c r="AI128" i="10"/>
  <c r="AC23" i="4"/>
  <c r="M25" i="5" s="1"/>
  <c r="AA47" i="7"/>
  <c r="M47" i="7" s="1"/>
  <c r="O29" i="12"/>
  <c r="L21" i="10"/>
  <c r="AL21" i="10" s="1"/>
  <c r="AN23" i="6" s="1"/>
  <c r="W23" i="6" s="1"/>
  <c r="W42" i="6" s="1"/>
  <c r="L20" i="21"/>
  <c r="Q46" i="6"/>
  <c r="R28" i="6"/>
  <c r="L5" i="21"/>
  <c r="L91" i="10" s="1"/>
  <c r="AL91" i="10" s="1"/>
  <c r="AB6" i="8" s="1"/>
  <c r="N6" i="8" s="1"/>
  <c r="O57" i="12"/>
  <c r="O60" i="12" s="1"/>
  <c r="J17" i="4"/>
  <c r="J20" i="4" s="1"/>
  <c r="J26" i="4" s="1"/>
  <c r="J27" i="4" s="1"/>
  <c r="Z49" i="4"/>
  <c r="Z51" i="4" s="1"/>
  <c r="Z52" i="4" s="1"/>
  <c r="Q49" i="13"/>
  <c r="Q81" i="13"/>
  <c r="Q83" i="13"/>
  <c r="AJ17" i="10"/>
  <c r="J37" i="10"/>
  <c r="L37" i="7"/>
  <c r="S44" i="3"/>
  <c r="AG40" i="16"/>
  <c r="M147" i="16"/>
  <c r="M130" i="16"/>
  <c r="Q30" i="3"/>
  <c r="Q44" i="3"/>
  <c r="R18" i="3"/>
  <c r="T18" i="3"/>
  <c r="P7" i="5"/>
  <c r="P14" i="5" s="1"/>
  <c r="K37" i="10"/>
  <c r="AK17" i="10"/>
  <c r="AJ84" i="10"/>
  <c r="AJ86" i="10"/>
  <c r="AA6" i="8"/>
  <c r="M6" i="8" s="1"/>
  <c r="AL38" i="7"/>
  <c r="AK38" i="7"/>
  <c r="N10" i="4"/>
  <c r="P7" i="4"/>
  <c r="P10" i="4" s="1"/>
  <c r="AK20" i="7"/>
  <c r="AL20" i="7"/>
  <c r="K37" i="7"/>
  <c r="N32" i="3"/>
  <c r="M31" i="3"/>
  <c r="M36" i="3"/>
  <c r="K23" i="5"/>
  <c r="AA53" i="4"/>
  <c r="J55" i="7"/>
  <c r="AJ48" i="7"/>
  <c r="J53" i="7"/>
  <c r="K40" i="21"/>
  <c r="K42" i="21"/>
  <c r="AB35" i="7"/>
  <c r="N35" i="7" s="1"/>
  <c r="N21" i="7" s="1"/>
  <c r="AM57" i="10"/>
  <c r="AK106" i="10"/>
  <c r="K99" i="10"/>
  <c r="K90" i="10" s="1"/>
  <c r="K124" i="10" s="1"/>
  <c r="K126" i="10" s="1"/>
  <c r="AB20" i="4"/>
  <c r="AK73" i="10"/>
  <c r="AK80" i="10" s="1"/>
  <c r="AK82" i="10" s="1"/>
  <c r="L31" i="3"/>
  <c r="K35" i="3"/>
  <c r="K29" i="10" l="1"/>
  <c r="K34" i="10" s="1"/>
  <c r="L86" i="10"/>
  <c r="L30" i="10"/>
  <c r="AL30" i="10" s="1"/>
  <c r="AN32" i="6" s="1"/>
  <c r="W32" i="6" s="1"/>
  <c r="M82" i="10"/>
  <c r="O55" i="12"/>
  <c r="P56" i="12"/>
  <c r="T27" i="3"/>
  <c r="S30" i="3"/>
  <c r="T30" i="3" s="1"/>
  <c r="M21" i="10"/>
  <c r="AM21" i="10" s="1"/>
  <c r="AO23" i="6" s="1"/>
  <c r="Y23" i="6" s="1"/>
  <c r="Y42" i="6" s="1"/>
  <c r="P29" i="12"/>
  <c r="M20" i="21"/>
  <c r="AD23" i="4"/>
  <c r="N25" i="5" s="1"/>
  <c r="AB47" i="7"/>
  <c r="N47" i="7" s="1"/>
  <c r="L106" i="10"/>
  <c r="L13" i="21"/>
  <c r="L4" i="21" s="1"/>
  <c r="L37" i="21" s="1"/>
  <c r="L39" i="21" s="1"/>
  <c r="P57" i="12"/>
  <c r="M5" i="21"/>
  <c r="M91" i="10" s="1"/>
  <c r="AM91" i="10" s="1"/>
  <c r="O42" i="12"/>
  <c r="L17" i="10"/>
  <c r="J48" i="3"/>
  <c r="AE32" i="3"/>
  <c r="O32" i="3" s="1"/>
  <c r="AL56" i="10"/>
  <c r="M20" i="7"/>
  <c r="M38" i="7"/>
  <c r="Q85" i="13"/>
  <c r="Q97" i="13"/>
  <c r="Q150" i="17"/>
  <c r="Q84" i="13"/>
  <c r="J41" i="5"/>
  <c r="J42" i="5" s="1"/>
  <c r="Q79" i="13"/>
  <c r="AH81" i="13"/>
  <c r="AC10" i="3"/>
  <c r="K10" i="3" s="1"/>
  <c r="AJ37" i="10"/>
  <c r="AJ16" i="10"/>
  <c r="AL19" i="6"/>
  <c r="S19" i="6" s="1"/>
  <c r="S18" i="6" s="1"/>
  <c r="S43" i="6" s="1"/>
  <c r="N36" i="3"/>
  <c r="AA27" i="4"/>
  <c r="AJ99" i="10"/>
  <c r="J34" i="10"/>
  <c r="J35" i="10"/>
  <c r="M64" i="12"/>
  <c r="M63" i="12"/>
  <c r="L46" i="7"/>
  <c r="L48" i="7" s="1"/>
  <c r="N159" i="16" s="1"/>
  <c r="O162" i="16" s="1"/>
  <c r="O135" i="16" s="1"/>
  <c r="AI40" i="16" s="1"/>
  <c r="M37" i="20" s="1"/>
  <c r="Y123" i="10" s="1"/>
  <c r="M127" i="16"/>
  <c r="AG22" i="16"/>
  <c r="AG23" i="16" s="1"/>
  <c r="N131" i="16"/>
  <c r="K37" i="20"/>
  <c r="AG41" i="16"/>
  <c r="AH31" i="16" s="1"/>
  <c r="R30" i="3"/>
  <c r="N63" i="12"/>
  <c r="L56" i="7"/>
  <c r="N65" i="12"/>
  <c r="N67" i="12"/>
  <c r="L23" i="5"/>
  <c r="AB53" i="4"/>
  <c r="K51" i="7"/>
  <c r="AK37" i="7"/>
  <c r="K46" i="7"/>
  <c r="AL37" i="7"/>
  <c r="AF32" i="3"/>
  <c r="Q32" i="3" s="1"/>
  <c r="AM56" i="10"/>
  <c r="K25" i="4"/>
  <c r="J30" i="4"/>
  <c r="K128" i="10"/>
  <c r="AB27" i="4"/>
  <c r="AB30" i="4" s="1"/>
  <c r="AK99" i="10"/>
  <c r="L35" i="3"/>
  <c r="K42" i="3"/>
  <c r="AK84" i="10"/>
  <c r="AK86" i="10"/>
  <c r="AC38" i="3"/>
  <c r="K38" i="3" s="1"/>
  <c r="K52" i="7"/>
  <c r="AK16" i="10"/>
  <c r="AK37" i="10"/>
  <c r="AM19" i="6"/>
  <c r="U19" i="6" s="1"/>
  <c r="AD10" i="3"/>
  <c r="M10" i="3" s="1"/>
  <c r="N20" i="7"/>
  <c r="N38" i="7"/>
  <c r="N31" i="3"/>
  <c r="M35" i="3"/>
  <c r="K35" i="10" l="1"/>
  <c r="S52" i="6"/>
  <c r="M86" i="10"/>
  <c r="M30" i="10"/>
  <c r="AM30" i="10" s="1"/>
  <c r="AO32" i="6" s="1"/>
  <c r="Y32" i="6" s="1"/>
  <c r="M84" i="10"/>
  <c r="M85" i="10" s="1"/>
  <c r="AL17" i="10"/>
  <c r="L37" i="10"/>
  <c r="L10" i="3"/>
  <c r="K9" i="3"/>
  <c r="S51" i="6"/>
  <c r="Q80" i="13"/>
  <c r="N71" i="10"/>
  <c r="L42" i="21"/>
  <c r="L40" i="21"/>
  <c r="AL106" i="10"/>
  <c r="L99" i="10"/>
  <c r="L90" i="10" s="1"/>
  <c r="L124" i="10" s="1"/>
  <c r="L126" i="10" s="1"/>
  <c r="L128" i="10" s="1"/>
  <c r="Q98" i="13"/>
  <c r="M106" i="10"/>
  <c r="M13" i="21"/>
  <c r="M4" i="21" s="1"/>
  <c r="M37" i="21" s="1"/>
  <c r="M39" i="21" s="1"/>
  <c r="Z8" i="8"/>
  <c r="L8" i="8" s="1"/>
  <c r="L5" i="8" s="1"/>
  <c r="AJ90" i="10"/>
  <c r="M17" i="10"/>
  <c r="P42" i="12"/>
  <c r="K27" i="5"/>
  <c r="K21" i="5" s="1"/>
  <c r="AA56" i="4"/>
  <c r="AA30" i="4"/>
  <c r="K17" i="4" s="1"/>
  <c r="M34" i="20"/>
  <c r="M37" i="7"/>
  <c r="AC20" i="4"/>
  <c r="AL73" i="10"/>
  <c r="AL80" i="10" s="1"/>
  <c r="AL82" i="10" s="1"/>
  <c r="M67" i="12"/>
  <c r="M65" i="12"/>
  <c r="O31" i="3"/>
  <c r="O36" i="3"/>
  <c r="P32" i="3"/>
  <c r="P60" i="12"/>
  <c r="O61" i="12"/>
  <c r="O62" i="12" s="1"/>
  <c r="L29" i="10"/>
  <c r="L35" i="10" s="1"/>
  <c r="N37" i="7"/>
  <c r="AG43" i="16"/>
  <c r="AG24" i="16"/>
  <c r="W123" i="10"/>
  <c r="K34" i="20"/>
  <c r="M107" i="16"/>
  <c r="M141" i="16" s="1"/>
  <c r="M18" i="16" s="1"/>
  <c r="W29" i="10"/>
  <c r="AJ29" i="10" s="1"/>
  <c r="AL123" i="10"/>
  <c r="AB13" i="8" s="1"/>
  <c r="Y120" i="10"/>
  <c r="L17" i="4"/>
  <c r="L38" i="3"/>
  <c r="AD20" i="4"/>
  <c r="AM73" i="10"/>
  <c r="AM80" i="10" s="1"/>
  <c r="AM82" i="10" s="1"/>
  <c r="Q31" i="3"/>
  <c r="R32" i="3"/>
  <c r="Q36" i="3"/>
  <c r="AD38" i="3"/>
  <c r="M38" i="3" s="1"/>
  <c r="L52" i="7"/>
  <c r="L53" i="7" s="1"/>
  <c r="AA8" i="8"/>
  <c r="M8" i="8" s="1"/>
  <c r="M5" i="8" s="1"/>
  <c r="AK90" i="10"/>
  <c r="AL46" i="7"/>
  <c r="K48" i="7"/>
  <c r="M159" i="16" s="1"/>
  <c r="N162" i="16" s="1"/>
  <c r="N135" i="16" s="1"/>
  <c r="AH40" i="16" s="1"/>
  <c r="L37" i="20" s="1"/>
  <c r="K56" i="7"/>
  <c r="AK46" i="7"/>
  <c r="L27" i="5"/>
  <c r="L21" i="5" s="1"/>
  <c r="AB56" i="4"/>
  <c r="N35" i="3"/>
  <c r="M42" i="3"/>
  <c r="AC6" i="8"/>
  <c r="O6" i="8" s="1"/>
  <c r="N10" i="3"/>
  <c r="M9" i="3"/>
  <c r="U18" i="6"/>
  <c r="M40" i="21" l="1"/>
  <c r="M42" i="21"/>
  <c r="M99" i="10"/>
  <c r="M90" i="10" s="1"/>
  <c r="M124" i="10" s="1"/>
  <c r="M126" i="10" s="1"/>
  <c r="M128" i="10" s="1"/>
  <c r="AM106" i="10"/>
  <c r="M23" i="5"/>
  <c r="AC53" i="4"/>
  <c r="Q100" i="13"/>
  <c r="N81" i="10"/>
  <c r="AN81" i="10" s="1"/>
  <c r="Q34" i="12"/>
  <c r="Q99" i="13"/>
  <c r="AL84" i="10"/>
  <c r="AL86" i="10"/>
  <c r="AL99" i="10"/>
  <c r="AC27" i="4"/>
  <c r="M46" i="7"/>
  <c r="L34" i="10"/>
  <c r="AN71" i="10"/>
  <c r="N57" i="10"/>
  <c r="N56" i="10" s="1"/>
  <c r="N73" i="10" s="1"/>
  <c r="N80" i="10" s="1"/>
  <c r="O63" i="12"/>
  <c r="O64" i="12"/>
  <c r="Q56" i="12"/>
  <c r="P55" i="12"/>
  <c r="L9" i="3"/>
  <c r="AM17" i="10"/>
  <c r="M37" i="10"/>
  <c r="P31" i="3"/>
  <c r="O35" i="3"/>
  <c r="P36" i="3"/>
  <c r="AL37" i="10"/>
  <c r="AL16" i="10"/>
  <c r="AE10" i="3"/>
  <c r="O10" i="3" s="1"/>
  <c r="AN19" i="6"/>
  <c r="W19" i="6" s="1"/>
  <c r="U51" i="6"/>
  <c r="N46" i="7"/>
  <c r="N48" i="7" s="1"/>
  <c r="P159" i="16" s="1"/>
  <c r="Q162" i="16" s="1"/>
  <c r="Q135" i="16" s="1"/>
  <c r="AK40" i="16" s="1"/>
  <c r="O37" i="20" s="1"/>
  <c r="AA123" i="10" s="1"/>
  <c r="AL31" i="6"/>
  <c r="S31" i="6" s="1"/>
  <c r="AC16" i="3"/>
  <c r="K16" i="3" s="1"/>
  <c r="M7" i="16"/>
  <c r="M5" i="16" s="1"/>
  <c r="AG8" i="16"/>
  <c r="X123" i="10"/>
  <c r="L34" i="20"/>
  <c r="AJ123" i="10"/>
  <c r="Z13" i="8" s="1"/>
  <c r="W120" i="10"/>
  <c r="N130" i="16"/>
  <c r="N13" i="8"/>
  <c r="AC43" i="4"/>
  <c r="AL120" i="10"/>
  <c r="AH41" i="16"/>
  <c r="AI31" i="16" s="1"/>
  <c r="AI41" i="16" s="1"/>
  <c r="AJ31" i="16" s="1"/>
  <c r="N38" i="3"/>
  <c r="L55" i="7"/>
  <c r="AM84" i="10"/>
  <c r="AM86" i="10"/>
  <c r="U43" i="6"/>
  <c r="U52" i="6"/>
  <c r="N23" i="5"/>
  <c r="AD53" i="4"/>
  <c r="N9" i="3"/>
  <c r="K55" i="7"/>
  <c r="K53" i="7"/>
  <c r="AK48" i="7"/>
  <c r="AL48" i="7"/>
  <c r="R36" i="3"/>
  <c r="R31" i="3"/>
  <c r="Q35" i="3"/>
  <c r="M48" i="7" l="1"/>
  <c r="M56" i="7"/>
  <c r="AC56" i="4"/>
  <c r="M27" i="5"/>
  <c r="AB8" i="8"/>
  <c r="N8" i="8" s="1"/>
  <c r="N5" i="8" s="1"/>
  <c r="AL90" i="10"/>
  <c r="O42" i="3"/>
  <c r="P35" i="3"/>
  <c r="M52" i="7"/>
  <c r="AE38" i="3"/>
  <c r="O38" i="3" s="1"/>
  <c r="N21" i="10"/>
  <c r="AN21" i="10" s="1"/>
  <c r="AP23" i="6" s="1"/>
  <c r="AA23" i="6" s="1"/>
  <c r="AA42" i="6" s="1"/>
  <c r="N20" i="21"/>
  <c r="Q29" i="12"/>
  <c r="AO19" i="6"/>
  <c r="Y19" i="6" s="1"/>
  <c r="Y18" i="6" s="1"/>
  <c r="Y43" i="6" s="1"/>
  <c r="AF10" i="3"/>
  <c r="Q10" i="3" s="1"/>
  <c r="AM16" i="10"/>
  <c r="AM37" i="10"/>
  <c r="AE23" i="4"/>
  <c r="O25" i="5" s="1"/>
  <c r="P25" i="5" s="1"/>
  <c r="AC47" i="7"/>
  <c r="O47" i="7" s="1"/>
  <c r="N5" i="21"/>
  <c r="N91" i="10" s="1"/>
  <c r="AN91" i="10" s="1"/>
  <c r="Q57" i="12"/>
  <c r="Q60" i="12" s="1"/>
  <c r="Q55" i="12" s="1"/>
  <c r="M29" i="10"/>
  <c r="P61" i="12"/>
  <c r="P62" i="12" s="1"/>
  <c r="AC30" i="4"/>
  <c r="M17" i="4" s="1"/>
  <c r="O67" i="12"/>
  <c r="O65" i="12"/>
  <c r="AD27" i="4"/>
  <c r="AM99" i="10"/>
  <c r="N82" i="10"/>
  <c r="W18" i="6"/>
  <c r="W51" i="6" s="1"/>
  <c r="AC35" i="7"/>
  <c r="O35" i="7" s="1"/>
  <c r="O21" i="7" s="1"/>
  <c r="AN57" i="10"/>
  <c r="O9" i="3"/>
  <c r="P10" i="3"/>
  <c r="O34" i="20"/>
  <c r="N56" i="7"/>
  <c r="N127" i="16"/>
  <c r="O131" i="16"/>
  <c r="O130" i="16" s="1"/>
  <c r="AH22" i="16"/>
  <c r="AH23" i="16" s="1"/>
  <c r="AN123" i="10"/>
  <c r="AD13" i="8" s="1"/>
  <c r="AA120" i="10"/>
  <c r="AK123" i="10"/>
  <c r="AA13" i="8" s="1"/>
  <c r="X120" i="10"/>
  <c r="L13" i="8"/>
  <c r="AA43" i="4"/>
  <c r="AJ120" i="10"/>
  <c r="K26" i="20"/>
  <c r="AG14" i="16"/>
  <c r="AG26" i="16" s="1"/>
  <c r="W12" i="10"/>
  <c r="AJ12" i="10" s="1"/>
  <c r="AL14" i="6" s="1"/>
  <c r="S14" i="6" s="1"/>
  <c r="W6" i="10"/>
  <c r="M4" i="16"/>
  <c r="M143" i="16" s="1"/>
  <c r="M144" i="16" s="1"/>
  <c r="M33" i="5"/>
  <c r="M31" i="5" s="1"/>
  <c r="AC45" i="4"/>
  <c r="L16" i="3"/>
  <c r="K12" i="3"/>
  <c r="S45" i="6"/>
  <c r="S28" i="6"/>
  <c r="N52" i="7"/>
  <c r="N53" i="7" s="1"/>
  <c r="AF38" i="3"/>
  <c r="Q38" i="3" s="1"/>
  <c r="R35" i="3"/>
  <c r="Q42" i="3"/>
  <c r="M53" i="7" l="1"/>
  <c r="Y52" i="6"/>
  <c r="Y51" i="6"/>
  <c r="W43" i="6"/>
  <c r="W52" i="6"/>
  <c r="Q9" i="3"/>
  <c r="R10" i="3"/>
  <c r="N30" i="10"/>
  <c r="AN30" i="10" s="1"/>
  <c r="AP32" i="6" s="1"/>
  <c r="AA32" i="6" s="1"/>
  <c r="N84" i="10"/>
  <c r="N85" i="10" s="1"/>
  <c r="N86" i="10"/>
  <c r="AC8" i="8"/>
  <c r="O8" i="8" s="1"/>
  <c r="O5" i="8" s="1"/>
  <c r="AM90" i="10"/>
  <c r="Q42" i="12"/>
  <c r="N17" i="10"/>
  <c r="N27" i="5"/>
  <c r="N21" i="5" s="1"/>
  <c r="AD56" i="4"/>
  <c r="AD30" i="4"/>
  <c r="N17" i="4" s="1"/>
  <c r="N106" i="10"/>
  <c r="N13" i="21"/>
  <c r="N4" i="21" s="1"/>
  <c r="N37" i="21" s="1"/>
  <c r="N39" i="21" s="1"/>
  <c r="M21" i="5"/>
  <c r="P38" i="3"/>
  <c r="Q61" i="12"/>
  <c r="N29" i="10"/>
  <c r="P63" i="12"/>
  <c r="P64" i="12"/>
  <c r="P9" i="3"/>
  <c r="AD6" i="8"/>
  <c r="P6" i="8" s="1"/>
  <c r="AN56" i="10"/>
  <c r="AG32" i="3"/>
  <c r="S32" i="3" s="1"/>
  <c r="M35" i="10"/>
  <c r="M34" i="10"/>
  <c r="O20" i="7"/>
  <c r="O38" i="7"/>
  <c r="O159" i="16"/>
  <c r="P162" i="16" s="1"/>
  <c r="P135" i="16" s="1"/>
  <c r="AJ40" i="16" s="1"/>
  <c r="M55" i="7"/>
  <c r="K25" i="20"/>
  <c r="K23" i="20" s="1"/>
  <c r="W112" i="10"/>
  <c r="K40" i="3"/>
  <c r="L12" i="3"/>
  <c r="K43" i="3"/>
  <c r="K41" i="3"/>
  <c r="M19" i="4"/>
  <c r="AC46" i="4"/>
  <c r="AE43" i="4"/>
  <c r="P13" i="8"/>
  <c r="AN120" i="10"/>
  <c r="S53" i="6"/>
  <c r="S46" i="6"/>
  <c r="AH43" i="16"/>
  <c r="AH24" i="16"/>
  <c r="P131" i="16"/>
  <c r="AI22" i="16"/>
  <c r="AI23" i="16" s="1"/>
  <c r="O127" i="16"/>
  <c r="S39" i="6"/>
  <c r="S48" i="6" s="1"/>
  <c r="K33" i="5"/>
  <c r="AA45" i="4"/>
  <c r="M13" i="8"/>
  <c r="AB43" i="4"/>
  <c r="AK120" i="10"/>
  <c r="W36" i="10"/>
  <c r="W35" i="10"/>
  <c r="W34" i="10"/>
  <c r="AJ6" i="10"/>
  <c r="N107" i="16"/>
  <c r="N141" i="16" s="1"/>
  <c r="N18" i="16" s="1"/>
  <c r="X29" i="10"/>
  <c r="AK29" i="10" s="1"/>
  <c r="R38" i="3"/>
  <c r="N55" i="7"/>
  <c r="P130" i="16" l="1"/>
  <c r="Q131" i="16" s="1"/>
  <c r="Q130" i="16" s="1"/>
  <c r="Q62" i="12"/>
  <c r="Q64" i="12" s="1"/>
  <c r="AN106" i="10"/>
  <c r="N99" i="10"/>
  <c r="N90" i="10" s="1"/>
  <c r="N124" i="10" s="1"/>
  <c r="N126" i="10" s="1"/>
  <c r="N128" i="10" s="1"/>
  <c r="N37" i="10"/>
  <c r="AN17" i="10"/>
  <c r="N35" i="10"/>
  <c r="N34" i="10"/>
  <c r="AE20" i="4"/>
  <c r="AN73" i="10"/>
  <c r="AN80" i="10" s="1"/>
  <c r="AN82" i="10" s="1"/>
  <c r="P65" i="12"/>
  <c r="P67" i="12"/>
  <c r="T32" i="3"/>
  <c r="S36" i="3"/>
  <c r="S31" i="3"/>
  <c r="R9" i="3"/>
  <c r="N37" i="20"/>
  <c r="AJ41" i="16"/>
  <c r="AK31" i="16" s="1"/>
  <c r="AK41" i="16" s="1"/>
  <c r="O37" i="7"/>
  <c r="N40" i="21"/>
  <c r="N42" i="21"/>
  <c r="AI43" i="16"/>
  <c r="AI24" i="16"/>
  <c r="O33" i="5"/>
  <c r="O31" i="5" s="1"/>
  <c r="AE45" i="4"/>
  <c r="K31" i="5"/>
  <c r="AJ112" i="10"/>
  <c r="AJ111" i="10" s="1"/>
  <c r="W111" i="10"/>
  <c r="W109" i="10" s="1"/>
  <c r="W124" i="10" s="1"/>
  <c r="W126" i="10" s="1"/>
  <c r="K38" i="20"/>
  <c r="K40" i="20" s="1"/>
  <c r="K42" i="20" s="1"/>
  <c r="U23" i="20"/>
  <c r="AC7" i="3"/>
  <c r="K7" i="3" s="1"/>
  <c r="AL8" i="6"/>
  <c r="S8" i="6" s="1"/>
  <c r="AJ36" i="10"/>
  <c r="AJ5" i="10"/>
  <c r="AJ35" i="10"/>
  <c r="AJ34" i="10"/>
  <c r="O107" i="16"/>
  <c r="O141" i="16" s="1"/>
  <c r="O18" i="16" s="1"/>
  <c r="Y29" i="10"/>
  <c r="AL29" i="10" s="1"/>
  <c r="AM31" i="6"/>
  <c r="U31" i="6" s="1"/>
  <c r="AD16" i="3"/>
  <c r="M16" i="3" s="1"/>
  <c r="L33" i="5"/>
  <c r="L31" i="5" s="1"/>
  <c r="AB45" i="4"/>
  <c r="K19" i="4"/>
  <c r="AA46" i="4"/>
  <c r="AJ22" i="16"/>
  <c r="AJ23" i="16" s="1"/>
  <c r="N7" i="16"/>
  <c r="N5" i="16" s="1"/>
  <c r="AH8" i="16"/>
  <c r="Q63" i="12" l="1"/>
  <c r="P127" i="16"/>
  <c r="P107" i="16" s="1"/>
  <c r="P141" i="16" s="1"/>
  <c r="P18" i="16" s="1"/>
  <c r="Q65" i="12"/>
  <c r="Q67" i="12"/>
  <c r="S35" i="3"/>
  <c r="T31" i="3"/>
  <c r="T36" i="3"/>
  <c r="AN86" i="10"/>
  <c r="AN84" i="10"/>
  <c r="AE53" i="4"/>
  <c r="O23" i="5"/>
  <c r="O46" i="7"/>
  <c r="AN16" i="10"/>
  <c r="AN37" i="10"/>
  <c r="AG10" i="3"/>
  <c r="S10" i="3" s="1"/>
  <c r="AP19" i="6"/>
  <c r="AA19" i="6" s="1"/>
  <c r="Z123" i="10"/>
  <c r="N34" i="20"/>
  <c r="AE27" i="4"/>
  <c r="AE30" i="4" s="1"/>
  <c r="O17" i="4" s="1"/>
  <c r="P17" i="4" s="1"/>
  <c r="AN99" i="10"/>
  <c r="AI8" i="16"/>
  <c r="M26" i="20" s="1"/>
  <c r="O7" i="16"/>
  <c r="O5" i="16" s="1"/>
  <c r="S7" i="6"/>
  <c r="T8" i="6" s="1"/>
  <c r="K6" i="3"/>
  <c r="L7" i="3"/>
  <c r="K39" i="3"/>
  <c r="X12" i="10"/>
  <c r="AK12" i="10" s="1"/>
  <c r="AM14" i="6" s="1"/>
  <c r="U14" i="6" s="1"/>
  <c r="AH14" i="16"/>
  <c r="AH26" i="16" s="1"/>
  <c r="L26" i="20"/>
  <c r="W128" i="10"/>
  <c r="AJ24" i="16"/>
  <c r="AJ43" i="16"/>
  <c r="L19" i="4"/>
  <c r="AB46" i="4"/>
  <c r="N16" i="3"/>
  <c r="M12" i="3"/>
  <c r="O19" i="4"/>
  <c r="AE46" i="4"/>
  <c r="U28" i="6"/>
  <c r="U45" i="6"/>
  <c r="AE16" i="3"/>
  <c r="O16" i="3" s="1"/>
  <c r="AN31" i="6"/>
  <c r="W31" i="6" s="1"/>
  <c r="N4" i="16"/>
  <c r="N143" i="16" s="1"/>
  <c r="N144" i="16" s="1"/>
  <c r="X6" i="10"/>
  <c r="Q127" i="16"/>
  <c r="AK22" i="16"/>
  <c r="AK23" i="16" s="1"/>
  <c r="AA36" i="4"/>
  <c r="Z14" i="8"/>
  <c r="L14" i="8" s="1"/>
  <c r="L11" i="8" s="1"/>
  <c r="L18" i="8" s="1"/>
  <c r="L20" i="8" s="1"/>
  <c r="M19" i="8" s="1"/>
  <c r="AJ109" i="10"/>
  <c r="AJ124" i="10" s="1"/>
  <c r="AJ126" i="10" s="1"/>
  <c r="Z29" i="10" l="1"/>
  <c r="AM29" i="10" s="1"/>
  <c r="AF16" i="3" s="1"/>
  <c r="Q16" i="3" s="1"/>
  <c r="AA18" i="6"/>
  <c r="AA51" i="6" s="1"/>
  <c r="S9" i="3"/>
  <c r="T10" i="3"/>
  <c r="O48" i="7"/>
  <c r="O56" i="7"/>
  <c r="AG38" i="3"/>
  <c r="S38" i="3" s="1"/>
  <c r="O52" i="7"/>
  <c r="AD8" i="8"/>
  <c r="P8" i="8" s="1"/>
  <c r="P5" i="8" s="1"/>
  <c r="AN90" i="10"/>
  <c r="AE56" i="4"/>
  <c r="O27" i="5"/>
  <c r="P27" i="5" s="1"/>
  <c r="T35" i="3"/>
  <c r="S42" i="3"/>
  <c r="P23" i="5"/>
  <c r="AM123" i="10"/>
  <c r="AC13" i="8" s="1"/>
  <c r="Z120" i="10"/>
  <c r="Q107" i="16"/>
  <c r="Q141" i="16" s="1"/>
  <c r="Q18" i="16" s="1"/>
  <c r="AA29" i="10"/>
  <c r="AN29" i="10" s="1"/>
  <c r="X112" i="10"/>
  <c r="L25" i="20"/>
  <c r="L23" i="20" s="1"/>
  <c r="P16" i="3"/>
  <c r="O12" i="3"/>
  <c r="W45" i="6"/>
  <c r="W28" i="6"/>
  <c r="U53" i="6"/>
  <c r="U46" i="6"/>
  <c r="S49" i="6"/>
  <c r="T24" i="6"/>
  <c r="T22" i="6"/>
  <c r="T25" i="6"/>
  <c r="S50" i="6"/>
  <c r="T29" i="6"/>
  <c r="T11" i="6"/>
  <c r="T26" i="6"/>
  <c r="T12" i="6"/>
  <c r="T10" i="6"/>
  <c r="T13" i="6"/>
  <c r="T21" i="6"/>
  <c r="T15" i="6"/>
  <c r="T7" i="6"/>
  <c r="T17" i="6"/>
  <c r="T9" i="6"/>
  <c r="T27" i="6"/>
  <c r="T34" i="6"/>
  <c r="T16" i="6"/>
  <c r="T33" i="6"/>
  <c r="S40" i="6"/>
  <c r="T20" i="6"/>
  <c r="T30" i="6"/>
  <c r="T23" i="6"/>
  <c r="T32" i="6"/>
  <c r="T19" i="6"/>
  <c r="S54" i="6"/>
  <c r="T18" i="6"/>
  <c r="T31" i="6"/>
  <c r="T28" i="6"/>
  <c r="T14" i="6"/>
  <c r="AK43" i="16"/>
  <c r="AK24" i="16"/>
  <c r="X35" i="10"/>
  <c r="X34" i="10"/>
  <c r="X36" i="10"/>
  <c r="AK6" i="10"/>
  <c r="K29" i="4"/>
  <c r="L24" i="8"/>
  <c r="L25" i="8" s="1"/>
  <c r="AJ128" i="10"/>
  <c r="Y112" i="10"/>
  <c r="M25" i="20"/>
  <c r="M23" i="20" s="1"/>
  <c r="L6" i="3"/>
  <c r="K45" i="3"/>
  <c r="K48" i="3"/>
  <c r="M43" i="3"/>
  <c r="N12" i="3"/>
  <c r="M40" i="3"/>
  <c r="M41" i="3"/>
  <c r="P7" i="16"/>
  <c r="P5" i="16" s="1"/>
  <c r="AJ8" i="16"/>
  <c r="N26" i="20" s="1"/>
  <c r="U39" i="6"/>
  <c r="U48" i="6" s="1"/>
  <c r="O4" i="16"/>
  <c r="O143" i="16" s="1"/>
  <c r="O144" i="16" s="1"/>
  <c r="Y6" i="10"/>
  <c r="AA38" i="4"/>
  <c r="K29" i="5"/>
  <c r="Y12" i="10"/>
  <c r="AL12" i="10" s="1"/>
  <c r="AN14" i="6" s="1"/>
  <c r="W14" i="6" s="1"/>
  <c r="AI14" i="16"/>
  <c r="AI26" i="16" s="1"/>
  <c r="AO31" i="6" l="1"/>
  <c r="Y31" i="6" s="1"/>
  <c r="O53" i="7"/>
  <c r="T38" i="3"/>
  <c r="Q159" i="16"/>
  <c r="O55" i="7"/>
  <c r="T9" i="3"/>
  <c r="O13" i="8"/>
  <c r="AD43" i="4"/>
  <c r="AM120" i="10"/>
  <c r="O21" i="5"/>
  <c r="P21" i="5" s="1"/>
  <c r="AA43" i="6"/>
  <c r="AA52" i="6"/>
  <c r="L48" i="3"/>
  <c r="Z112" i="10"/>
  <c r="N25" i="20"/>
  <c r="N23" i="20" s="1"/>
  <c r="O41" i="3"/>
  <c r="P12" i="3"/>
  <c r="O40" i="3"/>
  <c r="Y28" i="6"/>
  <c r="Y45" i="6"/>
  <c r="R16" i="3"/>
  <c r="Q12" i="3"/>
  <c r="V23" i="20"/>
  <c r="L38" i="20"/>
  <c r="L40" i="20" s="1"/>
  <c r="L42" i="20" s="1"/>
  <c r="Z12" i="10"/>
  <c r="AM12" i="10" s="1"/>
  <c r="AO14" i="6" s="1"/>
  <c r="Y14" i="6" s="1"/>
  <c r="AJ14" i="16"/>
  <c r="AJ26" i="16" s="1"/>
  <c r="Z6" i="10"/>
  <c r="P4" i="16"/>
  <c r="P143" i="16" s="1"/>
  <c r="P144" i="16" s="1"/>
  <c r="O43" i="3"/>
  <c r="W53" i="6"/>
  <c r="W46" i="6"/>
  <c r="M38" i="20"/>
  <c r="M40" i="20" s="1"/>
  <c r="M42" i="20" s="1"/>
  <c r="W23" i="20"/>
  <c r="AK112" i="10"/>
  <c r="AK111" i="10" s="1"/>
  <c r="X111" i="10"/>
  <c r="X109" i="10" s="1"/>
  <c r="X124" i="10" s="1"/>
  <c r="X126" i="10" s="1"/>
  <c r="K28" i="5"/>
  <c r="AL112" i="10"/>
  <c r="AL111" i="10" s="1"/>
  <c r="Y111" i="10"/>
  <c r="Y109" i="10" s="1"/>
  <c r="Y124" i="10" s="1"/>
  <c r="Y126" i="10" s="1"/>
  <c r="AG16" i="3"/>
  <c r="S16" i="3" s="1"/>
  <c r="AP31" i="6"/>
  <c r="AA31" i="6" s="1"/>
  <c r="Y34" i="10"/>
  <c r="Y36" i="10"/>
  <c r="Y35" i="10"/>
  <c r="AL6" i="10"/>
  <c r="AK5" i="10"/>
  <c r="AD7" i="3"/>
  <c r="M7" i="3" s="1"/>
  <c r="AK36" i="10"/>
  <c r="AM8" i="6"/>
  <c r="U8" i="6" s="1"/>
  <c r="AK34" i="10"/>
  <c r="AK35" i="10"/>
  <c r="W39" i="6"/>
  <c r="W48" i="6" s="1"/>
  <c r="AA39" i="4"/>
  <c r="K18" i="4"/>
  <c r="AA49" i="4"/>
  <c r="AA51" i="4" s="1"/>
  <c r="AA52" i="4" s="1"/>
  <c r="Q7" i="16"/>
  <c r="Q5" i="16" s="1"/>
  <c r="AK8" i="16"/>
  <c r="O26" i="20" s="1"/>
  <c r="N33" i="5" l="1"/>
  <c r="AD45" i="4"/>
  <c r="Q43" i="3"/>
  <c r="O25" i="20"/>
  <c r="O23" i="20" s="1"/>
  <c r="O38" i="20" s="1"/>
  <c r="O40" i="20" s="1"/>
  <c r="O42" i="20" s="1"/>
  <c r="AA112" i="10"/>
  <c r="Y39" i="6"/>
  <c r="Y48" i="6" s="1"/>
  <c r="K20" i="4"/>
  <c r="K26" i="4" s="1"/>
  <c r="Z35" i="10"/>
  <c r="Z34" i="10"/>
  <c r="Z36" i="10"/>
  <c r="AM6" i="10"/>
  <c r="Q4" i="16"/>
  <c r="Q143" i="16" s="1"/>
  <c r="Q144" i="16" s="1"/>
  <c r="AA6" i="10"/>
  <c r="K35" i="5"/>
  <c r="K40" i="5" s="1"/>
  <c r="AK109" i="10"/>
  <c r="AK124" i="10" s="1"/>
  <c r="AK126" i="10" s="1"/>
  <c r="AA14" i="8"/>
  <c r="M14" i="8" s="1"/>
  <c r="M11" i="8" s="1"/>
  <c r="M18" i="8" s="1"/>
  <c r="M20" i="8" s="1"/>
  <c r="N19" i="8" s="1"/>
  <c r="AB36" i="4"/>
  <c r="U7" i="6"/>
  <c r="S12" i="3"/>
  <c r="T16" i="3"/>
  <c r="Y128" i="10"/>
  <c r="AL109" i="10"/>
  <c r="AL124" i="10" s="1"/>
  <c r="AL126" i="10" s="1"/>
  <c r="AB14" i="8"/>
  <c r="N14" i="8" s="1"/>
  <c r="N11" i="8" s="1"/>
  <c r="N18" i="8" s="1"/>
  <c r="AC36" i="4"/>
  <c r="Q41" i="3"/>
  <c r="Q40" i="3"/>
  <c r="R12" i="3"/>
  <c r="Y53" i="6"/>
  <c r="Y46" i="6"/>
  <c r="AA28" i="6"/>
  <c r="AA45" i="6"/>
  <c r="X128" i="10"/>
  <c r="N7" i="3"/>
  <c r="M6" i="3"/>
  <c r="M39" i="3"/>
  <c r="AK14" i="16"/>
  <c r="AK26" i="16" s="1"/>
  <c r="AA12" i="10"/>
  <c r="AN12" i="10" s="1"/>
  <c r="AP14" i="6" s="1"/>
  <c r="AA14" i="6" s="1"/>
  <c r="X23" i="20"/>
  <c r="N38" i="20"/>
  <c r="N40" i="20" s="1"/>
  <c r="N42" i="20" s="1"/>
  <c r="AE7" i="3"/>
  <c r="O7" i="3" s="1"/>
  <c r="AL5" i="10"/>
  <c r="AL36" i="10"/>
  <c r="AN8" i="6"/>
  <c r="W8" i="6" s="1"/>
  <c r="W7" i="6" s="1"/>
  <c r="AL35" i="10"/>
  <c r="AL34" i="10"/>
  <c r="Z111" i="10"/>
  <c r="Z109" i="10" s="1"/>
  <c r="Z124" i="10" s="1"/>
  <c r="Z126" i="10" s="1"/>
  <c r="Z128" i="10" s="1"/>
  <c r="AM112" i="10"/>
  <c r="AM111" i="10" s="1"/>
  <c r="AD46" i="4" l="1"/>
  <c r="N19" i="4"/>
  <c r="P19" i="4" s="1"/>
  <c r="N31" i="5"/>
  <c r="P31" i="5" s="1"/>
  <c r="P33" i="5"/>
  <c r="S41" i="3"/>
  <c r="N20" i="8"/>
  <c r="O19" i="8" s="1"/>
  <c r="Y23" i="20"/>
  <c r="S43" i="3"/>
  <c r="L29" i="4"/>
  <c r="M24" i="8"/>
  <c r="M25" i="8" s="1"/>
  <c r="AF7" i="3"/>
  <c r="Q7" i="3" s="1"/>
  <c r="AM5" i="10"/>
  <c r="AM36" i="10"/>
  <c r="AO8" i="6"/>
  <c r="Y8" i="6" s="1"/>
  <c r="AM34" i="10"/>
  <c r="AM35" i="10"/>
  <c r="AC38" i="4"/>
  <c r="M29" i="5"/>
  <c r="M28" i="5" s="1"/>
  <c r="M35" i="5" s="1"/>
  <c r="M40" i="5" s="1"/>
  <c r="M29" i="4"/>
  <c r="N24" i="8"/>
  <c r="K41" i="5"/>
  <c r="K42" i="5" s="1"/>
  <c r="K27" i="4"/>
  <c r="AA53" i="6"/>
  <c r="AA46" i="6"/>
  <c r="O6" i="3"/>
  <c r="P7" i="3"/>
  <c r="O39" i="3"/>
  <c r="AA39" i="6"/>
  <c r="AA48" i="6" s="1"/>
  <c r="AL128" i="10"/>
  <c r="AK128" i="10"/>
  <c r="X8" i="6"/>
  <c r="X22" i="6"/>
  <c r="X12" i="6"/>
  <c r="W40" i="6"/>
  <c r="X11" i="6"/>
  <c r="X13" i="6"/>
  <c r="X25" i="6"/>
  <c r="X17" i="6"/>
  <c r="W50" i="6"/>
  <c r="X26" i="6"/>
  <c r="X9" i="6"/>
  <c r="W49" i="6"/>
  <c r="X30" i="6"/>
  <c r="X29" i="6"/>
  <c r="X10" i="6"/>
  <c r="X16" i="6"/>
  <c r="X27" i="6"/>
  <c r="X15" i="6"/>
  <c r="X7" i="6"/>
  <c r="X33" i="6"/>
  <c r="X34" i="6"/>
  <c r="X24" i="6"/>
  <c r="X21" i="6"/>
  <c r="X20" i="6"/>
  <c r="X23" i="6"/>
  <c r="X32" i="6"/>
  <c r="X19" i="6"/>
  <c r="X18" i="6"/>
  <c r="W54" i="6"/>
  <c r="X31" i="6"/>
  <c r="X14" i="6"/>
  <c r="X28" i="6"/>
  <c r="AB38" i="4"/>
  <c r="L29" i="5"/>
  <c r="AA36" i="10"/>
  <c r="AA35" i="10"/>
  <c r="AA34" i="10"/>
  <c r="AN6" i="10"/>
  <c r="M45" i="3"/>
  <c r="N6" i="3"/>
  <c r="M48" i="3"/>
  <c r="AC14" i="8"/>
  <c r="O14" i="8" s="1"/>
  <c r="O11" i="8" s="1"/>
  <c r="O18" i="8" s="1"/>
  <c r="AD36" i="4"/>
  <c r="AM109" i="10"/>
  <c r="AM124" i="10" s="1"/>
  <c r="AM126" i="10" s="1"/>
  <c r="U49" i="6"/>
  <c r="V34" i="6"/>
  <c r="V26" i="6"/>
  <c r="V30" i="6"/>
  <c r="V25" i="6"/>
  <c r="V17" i="6"/>
  <c r="V11" i="6"/>
  <c r="V12" i="6"/>
  <c r="V7" i="6"/>
  <c r="V22" i="6"/>
  <c r="V24" i="6"/>
  <c r="U40" i="6"/>
  <c r="V27" i="6"/>
  <c r="V13" i="6"/>
  <c r="V16" i="6"/>
  <c r="U50" i="6"/>
  <c r="V29" i="6"/>
  <c r="V15" i="6"/>
  <c r="V9" i="6"/>
  <c r="V10" i="6"/>
  <c r="V33" i="6"/>
  <c r="V20" i="6"/>
  <c r="V21" i="6"/>
  <c r="V23" i="6"/>
  <c r="V32" i="6"/>
  <c r="V19" i="6"/>
  <c r="V18" i="6"/>
  <c r="U54" i="6"/>
  <c r="V31" i="6"/>
  <c r="V14" i="6"/>
  <c r="V28" i="6"/>
  <c r="T12" i="3"/>
  <c r="S40" i="3"/>
  <c r="AN112" i="10"/>
  <c r="AN111" i="10" s="1"/>
  <c r="AA111" i="10"/>
  <c r="AA109" i="10" s="1"/>
  <c r="AA124" i="10" s="1"/>
  <c r="AA126" i="10" s="1"/>
  <c r="V8" i="6"/>
  <c r="N25" i="8" l="1"/>
  <c r="N48" i="3"/>
  <c r="AD38" i="4"/>
  <c r="N29" i="5"/>
  <c r="N28" i="5" s="1"/>
  <c r="N35" i="5" s="1"/>
  <c r="N40" i="5" s="1"/>
  <c r="AD14" i="8"/>
  <c r="P14" i="8" s="1"/>
  <c r="P11" i="8" s="1"/>
  <c r="P18" i="8" s="1"/>
  <c r="AN109" i="10"/>
  <c r="AN124" i="10" s="1"/>
  <c r="AN126" i="10" s="1"/>
  <c r="AN128" i="10" s="1"/>
  <c r="AE36" i="4"/>
  <c r="AC39" i="4"/>
  <c r="M18" i="4"/>
  <c r="M20" i="4" s="1"/>
  <c r="M26" i="4" s="1"/>
  <c r="M41" i="5" s="1"/>
  <c r="M42" i="5" s="1"/>
  <c r="AC49" i="4"/>
  <c r="AC51" i="4" s="1"/>
  <c r="AC52" i="4" s="1"/>
  <c r="L28" i="5"/>
  <c r="AM128" i="10"/>
  <c r="O24" i="8"/>
  <c r="N29" i="4"/>
  <c r="R7" i="3"/>
  <c r="Q6" i="3"/>
  <c r="Q39" i="3"/>
  <c r="P6" i="3"/>
  <c r="O45" i="3"/>
  <c r="O48" i="3"/>
  <c r="K30" i="4"/>
  <c r="L25" i="4"/>
  <c r="AN5" i="10"/>
  <c r="AN36" i="10"/>
  <c r="AG7" i="3"/>
  <c r="S7" i="3" s="1"/>
  <c r="AP8" i="6"/>
  <c r="AA8" i="6" s="1"/>
  <c r="AA7" i="6" s="1"/>
  <c r="AN34" i="10"/>
  <c r="AN35" i="10"/>
  <c r="AB39" i="4"/>
  <c r="L18" i="4"/>
  <c r="AB49" i="4"/>
  <c r="AB51" i="4" s="1"/>
  <c r="AB52" i="4" s="1"/>
  <c r="O20" i="8"/>
  <c r="Y7" i="6"/>
  <c r="Z8" i="6" s="1"/>
  <c r="AA128" i="10"/>
  <c r="P48" i="3" l="1"/>
  <c r="Y49" i="6"/>
  <c r="Z9" i="6"/>
  <c r="Z26" i="6"/>
  <c r="Z29" i="6"/>
  <c r="Z10" i="6"/>
  <c r="Z30" i="6"/>
  <c r="Y40" i="6"/>
  <c r="Z20" i="6"/>
  <c r="Z34" i="6"/>
  <c r="Z27" i="6"/>
  <c r="Z17" i="6"/>
  <c r="Z22" i="6"/>
  <c r="Z15" i="6"/>
  <c r="Z24" i="6"/>
  <c r="Z7" i="6"/>
  <c r="Z11" i="6"/>
  <c r="Z16" i="6"/>
  <c r="Z25" i="6"/>
  <c r="Z21" i="6"/>
  <c r="Y50" i="6"/>
  <c r="Z33" i="6"/>
  <c r="Z12" i="6"/>
  <c r="Z13" i="6"/>
  <c r="Z23" i="6"/>
  <c r="Z32" i="6"/>
  <c r="Z19" i="6"/>
  <c r="Z18" i="6"/>
  <c r="Y54" i="6"/>
  <c r="Z31" i="6"/>
  <c r="Z14" i="6"/>
  <c r="Z28" i="6"/>
  <c r="L20" i="4"/>
  <c r="L26" i="4" s="1"/>
  <c r="L41" i="5" s="1"/>
  <c r="S6" i="3"/>
  <c r="T7" i="3"/>
  <c r="S39" i="3"/>
  <c r="R6" i="3"/>
  <c r="Q45" i="3"/>
  <c r="Q48" i="3"/>
  <c r="AE38" i="4"/>
  <c r="O29" i="5"/>
  <c r="P24" i="8"/>
  <c r="O29" i="4"/>
  <c r="L35" i="5"/>
  <c r="L40" i="5" s="1"/>
  <c r="P19" i="8"/>
  <c r="P20" i="8" s="1"/>
  <c r="O25" i="8"/>
  <c r="AB8" i="6"/>
  <c r="AB34" i="6"/>
  <c r="AB24" i="6"/>
  <c r="AB25" i="6"/>
  <c r="AB21" i="6"/>
  <c r="AA50" i="6"/>
  <c r="AB13" i="6"/>
  <c r="AB26" i="6"/>
  <c r="AB20" i="6"/>
  <c r="AB33" i="6"/>
  <c r="AA40" i="6"/>
  <c r="AB29" i="6"/>
  <c r="AB16" i="6"/>
  <c r="AB30" i="6"/>
  <c r="AB22" i="6"/>
  <c r="AB27" i="6"/>
  <c r="AB7" i="6"/>
  <c r="AB15" i="6"/>
  <c r="AA49" i="6"/>
  <c r="AB9" i="6"/>
  <c r="AB11" i="6"/>
  <c r="AB17" i="6"/>
  <c r="AB10" i="6"/>
  <c r="AB12" i="6"/>
  <c r="AB23" i="6"/>
  <c r="AB32" i="6"/>
  <c r="AB19" i="6"/>
  <c r="AB18" i="6"/>
  <c r="AA54" i="6"/>
  <c r="AB31" i="6"/>
  <c r="AB28" i="6"/>
  <c r="AB14" i="6"/>
  <c r="AD39" i="4"/>
  <c r="N18" i="4"/>
  <c r="N20" i="4" s="1"/>
  <c r="N26" i="4" s="1"/>
  <c r="N41" i="5" s="1"/>
  <c r="N42" i="5" s="1"/>
  <c r="AD49" i="4"/>
  <c r="AD51" i="4" s="1"/>
  <c r="AD52" i="4" s="1"/>
  <c r="R48" i="3" l="1"/>
  <c r="P25" i="8"/>
  <c r="S45" i="3"/>
  <c r="T6" i="3"/>
  <c r="S48" i="3"/>
  <c r="L27" i="4"/>
  <c r="O28" i="5"/>
  <c r="P29" i="5"/>
  <c r="L42" i="5"/>
  <c r="O18" i="4"/>
  <c r="AE39" i="4"/>
  <c r="AE49" i="4"/>
  <c r="AE51" i="4" s="1"/>
  <c r="AE52" i="4" s="1"/>
  <c r="T48" i="3" l="1"/>
  <c r="M25" i="4"/>
  <c r="M27" i="4" s="1"/>
  <c r="L30" i="4"/>
  <c r="O20" i="4"/>
  <c r="O26" i="4" s="1"/>
  <c r="O41" i="5" s="1"/>
  <c r="P18" i="4"/>
  <c r="P20" i="4" s="1"/>
  <c r="O35" i="5"/>
  <c r="O40" i="5" s="1"/>
  <c r="P28" i="5"/>
  <c r="P35" i="5" s="1"/>
  <c r="O42" i="5" l="1"/>
  <c r="N25" i="4"/>
  <c r="N27" i="4" s="1"/>
  <c r="M30" i="4"/>
  <c r="N30" i="4" l="1"/>
  <c r="O25" i="4"/>
  <c r="O27" i="4" s="1"/>
  <c r="O3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GSR</author>
  </authors>
  <commentList>
    <comment ref="A1" authorId="0" shapeId="0" xr:uid="{CE12031D-02A7-4C89-9FAB-3CACC92901DB}">
      <text>
        <r>
          <rPr>
            <b/>
            <sz val="9"/>
            <color indexed="81"/>
            <rFont val="Tahoma"/>
            <family val="2"/>
          </rPr>
          <t>GSR: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배경색</t>
        </r>
        <r>
          <rPr>
            <sz val="9"/>
            <color indexed="81"/>
            <rFont val="Tahoma"/>
            <family val="2"/>
          </rPr>
          <t xml:space="preserve"> HEX </t>
        </r>
        <r>
          <rPr>
            <sz val="9"/>
            <color indexed="81"/>
            <rFont val="돋움"/>
            <family val="3"/>
            <charset val="129"/>
          </rPr>
          <t>설명
제목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검정</t>
        </r>
        <r>
          <rPr>
            <sz val="9"/>
            <color indexed="81"/>
            <rFont val="Tahoma"/>
            <family val="2"/>
          </rPr>
          <t xml:space="preserve"> #1F1F1F </t>
        </r>
        <r>
          <rPr>
            <sz val="9"/>
            <color indexed="81"/>
            <rFont val="돋움"/>
            <family val="3"/>
            <charset val="129"/>
          </rPr>
          <t>최상위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강조
대분류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진회색</t>
        </r>
        <r>
          <rPr>
            <sz val="9"/>
            <color indexed="81"/>
            <rFont val="Tahoma"/>
            <family val="2"/>
          </rPr>
          <t xml:space="preserve"> #595959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
중분류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회색</t>
        </r>
        <r>
          <rPr>
            <sz val="9"/>
            <color indexed="81"/>
            <rFont val="Tahoma"/>
            <family val="2"/>
          </rPr>
          <t xml:space="preserve"> #BFBFBF </t>
        </r>
        <r>
          <rPr>
            <sz val="9"/>
            <color indexed="81"/>
            <rFont val="돋움"/>
            <family val="3"/>
            <charset val="129"/>
          </rPr>
          <t>구조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파악용
소분류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연회색</t>
        </r>
        <r>
          <rPr>
            <sz val="9"/>
            <color indexed="81"/>
            <rFont val="Tahoma"/>
            <family val="2"/>
          </rPr>
          <t xml:space="preserve"> #E6E6E6 </t>
        </r>
        <r>
          <rPr>
            <sz val="9"/>
            <color indexed="81"/>
            <rFont val="돋움"/>
            <family val="3"/>
            <charset val="129"/>
          </rPr>
          <t>세부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
상세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흰색</t>
        </r>
        <r>
          <rPr>
            <sz val="9"/>
            <color indexed="81"/>
            <rFont val="Tahoma"/>
            <family val="2"/>
          </rPr>
          <t xml:space="preserve"> #FFFFFF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
테두리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얇은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회색</t>
        </r>
        <r>
          <rPr>
            <sz val="9"/>
            <color indexed="81"/>
            <rFont val="Tahoma"/>
            <family val="2"/>
          </rPr>
          <t xml:space="preserve"> #D9D9D9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GSR</author>
  </authors>
  <commentList>
    <comment ref="A1" authorId="0" shapeId="0" xr:uid="{12294D5D-7D96-4031-971A-AC9C13D1FDF8}">
      <text>
        <r>
          <rPr>
            <b/>
            <sz val="9"/>
            <color indexed="81"/>
            <rFont val="Tahoma"/>
            <family val="2"/>
          </rPr>
          <t>GSR: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배경색</t>
        </r>
        <r>
          <rPr>
            <sz val="9"/>
            <color indexed="81"/>
            <rFont val="Tahoma"/>
            <family val="2"/>
          </rPr>
          <t xml:space="preserve"> HEX </t>
        </r>
        <r>
          <rPr>
            <sz val="9"/>
            <color indexed="81"/>
            <rFont val="돋움"/>
            <family val="3"/>
            <charset val="129"/>
          </rPr>
          <t>설명
제목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검정</t>
        </r>
        <r>
          <rPr>
            <sz val="9"/>
            <color indexed="81"/>
            <rFont val="Tahoma"/>
            <family val="2"/>
          </rPr>
          <t xml:space="preserve"> #1F1F1F </t>
        </r>
        <r>
          <rPr>
            <sz val="9"/>
            <color indexed="81"/>
            <rFont val="돋움"/>
            <family val="3"/>
            <charset val="129"/>
          </rPr>
          <t>최상위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강조
대분류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진회색</t>
        </r>
        <r>
          <rPr>
            <sz val="9"/>
            <color indexed="81"/>
            <rFont val="Tahoma"/>
            <family val="2"/>
          </rPr>
          <t xml:space="preserve"> #595959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
중분류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회색</t>
        </r>
        <r>
          <rPr>
            <sz val="9"/>
            <color indexed="81"/>
            <rFont val="Tahoma"/>
            <family val="2"/>
          </rPr>
          <t xml:space="preserve"> #BFBFBF </t>
        </r>
        <r>
          <rPr>
            <sz val="9"/>
            <color indexed="81"/>
            <rFont val="돋움"/>
            <family val="3"/>
            <charset val="129"/>
          </rPr>
          <t>구조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파악용
소분류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연회색</t>
        </r>
        <r>
          <rPr>
            <sz val="9"/>
            <color indexed="81"/>
            <rFont val="Tahoma"/>
            <family val="2"/>
          </rPr>
          <t xml:space="preserve"> #E6E6E6 </t>
        </r>
        <r>
          <rPr>
            <sz val="9"/>
            <color indexed="81"/>
            <rFont val="돋움"/>
            <family val="3"/>
            <charset val="129"/>
          </rPr>
          <t>세부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
상세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흰색</t>
        </r>
        <r>
          <rPr>
            <sz val="9"/>
            <color indexed="81"/>
            <rFont val="Tahoma"/>
            <family val="2"/>
          </rPr>
          <t xml:space="preserve"> #FFFFFF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
테두리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얇은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회색</t>
        </r>
        <r>
          <rPr>
            <sz val="9"/>
            <color indexed="81"/>
            <rFont val="Tahoma"/>
            <family val="2"/>
          </rPr>
          <t xml:space="preserve"> #D9D9D9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손용익 회계사</author>
  </authors>
  <commentList>
    <comment ref="AB33" authorId="0" shapeId="0" xr:uid="{8E32A089-B6D2-45A7-B179-C03BEF1A200A}">
      <text>
        <r>
          <rPr>
            <b/>
            <sz val="9"/>
            <color indexed="81"/>
            <rFont val="Tahoma"/>
            <family val="2"/>
          </rPr>
          <t>R/E</t>
        </r>
        <r>
          <rPr>
            <b/>
            <sz val="9"/>
            <color indexed="81"/>
            <rFont val="돋움"/>
            <family val="3"/>
            <charset val="129"/>
          </rPr>
          <t>조정</t>
        </r>
      </text>
    </comment>
    <comment ref="AB35" authorId="0" shapeId="0" xr:uid="{93122BA0-9EFE-4983-BFAD-EC999068B9D0}">
      <text>
        <r>
          <rPr>
            <b/>
            <sz val="9"/>
            <color indexed="81"/>
            <rFont val="Tahoma"/>
            <family val="2"/>
          </rPr>
          <t>FVOCI</t>
        </r>
        <r>
          <rPr>
            <b/>
            <sz val="9"/>
            <color indexed="81"/>
            <rFont val="돋움"/>
            <family val="3"/>
            <charset val="129"/>
          </rPr>
          <t>재분류조정</t>
        </r>
        <r>
          <rPr>
            <b/>
            <sz val="9"/>
            <color indexed="81"/>
            <rFont val="Tahoma"/>
            <family val="2"/>
          </rPr>
          <t xml:space="preserve"> +9688.687207</t>
        </r>
      </text>
    </comment>
    <comment ref="H131" authorId="0" shapeId="0" xr:uid="{7FAAC0AF-6EAA-4C08-BCAA-ED2E6CFAF352}">
      <text>
        <r>
          <rPr>
            <b/>
            <sz val="9"/>
            <color indexed="81"/>
            <rFont val="돋움"/>
            <family val="3"/>
            <charset val="129"/>
          </rPr>
          <t>이익잉여금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검증금액</t>
        </r>
        <r>
          <rPr>
            <b/>
            <sz val="9"/>
            <color indexed="81"/>
            <rFont val="Tahoma"/>
            <family val="2"/>
          </rPr>
          <t xml:space="preserve"> 71,165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131" authorId="0" shapeId="0" xr:uid="{4C51B6DC-B739-4512-9436-2331EF3720CA}">
      <text>
        <r>
          <rPr>
            <b/>
            <sz val="9"/>
            <color indexed="81"/>
            <rFont val="돋움"/>
            <family val="3"/>
            <charset val="129"/>
          </rPr>
          <t>이익잉여금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검증금액</t>
        </r>
        <r>
          <rPr>
            <b/>
            <sz val="9"/>
            <color indexed="81"/>
            <rFont val="Tahoma"/>
            <family val="2"/>
          </rPr>
          <t xml:space="preserve"> 14785.548337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J131" authorId="0" shapeId="0" xr:uid="{6FA62F7A-9A4A-4D9E-B511-C6864D0C8165}">
      <text>
        <r>
          <rPr>
            <b/>
            <sz val="9"/>
            <color indexed="81"/>
            <rFont val="Tahoma"/>
            <family val="2"/>
          </rPr>
          <t xml:space="preserve">-52743.542624997
</t>
        </r>
        <r>
          <rPr>
            <b/>
            <sz val="9"/>
            <color indexed="81"/>
            <rFont val="돋움"/>
            <family val="3"/>
            <charset val="129"/>
          </rPr>
          <t>잉여금검증액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기타이익잉여금변동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추정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손용익 회계사</author>
  </authors>
  <commentList>
    <comment ref="H29" authorId="0" shapeId="0" xr:uid="{569A5FE6-D97E-49A6-ADD0-979736BE0E3F}">
      <text>
        <r>
          <rPr>
            <b/>
            <sz val="9"/>
            <color indexed="81"/>
            <rFont val="돋움"/>
            <family val="3"/>
            <charset val="129"/>
          </rPr>
          <t>단수조정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<sst xmlns="http://schemas.openxmlformats.org/spreadsheetml/2006/main" count="21680" uniqueCount="8999">
  <si>
    <t>상 품 매 출 액</t>
  </si>
  <si>
    <t>매출에누리와환입</t>
  </si>
  <si>
    <t>제 품 매 출 액</t>
  </si>
  <si>
    <t>용 역 매 출 액</t>
  </si>
  <si>
    <t>임 대 매 출 액</t>
  </si>
  <si>
    <t>기 타 매 출 액</t>
  </si>
  <si>
    <t>매  출  원  가</t>
  </si>
  <si>
    <t>상품 매출 원가</t>
  </si>
  <si>
    <t>용역 매출 원가</t>
  </si>
  <si>
    <t>임대 매출 원가</t>
  </si>
  <si>
    <t>기타 매출 원가</t>
  </si>
  <si>
    <t>매 출 총 이 익</t>
  </si>
  <si>
    <t>판 매 관 리 비</t>
  </si>
  <si>
    <t>급 료 와 임 금</t>
  </si>
  <si>
    <t>기타</t>
  </si>
  <si>
    <t>복 리 후 생 비</t>
  </si>
  <si>
    <t>인건비성용역료</t>
  </si>
  <si>
    <t>수 도 광 열 비</t>
  </si>
  <si>
    <t>감 가 상 각 비</t>
  </si>
  <si>
    <t>무형 자산 상각</t>
  </si>
  <si>
    <t>지 급 임 차 료</t>
  </si>
  <si>
    <t>지 급 수 수 료</t>
  </si>
  <si>
    <t>전 산 수 수 료</t>
  </si>
  <si>
    <t>판 매 수 수 료</t>
  </si>
  <si>
    <t>광 고 선 전 비</t>
  </si>
  <si>
    <t>판 매 촉 진 비</t>
  </si>
  <si>
    <t>장 치 장 식 비</t>
  </si>
  <si>
    <t>세 금 과 공 과</t>
  </si>
  <si>
    <t>수    선    비</t>
  </si>
  <si>
    <t>소  모  품  비</t>
  </si>
  <si>
    <t>포    장    비</t>
  </si>
  <si>
    <t>교 육 훈 련 비</t>
  </si>
  <si>
    <t>차 량 유 지 비</t>
  </si>
  <si>
    <t>여 비 교 통 비</t>
  </si>
  <si>
    <t>도 서 인 쇄 비</t>
  </si>
  <si>
    <t>보    험    료</t>
  </si>
  <si>
    <t>운    반    비</t>
  </si>
  <si>
    <t>통    신    비</t>
  </si>
  <si>
    <t>접    대    비</t>
  </si>
  <si>
    <t>회    의    비</t>
  </si>
  <si>
    <t>견    본    비</t>
  </si>
  <si>
    <t>대 손 상 각 비</t>
  </si>
  <si>
    <t>경상연구개발비</t>
  </si>
  <si>
    <t>사  내  거  래</t>
  </si>
  <si>
    <t>부 문 간 접 비</t>
  </si>
  <si>
    <t>물    류    비</t>
  </si>
  <si>
    <t>물 류 지 원 금</t>
  </si>
  <si>
    <t>정 보 부 문 비</t>
  </si>
  <si>
    <t>B S 지  원  비</t>
  </si>
  <si>
    <t>본 사 지 원 비</t>
  </si>
  <si>
    <t>영   업   이   익</t>
  </si>
  <si>
    <t>유형자산처분이익</t>
  </si>
  <si>
    <t>무형자산처분이익</t>
  </si>
  <si>
    <t>잡   이   익</t>
  </si>
  <si>
    <t>유형자산처분손실</t>
  </si>
  <si>
    <t>무형자산처분손실</t>
  </si>
  <si>
    <t>잡   손   실</t>
  </si>
  <si>
    <t>법인세 비용 차감전 순이익</t>
  </si>
  <si>
    <t>회계상 매출액</t>
  </si>
  <si>
    <t>상품매출액차감</t>
  </si>
  <si>
    <t>호 텔 매 출 액</t>
  </si>
  <si>
    <t>광 고 매 출 액</t>
  </si>
  <si>
    <t>상품 매출 원가(조정)</t>
  </si>
  <si>
    <t>제품 매출 원가</t>
  </si>
  <si>
    <t>호텔 매출 원가</t>
  </si>
  <si>
    <t>광고 매출 원가</t>
  </si>
  <si>
    <t>인    건    비</t>
  </si>
  <si>
    <t>상    여    금</t>
  </si>
  <si>
    <t>퇴  직  급  여</t>
  </si>
  <si>
    <t>기  타  경  비</t>
  </si>
  <si>
    <t>기  타  비  용</t>
  </si>
  <si>
    <t>보    관    비</t>
  </si>
  <si>
    <t>기  타  수  익</t>
  </si>
  <si>
    <t>기타의영업이익</t>
  </si>
  <si>
    <t>기타의영업비용</t>
  </si>
  <si>
    <t>금  융  수  익</t>
  </si>
  <si>
    <t>이 자 수 익</t>
  </si>
  <si>
    <t>배 당 금 수 익</t>
  </si>
  <si>
    <t>기타의금융수익</t>
  </si>
  <si>
    <t>금  융  비  용</t>
  </si>
  <si>
    <t>이 자 비 용</t>
  </si>
  <si>
    <t>기타의금융비용</t>
  </si>
  <si>
    <t>지 분 법 손 익</t>
  </si>
  <si>
    <t>지 분 법 이 익</t>
  </si>
  <si>
    <t>지 분 법 손 실</t>
  </si>
  <si>
    <t>법 인 세 비 용</t>
  </si>
  <si>
    <t>편의점</t>
  </si>
  <si>
    <t>자  산  총  계</t>
  </si>
  <si>
    <t>유동자산</t>
  </si>
  <si>
    <t>(1)현금 및 현금성 자산</t>
  </si>
  <si>
    <t>(2)유동매출채권 및 기타채권</t>
  </si>
  <si>
    <t>매출채권</t>
  </si>
  <si>
    <t>미수금</t>
  </si>
  <si>
    <t>미수수익</t>
  </si>
  <si>
    <t>단기대여금</t>
  </si>
  <si>
    <t>유동성장기대여금</t>
  </si>
  <si>
    <t>단기보증금</t>
  </si>
  <si>
    <t>단기금융기관예치금</t>
  </si>
  <si>
    <t>가지급금</t>
  </si>
  <si>
    <t>유동성 금융리스채권</t>
  </si>
  <si>
    <t>(3)기타 유동금융자산</t>
  </si>
  <si>
    <t>유동성당기손익인식금융자산</t>
  </si>
  <si>
    <t>유동성매도가능금융자산</t>
  </si>
  <si>
    <t>유동성만기보유금융자산</t>
  </si>
  <si>
    <t>유동성파생상품금융자산</t>
  </si>
  <si>
    <t>기타 유동금융자산</t>
  </si>
  <si>
    <t>기타 유동금융자산 예비</t>
  </si>
  <si>
    <t>(4)기타 유동자산</t>
  </si>
  <si>
    <t>(5)당기법인세자산</t>
  </si>
  <si>
    <t>(6)재고자산</t>
  </si>
  <si>
    <t>(7)매각예정자산</t>
  </si>
  <si>
    <t>(8)유동성이연법인세자산</t>
  </si>
  <si>
    <t>(9)유동자산 예비</t>
  </si>
  <si>
    <t>(10)유동자산 예비2</t>
  </si>
  <si>
    <t>(11)유동자산 예비3</t>
  </si>
  <si>
    <t>비유동자산</t>
  </si>
  <si>
    <t>(1)장기성매출채권 및 기타채권</t>
  </si>
  <si>
    <t>장기성매출채권</t>
  </si>
  <si>
    <t>장기대여금</t>
  </si>
  <si>
    <t>장기대여금대손충당금</t>
  </si>
  <si>
    <t>보증금</t>
  </si>
  <si>
    <t>장기금융기관예치금</t>
  </si>
  <si>
    <t>리스채권</t>
  </si>
  <si>
    <t>기타 장기성매출채권 예비</t>
  </si>
  <si>
    <t>(2)기타 비유동금융자산</t>
  </si>
  <si>
    <t>당기손익인식금융자산</t>
  </si>
  <si>
    <t>매도가능금융자산</t>
  </si>
  <si>
    <t>만기보유금융자산</t>
  </si>
  <si>
    <t>파생상품자산</t>
  </si>
  <si>
    <t>기타비유동금융자산</t>
  </si>
  <si>
    <t>기타 비유동금융자산 예비</t>
  </si>
  <si>
    <t>(3)종속기업, 조인트벤처 및 관계기업 투자</t>
  </si>
  <si>
    <t>(4)유형자산</t>
  </si>
  <si>
    <t>(5)무형자산</t>
  </si>
  <si>
    <t>(6)투자부동산</t>
  </si>
  <si>
    <t>(7)기타비유동자산</t>
  </si>
  <si>
    <t>(8)이연법인세자산</t>
  </si>
  <si>
    <t>이연법인세자산</t>
  </si>
  <si>
    <t>(9)리스비유동자산</t>
  </si>
  <si>
    <t>(10)비유동자산 예비</t>
  </si>
  <si>
    <t>(11)비유동자산 예비2</t>
  </si>
  <si>
    <t>(12)비유동자산 예비3</t>
  </si>
  <si>
    <t>부  채  합  계</t>
  </si>
  <si>
    <t>유동부채</t>
  </si>
  <si>
    <t>(1)매입채무 및 기타유동부채</t>
  </si>
  <si>
    <t>매입채무</t>
  </si>
  <si>
    <t>매입채무 예비</t>
  </si>
  <si>
    <t>미지급금</t>
  </si>
  <si>
    <t>가맹정산금</t>
  </si>
  <si>
    <t>유동성 장기 미지급금</t>
  </si>
  <si>
    <t>미지급비용</t>
  </si>
  <si>
    <t>미지급배당금</t>
  </si>
  <si>
    <t>유동성예수보증금</t>
  </si>
  <si>
    <t>(2)유동성금융부채</t>
  </si>
  <si>
    <t>단기차입금</t>
  </si>
  <si>
    <t>유동성장기차입금</t>
  </si>
  <si>
    <t>유동성사채</t>
  </si>
  <si>
    <t>기타 유동 금융부채</t>
  </si>
  <si>
    <t>유동성 금융 부채 예비</t>
  </si>
  <si>
    <t>(3)기타유동부채</t>
  </si>
  <si>
    <t>(4)당기법인세 부채</t>
  </si>
  <si>
    <t>(5)유동성이연법인세부채</t>
  </si>
  <si>
    <t>(6)매각예정부채</t>
  </si>
  <si>
    <t>(8)유동부채 예비2</t>
  </si>
  <si>
    <t>(9)유동부채 예비3</t>
  </si>
  <si>
    <t>비유동부채</t>
  </si>
  <si>
    <t>(1)장기매입채무 및 기타채무</t>
  </si>
  <si>
    <t>장기성미지급금</t>
  </si>
  <si>
    <t>장기미지급비용</t>
  </si>
  <si>
    <t>예수보증금</t>
  </si>
  <si>
    <t>장기 매입채무 예비</t>
  </si>
  <si>
    <t>(2)장기금융부채</t>
  </si>
  <si>
    <t>장기차입금</t>
  </si>
  <si>
    <t>사채</t>
  </si>
  <si>
    <t>장기 금융 부채 예비</t>
  </si>
  <si>
    <t>(3)기타비유동금융부채</t>
  </si>
  <si>
    <t>(4)비유동부채</t>
  </si>
  <si>
    <t>(5)이연법인세부채</t>
  </si>
  <si>
    <t>(6)퇴직급여채무</t>
  </si>
  <si>
    <t>(7)비유동 충당부채</t>
  </si>
  <si>
    <t>(8)리스 비유동부채</t>
  </si>
  <si>
    <t>(9)본지점</t>
  </si>
  <si>
    <t>(10)비유동부채 예비</t>
  </si>
  <si>
    <t>(11)비유동부채 예비2</t>
  </si>
  <si>
    <t>(12)비유동부채 예비3</t>
  </si>
  <si>
    <t>자  본  합  계</t>
  </si>
  <si>
    <t>자본금</t>
  </si>
  <si>
    <t>보통주자본금</t>
  </si>
  <si>
    <t>우선주자본금</t>
  </si>
  <si>
    <t>사내자본금</t>
  </si>
  <si>
    <t>사내출자금</t>
  </si>
  <si>
    <t>자본금 예비</t>
  </si>
  <si>
    <t>자본잉여금</t>
  </si>
  <si>
    <t>주식발행초과금</t>
  </si>
  <si>
    <t>기타자본잉여금</t>
  </si>
  <si>
    <t>자본잉여금 예비</t>
  </si>
  <si>
    <t>기타자본항목</t>
  </si>
  <si>
    <t>자기주식</t>
  </si>
  <si>
    <t>기타자본조정</t>
  </si>
  <si>
    <t>기타자본 예비</t>
  </si>
  <si>
    <t>기타포괄손익누계액</t>
  </si>
  <si>
    <t>매도가능금융자산평가</t>
  </si>
  <si>
    <t>파생상품평가</t>
  </si>
  <si>
    <t>기타 포괄손익</t>
  </si>
  <si>
    <t>기타포괄손익 예비</t>
  </si>
  <si>
    <t>이익잉여금</t>
  </si>
  <si>
    <t>법정적립금</t>
  </si>
  <si>
    <t>임의적립금</t>
  </si>
  <si>
    <t>미처분이익잉여금</t>
  </si>
  <si>
    <t>전기이월이익잉여금</t>
  </si>
  <si>
    <t>보험수리적손익</t>
  </si>
  <si>
    <t>당기순이익</t>
  </si>
  <si>
    <t>사내이익잉여금</t>
  </si>
  <si>
    <t>이익잉여금 예비</t>
  </si>
  <si>
    <t>비지배지분</t>
  </si>
  <si>
    <t>부채 + 자본 합계</t>
  </si>
  <si>
    <t>A02</t>
  </si>
  <si>
    <t>A03</t>
  </si>
  <si>
    <t>A04</t>
  </si>
  <si>
    <t>A05</t>
  </si>
  <si>
    <t>A06</t>
  </si>
  <si>
    <t>B02</t>
  </si>
  <si>
    <t>B03</t>
  </si>
  <si>
    <t>B04</t>
  </si>
  <si>
    <t>B05</t>
  </si>
  <si>
    <t>C02</t>
  </si>
  <si>
    <t>A08</t>
  </si>
  <si>
    <t>A07</t>
  </si>
  <si>
    <t>D02</t>
  </si>
  <si>
    <t>C03</t>
  </si>
  <si>
    <t>D03</t>
  </si>
  <si>
    <t>기초 이익잉여금</t>
  </si>
  <si>
    <t>배당</t>
  </si>
  <si>
    <t>감가상각비</t>
  </si>
  <si>
    <t>과            목</t>
  </si>
  <si>
    <t>비 고</t>
  </si>
  <si>
    <t>I. 유동자산</t>
  </si>
  <si>
    <t>[1] 현금및현금성자산</t>
  </si>
  <si>
    <t>[2] 매출채권및기타채권</t>
  </si>
  <si>
    <t>금융기관예치금</t>
  </si>
  <si>
    <t>[3] 유동비금융자산</t>
  </si>
  <si>
    <t>[4] 재고자산</t>
  </si>
  <si>
    <t>[1] 투자유가증권</t>
  </si>
  <si>
    <t>[2] 유형자산</t>
  </si>
  <si>
    <t>신규 유형자산 투자</t>
  </si>
  <si>
    <t>[3] 무형자산</t>
  </si>
  <si>
    <t>무형자산</t>
  </si>
  <si>
    <t>사용권리스자산</t>
  </si>
  <si>
    <t>신규 무형자산 투자</t>
  </si>
  <si>
    <t>[4] 기타 비유동자산</t>
  </si>
  <si>
    <t>장기매출채권및기타채권</t>
  </si>
  <si>
    <t>비유동비금융자산</t>
  </si>
  <si>
    <t>자   산   총   계</t>
  </si>
  <si>
    <t>I. 유동부채</t>
  </si>
  <si>
    <t>[1] 매입채무및기타유동채무</t>
  </si>
  <si>
    <t>[2] 유동금융부채및유동비금융부채</t>
  </si>
  <si>
    <t>유동금융부채</t>
  </si>
  <si>
    <t>유동비금융부채</t>
  </si>
  <si>
    <t>[3] 당기법인세부채</t>
  </si>
  <si>
    <t>[4] 단기충당부채</t>
  </si>
  <si>
    <t>II. 비유동부채</t>
  </si>
  <si>
    <t>[1] 장기매입채무및기타채무</t>
  </si>
  <si>
    <t>[2] 확정급여부채</t>
  </si>
  <si>
    <t>[3] 비유동금융부채</t>
  </si>
  <si>
    <t>[4] 이연법인세부채</t>
  </si>
  <si>
    <t>[5] 장기충당부채</t>
  </si>
  <si>
    <t>부   채   총   계</t>
  </si>
  <si>
    <t>자            본</t>
  </si>
  <si>
    <t>I. 자본금</t>
  </si>
  <si>
    <t>II. 자본잉여금</t>
  </si>
  <si>
    <t>자기주식처분이익</t>
  </si>
  <si>
    <t>III. 자본조정</t>
  </si>
  <si>
    <t>IV. 기타포괄손익누계액</t>
  </si>
  <si>
    <t>매도가능금융자산평가이익</t>
  </si>
  <si>
    <t>매도가능금융자산평가손실</t>
  </si>
  <si>
    <t>V. 이익잉여금</t>
  </si>
  <si>
    <t>기타포괄손익등</t>
  </si>
  <si>
    <t>기말 이익잉여금</t>
  </si>
  <si>
    <t>자   본   총   계</t>
  </si>
  <si>
    <t>부 채 및 자 본 총 계</t>
  </si>
  <si>
    <t>장부가액</t>
  </si>
  <si>
    <t>방송시설∙장비 투자</t>
  </si>
  <si>
    <t>-</t>
  </si>
  <si>
    <t>성장율</t>
  </si>
  <si>
    <t>카탈로그취급액</t>
  </si>
  <si>
    <t>기타사업취급액</t>
  </si>
  <si>
    <t>매출액</t>
  </si>
  <si>
    <t>상품매출액</t>
  </si>
  <si>
    <t>수수료매출액</t>
  </si>
  <si>
    <t>기타사업매출액</t>
  </si>
  <si>
    <t>매출원가</t>
  </si>
  <si>
    <t>상품매출원가</t>
  </si>
  <si>
    <t>매출총이익</t>
  </si>
  <si>
    <t>취급액대비이익율</t>
  </si>
  <si>
    <t>판매비와관리비</t>
  </si>
  <si>
    <t>취급액대비판관비율</t>
  </si>
  <si>
    <t>[1] 인건비</t>
  </si>
  <si>
    <t>인건비</t>
  </si>
  <si>
    <t>[2] 수수료</t>
  </si>
  <si>
    <t>SO수수료</t>
  </si>
  <si>
    <t>콜센터비용</t>
  </si>
  <si>
    <t>전산용역료</t>
  </si>
  <si>
    <t>기타 수수료</t>
  </si>
  <si>
    <t>[3] 감가상각비</t>
  </si>
  <si>
    <t>기존 감가상각비</t>
  </si>
  <si>
    <t>[4] 광고선전비</t>
  </si>
  <si>
    <t>광고선전비</t>
  </si>
  <si>
    <t>판매촉진비</t>
  </si>
  <si>
    <t>카탈로그제작비</t>
  </si>
  <si>
    <t>회원적립금</t>
  </si>
  <si>
    <t>[5] 방송제작비</t>
  </si>
  <si>
    <t>방송제작비</t>
  </si>
  <si>
    <t>[6] 임차료</t>
  </si>
  <si>
    <t>임차료</t>
  </si>
  <si>
    <t>[7] 배송/포장비</t>
  </si>
  <si>
    <t>배송포장비</t>
  </si>
  <si>
    <t>[8] 기타비용</t>
  </si>
  <si>
    <t>기타비용</t>
  </si>
  <si>
    <t>사업계획 투자비용</t>
  </si>
  <si>
    <t>영업이익</t>
  </si>
  <si>
    <t>취급액 대비 영업이익율</t>
  </si>
  <si>
    <t>이자수익</t>
  </si>
  <si>
    <t>법인세비용</t>
  </si>
  <si>
    <t>구 분</t>
  </si>
  <si>
    <t xml:space="preserve">  </t>
  </si>
  <si>
    <t>증감률</t>
  </si>
  <si>
    <t>금액</t>
  </si>
  <si>
    <t>자산총계</t>
  </si>
  <si>
    <t>재무</t>
  </si>
  <si>
    <t>상태표</t>
  </si>
  <si>
    <t>부채총계</t>
  </si>
  <si>
    <t>자본총계</t>
  </si>
  <si>
    <t>자본조정</t>
  </si>
  <si>
    <t xml:space="preserve">요약 </t>
  </si>
  <si>
    <t>(방송사업매출액)</t>
  </si>
  <si>
    <t>손익</t>
  </si>
  <si>
    <t>방송사업매출액</t>
  </si>
  <si>
    <t>(방송상품매출액)</t>
  </si>
  <si>
    <t>계산서</t>
  </si>
  <si>
    <t>방송상품매출액</t>
  </si>
  <si>
    <t>(기타사업매출액)</t>
  </si>
  <si>
    <t>[카탈로그매출액]</t>
  </si>
  <si>
    <t>카탈로그매출액</t>
  </si>
  <si>
    <t>[모바일인터넷매출액]</t>
  </si>
  <si>
    <t>[기타매출액]</t>
  </si>
  <si>
    <t>기타매출액</t>
  </si>
  <si>
    <t>영업손익</t>
  </si>
  <si>
    <t>당기순손익</t>
  </si>
  <si>
    <t>재무비율</t>
  </si>
  <si>
    <t>[1] GS홈쇼핑</t>
  </si>
  <si>
    <t>모바일/온라인매출액</t>
  </si>
  <si>
    <t>[2] GS리테일</t>
  </si>
  <si>
    <t>유동비율</t>
  </si>
  <si>
    <t>비율</t>
  </si>
  <si>
    <t>부채비율</t>
  </si>
  <si>
    <t>자기자본이익률</t>
  </si>
  <si>
    <t>매출액영업이익률</t>
  </si>
  <si>
    <t>총자본회전율</t>
  </si>
  <si>
    <t>매출액증가율</t>
  </si>
  <si>
    <t>총자산증가율</t>
  </si>
  <si>
    <t>2022년</t>
  </si>
  <si>
    <t>2023년</t>
  </si>
  <si>
    <t>2024년</t>
  </si>
  <si>
    <t>2025년</t>
  </si>
  <si>
    <t>영업활동에 의한 자금 조달</t>
  </si>
  <si>
    <t>투자활동에 의한</t>
  </si>
  <si>
    <t>자금 조달</t>
  </si>
  <si>
    <t>재무활동에 의한 자금 조달</t>
  </si>
  <si>
    <t xml:space="preserve">합병에 의한 </t>
  </si>
  <si>
    <t>합 계</t>
  </si>
  <si>
    <t>영업활동에 의한 자금 운영</t>
  </si>
  <si>
    <t>자금 운영</t>
  </si>
  <si>
    <t>재무활동에 의한 자금 운영</t>
  </si>
  <si>
    <t>구  분</t>
  </si>
  <si>
    <t>구성비</t>
  </si>
  <si>
    <t xml:space="preserve"> 유   동  자  산</t>
  </si>
  <si>
    <t>비유동  자  산</t>
  </si>
  <si>
    <t>부    채</t>
  </si>
  <si>
    <t xml:space="preserve"> 유  동 부  채</t>
  </si>
  <si>
    <t>비유동  부 채</t>
  </si>
  <si>
    <t>자   본</t>
  </si>
  <si>
    <t>취급액</t>
  </si>
  <si>
    <t>매 출 액</t>
  </si>
  <si>
    <t>판매관리비</t>
  </si>
  <si>
    <t>금융손익</t>
  </si>
  <si>
    <t>경상이익</t>
  </si>
  <si>
    <t>구      분</t>
  </si>
  <si>
    <t>2021년</t>
  </si>
  <si>
    <t>현금유입(A)</t>
  </si>
  <si>
    <t xml:space="preserve">  -. 당기순이익</t>
  </si>
  <si>
    <t xml:space="preserve">  -. 감가상각비</t>
  </si>
  <si>
    <t xml:space="preserve">  -. 기타(매입채무 차이 등)</t>
  </si>
  <si>
    <t>현금유출(B)</t>
  </si>
  <si>
    <t xml:space="preserve">  -. 배당금 지급</t>
  </si>
  <si>
    <t>해외투자</t>
  </si>
  <si>
    <t>Net Cash(A-B)</t>
  </si>
  <si>
    <t>기초현금</t>
  </si>
  <si>
    <t>기말현금</t>
  </si>
  <si>
    <t>2026년</t>
  </si>
  <si>
    <t>[2] 리테일부문</t>
  </si>
  <si>
    <t>리테일부문</t>
  </si>
  <si>
    <t>AVE</t>
  </si>
  <si>
    <t xml:space="preserve">※ 26년까지 스튜디오 LED 전환 등 대규모 투자 </t>
  </si>
  <si>
    <t xml:space="preserve">※ 27~28년은 안정적 운영을 위한 노후 장비 교체 계획 </t>
  </si>
  <si>
    <t>　유동자산</t>
  </si>
  <si>
    <t>　비유동자산</t>
  </si>
  <si>
    <t>　자산총계</t>
  </si>
  <si>
    <t>　유동부채</t>
  </si>
  <si>
    <t>　비유동부채</t>
  </si>
  <si>
    <t>　부채총계</t>
  </si>
  <si>
    <t>　자본금</t>
  </si>
  <si>
    <t>　자본잉여금</t>
  </si>
  <si>
    <t>　기타자본구성요소</t>
  </si>
  <si>
    <t>　기타포괄손익누계액</t>
  </si>
  <si>
    <t>　이익잉여금(결손금)</t>
  </si>
  <si>
    <t>　자본총계</t>
  </si>
  <si>
    <t>영업이익(손실)</t>
  </si>
  <si>
    <t>당기순이익(손실)</t>
  </si>
  <si>
    <t>계속영업이익</t>
  </si>
  <si>
    <t>중단사업이익</t>
  </si>
  <si>
    <t>11. 계속사업손익</t>
  </si>
  <si>
    <t>12. 중단사업손익</t>
  </si>
  <si>
    <t>13. 당기순이익</t>
  </si>
  <si>
    <t>F01</t>
  </si>
  <si>
    <t>(단위 : 원)</t>
  </si>
  <si>
    <t>Ⅸ. 당기순이익</t>
  </si>
  <si>
    <t>2027년</t>
  </si>
  <si>
    <t>2028년</t>
  </si>
  <si>
    <t>과거 리스자산 대비 리스부채 증가율 반영</t>
  </si>
  <si>
    <t>(단위 : 백만원)</t>
  </si>
  <si>
    <t>2029년</t>
  </si>
  <si>
    <t>2030년</t>
  </si>
  <si>
    <t>2031년</t>
  </si>
  <si>
    <t>2032년</t>
  </si>
  <si>
    <t>2020년</t>
  </si>
  <si>
    <t>(아직 미확정으로 미반영)</t>
  </si>
  <si>
    <t>실적</t>
  </si>
  <si>
    <t>구분</t>
  </si>
  <si>
    <t>홈쇼핑BU 계획</t>
  </si>
  <si>
    <t>통합 합산</t>
  </si>
  <si>
    <t>홈쇼핑부문</t>
  </si>
  <si>
    <t>합산</t>
  </si>
  <si>
    <t>자   산</t>
  </si>
  <si>
    <t xml:space="preserve">    - 현 금 / 예금</t>
  </si>
  <si>
    <t xml:space="preserve">    - 매 출 채 권</t>
  </si>
  <si>
    <t xml:space="preserve">    - 재 고 자 산</t>
  </si>
  <si>
    <t xml:space="preserve">    - 기타유동자산</t>
  </si>
  <si>
    <t xml:space="preserve">    - 투자유가증권</t>
  </si>
  <si>
    <t xml:space="preserve">    - 기타 투자자산</t>
  </si>
  <si>
    <t xml:space="preserve">    - 유 형 자 산</t>
  </si>
  <si>
    <t xml:space="preserve">    - 무 형 자 산</t>
  </si>
  <si>
    <t xml:space="preserve">    - 매 입 채 무</t>
  </si>
  <si>
    <t xml:space="preserve">    - 차 입 부 채</t>
  </si>
  <si>
    <t xml:space="preserve">    - 미지급법인세</t>
  </si>
  <si>
    <t xml:space="preserve">    - 고객충당금</t>
  </si>
  <si>
    <t xml:space="preserve">    - 기타유동부채</t>
  </si>
  <si>
    <t xml:space="preserve">    - 퇴직 충당금</t>
  </si>
  <si>
    <t xml:space="preserve">    - 기타비유동부채</t>
  </si>
  <si>
    <t xml:space="preserve">    - 자  본  금   </t>
  </si>
  <si>
    <t xml:space="preserve">    - 자본잉여금   </t>
  </si>
  <si>
    <t xml:space="preserve">    - 이익잉여금   </t>
  </si>
  <si>
    <t xml:space="preserve">         (당기순이익)</t>
  </si>
  <si>
    <t>(합병 조정 당기순이익)</t>
  </si>
  <si>
    <t xml:space="preserve">    - 자본 조정    </t>
  </si>
  <si>
    <t xml:space="preserve">    - 기타포괄손익누계액</t>
  </si>
  <si>
    <t>[1] 홈쇼핑부문</t>
  </si>
  <si>
    <t xml:space="preserve">   (방송사업취급액)</t>
  </si>
  <si>
    <t xml:space="preserve">   (데이터홈쇼핑사업취급액)</t>
  </si>
  <si>
    <t xml:space="preserve">   (모바일인터넷취급액)</t>
  </si>
  <si>
    <t xml:space="preserve">   (카달로그취급액)</t>
  </si>
  <si>
    <t xml:space="preserve">   (기타사업취급액)</t>
  </si>
  <si>
    <t xml:space="preserve">   인건비</t>
  </si>
  <si>
    <t xml:space="preserve">   카드수수료</t>
  </si>
  <si>
    <t xml:space="preserve">   SO 수수료</t>
  </si>
  <si>
    <t xml:space="preserve">   배송·포장비</t>
  </si>
  <si>
    <t xml:space="preserve">   콜센터비용</t>
  </si>
  <si>
    <t xml:space="preserve">   카탈로그제작비</t>
  </si>
  <si>
    <t xml:space="preserve">   회원적립금</t>
  </si>
  <si>
    <t xml:space="preserve">   감가상각비</t>
  </si>
  <si>
    <t xml:space="preserve">   광고선전비</t>
  </si>
  <si>
    <t xml:space="preserve">   방송제작비</t>
  </si>
  <si>
    <t xml:space="preserve">   판매촉진비</t>
  </si>
  <si>
    <t xml:space="preserve">   전산용역료</t>
  </si>
  <si>
    <t xml:space="preserve">   임  차  료</t>
  </si>
  <si>
    <t xml:space="preserve">   기타 비용</t>
  </si>
  <si>
    <t>영업외손익</t>
  </si>
  <si>
    <t>[1] 영업활동</t>
  </si>
  <si>
    <t>1. 당기순이익</t>
  </si>
  <si>
    <t>2. 비용가산</t>
  </si>
  <si>
    <t>상각비</t>
  </si>
  <si>
    <t>고정자산처분손실</t>
  </si>
  <si>
    <t>지분법손실</t>
  </si>
  <si>
    <t>3. 이익차감</t>
  </si>
  <si>
    <t>고정자산처분이익</t>
  </si>
  <si>
    <t>지분법이익</t>
  </si>
  <si>
    <t>4. 자산부채변동</t>
  </si>
  <si>
    <t>재고자산</t>
  </si>
  <si>
    <t>기타영업자산</t>
  </si>
  <si>
    <t>기타영업부채</t>
  </si>
  <si>
    <t>본지점변동</t>
  </si>
  <si>
    <t>[2] 투자활동</t>
  </si>
  <si>
    <t>대여자산</t>
  </si>
  <si>
    <t>투자자산</t>
  </si>
  <si>
    <t>자산변동</t>
  </si>
  <si>
    <t>자본변동</t>
  </si>
  <si>
    <t>합병조정</t>
  </si>
  <si>
    <t>고정자산</t>
  </si>
  <si>
    <t>취득</t>
  </si>
  <si>
    <t>[3] 재무활동</t>
  </si>
  <si>
    <t>차입부채</t>
  </si>
  <si>
    <t>리스부채</t>
  </si>
  <si>
    <t>[4] 현금증감</t>
  </si>
  <si>
    <t>[5] 기초현금</t>
  </si>
  <si>
    <t>[6] 기말 현금</t>
  </si>
  <si>
    <t>■ 요약 재무제표</t>
  </si>
  <si>
    <t>요약재무상태표</t>
  </si>
  <si>
    <t>요약</t>
  </si>
  <si>
    <t>요약손익계산서</t>
  </si>
  <si>
    <t>모바일인터넷매출액</t>
  </si>
  <si>
    <t>(홈쇼핑부문 인건비)</t>
  </si>
  <si>
    <t>■ 추정 요약 재무제표</t>
  </si>
  <si>
    <t>■ 자금 조달 및 운영 계획</t>
  </si>
  <si>
    <t xml:space="preserve">  - 자금 조달 계획</t>
  </si>
  <si>
    <t>[1] 영업활동 현금 유입</t>
  </si>
  <si>
    <t>투자활동에 의한 자금 조달</t>
  </si>
  <si>
    <t>영업외수익</t>
  </si>
  <si>
    <t>기타수익차감</t>
  </si>
  <si>
    <t>합계</t>
  </si>
  <si>
    <t>매출채권 변동</t>
  </si>
  <si>
    <t>※ 영업활동에 의한 자금 조달 : 추정 매출액, 영업외수익, 매출채권 변동</t>
  </si>
  <si>
    <t xml:space="preserve">  - 자금 운영 계획</t>
  </si>
  <si>
    <t>[2] 영업활동 현금 유출</t>
  </si>
  <si>
    <t>투자활동에 의한 자금 운영</t>
  </si>
  <si>
    <t>판매비및관리비</t>
  </si>
  <si>
    <t>※ 영업활동에 의한 자금 운영 : 매출원가, 판매비와관리비, 법인세비용 등</t>
  </si>
  <si>
    <t>※ 투자활동에 의한 자금 운영 : 대여자산, 고정자산, 투자자산 등</t>
  </si>
  <si>
    <t>영업외비용</t>
  </si>
  <si>
    <t>※ 재무활동에 의한 자금 운영 : 연도별 차입‧상환과 배당금 지급 계획 반영</t>
  </si>
  <si>
    <t>기타비용가산</t>
  </si>
  <si>
    <t>기초 현금</t>
  </si>
  <si>
    <t>재고자산 변동</t>
  </si>
  <si>
    <t>현금 변동</t>
  </si>
  <si>
    <t>매입채무 변동</t>
  </si>
  <si>
    <t>기말 현금</t>
  </si>
  <si>
    <t>기타자산부채 변동</t>
  </si>
  <si>
    <t>미지급비용변동</t>
  </si>
  <si>
    <t>충당부채 변동</t>
  </si>
  <si>
    <t>[3] 투자활동 현금 유출</t>
  </si>
  <si>
    <t>대여자산 변동</t>
  </si>
  <si>
    <t>고정자산 투자</t>
  </si>
  <si>
    <t>기타포괄손익</t>
  </si>
  <si>
    <t>[4] 재무활동 현금 유출</t>
  </si>
  <si>
    <t>[5] 현금 Net</t>
  </si>
  <si>
    <t>현금 Net</t>
  </si>
  <si>
    <t>합병</t>
  </si>
  <si>
    <t>Net Income</t>
  </si>
  <si>
    <t>비용가산</t>
  </si>
  <si>
    <t>수익차감</t>
  </si>
  <si>
    <t>자산부채변동</t>
  </si>
  <si>
    <t>■ 자금 조달 및 운영 계획 산출근거</t>
  </si>
  <si>
    <t>운전자본 변동</t>
  </si>
  <si>
    <t>판매비및관리비 (감가상각비 제외)</t>
  </si>
  <si>
    <t>유형자산</t>
  </si>
  <si>
    <t>자기주식 취득</t>
  </si>
  <si>
    <t>※ 재무활동에 의한 자금 운영 : 연도별 차입‧상환과 리스부채변동, 배당금 지급 계획 반영</t>
  </si>
  <si>
    <t>추정 재무상태표</t>
  </si>
  <si>
    <t>비고</t>
  </si>
  <si>
    <t>추정 손익계산서</t>
  </si>
  <si>
    <t>공시한대로 전체 25년 25조 (리테일 20년 11조 예상에서 10.6조이기에 25조 맞추기 위해 연평균성장률 10%에서 10.6%로 수정, 5.2%에서 5.8%로 수정)</t>
  </si>
  <si>
    <t xml:space="preserve"> [1] 홈쇼핑부문</t>
  </si>
  <si>
    <t>공시한대로 홈쇼핑 25년 5.2조</t>
  </si>
  <si>
    <t xml:space="preserve">   (TV홈쇼핑사업취급액)</t>
  </si>
  <si>
    <t>TV홈쇼핑 과거 추이대로 약간 하락 (데이터와 합쳐서 전체적으로는 스테디) -&gt; 추정 PL에서 자세히</t>
  </si>
  <si>
    <t>데이터홈쇼핑 과거 추이대로 상승 -&gt; 추정 PL에서 자세히</t>
  </si>
  <si>
    <t xml:space="preserve"> [2] 리테일부문</t>
  </si>
  <si>
    <t>공시한대로 리테일 25년 14.8조</t>
  </si>
  <si>
    <t>홈쇼핑 취급액의 30%, 리테일 취급액의 80% 수준(리테일 직매입이 비율이 높아서)</t>
  </si>
  <si>
    <t>취급액 대비 회계매출액 비율은</t>
  </si>
  <si>
    <t>홈쇼핑 회계매출액 대비 매출원가율은</t>
  </si>
  <si>
    <t>리테일 회계매출액 대비 매출원가율은</t>
  </si>
  <si>
    <t>취급액 대비 매출총이익률</t>
  </si>
  <si>
    <t>회계매출액 대비 매출총이익률</t>
  </si>
  <si>
    <t>취급액 대비 판관비율</t>
  </si>
  <si>
    <t>회계매출액 대비 판관비율</t>
  </si>
  <si>
    <t xml:space="preserve">사업계획 인력 확대 감안 </t>
  </si>
  <si>
    <t>송출수수료 연평균 증가율/연평균 증가금액</t>
  </si>
  <si>
    <t>사업계획 방송제작비 확대 감안</t>
  </si>
  <si>
    <t>취급액 대비 영업이익률</t>
  </si>
  <si>
    <t>회계매출액 대비 영업이익률</t>
  </si>
  <si>
    <t>(부채총계)</t>
  </si>
  <si>
    <t>(자본총계)</t>
  </si>
  <si>
    <t>투자부동산</t>
  </si>
  <si>
    <t>발생하지 않는 것으로 가정</t>
  </si>
  <si>
    <t>홈쇼핑부문 추정 IS</t>
  </si>
  <si>
    <t>&gt;2025 사업계획</t>
  </si>
  <si>
    <t>취급액 성장율</t>
  </si>
  <si>
    <t>&gt; 2024 사업계획</t>
  </si>
  <si>
    <t>TV홈쇼핑사업취급액</t>
  </si>
  <si>
    <t>데이터홈쇼핑사업취급액</t>
  </si>
  <si>
    <t>모바일인터넷취급액</t>
  </si>
  <si>
    <t>Ⅱ. 매출액</t>
  </si>
  <si>
    <t>목표 매출액</t>
  </si>
  <si>
    <t>상품매출 성장율</t>
  </si>
  <si>
    <t>상품매출 비중</t>
  </si>
  <si>
    <t>수수료매출 성장율</t>
  </si>
  <si>
    <t>수수료매출 비중</t>
  </si>
  <si>
    <t>수수료 마진율</t>
  </si>
  <si>
    <t>총 매출 비중</t>
  </si>
  <si>
    <t>TV홈쇼핑전체매출액</t>
  </si>
  <si>
    <t>데이터홈쇼핑전체매출액</t>
  </si>
  <si>
    <t>모바일인터넷전체매출액</t>
  </si>
  <si>
    <t>카탈로그전체매출액</t>
  </si>
  <si>
    <t>기타사업전체매출액</t>
  </si>
  <si>
    <t>Category 상품매출액</t>
  </si>
  <si>
    <t>TV홈쇼핑상품매출액</t>
  </si>
  <si>
    <t>데이터홈쇼핑상품매출액</t>
  </si>
  <si>
    <t>모바일인터넷상품매출액</t>
  </si>
  <si>
    <t>카탈로그상품매출액</t>
  </si>
  <si>
    <t>기타사업상품매출액</t>
  </si>
  <si>
    <t>Category 수수료매출액</t>
  </si>
  <si>
    <t>TV홈쇼핑사업매출액</t>
  </si>
  <si>
    <t>데이터홈쇼핑사업매출액</t>
  </si>
  <si>
    <t>모바일인터넷사업매출액</t>
  </si>
  <si>
    <t>카탈로그사업매출액</t>
  </si>
  <si>
    <t>Ⅲ. 매출원가</t>
  </si>
  <si>
    <t>매출원가율</t>
  </si>
  <si>
    <t>Ⅳ. 매출총이익</t>
  </si>
  <si>
    <t>Ⅴ. 판매비와관리비</t>
  </si>
  <si>
    <t>상승율</t>
  </si>
  <si>
    <t>취급액 대비 비율</t>
  </si>
  <si>
    <t>Ⅵ. 영업이익</t>
  </si>
  <si>
    <t>Ⅶ. 영업외손익</t>
  </si>
  <si>
    <t>1. 기타수익</t>
  </si>
  <si>
    <t>2. 기타비용</t>
  </si>
  <si>
    <t>기부금</t>
  </si>
  <si>
    <t>3. 금융수익</t>
  </si>
  <si>
    <t>4. 금융비용</t>
  </si>
  <si>
    <t>5. 관계회사 손익</t>
  </si>
  <si>
    <t>Ⅷ. 법인세비용차감전순이익</t>
  </si>
  <si>
    <t>유효세율</t>
  </si>
  <si>
    <t>[1] 인건비 추정</t>
  </si>
  <si>
    <t>1. 인원 수</t>
  </si>
  <si>
    <t>기초</t>
  </si>
  <si>
    <t>기말</t>
  </si>
  <si>
    <t>평균</t>
  </si>
  <si>
    <t>2. 인건비</t>
  </si>
  <si>
    <t>3. 평균 인건비</t>
  </si>
  <si>
    <t>4. 평균 인건비 상승</t>
  </si>
  <si>
    <t>5. 추정 평균 인건비</t>
  </si>
  <si>
    <t>6. 추정 인건비</t>
  </si>
  <si>
    <t>[1] 상각비 추정</t>
  </si>
  <si>
    <t>[1] 신규 유형자산 투자</t>
  </si>
  <si>
    <t>1. 방송시설 투자</t>
  </si>
  <si>
    <t>[2] 신규 무형자산 투자</t>
  </si>
  <si>
    <t>1. IT 등 연관사업 투자</t>
  </si>
  <si>
    <t>[2] 이자수익 추정</t>
  </si>
  <si>
    <t>현금</t>
  </si>
  <si>
    <t>유동성 금융상품</t>
  </si>
  <si>
    <t>이자율</t>
  </si>
  <si>
    <t>[3] 법인세율</t>
  </si>
  <si>
    <t>&gt; 개정사항 반영 필요</t>
  </si>
  <si>
    <t>취득원가</t>
  </si>
  <si>
    <t>과세 구간</t>
  </si>
  <si>
    <t>세율</t>
  </si>
  <si>
    <t>누적</t>
  </si>
  <si>
    <t>상각누계액</t>
  </si>
  <si>
    <t>상각률</t>
  </si>
  <si>
    <t>[4] 추정영업이익</t>
  </si>
  <si>
    <t>&gt; 삭제/미표시 고려</t>
  </si>
  <si>
    <t>변동률</t>
  </si>
  <si>
    <t>추정판관비</t>
  </si>
  <si>
    <t>■ 투자 및 비용 계획</t>
  </si>
  <si>
    <t xml:space="preserve">  ㅇ 홈쇼핑부문 투자 및 비용 계획</t>
  </si>
  <si>
    <t>[주요 투자 계획]</t>
  </si>
  <si>
    <t>제작 장비 교체 등</t>
  </si>
  <si>
    <t>홈쇼핑부문에 반영</t>
  </si>
  <si>
    <t>&gt; 2029~2032년 추정 로직은 2024 재승인 당시 로직과 동일한 로직으로 재추정함</t>
  </si>
  <si>
    <t>&gt; 2027년 이후는 전년도 변동률로 차기 금액 추정함.</t>
  </si>
  <si>
    <t>[주요 비용 계획]</t>
  </si>
  <si>
    <t>방송기술·개발</t>
  </si>
  <si>
    <t>차세대 콘텐츠 관리 시스템 운영비 등</t>
  </si>
  <si>
    <t>PL : 개발비</t>
  </si>
  <si>
    <t>방송제작비(TV홈쇼핑 및 데이터홈쇼핑)</t>
  </si>
  <si>
    <t>장애인 지원 방송 등</t>
  </si>
  <si>
    <t>PL : 방송제작비</t>
  </si>
  <si>
    <t>중소기업 동반성장 : 판매수수료 인하 방안</t>
  </si>
  <si>
    <t>판매수수료 환급 제도 운영</t>
  </si>
  <si>
    <t>PL : 기부금</t>
  </si>
  <si>
    <t>중소기업 동반성장 직접지원</t>
  </si>
  <si>
    <t>해외 시장 개척단, 소비자 중심 경영 지원 등</t>
  </si>
  <si>
    <t>중소기업 동반성장 : 품질 경쟁력 강화 지원</t>
  </si>
  <si>
    <t>설비 공정 혁신 지원</t>
  </si>
  <si>
    <t>인서트 영상 제작 지원</t>
  </si>
  <si>
    <t>중소기업 동반성장 품질지원</t>
  </si>
  <si>
    <t>식품 안전성 혁신 지원</t>
  </si>
  <si>
    <t>PL : 기타비용</t>
  </si>
  <si>
    <t>공익사업 지원</t>
  </si>
  <si>
    <t>사회 공헌 활동으로 기부 등</t>
  </si>
  <si>
    <t>교육훈련비</t>
  </si>
  <si>
    <t>Digital Transformaton 아카데미 등</t>
  </si>
  <si>
    <t>PL : 교육훈련비</t>
  </si>
  <si>
    <t>재무제표 실제 적용</t>
  </si>
  <si>
    <t>[인력운영계획]</t>
  </si>
  <si>
    <t>계획(추정)</t>
  </si>
  <si>
    <t>2025(추정)</t>
  </si>
  <si>
    <t>인원변동률</t>
  </si>
  <si>
    <t>1인당 인건비 변동률</t>
  </si>
  <si>
    <t>전체 인건비 변동률</t>
  </si>
  <si>
    <t>홈쇼핑부문 추정 CF</t>
  </si>
  <si>
    <t>B01</t>
  </si>
  <si>
    <t>수퍼</t>
  </si>
  <si>
    <t>HBU</t>
  </si>
  <si>
    <t>개발</t>
  </si>
  <si>
    <t>퀵커머스</t>
  </si>
  <si>
    <t>G공통</t>
  </si>
  <si>
    <t>To-Be</t>
  </si>
  <si>
    <t>As-Is</t>
  </si>
  <si>
    <t>PBU 영업이익(백만원)</t>
  </si>
  <si>
    <t>PBU 판관비</t>
  </si>
  <si>
    <t>취급액 대비 인건비율</t>
  </si>
  <si>
    <t>추정액</t>
  </si>
  <si>
    <t>제 52 기</t>
  </si>
  <si>
    <t>제 53 기</t>
  </si>
  <si>
    <t>제 54 기</t>
  </si>
  <si>
    <t>매출채권및기타채권 등 손상차손</t>
  </si>
  <si>
    <t>제 51 기</t>
  </si>
  <si>
    <t>기타이익</t>
  </si>
  <si>
    <t>숨김</t>
    <phoneticPr fontId="2" type="noConversion"/>
  </si>
  <si>
    <t>추정 현금흐름표</t>
  </si>
  <si>
    <t xml:space="preserve">  -. 투자</t>
  </si>
  <si>
    <t xml:space="preserve">  -. 차입부채</t>
  </si>
  <si>
    <t xml:space="preserve">  -. 경상투자</t>
  </si>
  <si>
    <t xml:space="preserve">  -. 자본투자</t>
  </si>
  <si>
    <t>신사업투자</t>
  </si>
  <si>
    <t>Group</t>
  </si>
  <si>
    <t>[1] 요약 재무상태표</t>
  </si>
  <si>
    <t>A01</t>
  </si>
  <si>
    <t>현금및예금</t>
  </si>
  <si>
    <t>매출채권 추정</t>
  </si>
  <si>
    <t>매출채권회전율</t>
  </si>
  <si>
    <t>[자산총계]</t>
  </si>
  <si>
    <t>유동리스채권</t>
  </si>
  <si>
    <t>대차 Plug-In</t>
  </si>
  <si>
    <t>[부채총계]</t>
  </si>
  <si>
    <t>C01</t>
  </si>
  <si>
    <t>기타자본</t>
  </si>
  <si>
    <t>[자본총계]</t>
  </si>
  <si>
    <t>[부채자본총계]</t>
  </si>
  <si>
    <t>유의적 변동 없음을 가정</t>
  </si>
  <si>
    <t>[2] 자본변동표</t>
  </si>
  <si>
    <t>재고자산 추정</t>
  </si>
  <si>
    <t>회전율</t>
  </si>
  <si>
    <t>기초 자본</t>
  </si>
  <si>
    <t>자본변동(합병/분할)</t>
  </si>
  <si>
    <t>이익잉여금 조정</t>
  </si>
  <si>
    <t>매도가능증권</t>
  </si>
  <si>
    <t>지분법주식</t>
  </si>
  <si>
    <t>회계기준변경</t>
  </si>
  <si>
    <t>기말 자본</t>
  </si>
  <si>
    <t>무형자산상각률</t>
  </si>
  <si>
    <t>무형자산상각비(추정)</t>
  </si>
  <si>
    <t>&gt; 최근기간 상각률 유지</t>
  </si>
  <si>
    <t>합병 조정</t>
  </si>
  <si>
    <t>유투사 상각률</t>
  </si>
  <si>
    <t>감가상각비(추정)</t>
  </si>
  <si>
    <t>감가상각비(IS)</t>
  </si>
  <si>
    <t>퇴직급여자산</t>
  </si>
  <si>
    <t>1%씩 증가</t>
  </si>
  <si>
    <t>유형자산 변동률</t>
  </si>
  <si>
    <t>&gt; 2028년 이후 유지</t>
  </si>
  <si>
    <t>사용권자산</t>
  </si>
  <si>
    <t>&gt; 사용권자산 추정 변동률 적용</t>
  </si>
  <si>
    <t>사용권자산 변동률</t>
  </si>
  <si>
    <t>&gt; 2028년 사업계획 이후 매년 증가율 1%씩 감소 가정(폐기가정)</t>
  </si>
  <si>
    <t>점포수(편의점)</t>
  </si>
  <si>
    <t>점포수(수퍼)</t>
  </si>
  <si>
    <t>점포수 순변동</t>
  </si>
  <si>
    <t>사용권자산 변동률(추정)</t>
  </si>
  <si>
    <t>&gt; 점포수변동률 x 물가상승률(2%)</t>
  </si>
  <si>
    <t>매입채무 추정</t>
  </si>
  <si>
    <t>유동</t>
  </si>
  <si>
    <t>비유동</t>
  </si>
  <si>
    <t>리스채권대비 비율</t>
  </si>
  <si>
    <t>이연법인세비용</t>
  </si>
  <si>
    <t>리스채권+사용권자산</t>
  </si>
  <si>
    <t>매년 손익에 따른 납부법인세 추정액</t>
  </si>
  <si>
    <t>상기증감액a</t>
  </si>
  <si>
    <t>리스부채증감액b</t>
  </si>
  <si>
    <t>리스부채증가비b/a</t>
  </si>
  <si>
    <t>(7)리스유동부채</t>
  </si>
  <si>
    <t>유동리스부채</t>
  </si>
  <si>
    <t>비유동리스부채</t>
  </si>
  <si>
    <t>유동리스부채비율</t>
  </si>
  <si>
    <t>사채(비유동)</t>
  </si>
  <si>
    <t>변동 없음으로 가정</t>
  </si>
  <si>
    <t>매도가능금융자산 재분류조정</t>
  </si>
  <si>
    <t>자산부채자본검증</t>
  </si>
  <si>
    <t>대차plug in 금액</t>
  </si>
  <si>
    <t>현금및현금성자산(최초)</t>
  </si>
  <si>
    <t>리테일부문 추정 IS</t>
  </si>
  <si>
    <t>1. GS25 편의점 추정근거</t>
  </si>
  <si>
    <t xml:space="preserve">    - 편의점 시장의 경쟁은 치열하지만, 경쟁사 대비 일 매출과 업계 최고 수준의 경영주 지원 정책으로 매년 점포 증가 예상</t>
  </si>
  <si>
    <t xml:space="preserve">    - 다만, `22~`24년간 외형확장을 위해 점포지원금 상향 하는 등의 영향으로 `28년까지 성장세 둔화 이후 `29부터 다시 증가률 상향 예상</t>
  </si>
  <si>
    <t xml:space="preserve">    - 신규 상품과 통합 멤버십, 구독서비스 등 새로운 서비스 도입으로 편의점 점포 활성화 예상</t>
  </si>
  <si>
    <t>2. GS THE FRESH 슈퍼마켓 추정근거</t>
  </si>
  <si>
    <t xml:space="preserve">    - 2024년에 13.0% 성장 달성, 2025년 까지 10% 가량 성장하다가 `26~28년간 최근 성장의 여파로 성장세 둔화 예상. </t>
  </si>
  <si>
    <t xml:space="preserve">    - `29년 이후 기간에 4% 내외의 지속적이고 안정적 성장 예상</t>
  </si>
  <si>
    <t xml:space="preserve">    - 점포 수익성 개선 및 비용구조 혁신, 신규 가맹점 출점 통해 성장 기조 유지 예정</t>
  </si>
  <si>
    <t xml:space="preserve">    - 조리를 중심으로 한 먹거리에 집중하고 퀵커머스 강화로 차별화와 경쟁력 확보 예정</t>
  </si>
  <si>
    <t>전점포 취급액</t>
  </si>
  <si>
    <t>1. 취급액</t>
  </si>
  <si>
    <t>2. 매출액</t>
  </si>
  <si>
    <t>3. 매출원가</t>
  </si>
  <si>
    <t>슈퍼마켓</t>
  </si>
  <si>
    <t>4. 매출총이익</t>
  </si>
  <si>
    <t>5. 판관비</t>
  </si>
  <si>
    <t>매출연동경비</t>
  </si>
  <si>
    <t>물가연동경비</t>
  </si>
  <si>
    <t>6. 영업이익</t>
  </si>
  <si>
    <t>7. 영업외수익</t>
  </si>
  <si>
    <t>고정자산이익</t>
  </si>
  <si>
    <t>8. 영업외비용</t>
  </si>
  <si>
    <t>D01</t>
  </si>
  <si>
    <t>고정자산비용</t>
  </si>
  <si>
    <t>원가율</t>
  </si>
  <si>
    <t>9. 세전순이익</t>
  </si>
  <si>
    <t>E01</t>
  </si>
  <si>
    <t>10. 법인세비용</t>
  </si>
  <si>
    <t>인력 증가 및 물가상승율 반영</t>
  </si>
  <si>
    <t>본지점 조정 등 포함</t>
  </si>
  <si>
    <t>취급액대비 영업이익률</t>
  </si>
  <si>
    <t>매출액대비 영업이익률</t>
  </si>
  <si>
    <t>점포 관련 1회성 손실 발생</t>
  </si>
  <si>
    <t>금융상품이자 할인차금 등</t>
  </si>
  <si>
    <t>차입 이자 등</t>
  </si>
  <si>
    <t>지분법손익 발생 불확실성으로 인하여 미추정</t>
  </si>
  <si>
    <t>[4] 법인세율</t>
  </si>
  <si>
    <t>플랫폼BU</t>
  </si>
  <si>
    <t>2. 영업이익</t>
  </si>
  <si>
    <t>본사</t>
  </si>
  <si>
    <t>PBU 영업이익(억원)</t>
  </si>
  <si>
    <t>HBU 영업이익</t>
  </si>
  <si>
    <t>이하, 백만원</t>
  </si>
  <si>
    <t>PBU 매출총이익</t>
  </si>
  <si>
    <t>조정필요액</t>
  </si>
  <si>
    <t>3. 인건비 추정</t>
  </si>
  <si>
    <t>2021~2024 CAGR</t>
  </si>
  <si>
    <t>추정액 : 3년간 평균 취급액 대비 인건비율</t>
  </si>
  <si>
    <t>리테일부문 추정 투자</t>
  </si>
  <si>
    <t>기초 고정자산</t>
  </si>
  <si>
    <t>점포 출점/자산교체, 투자자산등</t>
  </si>
  <si>
    <t>처분</t>
  </si>
  <si>
    <t>처분이익</t>
  </si>
  <si>
    <t>처분손실</t>
  </si>
  <si>
    <t>폐점 등에 따른 자산 처분손실</t>
  </si>
  <si>
    <t>상각</t>
  </si>
  <si>
    <t>자산상각 스케쥴에 따른 감가상각비</t>
  </si>
  <si>
    <t>기말 고정자산</t>
  </si>
  <si>
    <t>(*) 고정자산 = 유형자산 + 무형자산 + 투자부동산 + 리스자산</t>
  </si>
  <si>
    <t>리테일부문 추정 CF</t>
  </si>
  <si>
    <t>투자활동 조정( 수정 가능)</t>
  </si>
  <si>
    <t>-21행</t>
  </si>
  <si>
    <t>+21행</t>
  </si>
  <si>
    <t>분할조정</t>
  </si>
  <si>
    <t>* 재무활동 조정(수정가능)</t>
  </si>
  <si>
    <t xml:space="preserve">&gt; 본지점이 차입부채로 반영 후 재무활동으로 반영되나 </t>
  </si>
  <si>
    <t>[2] 리테일부문</t>
    <phoneticPr fontId="2" type="noConversion"/>
  </si>
  <si>
    <t>기타자본항목</t>
    <phoneticPr fontId="2" type="noConversion"/>
  </si>
  <si>
    <t>데이터홈쇼핑 및 TV홈쇼핑 수수료매출, 광고매출</t>
    <phoneticPr fontId="2" type="noConversion"/>
  </si>
  <si>
    <t>※ 홈쇼핑부문 : 데이터홈쇼핑, TV홈쇼핑, 모바일사업 (합병 전 지에스홈쇼핑 법인과 동일 사업 영역)</t>
    <phoneticPr fontId="2" type="noConversion"/>
  </si>
  <si>
    <t>※ 법인 기준으로 작성 (별도 기준, 연도말 감사보고서 기준)</t>
    <phoneticPr fontId="2" type="noConversion"/>
  </si>
  <si>
    <t>데이터홈쇼핑 및 TV홈쇼핑 상품매출(직매입)</t>
    <phoneticPr fontId="2" type="noConversion"/>
  </si>
  <si>
    <t xml:space="preserve">   - 2022~2025년 : 합병 후 합병법인 기준. 단, 손익계산서는 홈쇼핑 부문 연간 부문별 손익 별도 표기</t>
    <phoneticPr fontId="2" type="noConversion"/>
  </si>
  <si>
    <t xml:space="preserve">   - 2021년 : (합병 전 지에스홈쇼핑 상반기 실적이 제외된) 합병법인 기준, 단 손익계산서는 홈쇼핑부문을 연간으로 별도 구분회계함</t>
    <phoneticPr fontId="2" type="noConversion"/>
  </si>
  <si>
    <t>※ 2026~2032년 추정 계획 : 법인 기준으로 작성. 단, 추정 손익계산서는 홈쇼핑부문을 별도 구분회계함</t>
    <phoneticPr fontId="2" type="noConversion"/>
  </si>
  <si>
    <t>※ 2026~2032년 추정 계획 : 법인 기준으로 작성</t>
    <phoneticPr fontId="2" type="noConversion"/>
  </si>
  <si>
    <t xml:space="preserve"> </t>
    <phoneticPr fontId="2" type="noConversion"/>
  </si>
  <si>
    <t xml:space="preserve">   - 2022년 H&amp;B사업부, 2023년 디지털사업부 중단으로 재무제표 수정 공시되었으며, 수정 공시된 재무제표 기준으로 작성</t>
    <phoneticPr fontId="2" type="noConversion"/>
  </si>
  <si>
    <t>Category 매출액</t>
    <phoneticPr fontId="2" type="noConversion"/>
  </si>
  <si>
    <t>증감율</t>
    <phoneticPr fontId="2" type="noConversion"/>
  </si>
  <si>
    <t>잉여현금흐름 보유 가정</t>
    <phoneticPr fontId="2" type="noConversion"/>
  </si>
  <si>
    <t>기타비유동금융자산으로 조정</t>
    <phoneticPr fontId="2" type="noConversion"/>
  </si>
  <si>
    <t>21년 염가매수차익 1회성 이익, 점포 관련 1회성 이익 발생(매각 등)</t>
    <phoneticPr fontId="2" type="noConversion"/>
  </si>
  <si>
    <t>23년 관계/종속기업투자 손상차손, 점포관련 1회성 손실 발생</t>
    <phoneticPr fontId="2" type="noConversion"/>
  </si>
  <si>
    <t>* 2022년 H&amp;B사업부, 2023년 디지털사업부 중단으로 재무제표 수정 공시되었으나, 합리적으로 추정하기 위해 최초 공시된 재무제표 기준으로 작성</t>
    <phoneticPr fontId="2" type="noConversion"/>
  </si>
  <si>
    <t>현금흐름표</t>
    <phoneticPr fontId="2" type="noConversion"/>
  </si>
  <si>
    <t>손익계산서</t>
    <phoneticPr fontId="2" type="noConversion"/>
  </si>
  <si>
    <t>* 21년 합병으로 홈쇼핑부문과 리테일부문을 각각 구분회계하여 단순 합산하였으며 이에 주주총회 승인 받는 법인 재무제표와는 상이함</t>
  </si>
  <si>
    <t>재무상태표</t>
    <phoneticPr fontId="2" type="noConversion"/>
  </si>
  <si>
    <t>2020년</t>
    <phoneticPr fontId="2" type="noConversion"/>
  </si>
  <si>
    <t xml:space="preserve">    - 매 입 채 무</t>
    <phoneticPr fontId="2" type="noConversion"/>
  </si>
  <si>
    <t>법인세비용</t>
    <phoneticPr fontId="2" type="noConversion"/>
  </si>
  <si>
    <t>법인세비용차감전순이익(경상이익)</t>
    <phoneticPr fontId="2" type="noConversion"/>
  </si>
  <si>
    <t>2025년 12월 홈쇼핑 손익 실적</t>
  </si>
  <si>
    <t>mapping</t>
    <phoneticPr fontId="2" type="noConversion"/>
  </si>
  <si>
    <t>T0000</t>
    <phoneticPr fontId="2" type="noConversion"/>
  </si>
  <si>
    <t>(단위:천원)</t>
  </si>
  <si>
    <t>홈쇼핑</t>
    <phoneticPr fontId="2" type="noConversion"/>
  </si>
  <si>
    <t>SAP코드1</t>
    <phoneticPr fontId="2" type="noConversion"/>
  </si>
  <si>
    <t>SAP코드2</t>
    <phoneticPr fontId="2" type="noConversion"/>
  </si>
  <si>
    <t>더존코드1</t>
    <phoneticPr fontId="2" type="noConversion"/>
  </si>
  <si>
    <t>더존코드2</t>
    <phoneticPr fontId="2" type="noConversion"/>
  </si>
  <si>
    <t>년 계</t>
    <phoneticPr fontId="2" type="noConversion"/>
  </si>
  <si>
    <t>12월 당월</t>
  </si>
  <si>
    <t>12월 누계</t>
  </si>
  <si>
    <t>취급액(전점포매출액)</t>
  </si>
  <si>
    <t>Ⅰ.매출액</t>
  </si>
  <si>
    <t>RS118</t>
  </si>
  <si>
    <t>01)상품매출액일반</t>
  </si>
  <si>
    <t>RS151</t>
  </si>
  <si>
    <t>상품매출액-과세</t>
  </si>
  <si>
    <t>상품매출액-면세</t>
  </si>
  <si>
    <t>상품매출액-가맹상품공급과세</t>
  </si>
  <si>
    <t>상품매출액-가맹상품공급면세</t>
  </si>
  <si>
    <t>상품매출액-마이샵조정</t>
  </si>
  <si>
    <t>특정상품매출액-매입원가차감</t>
  </si>
  <si>
    <t>상품매출액-임시2</t>
  </si>
  <si>
    <t>상품매출액-임시3</t>
  </si>
  <si>
    <t>상품매출액-임시4</t>
  </si>
  <si>
    <t>02)매출에누리와환입</t>
  </si>
  <si>
    <t>RS168</t>
  </si>
  <si>
    <t>상품매출에누리와환입</t>
  </si>
  <si>
    <t>매출에누리와환입-임시1</t>
  </si>
  <si>
    <t>매출에누리와환입-임시2</t>
  </si>
  <si>
    <t>매출에누리와환입-임시3</t>
  </si>
  <si>
    <t>03)상품매출액차감</t>
  </si>
  <si>
    <t>RS118A</t>
  </si>
  <si>
    <t>가.멤버십포인트</t>
  </si>
  <si>
    <t>RS118D</t>
  </si>
  <si>
    <t>상품매출차감-포인트(직매입상품)</t>
  </si>
  <si>
    <t>상품매출차감-타사카드</t>
  </si>
  <si>
    <t>상품매출차감-멤버십</t>
  </si>
  <si>
    <t>상품매출차감-포인트매출(기타)</t>
  </si>
  <si>
    <t>상품매출차감-구매</t>
  </si>
  <si>
    <t>상품매출차감-비구매</t>
  </si>
  <si>
    <t>상품매출차감-임시3</t>
  </si>
  <si>
    <t>나.판매인센티브</t>
  </si>
  <si>
    <t>RS118E</t>
  </si>
  <si>
    <t>판매인센티브-상품권</t>
  </si>
  <si>
    <t>판매인센티브-쿠폰</t>
  </si>
  <si>
    <t>판매인센티브-기타</t>
  </si>
  <si>
    <t>판매인센티브-임시1</t>
  </si>
  <si>
    <t>판매인센티브-임시2</t>
  </si>
  <si>
    <t>판매인센티브-임시3</t>
  </si>
  <si>
    <t>다.수익기준조정</t>
  </si>
  <si>
    <t>RS118H</t>
  </si>
  <si>
    <t>상품매출차감-지급장려금</t>
  </si>
  <si>
    <t>상품매출차감-판매분매입</t>
  </si>
  <si>
    <t>상품매출차감-반품조정</t>
  </si>
  <si>
    <t>상품매출차감-폐기보상금(잡이익)</t>
  </si>
  <si>
    <t>상품매출차감-폐기보상금(판촉행사)</t>
  </si>
  <si>
    <t>상품매출차감-기타</t>
  </si>
  <si>
    <t>상품매출차감-무이자수수료</t>
  </si>
  <si>
    <t>상품매출차감-포인트(할인권)</t>
  </si>
  <si>
    <t>상품매출차감-청구할인</t>
  </si>
  <si>
    <t>상품매출차감-이벤트적립금</t>
  </si>
  <si>
    <t>04)국내용역수입매출액-일반</t>
  </si>
  <si>
    <t>RS170</t>
  </si>
  <si>
    <t>용역매출액-일반</t>
  </si>
  <si>
    <t>용역매출액-가맹수수료</t>
  </si>
  <si>
    <t>용역매출액-개점수수료</t>
  </si>
  <si>
    <t>용역매출액-물류용역대행수입료</t>
  </si>
  <si>
    <t>용역매출액-가맹영업인센티브</t>
  </si>
  <si>
    <t>용역매출액-임시1</t>
  </si>
  <si>
    <t>용역매출액-임시2</t>
  </si>
  <si>
    <t>용역매출액-임시3</t>
  </si>
  <si>
    <t>05)국내용역수입매출액(차감)</t>
  </si>
  <si>
    <t>RS118B</t>
  </si>
  <si>
    <t>가.용역매출-물류(상계)</t>
  </si>
  <si>
    <t>RS118F</t>
  </si>
  <si>
    <t>용역매출액-물류용역(상계)</t>
  </si>
  <si>
    <t>나.수익기준조정</t>
  </si>
  <si>
    <t>RS118G</t>
  </si>
  <si>
    <t>용역매출차감-영업장려금(가맹)</t>
  </si>
  <si>
    <t>용역매출차감-장기운영인센티브(가맹)</t>
  </si>
  <si>
    <t>용역매출차감-수광비지원금(가맹)</t>
  </si>
  <si>
    <t>용역매출차감-최저보장지원금(가맹)</t>
  </si>
  <si>
    <t>용역매출차감-기타장려금(가맹)</t>
  </si>
  <si>
    <t>용역매출차감-PM수수료</t>
  </si>
  <si>
    <t>용역매출차감-상생인센티브(가맹)</t>
  </si>
  <si>
    <t>용역매출차감-쿠폰</t>
  </si>
  <si>
    <t>용역매출차감-포인트</t>
  </si>
  <si>
    <t>06)수수료매출액</t>
  </si>
  <si>
    <t>RS118Z</t>
  </si>
  <si>
    <t>수수료매출액-상품</t>
  </si>
  <si>
    <t>수수료매출액-판매장려금</t>
  </si>
  <si>
    <t>수수료매출액-보험매출(O/B)</t>
  </si>
  <si>
    <t>수수료매출액-로얄티</t>
  </si>
  <si>
    <t>수수료매출액-보험매출(I/B)</t>
  </si>
  <si>
    <t>수수료매출액-정액수수료</t>
  </si>
  <si>
    <t>수수료매출액-할인쿠폰</t>
  </si>
  <si>
    <t>수수료매출액-상품기타할인</t>
  </si>
  <si>
    <t>수수료매출액-렌탈</t>
  </si>
  <si>
    <t>수수료매출액-기타</t>
  </si>
  <si>
    <t>수수료매출액-임시1</t>
  </si>
  <si>
    <t>수수료매출액-임시2</t>
  </si>
  <si>
    <t>수수료매출액-임시3</t>
  </si>
  <si>
    <t>07)수수료매출액(차감)</t>
  </si>
  <si>
    <t>RS118Y</t>
  </si>
  <si>
    <t>수수료매출액차감-포인트</t>
  </si>
  <si>
    <t>수수료매출액차감-반품조정</t>
  </si>
  <si>
    <t>수수료매출액차감-보험환불부채</t>
  </si>
  <si>
    <t>수수료매출액차감-무이자수수료</t>
  </si>
  <si>
    <t>수수료매출액차감-포인트(할인권)</t>
  </si>
  <si>
    <t>수수료매출액차감-청구할인</t>
  </si>
  <si>
    <t>수수료매출액차감-이벤트적립금</t>
  </si>
  <si>
    <t>수수료매출액차감-구매/비구매</t>
  </si>
  <si>
    <t>08)광고매출</t>
  </si>
  <si>
    <t>RS120A</t>
  </si>
  <si>
    <t>광고매출액-일반</t>
  </si>
  <si>
    <t>광고매출-임시1</t>
  </si>
  <si>
    <t>광고매출-임시2</t>
  </si>
  <si>
    <t>광고매출-임시3</t>
  </si>
  <si>
    <t>09)임대수입매출액-일반</t>
  </si>
  <si>
    <t>RS171</t>
  </si>
  <si>
    <t>임대매출액-임대료(갑)</t>
  </si>
  <si>
    <t>임대매출액-임대료(을)</t>
  </si>
  <si>
    <t>임대매출액-관리비(갑)</t>
  </si>
  <si>
    <t>임대매출액-기타</t>
  </si>
  <si>
    <t>임대매출액-임시1</t>
  </si>
  <si>
    <t>임대매출액-임시2</t>
  </si>
  <si>
    <t>임대매출액-임시3</t>
  </si>
  <si>
    <t>임대매출액-임시4</t>
  </si>
  <si>
    <t>임대매출액-임시5</t>
  </si>
  <si>
    <t>10)임대수입매출액-기타</t>
  </si>
  <si>
    <t>RS118C</t>
  </si>
  <si>
    <t>임대매출-보증금할인차금상각</t>
  </si>
  <si>
    <t>임대매출-임시1</t>
  </si>
  <si>
    <t>임대매출-임시2</t>
  </si>
  <si>
    <t>임대매출-임시3</t>
  </si>
  <si>
    <t>11)기타매출액</t>
  </si>
  <si>
    <t>RS118X</t>
  </si>
  <si>
    <t>기타매출액-공병반품매출</t>
  </si>
  <si>
    <t>기타매출액-광고개재매출</t>
  </si>
  <si>
    <t>기타매출액-대행수수료</t>
  </si>
  <si>
    <t>기타매출액-부산물매출</t>
  </si>
  <si>
    <t>기타매출액-상품권</t>
  </si>
  <si>
    <t>기타매출액-소모품</t>
  </si>
  <si>
    <t>기타매출-시설관리</t>
  </si>
  <si>
    <t>기타매출액-유니폼</t>
  </si>
  <si>
    <t>기타매출액-전산유지</t>
  </si>
  <si>
    <t>기타매출-진열광고</t>
  </si>
  <si>
    <t>기타매출액-판촉대행수입</t>
  </si>
  <si>
    <t>기타매출액-포장물</t>
  </si>
  <si>
    <t>기타매출액-로또대행수수료</t>
  </si>
  <si>
    <t>기타매출액-토토대행수수료</t>
  </si>
  <si>
    <t>기타매출액-요금수납대행수수료</t>
  </si>
  <si>
    <t>기타매출액-장비사용료</t>
  </si>
  <si>
    <t>기타매출액-매출조정</t>
  </si>
  <si>
    <t>기타매출액-기타</t>
  </si>
  <si>
    <t>기타매출액-영업보증금할인차금상각</t>
  </si>
  <si>
    <t>호텔매출액</t>
  </si>
  <si>
    <t>제품매출액</t>
  </si>
  <si>
    <t>기타매출액-임시3</t>
  </si>
  <si>
    <t>12)포장자재매출</t>
  </si>
  <si>
    <t>RS172</t>
  </si>
  <si>
    <t>포장자재매출(BOX,부직포등)</t>
  </si>
  <si>
    <t>포장자재매출-임시1</t>
  </si>
  <si>
    <t>포장자재매출-임시2</t>
  </si>
  <si>
    <t>포장자재매출-임시3</t>
  </si>
  <si>
    <t>포장자재매출-임시4</t>
  </si>
  <si>
    <t>포장자재매출-임시5</t>
  </si>
  <si>
    <t>Ⅱ.매출원가</t>
  </si>
  <si>
    <t>RS119</t>
  </si>
  <si>
    <t>01)상품매출원가-일반</t>
  </si>
  <si>
    <t>RS152</t>
  </si>
  <si>
    <t>상품매출원가-매출원가</t>
  </si>
  <si>
    <t>상품매출원가-매입에누리</t>
  </si>
  <si>
    <t>상품매출원가-특별장려금</t>
  </si>
  <si>
    <t>상품매출원가-판매장려금</t>
  </si>
  <si>
    <t>상품매출원가-재고자산평가손실</t>
  </si>
  <si>
    <t>상품매출원가-매입부대비용</t>
  </si>
  <si>
    <t>특정상품매입원가-원가</t>
  </si>
  <si>
    <t>상품매출원가-사은품(결산조정)</t>
  </si>
  <si>
    <t>상품매출원가-사은품(빈도성)</t>
  </si>
  <si>
    <t>상품매출원가-기타</t>
  </si>
  <si>
    <t>상품매출원가-사은품</t>
  </si>
  <si>
    <t>사은품매출원가</t>
  </si>
  <si>
    <t>상품매출원가-임시2</t>
  </si>
  <si>
    <t>상품매출원가-임시3</t>
  </si>
  <si>
    <t>상품매출원가-임시4</t>
  </si>
  <si>
    <t>02)상품매출원가-기타</t>
  </si>
  <si>
    <t>RS119A</t>
  </si>
  <si>
    <t>가.수익기준조정</t>
  </si>
  <si>
    <t>RS119D</t>
  </si>
  <si>
    <t>원가차감-물류지원금</t>
  </si>
  <si>
    <t>원가차감-미오출보상금</t>
  </si>
  <si>
    <t>원가차감-판촉</t>
  </si>
  <si>
    <t>원가차감-반품조정항목</t>
  </si>
  <si>
    <t>원가차감-기타항목등</t>
  </si>
  <si>
    <t>선수금(원가)-물류지원금</t>
  </si>
  <si>
    <t>재고조정-기타장려금</t>
  </si>
  <si>
    <t>원가차감-임시1</t>
  </si>
  <si>
    <t>원가차감-임시2</t>
  </si>
  <si>
    <t>원가차감-임시3</t>
  </si>
  <si>
    <t>03)용역매출원가</t>
  </si>
  <si>
    <t>RS153</t>
  </si>
  <si>
    <t>용역매출원가</t>
  </si>
  <si>
    <t>용역매출원가-임시1</t>
  </si>
  <si>
    <t>용역매출원가-임시2</t>
  </si>
  <si>
    <t>용역매출원가-임시3</t>
  </si>
  <si>
    <t>04)수수료매출원가</t>
  </si>
  <si>
    <t>RS119Z</t>
  </si>
  <si>
    <t>수수료매출원가-배송</t>
  </si>
  <si>
    <t>수수료매출원가-사은품</t>
  </si>
  <si>
    <t>수수료매출원가-사은품(조정)</t>
  </si>
  <si>
    <t>수수료매출원가-사은품(빈도성)</t>
  </si>
  <si>
    <t>수수료매출원가-보험</t>
  </si>
  <si>
    <t>수수료매출원가-임시1</t>
  </si>
  <si>
    <t>수수료매출원가-임시2</t>
  </si>
  <si>
    <t>수수료매출원가-임시3</t>
  </si>
  <si>
    <t>05)임대매출원가</t>
  </si>
  <si>
    <t>RS154</t>
  </si>
  <si>
    <t>임대매출원가-감가상각</t>
  </si>
  <si>
    <t>임대매출원가-임대료</t>
  </si>
  <si>
    <t>임대매출원가-관리비</t>
  </si>
  <si>
    <t>임대매출원가-투자부동산상각비</t>
  </si>
  <si>
    <t>임대매출원가-사용권상각비</t>
  </si>
  <si>
    <t>임대원가-임시1</t>
  </si>
  <si>
    <t>임대원가-임시2</t>
  </si>
  <si>
    <t>임대원가-임시3</t>
  </si>
  <si>
    <t>06)기타매출원가</t>
  </si>
  <si>
    <t>RS155</t>
  </si>
  <si>
    <t>기타매출원가-공병반품수수료</t>
  </si>
  <si>
    <t>기타매출원가-광고게재료</t>
  </si>
  <si>
    <t>기타매출원가-대행수수료</t>
  </si>
  <si>
    <t>기타매출원가-소모품</t>
  </si>
  <si>
    <t>기타매출원가-수입수수료</t>
  </si>
  <si>
    <t>기타매출원가-시설관리유지비</t>
  </si>
  <si>
    <t>기타매출원가-전산유지</t>
  </si>
  <si>
    <t>기타매출원가-진열광고수입</t>
  </si>
  <si>
    <t>기타매출원가-포장물/포장재</t>
  </si>
  <si>
    <t>기타매출원가-로또대행수수료</t>
  </si>
  <si>
    <t>기타매출원가-토토대행수수수료</t>
  </si>
  <si>
    <t>기타매출원가-요금수납대행수수료</t>
  </si>
  <si>
    <t>기타매출원가-기타</t>
  </si>
  <si>
    <t>호텔매출원가</t>
  </si>
  <si>
    <t>기타매출원가-임시2</t>
  </si>
  <si>
    <t>기타매출원가-임시3</t>
  </si>
  <si>
    <t>Ⅲ.매출총이익</t>
  </si>
  <si>
    <t>RS143A</t>
  </si>
  <si>
    <t>Ⅳ.판매비와관리비</t>
  </si>
  <si>
    <t>RS124_1</t>
  </si>
  <si>
    <t>1.인건비</t>
  </si>
  <si>
    <t>01)급료와임금</t>
  </si>
  <si>
    <t>RS157</t>
  </si>
  <si>
    <t>(판)급료와임금-임원</t>
  </si>
  <si>
    <t>(판)급료와임금-종업원</t>
  </si>
  <si>
    <t>(판)급료와임금-P/T</t>
  </si>
  <si>
    <t>(판)급료와임금-종업원(정규직)</t>
  </si>
  <si>
    <t>(판)급료와임금-종업원(계약직)</t>
  </si>
  <si>
    <t>(판)급료와임금-명절상여(정규직)</t>
  </si>
  <si>
    <t>(판)급료와임금-명절상여(계약직)</t>
  </si>
  <si>
    <t>(판)급료와임금-일용직</t>
  </si>
  <si>
    <t>(판)급료와임금-임시1</t>
  </si>
  <si>
    <t>(판)급료와임금-임시2</t>
  </si>
  <si>
    <t>(판)급료와임금-임시3</t>
  </si>
  <si>
    <t>02)상여금</t>
  </si>
  <si>
    <t>RS158</t>
  </si>
  <si>
    <t>(판)상여금-임원</t>
  </si>
  <si>
    <t>(판)상여금-종업원</t>
  </si>
  <si>
    <t>(판)상여금-P/T</t>
  </si>
  <si>
    <t>(판)상여금-성과상여(EVA)</t>
  </si>
  <si>
    <t>급여-성과급(정규직)</t>
  </si>
  <si>
    <t>(판)상여금-종업원(계약직)</t>
  </si>
  <si>
    <t>(판)상여금-경영성과급DC</t>
  </si>
  <si>
    <t>(판)상여금-임시2</t>
  </si>
  <si>
    <t>(판)상여금-임시3</t>
  </si>
  <si>
    <t>03)퇴직급여</t>
  </si>
  <si>
    <t>RS160</t>
  </si>
  <si>
    <t>당기근무원가(DB형)</t>
  </si>
  <si>
    <t>이자원가</t>
  </si>
  <si>
    <t>사외적립자산기대수익</t>
  </si>
  <si>
    <t>당기근무원가(DC형)</t>
  </si>
  <si>
    <t>퇴직급여-임시1</t>
  </si>
  <si>
    <t>퇴직급여-임시2</t>
  </si>
  <si>
    <t>퇴직급여-임시3</t>
  </si>
  <si>
    <t>04)복리후생비</t>
  </si>
  <si>
    <t>RS161</t>
  </si>
  <si>
    <t>(판)복리후생비-경조비</t>
  </si>
  <si>
    <t>(판)복리후생비-포상비</t>
  </si>
  <si>
    <t>(판)복리후생비-학자금</t>
  </si>
  <si>
    <t>(판)복리후생비-피복비</t>
  </si>
  <si>
    <t>(판)복리후생비-석식보조</t>
  </si>
  <si>
    <t>(판)복리후생비-식대보조(사원카드)</t>
  </si>
  <si>
    <t>(판)복리후생비-통근버스</t>
  </si>
  <si>
    <t>(판)복리후생비-기념품대</t>
  </si>
  <si>
    <t>(판)복리후생비-노무관리비(일반)</t>
  </si>
  <si>
    <t>(판)복리후생비-의료보험</t>
  </si>
  <si>
    <t>(판)복리후생비-산재보험</t>
  </si>
  <si>
    <t>(판)복리후생비-고용보험</t>
  </si>
  <si>
    <t>(판)급료와임금-휴가보상비(현금)</t>
  </si>
  <si>
    <t>(판)복리후생비-검진비</t>
  </si>
  <si>
    <t>(판)복리후생비-단체행사</t>
  </si>
  <si>
    <t>(판)복리후생비-인포멀</t>
  </si>
  <si>
    <t>(판)복리후생비-제품지원비</t>
  </si>
  <si>
    <t>(판)복리후생비-원거리(HR)</t>
  </si>
  <si>
    <t>(판)복리후생비-복지시설</t>
  </si>
  <si>
    <t>(판)복리후생비-예비군</t>
  </si>
  <si>
    <t>(판)복리후생비-간식비</t>
  </si>
  <si>
    <t>(판)복리후생비-체육시설</t>
  </si>
  <si>
    <t>(판)복리후생비-생수대</t>
  </si>
  <si>
    <t>(판)복리후생비-CAFE의료H</t>
  </si>
  <si>
    <t>(판)복리후생비-의료지원</t>
  </si>
  <si>
    <t>(판)복리후생비-경조비(HR)</t>
  </si>
  <si>
    <t>(판)복리후생비-포상비(HR)</t>
  </si>
  <si>
    <t>(판)복리후생비-식대보조(HR)</t>
  </si>
  <si>
    <t>(판)복리후생비-포상비(단체포상)</t>
  </si>
  <si>
    <t>(판)복리후생비-포상비(단체포상-비통제)</t>
  </si>
  <si>
    <t>(판)복리후생비-노무관리비(비통제-일반)</t>
  </si>
  <si>
    <t>(판)복리후생비-잔업식대(비통제</t>
  </si>
  <si>
    <t>(판)복리후생비-보육비</t>
  </si>
  <si>
    <t>(판)복리후생비-유치원보조비</t>
  </si>
  <si>
    <t>(판)복리후생비-월정액차량보조비</t>
  </si>
  <si>
    <t>(판)복리후생비-조식보조대</t>
  </si>
  <si>
    <t>(판)복리후생비-주택자금대출</t>
  </si>
  <si>
    <t>(판)복리후생비-휴가보상비(IFRS)</t>
  </si>
  <si>
    <t>(판)복리후생비-휴가보상비(PT)</t>
  </si>
  <si>
    <t>(판)복후비-장기근속</t>
  </si>
  <si>
    <t>(판)복리후생비-노무관리비(비통제-기타)</t>
  </si>
  <si>
    <t>(판)복리후생비-노무관리비(기타)</t>
  </si>
  <si>
    <t>(판)복리후생비-기타</t>
  </si>
  <si>
    <t>(판)복리후생비-임시1</t>
  </si>
  <si>
    <t>(판)복리후생비-임시2</t>
  </si>
  <si>
    <t>(판)복리후생비-임시3</t>
  </si>
  <si>
    <t>2.기타판매비와관리비</t>
  </si>
  <si>
    <t>05)교육훈련비</t>
  </si>
  <si>
    <t>RS195</t>
  </si>
  <si>
    <t>(판)교육훈련비-경영교육(사내)</t>
  </si>
  <si>
    <t>(판)교육훈련비-경영교육(사외)</t>
  </si>
  <si>
    <t>(판)교육훈련비-직무교육(사내)</t>
  </si>
  <si>
    <t>(판)교육훈련비-직무교육(사외)</t>
  </si>
  <si>
    <t>(판)교육훈련비-서비스교육</t>
  </si>
  <si>
    <t>(판)교육훈련비-IT과정</t>
  </si>
  <si>
    <t>(판)교육훈련비-어학교육</t>
  </si>
  <si>
    <t>(판)교육훈련비-경영주/거래선교육</t>
  </si>
  <si>
    <t>(판)교육훈련비-채용경비</t>
  </si>
  <si>
    <t>(판)교육훈련비-인턴경비</t>
  </si>
  <si>
    <t>(판)교육훈련비-워크샵</t>
  </si>
  <si>
    <t>(판)교육훈련비-리더역량</t>
  </si>
  <si>
    <t>(판)교육훈련비-직무역량</t>
  </si>
  <si>
    <t>(판)교육훈련비-기타</t>
  </si>
  <si>
    <t>(판)교육훈련비-해외연수</t>
  </si>
  <si>
    <t>(판)교육훈련비-임시2</t>
  </si>
  <si>
    <t>(판)교육훈련비-임시3</t>
  </si>
  <si>
    <t>06)회의비</t>
  </si>
  <si>
    <t>RS203</t>
  </si>
  <si>
    <t>(판)회의비-일반</t>
  </si>
  <si>
    <t>(판)회의비-행사비</t>
  </si>
  <si>
    <t>(판)회의비-기타</t>
  </si>
  <si>
    <t>(판)회의비-일반(비통제)</t>
  </si>
  <si>
    <t>(판)회의비-기타(비통제)</t>
  </si>
  <si>
    <t>(판)회의비-임시2</t>
  </si>
  <si>
    <t>(판)회의비-임시3</t>
  </si>
  <si>
    <t>(판)회의비-임시4</t>
  </si>
  <si>
    <t>07)여비교통비</t>
  </si>
  <si>
    <t>RS197</t>
  </si>
  <si>
    <t>(판)교통비-시내교통비</t>
  </si>
  <si>
    <t>(판)교통비-국내출장비</t>
  </si>
  <si>
    <t>(판)교통비-해외출장비</t>
  </si>
  <si>
    <t>(판)교통비-전임여비(HR)</t>
  </si>
  <si>
    <t>(판)교통비-전임여비</t>
  </si>
  <si>
    <t>(판)교통비-하이패스</t>
  </si>
  <si>
    <t>(판)교통비-심야교통비</t>
  </si>
  <si>
    <t>(판)교통비-해외출장(일당)</t>
  </si>
  <si>
    <t>(판)교통비-기타</t>
  </si>
  <si>
    <t>(판)여비교통비-임시1</t>
  </si>
  <si>
    <t>(판)여비교통비-임시2</t>
  </si>
  <si>
    <t>(판)여비교통비-임시3</t>
  </si>
  <si>
    <t>08)차량유지비</t>
  </si>
  <si>
    <t>RS196</t>
  </si>
  <si>
    <t>(판)차량유지비-수리비</t>
  </si>
  <si>
    <t>(판)차량유지비-유류대</t>
  </si>
  <si>
    <t>(판)차량유지비-제세공과</t>
  </si>
  <si>
    <t>(판)차량유지비-주차통행료</t>
  </si>
  <si>
    <t>(판)차량유지비-차량보험료</t>
  </si>
  <si>
    <t>(판)차량유지비-기타</t>
  </si>
  <si>
    <t>(판)차량유지비-임시1</t>
  </si>
  <si>
    <t>(판)차량유지비-임시2</t>
  </si>
  <si>
    <t>(판)차량유지비-임시3</t>
  </si>
  <si>
    <t>09)통신비</t>
  </si>
  <si>
    <t>RS201</t>
  </si>
  <si>
    <t>(판)통신비-우편료</t>
  </si>
  <si>
    <t>(판)통신비-전용선료</t>
  </si>
  <si>
    <t>(판)통신비-전화팩스료</t>
  </si>
  <si>
    <t>(판)통신비-교환기사용료</t>
  </si>
  <si>
    <t>(판)통신비-전파/수신료</t>
  </si>
  <si>
    <t>(판)통신비-정보이용료</t>
  </si>
  <si>
    <t>(판)통신비-이동통신사용료</t>
  </si>
  <si>
    <t>(판)통신비-이동통신(현금)</t>
  </si>
  <si>
    <t>(판)통신비-기타</t>
  </si>
  <si>
    <t>(판)통신비-임시2</t>
  </si>
  <si>
    <t>(판)통신비-임시3</t>
  </si>
  <si>
    <t>(판)통신비-임시4</t>
  </si>
  <si>
    <t>10)수도광열비</t>
  </si>
  <si>
    <t>RS167</t>
  </si>
  <si>
    <t>(판)수도광열비-전기료</t>
  </si>
  <si>
    <t>(판)수도광열비-수도사용료</t>
  </si>
  <si>
    <t>(판)수도광열비-유류가스료</t>
  </si>
  <si>
    <t>(판)수도광열비-기타</t>
  </si>
  <si>
    <t>(판)수도광열비-임시1</t>
  </si>
  <si>
    <t>(판)수도광열비-임시2</t>
  </si>
  <si>
    <t>(판)수도광열비-임시3</t>
  </si>
  <si>
    <t>11)보험료</t>
  </si>
  <si>
    <t>RS199</t>
  </si>
  <si>
    <t>(판)보험료-손해보험료</t>
  </si>
  <si>
    <t>(판)보험료-보증보험료</t>
  </si>
  <si>
    <t>(판)보험료-기타보험료</t>
  </si>
  <si>
    <t>(판)보험료-임시1</t>
  </si>
  <si>
    <t>(판)보험료-임시2</t>
  </si>
  <si>
    <t>(판)보험료-임시3</t>
  </si>
  <si>
    <t>12)세금과공과</t>
  </si>
  <si>
    <t>RS191</t>
  </si>
  <si>
    <t>(판)세금과공과-협회비</t>
  </si>
  <si>
    <t>(판)세금과공과-건축물재산세</t>
  </si>
  <si>
    <t>(판)세금과공과-토지재산세</t>
  </si>
  <si>
    <t>(판)세금과공과-인지세</t>
  </si>
  <si>
    <t>(판)세금과공과-주민세</t>
  </si>
  <si>
    <t>(판)세금과공과-면허세</t>
  </si>
  <si>
    <t>(판)세금과공과-국민연금</t>
  </si>
  <si>
    <t>(판)세금과공과-임금채권부담</t>
  </si>
  <si>
    <t>(판)세금과공과-교통유발부담</t>
  </si>
  <si>
    <t>(판)세금과공과-환경개선부담</t>
  </si>
  <si>
    <t>(판)세금과공과-기타부담금</t>
  </si>
  <si>
    <t>(판)세금과공과-간주부가세</t>
  </si>
  <si>
    <t>(판)세금과공과-불공제</t>
  </si>
  <si>
    <t>(판)세금과공과-종부세</t>
  </si>
  <si>
    <t>세금과공과-주민세(종업원분)</t>
  </si>
  <si>
    <t>세금과공과-주민세(사업소분)</t>
  </si>
  <si>
    <t>(판)세금과공과-발송발전기금</t>
  </si>
  <si>
    <t>(판)세금과공과-사업소세</t>
  </si>
  <si>
    <t>(판)세금과공과-가산세/벌금</t>
  </si>
  <si>
    <t>(판)세금과공과-기타</t>
  </si>
  <si>
    <t>(판)세금과공과-임시2</t>
  </si>
  <si>
    <t>(판)세금과공과-임시3</t>
  </si>
  <si>
    <t>(판)세금과공과-임시4</t>
  </si>
  <si>
    <t>13)지급임차료</t>
  </si>
  <si>
    <t>RS174</t>
  </si>
  <si>
    <t>가.지급임차료</t>
  </si>
  <si>
    <t>RS174A</t>
  </si>
  <si>
    <t>(판)지급임차료-부동산</t>
  </si>
  <si>
    <t>(판)지급임차료-사무기기</t>
  </si>
  <si>
    <t>(판)지급임차료-매장집기</t>
  </si>
  <si>
    <t>(판)지급임차료-전산리스</t>
  </si>
  <si>
    <t>(판)지급임차료-용차료</t>
  </si>
  <si>
    <t>(판)지급임차료-용차부대</t>
  </si>
  <si>
    <t>(판)지급임차료-관리비</t>
  </si>
  <si>
    <t>(판)지급임차료-기타</t>
  </si>
  <si>
    <t>(판)지급임차료-임시1</t>
  </si>
  <si>
    <t>(판)지급임차료-임시2</t>
  </si>
  <si>
    <t>(판)지급임차료-임시3</t>
  </si>
  <si>
    <t>나.지급임차료기타</t>
  </si>
  <si>
    <t>RS174B</t>
  </si>
  <si>
    <t>(판)지급임차료-보증금할인차금상각</t>
  </si>
  <si>
    <t>14)지급수수료</t>
  </si>
  <si>
    <t>RS175</t>
  </si>
  <si>
    <t>(판)지급수수료-경영컨설팅료</t>
  </si>
  <si>
    <t>(판)지급수수료-세무/회계용역료</t>
  </si>
  <si>
    <t>(판)지급수수료-법무용역료</t>
  </si>
  <si>
    <t>(판)지급수수료-조사용역료</t>
  </si>
  <si>
    <t>(판)지급수수료-기술용역료</t>
  </si>
  <si>
    <t>(판)지급수수료-경비용역</t>
  </si>
  <si>
    <t>(판)지급수수료-배달용역</t>
  </si>
  <si>
    <t>(판)지급수수료-주차용역</t>
  </si>
  <si>
    <t>(판)지급수수료-청소용역</t>
  </si>
  <si>
    <t>(판)지급수수료-보건/위생</t>
  </si>
  <si>
    <t>(판)지급수수료-시설관리</t>
  </si>
  <si>
    <t>(판)지급수수료-은행수수료</t>
  </si>
  <si>
    <t>(판)지급수수료-중개수수료</t>
  </si>
  <si>
    <t>(판)지급수수료-카드수수료</t>
  </si>
  <si>
    <t>(판)지급수수료-상품권수수료</t>
  </si>
  <si>
    <t>(판)지급수수료-검사/시험</t>
  </si>
  <si>
    <t>(판)지급수수료-문서수발</t>
  </si>
  <si>
    <t>(판)지급수수료-서비스상품</t>
  </si>
  <si>
    <t>(판)지급수수료-위탁밴더용역료</t>
  </si>
  <si>
    <t>(판)지급수수료-상표사용료</t>
  </si>
  <si>
    <t>(판)지급수수료-TC송출수수료</t>
  </si>
  <si>
    <t>(판)지급수수료-결제수수료</t>
  </si>
  <si>
    <t>(판)지급수수료-콜센터</t>
  </si>
  <si>
    <t>(판)지급수수료-방송제작인건비</t>
  </si>
  <si>
    <t>(판)지급수수료-위수탁관리비</t>
  </si>
  <si>
    <t>(판)지급수수료-대행수수료</t>
  </si>
  <si>
    <t>(판)지급수수료-판매수수료</t>
  </si>
  <si>
    <t>(판)지급수수료-디자인용역</t>
  </si>
  <si>
    <t>(판)지급수수료-카드무이자할부</t>
  </si>
  <si>
    <t>(판)지급수수료-CATV분배망수수료</t>
  </si>
  <si>
    <t>(판)지급수수료-콘텐츠사용</t>
  </si>
  <si>
    <t>(판)지급수수료-LCD유지</t>
  </si>
  <si>
    <t>(판)지급수수료-제휴수수료</t>
  </si>
  <si>
    <t>(판)지급수수료-SO송출수수료</t>
  </si>
  <si>
    <t>(판)지급수수료-직송배송비</t>
  </si>
  <si>
    <t>(판)지급수수료-기타</t>
  </si>
  <si>
    <t>(판)지급수수료-임시1</t>
  </si>
  <si>
    <t>(판)지급수수료-임시2</t>
  </si>
  <si>
    <t>(판)지급수수료-임시3</t>
  </si>
  <si>
    <t>15)전산수수료</t>
  </si>
  <si>
    <t>RS176</t>
  </si>
  <si>
    <t>(판)전산수수료-HW/SW유지보수</t>
  </si>
  <si>
    <t>(판)전산수수료-일반회선사용료</t>
  </si>
  <si>
    <t>(판)전산수수료-일반전산용역료</t>
  </si>
  <si>
    <t>(판)전산수수료-전용회선료</t>
  </si>
  <si>
    <t>(판)전산수수료-일반유지보수</t>
  </si>
  <si>
    <t>(판)전산수수료-DS</t>
  </si>
  <si>
    <t>(판)전산수수료-비용프로젝트</t>
  </si>
  <si>
    <t>(판)전산수수료-클라우드</t>
  </si>
  <si>
    <t>(판)전산수수료-기타</t>
  </si>
  <si>
    <t>(판)전산수수료-보안</t>
  </si>
  <si>
    <t>(판)전산수수료-임시6</t>
  </si>
  <si>
    <t>(판)전산수수료-임시7</t>
  </si>
  <si>
    <t>16)판매수수료</t>
  </si>
  <si>
    <t>RS187</t>
  </si>
  <si>
    <t>(판)판매수수료-영업장려금</t>
  </si>
  <si>
    <t>(판)판매수수료-장기운영인센티브</t>
  </si>
  <si>
    <t>(판)판매수수료-수도광열비지원</t>
  </si>
  <si>
    <t>(판)판매수수료-최저수입보조금</t>
  </si>
  <si>
    <t>(판)판매수수료-가맹점송금수수료</t>
  </si>
  <si>
    <t>(판)판매수수료-야간매출활성화지원금</t>
  </si>
  <si>
    <t>(판)판매수수료-영업장려금2</t>
  </si>
  <si>
    <t>(판)판매수수료-기타</t>
  </si>
  <si>
    <t>(판)판매수수료-상생인센티브</t>
  </si>
  <si>
    <t>(판)판매수수료-임시2</t>
  </si>
  <si>
    <t>(판)판매수수료-임시3</t>
  </si>
  <si>
    <t>17)인건비성수수료</t>
  </si>
  <si>
    <t>RS163</t>
  </si>
  <si>
    <t>(판)인건비성수수료-배달용역</t>
  </si>
  <si>
    <t>(판)인건비성수수료-청소/경비/주차</t>
  </si>
  <si>
    <t>(판)인건비성수수료-시설관리</t>
  </si>
  <si>
    <t>(판)인건비성수수료-업무대행</t>
  </si>
  <si>
    <t>(판)인건비성수수료-기타</t>
  </si>
  <si>
    <t>(판)인건비성수수료-임시1</t>
  </si>
  <si>
    <t>(판)인건비성수수료-임시2</t>
  </si>
  <si>
    <t>(판)인건비성수수료-임시3</t>
  </si>
  <si>
    <t>18)광고선전비</t>
  </si>
  <si>
    <t>RS188</t>
  </si>
  <si>
    <t>(판)광고선전비-신문잡지</t>
  </si>
  <si>
    <t>(판)광고선전비-옥외광고선전비</t>
  </si>
  <si>
    <t>(판)광고선전비-전단광고선전비</t>
  </si>
  <si>
    <t>광고선전비-TV</t>
  </si>
  <si>
    <t>광고선전비-인터넷</t>
  </si>
  <si>
    <t>(판)광고선전비-광고제작비</t>
  </si>
  <si>
    <t>(판)광고선전비-기타</t>
  </si>
  <si>
    <t>(판)광고선전비-임시2</t>
  </si>
  <si>
    <t>(판)광고선전비-임시3</t>
  </si>
  <si>
    <t>(판)광고선전비-임시4</t>
  </si>
  <si>
    <t>19)판매촉진비</t>
  </si>
  <si>
    <t>RS189</t>
  </si>
  <si>
    <t>(판)판매촉진비-판촉행사</t>
  </si>
  <si>
    <t>(판)판매촉진비-사은품</t>
  </si>
  <si>
    <t>(판)판매촉진비-DM</t>
  </si>
  <si>
    <t>(판)판매촉진비-가이드북</t>
  </si>
  <si>
    <t>(판)판매촉진비-고객관리</t>
  </si>
  <si>
    <t>(판)판매촉진비-경품</t>
  </si>
  <si>
    <t>(판)판매촉진비-사은품비</t>
  </si>
  <si>
    <t>(판)판매촉진비-사은품비외</t>
  </si>
  <si>
    <t>(판)판매촉진비-카드프로모션</t>
  </si>
  <si>
    <t>(판)판매촉진비-사은품배송비</t>
  </si>
  <si>
    <t>(판)판매촉진비-전사사은품</t>
  </si>
  <si>
    <t>(판)판매촉진비-모바일</t>
  </si>
  <si>
    <t>(판)판매촉진비-리워즈</t>
  </si>
  <si>
    <t>(판)판매촉진비-기타</t>
  </si>
  <si>
    <t>(판)판매촉진비-임시1</t>
  </si>
  <si>
    <t>(판)판매촉진비-임시2</t>
  </si>
  <si>
    <t>(판)판매촉진비-임시3</t>
  </si>
  <si>
    <t>20)장치장식비</t>
  </si>
  <si>
    <t>RS190</t>
  </si>
  <si>
    <t>(판)장치장식비-디스플레이</t>
  </si>
  <si>
    <t>(판)장치장식비-현수막/우드락</t>
  </si>
  <si>
    <t>(판)장치장식비-POP</t>
  </si>
  <si>
    <t>(판)장치장식비-기타</t>
  </si>
  <si>
    <t>(판)장치장식비-임시1</t>
  </si>
  <si>
    <t>(판)장치장식비-임시2</t>
  </si>
  <si>
    <t>(판)장치장식비-임시3</t>
  </si>
  <si>
    <t>21)유형자산감가상각비</t>
  </si>
  <si>
    <t>RS173</t>
  </si>
  <si>
    <t>(판)감가상각비-건물</t>
  </si>
  <si>
    <t>(판)감가상각비-건물부속설비</t>
  </si>
  <si>
    <t>(판)감가상각비-구축물</t>
  </si>
  <si>
    <t>(판)감가상각비-임차자산</t>
  </si>
  <si>
    <t>(판)감가상각비-기계장치</t>
  </si>
  <si>
    <t>(판)감가상각비-차량운반구</t>
  </si>
  <si>
    <t>(판)감가상각비-공구와기구</t>
  </si>
  <si>
    <t>(판)감가상각비-일반비품</t>
  </si>
  <si>
    <t>(판)감가상각비-전산장비</t>
  </si>
  <si>
    <t>(판)감가상각비-방송설비</t>
  </si>
  <si>
    <t>(판)감가상각비HD방송설비</t>
  </si>
  <si>
    <t>(판)감가상각비-기타</t>
  </si>
  <si>
    <t>(판)감가상각비-건물_조정</t>
  </si>
  <si>
    <t>(판)감가상각비-임시1</t>
  </si>
  <si>
    <t>(판)감가상각비-임시2</t>
  </si>
  <si>
    <t>(판)감가상각비-임시3</t>
  </si>
  <si>
    <t>22)리스자산감가상각비</t>
  </si>
  <si>
    <t>RS173A</t>
  </si>
  <si>
    <t>(판)리스감가상각비-부동산</t>
  </si>
  <si>
    <t>(판)리스감가상각비-사무기기</t>
  </si>
  <si>
    <t>(판)리스감가상각비-매장집기</t>
  </si>
  <si>
    <t>(판)리스감가상각비-기타</t>
  </si>
  <si>
    <t>(판)리스감가상각비-복구충당부채</t>
  </si>
  <si>
    <t>(판)리스감가상각비-개설원가</t>
  </si>
  <si>
    <t>(판)감가비-임시1</t>
  </si>
  <si>
    <t>(판)감가비-임시2</t>
  </si>
  <si>
    <t>(판)감가비-임시3</t>
  </si>
  <si>
    <t>23)무형자산감가상각비</t>
  </si>
  <si>
    <t>RS207</t>
  </si>
  <si>
    <t>(판)무형자산상각비-임차권리금</t>
  </si>
  <si>
    <t>(판)무형자산상각비-특허권</t>
  </si>
  <si>
    <t>(판)무형자산상각비-소프트웨어</t>
  </si>
  <si>
    <t>(판)무형자산상각비-상표권</t>
  </si>
  <si>
    <t>(판)무형자산상각비-방송사업권</t>
  </si>
  <si>
    <t>(판)무형자산상각비-사용수익권</t>
  </si>
  <si>
    <t>(판)무형자산상각비-고객관계</t>
  </si>
  <si>
    <t>(판)무형상각-임시1</t>
  </si>
  <si>
    <t>(판)무형상각-임시2</t>
  </si>
  <si>
    <t>(판)무형상각-임시3</t>
  </si>
  <si>
    <t>24)투자부동산상각비</t>
  </si>
  <si>
    <t>RS208</t>
  </si>
  <si>
    <t>(판)투자부동산상각비-사용권개설원가</t>
  </si>
  <si>
    <t>(판)투자부동산상각비-사용권</t>
  </si>
  <si>
    <t>(판)투자부동산감가상각비-건물_조정</t>
  </si>
  <si>
    <t>(판)투자부동산감가상각비-임시1</t>
  </si>
  <si>
    <t>(판)투자부동산감가상각비-임시2</t>
  </si>
  <si>
    <t>25)대손상각비</t>
  </si>
  <si>
    <t>RS206</t>
  </si>
  <si>
    <t>대손상각비-외상매출금</t>
  </si>
  <si>
    <t>대손상각비-받을어음</t>
  </si>
  <si>
    <t>대손상각비-미수금</t>
  </si>
  <si>
    <t>대손상각비-계약자산</t>
  </si>
  <si>
    <t>대손상각비-임시1</t>
  </si>
  <si>
    <t>대손상각비-임시2</t>
  </si>
  <si>
    <t>대손상각비-임시3</t>
  </si>
  <si>
    <t>대손상각비-임시4</t>
  </si>
  <si>
    <t>대손상각비-임시5</t>
  </si>
  <si>
    <t>26)대손충당금환입</t>
  </si>
  <si>
    <t>RS255</t>
  </si>
  <si>
    <t>대손충당금환입</t>
  </si>
  <si>
    <t>대손충당금환입-임시1</t>
  </si>
  <si>
    <t>대손충당금환입-임시2</t>
  </si>
  <si>
    <t>대손충당금환입-임시3</t>
  </si>
  <si>
    <t>27)수선비</t>
  </si>
  <si>
    <t>RS192</t>
  </si>
  <si>
    <t>(판)수선비-건축물</t>
  </si>
  <si>
    <t>(판)수선비-건축물부속설비</t>
  </si>
  <si>
    <t>(판)수선비-일반시설</t>
  </si>
  <si>
    <t>(판)수선비-일반비품</t>
  </si>
  <si>
    <t>(판)수선비-전산비품</t>
  </si>
  <si>
    <t>(판)수선비-임차자산</t>
  </si>
  <si>
    <t>(판)수선비-간판유지</t>
  </si>
  <si>
    <t>(판)수선비-철거비용</t>
  </si>
  <si>
    <t>(판)수선비-기계장치</t>
  </si>
  <si>
    <t>(판)수선비-방송장비</t>
  </si>
  <si>
    <t>(판)수선비-기타</t>
  </si>
  <si>
    <t>(판)수선비-임시1</t>
  </si>
  <si>
    <t>(판)수선비-임시2</t>
  </si>
  <si>
    <t>(판)수선비-임시3</t>
  </si>
  <si>
    <t>28)포장비</t>
  </si>
  <si>
    <t>RS194</t>
  </si>
  <si>
    <t>(판)포장비-트레이</t>
  </si>
  <si>
    <t>(판)포장비-랩/롤백</t>
  </si>
  <si>
    <t>(판)포장비-물류포장비</t>
  </si>
  <si>
    <t>(판)포장비-기타</t>
  </si>
  <si>
    <t>(판)포장비-임시1</t>
  </si>
  <si>
    <t>(판)포장비-임시2</t>
  </si>
  <si>
    <t>(판)포장비-임시3</t>
  </si>
  <si>
    <t>29)도서인쇄비</t>
  </si>
  <si>
    <t>RS198</t>
  </si>
  <si>
    <t>(판)도서인쇄비-구독/구입료(도서,신문)</t>
  </si>
  <si>
    <t>(판)도서인쇄비-사보제작</t>
  </si>
  <si>
    <t>(판)도서인쇄비-인쇄/복사/제본</t>
  </si>
  <si>
    <t>(판)도서인쇄비-기타</t>
  </si>
  <si>
    <t>(판)도서인쇄비-임시1</t>
  </si>
  <si>
    <t>(판)도서인쇄비-임시2</t>
  </si>
  <si>
    <t>(판)도서인쇄비-임시3</t>
  </si>
  <si>
    <t>30)소모품비</t>
  </si>
  <si>
    <t>RS193</t>
  </si>
  <si>
    <t>(판)소모품비-사무용품</t>
  </si>
  <si>
    <t>(판)소모품비-전산용품</t>
  </si>
  <si>
    <t>(판)소모품비-청소용품</t>
  </si>
  <si>
    <t>(판)소모품비-위생용품</t>
  </si>
  <si>
    <t>(판)소모품비-시설용품</t>
  </si>
  <si>
    <t>(판)소모품비-판매부대용품</t>
  </si>
  <si>
    <t>(판)소모품비-기타</t>
  </si>
  <si>
    <t>(판)소모품비-임시1</t>
  </si>
  <si>
    <t>(판)소모품비-임시2</t>
  </si>
  <si>
    <t>(판)소모품비-임시3</t>
  </si>
  <si>
    <t>31)접대비</t>
  </si>
  <si>
    <t>RS202</t>
  </si>
  <si>
    <t>(판)접대비-대외</t>
  </si>
  <si>
    <t>(판)접대비-예비비</t>
  </si>
  <si>
    <t>(판)접대비-불공제</t>
  </si>
  <si>
    <t>(판)접대비-일반</t>
  </si>
  <si>
    <t>(판)접대비-경영주</t>
  </si>
  <si>
    <t>(판)접대비-비통제항목</t>
  </si>
  <si>
    <t>(판)접대비-임시1</t>
  </si>
  <si>
    <t>(판)접대비-임시2</t>
  </si>
  <si>
    <t>(판)접대비-임시3</t>
  </si>
  <si>
    <t>32)운반비</t>
  </si>
  <si>
    <t>RS200</t>
  </si>
  <si>
    <t>(판)운반비-상품배송</t>
  </si>
  <si>
    <t>(판)운반비-상품반품</t>
  </si>
  <si>
    <t>(판)운반비-수출/입</t>
  </si>
  <si>
    <t>(판)운반비-AS</t>
  </si>
  <si>
    <t>(판)운반비-기타</t>
  </si>
  <si>
    <t>운반비-임시1</t>
  </si>
  <si>
    <t>운반비-임시2</t>
  </si>
  <si>
    <t>운반비-임시3</t>
  </si>
  <si>
    <t>33)견본비</t>
  </si>
  <si>
    <t>RS205</t>
  </si>
  <si>
    <t>(판)견본비</t>
  </si>
  <si>
    <t>(판)견본비-임시1</t>
  </si>
  <si>
    <t>(판)견본비-임시2</t>
  </si>
  <si>
    <t>(판)견본비-임시3</t>
  </si>
  <si>
    <t>34)제작비용</t>
  </si>
  <si>
    <t>RS20Z</t>
  </si>
  <si>
    <t>(판)제작비용-출연료</t>
  </si>
  <si>
    <t>(판)제작비용-모델료</t>
  </si>
  <si>
    <t>(판)제작비용-업체협찬금(방송제작)</t>
  </si>
  <si>
    <t>(판)제작비용-음성배역료</t>
  </si>
  <si>
    <t>(판)제작비용-조명료</t>
  </si>
  <si>
    <t>(판)제작비용-원고료</t>
  </si>
  <si>
    <t>(판)제작비용-토탈코디료</t>
  </si>
  <si>
    <t>(판)제작비용-디스플레이료</t>
  </si>
  <si>
    <t>(판)제작비용-출장비</t>
  </si>
  <si>
    <t>(판)제작비용-방청객료</t>
  </si>
  <si>
    <t>(판)제작비용-기타용역료</t>
  </si>
  <si>
    <t>(판)제작비용-세트제작비</t>
  </si>
  <si>
    <t>(판)제작비용-임차료</t>
  </si>
  <si>
    <t>(판)제작비용-소모품비</t>
  </si>
  <si>
    <t>(판)제작비용-외주제작비</t>
  </si>
  <si>
    <t>(판)제작비용-진행경비</t>
  </si>
  <si>
    <t>(판)제작비용-용역수수료</t>
  </si>
  <si>
    <t>(판)제작비용-음원사용료 등</t>
  </si>
  <si>
    <t>(판)제작비용-카메라</t>
  </si>
  <si>
    <t>(판)제작비용-EC제작비용</t>
  </si>
  <si>
    <t>(판)제작비용-프리랜서(SH)</t>
  </si>
  <si>
    <t>(판)제작비용-임시1</t>
  </si>
  <si>
    <t>(판)제작비용-임시2</t>
  </si>
  <si>
    <t>(판)제작비용-임시3</t>
  </si>
  <si>
    <t>35)회원적립금</t>
  </si>
  <si>
    <t>RS20Y</t>
  </si>
  <si>
    <t>(판)회원적립금-당사고객</t>
  </si>
  <si>
    <t>(판)회원적립금-신한카드</t>
  </si>
  <si>
    <t>(판)회원적립금-&amp;포인트</t>
  </si>
  <si>
    <t>(판)회원적립금-조정</t>
  </si>
  <si>
    <t>(판)회원적립금-임시1</t>
  </si>
  <si>
    <t>(판)회원적립금-임시2</t>
  </si>
  <si>
    <t>(판)회원적립금-임시3</t>
  </si>
  <si>
    <t>36)CS비</t>
  </si>
  <si>
    <t>RS25X</t>
  </si>
  <si>
    <t>(판)CS비-충당금조정</t>
  </si>
  <si>
    <t>(판)CS비-고객CLAIM</t>
  </si>
  <si>
    <t>(판)CS비-판매보증비</t>
  </si>
  <si>
    <t>(판)CS비-기타</t>
  </si>
  <si>
    <t>(판)CS비-임시1</t>
  </si>
  <si>
    <t>(판)CS비-임시2</t>
  </si>
  <si>
    <t>(판)CS비-임시3</t>
  </si>
  <si>
    <t>37)공통비용</t>
  </si>
  <si>
    <t>RS261</t>
  </si>
  <si>
    <t>가.순물류비</t>
  </si>
  <si>
    <t>RS261A</t>
  </si>
  <si>
    <t>센터물류비</t>
  </si>
  <si>
    <t>벤더물류비</t>
  </si>
  <si>
    <t>센터물류비(정액)</t>
  </si>
  <si>
    <t>H)물류센터비</t>
  </si>
  <si>
    <t>H)물류고정비</t>
  </si>
  <si>
    <t>H)물류보관비</t>
  </si>
  <si>
    <t>물류비-임시1</t>
  </si>
  <si>
    <t>물류비-임시2</t>
  </si>
  <si>
    <t>물류비-임시3</t>
  </si>
  <si>
    <t>나.전사공통비</t>
  </si>
  <si>
    <t>RS261B</t>
  </si>
  <si>
    <t>전사공통비-전략</t>
  </si>
  <si>
    <t>전사공통비-인사</t>
  </si>
  <si>
    <t>전사공통비-대외</t>
  </si>
  <si>
    <t>전사공통비-경영</t>
  </si>
  <si>
    <t>전사공통비-DS</t>
  </si>
  <si>
    <t>전사공통비-데이터</t>
  </si>
  <si>
    <t>전사공통비-본사</t>
  </si>
  <si>
    <t>전사공통비-임시1</t>
  </si>
  <si>
    <t>전사공통비-임시2</t>
  </si>
  <si>
    <t>전사공통비-임시3</t>
  </si>
  <si>
    <t>다.BU공통비</t>
  </si>
  <si>
    <t>RS261C</t>
  </si>
  <si>
    <t>BU공통비-MD</t>
  </si>
  <si>
    <t>BU공통비-직할</t>
  </si>
  <si>
    <t>BU공통비-마케팅</t>
  </si>
  <si>
    <t>BU공통비-점포운영</t>
  </si>
  <si>
    <t>부문간접비-1차</t>
  </si>
  <si>
    <t>부문간접비-2차</t>
  </si>
  <si>
    <t>BU공통비-기타</t>
  </si>
  <si>
    <t>H)경영지원비</t>
  </si>
  <si>
    <t>H)방송부문비</t>
  </si>
  <si>
    <t>H)디지털사업부지원비</t>
  </si>
  <si>
    <t>H)디지털사업부지원비2</t>
  </si>
  <si>
    <t>H)사업부지원비</t>
  </si>
  <si>
    <t>H)고객서비스본부비</t>
  </si>
  <si>
    <t>H)정보부문비-직접</t>
  </si>
  <si>
    <t>H)영업본부고정비</t>
  </si>
  <si>
    <t>BU공통비-QA비용</t>
  </si>
  <si>
    <t>H)정보부문비-전사직접</t>
  </si>
  <si>
    <t>BU공통비-임시2</t>
  </si>
  <si>
    <t>BU공통비-임시3</t>
  </si>
  <si>
    <t>BU공통비-임시4</t>
  </si>
  <si>
    <t>38)사내거래</t>
  </si>
  <si>
    <t>사내-물류임대차거래</t>
  </si>
  <si>
    <t>사내-매입실관련비용</t>
  </si>
  <si>
    <t>사내-임대매출관리비</t>
  </si>
  <si>
    <t>사내-물류지원금</t>
  </si>
  <si>
    <t>사내-임시1</t>
  </si>
  <si>
    <t>사내-임시2</t>
  </si>
  <si>
    <t>사내-임시3</t>
  </si>
  <si>
    <t>39)기타조정비용</t>
  </si>
  <si>
    <t>RS252</t>
  </si>
  <si>
    <t>(판)기타물류관련손익</t>
  </si>
  <si>
    <t>본지점-물류용역상계</t>
  </si>
  <si>
    <t>기타-판매비/잡비</t>
  </si>
  <si>
    <t>사내거래(수익)-GSFRESH</t>
  </si>
  <si>
    <t>사내거래(수익)-GSSHOP</t>
  </si>
  <si>
    <t>사내거래(수익)-WINE25</t>
  </si>
  <si>
    <t>사내거래(수익)-M4</t>
  </si>
  <si>
    <t>사내거래(수익)-기타</t>
  </si>
  <si>
    <t>사내거래(비용)-GSFRESH</t>
  </si>
  <si>
    <t>사내거래(비용)-GSSHOP</t>
  </si>
  <si>
    <t>사내거래(비용)-WINE25</t>
  </si>
  <si>
    <t>사내거래(비용)-M4</t>
  </si>
  <si>
    <t>관리회계조정비용</t>
  </si>
  <si>
    <t>97)임시판관비1</t>
  </si>
  <si>
    <t>임시판관비1-임시1</t>
  </si>
  <si>
    <t>임시판관비1-임시2</t>
  </si>
  <si>
    <t>임시판관비1-임시3</t>
  </si>
  <si>
    <t>98)임시판관비2</t>
  </si>
  <si>
    <t>임시판관비2-임시1</t>
  </si>
  <si>
    <t>임시판관비2-임시2</t>
  </si>
  <si>
    <t>임시판관비2-임시3</t>
  </si>
  <si>
    <t>99)임시판관비3</t>
  </si>
  <si>
    <t>판관비-임시1</t>
  </si>
  <si>
    <t>판관비-임시2</t>
  </si>
  <si>
    <t>판관비-임시3</t>
  </si>
  <si>
    <t>Ⅴ.영업이익</t>
  </si>
  <si>
    <t>Ⅵ.기타수익</t>
  </si>
  <si>
    <t>01)유형자산처분이익</t>
  </si>
  <si>
    <t>RS183</t>
  </si>
  <si>
    <t>유형자산처분이익-토지</t>
  </si>
  <si>
    <t>유형자산처분이익-건물</t>
  </si>
  <si>
    <t>유형자산처분이익-건물부속설비</t>
  </si>
  <si>
    <t>유형자산처분이익-구축물</t>
  </si>
  <si>
    <t>유형자산처분이익-임차개량</t>
  </si>
  <si>
    <t>유형자산처분이익-기계장치</t>
  </si>
  <si>
    <t>유형자산처분이익-차량운반구</t>
  </si>
  <si>
    <t>유형자산처분이익-공구와기구</t>
  </si>
  <si>
    <t>유형자산처분이익-비품</t>
  </si>
  <si>
    <t>유형자산처분이익-전산장비</t>
  </si>
  <si>
    <t>유형자산처분이익-건설중인자산</t>
  </si>
  <si>
    <t>유형자산처분이익-방송설비</t>
  </si>
  <si>
    <t>유형자산처분이익-HD방송설비</t>
  </si>
  <si>
    <t>유형자산처분이익-기타</t>
  </si>
  <si>
    <t>유형자산처분이익-임시1</t>
  </si>
  <si>
    <t>유형자산처분이익-임시2</t>
  </si>
  <si>
    <t>02)무형자산처분이익</t>
  </si>
  <si>
    <t>RS184</t>
  </si>
  <si>
    <t>무형자산처분이익-임차권리금</t>
  </si>
  <si>
    <t>무형자산처분이익-산업재산권(특허권)</t>
  </si>
  <si>
    <t>무형자산처분이익-소프트웨어</t>
  </si>
  <si>
    <t>무형자산처분이익-상표권</t>
  </si>
  <si>
    <t>무형자산처분이익-영업권</t>
  </si>
  <si>
    <t>무형자산처분이익-비한정내용연수</t>
  </si>
  <si>
    <t>무형자산처분이익-고객관계</t>
  </si>
  <si>
    <t>무형자산처분이익-방송사업권</t>
  </si>
  <si>
    <t>무형자산처분이익-회원권</t>
  </si>
  <si>
    <t>무형자산처분이익-기술개발비</t>
  </si>
  <si>
    <t>무형자산처분이익-라이센스</t>
  </si>
  <si>
    <t>무형자산처분이익-저작권</t>
  </si>
  <si>
    <t>무형자산처분이익-디지털자산</t>
  </si>
  <si>
    <t>처분이익-보증금(골프회원권)</t>
  </si>
  <si>
    <t>처분이익-보증금(콘도회원권)</t>
  </si>
  <si>
    <t>무형자산처분이익-임시3</t>
  </si>
  <si>
    <t>무형자산처분이익-임시4</t>
  </si>
  <si>
    <t>무형자산처분이익-임시5</t>
  </si>
  <si>
    <t>03)투자부동산처분이익</t>
  </si>
  <si>
    <t>RS226</t>
  </si>
  <si>
    <t>투자부동산처분이익-토지</t>
  </si>
  <si>
    <t>투자부동산처분이익-건물</t>
  </si>
  <si>
    <t>투자부동산처분이익-임차자산</t>
  </si>
  <si>
    <t>투자부동산처분이익-사용권자산</t>
  </si>
  <si>
    <t>투자부동산처분이익-사용권개설</t>
  </si>
  <si>
    <t>투자부동산처분이익-임시1</t>
  </si>
  <si>
    <t>투자부동산처분이익-임시2</t>
  </si>
  <si>
    <t>투자부동산처분이익-임시3</t>
  </si>
  <si>
    <t>04)유형자산손상차손환입</t>
  </si>
  <si>
    <t>RS226Z</t>
  </si>
  <si>
    <t>손상차손환입-토지</t>
  </si>
  <si>
    <t>손상차손환입-건물(일반)</t>
  </si>
  <si>
    <t>손상차손환입-건물(부속설비)</t>
  </si>
  <si>
    <t>손상차손환입-구축물</t>
  </si>
  <si>
    <t>손상차손환입-임차자산설</t>
  </si>
  <si>
    <t>손상차손환입-기계장치</t>
  </si>
  <si>
    <t>손상차손환입-차량운반구</t>
  </si>
  <si>
    <t>손상차손환입-공구와기구</t>
  </si>
  <si>
    <t>손상차손환입-일반비품</t>
  </si>
  <si>
    <t>손상차손환입-전산장비</t>
  </si>
  <si>
    <t>손상차손환입-건설중인자산</t>
  </si>
  <si>
    <t>손상차손환입-방송설비</t>
  </si>
  <si>
    <t>손상차손환입-HD방송설비</t>
  </si>
  <si>
    <t>손상차손환입-유형임시1</t>
  </si>
  <si>
    <t>손상차손환입-유형임시2</t>
  </si>
  <si>
    <t>05)무형자산손상차손환입</t>
  </si>
  <si>
    <t>RS226Y</t>
  </si>
  <si>
    <t>손상차손환입-임차권리금</t>
  </si>
  <si>
    <t>손상차손환입-산업재산권(특허권)</t>
  </si>
  <si>
    <t>손상차손환입-소프트웨어</t>
  </si>
  <si>
    <t>손상차손환입-산업재산권(상표권)</t>
  </si>
  <si>
    <t>손상차손환입-영업권</t>
  </si>
  <si>
    <t>손상차손환입-비한정내용연수(디지털자산)</t>
  </si>
  <si>
    <t>손상차손환입-고객관계</t>
  </si>
  <si>
    <t>손상차손환입-방송사업권</t>
  </si>
  <si>
    <t>손상차손환입-투자부동산(사용권)</t>
  </si>
  <si>
    <t>손상차손환입-투자부동산(사용권개설)</t>
  </si>
  <si>
    <t>손상차손환입-보증금(골프회원권)</t>
  </si>
  <si>
    <t>손상차손환입-보증금(콘도회원권)</t>
  </si>
  <si>
    <t>손상차손환입-무형임시3</t>
  </si>
  <si>
    <t>손상차손환입-무형임시4</t>
  </si>
  <si>
    <t>손상차손환입-무형임시5</t>
  </si>
  <si>
    <t>06)투자부동산손상차손환입</t>
  </si>
  <si>
    <t>RS226X</t>
  </si>
  <si>
    <t>손상차손환입-투자부동산(토지)</t>
  </si>
  <si>
    <t>손상차손환입-투자부동산(건물)</t>
  </si>
  <si>
    <t>손상차손환입-투자부동산(임차자산)</t>
  </si>
  <si>
    <t>손상차손환입-투자임시1</t>
  </si>
  <si>
    <t>손상차손환입-투자임시2</t>
  </si>
  <si>
    <t>손상차손환입-투자임시3</t>
  </si>
  <si>
    <t>07)전기오류수정이익</t>
  </si>
  <si>
    <t>RS226A</t>
  </si>
  <si>
    <t>전기오류수정이익</t>
  </si>
  <si>
    <t>전기오류수정이익-임시1</t>
  </si>
  <si>
    <t>전기오류수정이익-임시2</t>
  </si>
  <si>
    <t>전기오류수정이익-임시3</t>
  </si>
  <si>
    <t>08)기타영업외이익</t>
  </si>
  <si>
    <t>RS220</t>
  </si>
  <si>
    <t>금융리스해지이익</t>
  </si>
  <si>
    <t>전대리스처분이익(IFRS16)</t>
  </si>
  <si>
    <t>리스임대자산처분이익(IFRS</t>
  </si>
  <si>
    <t>리스보증이익(IFRS16)</t>
  </si>
  <si>
    <t>염가매수차익</t>
  </si>
  <si>
    <t>리스부채재측정이익</t>
  </si>
  <si>
    <t>기타의영업외이익</t>
    <phoneticPr fontId="2" type="noConversion"/>
  </si>
  <si>
    <t>채무면제이익</t>
  </si>
  <si>
    <t>충당부채환입액</t>
  </si>
  <si>
    <t>매각예정자산처분이익</t>
  </si>
  <si>
    <t>09)잡이익</t>
  </si>
  <si>
    <t>RS225</t>
  </si>
  <si>
    <t>잡이익-현금과부족</t>
  </si>
  <si>
    <t>잡이익-가맹해약금</t>
  </si>
  <si>
    <t>잡이익-미오출보상</t>
  </si>
  <si>
    <t>잡이익-배송지연가산</t>
  </si>
  <si>
    <t>잡이익-재고과부족</t>
  </si>
  <si>
    <t>잡이익-시설위약금</t>
  </si>
  <si>
    <t>잡이익-밴사수수료</t>
  </si>
  <si>
    <t>잡이익-리워즈</t>
  </si>
  <si>
    <t>잡이익-기타</t>
  </si>
  <si>
    <t>잡이익-임시1</t>
  </si>
  <si>
    <t>잡이익-임시2</t>
  </si>
  <si>
    <t>잡이익-임시3</t>
  </si>
  <si>
    <t>10)투자주식 처분이익</t>
  </si>
  <si>
    <t>RS124IA</t>
  </si>
  <si>
    <t>처분이익-종속기업투자주식</t>
  </si>
  <si>
    <t>처분이익-공동기업투자주식</t>
  </si>
  <si>
    <t>처분이익-관계기업투자주식</t>
  </si>
  <si>
    <t>11)투자주식 손상차손환입</t>
  </si>
  <si>
    <t>RS123IB</t>
  </si>
  <si>
    <t>손상차손환입-종속기업투자주식</t>
  </si>
  <si>
    <t>손상차손환입-공동기업투자주식</t>
  </si>
  <si>
    <t>손상차손환입-관계기업투자주식</t>
  </si>
  <si>
    <t>97)임시기타수익1</t>
  </si>
  <si>
    <t>기타수익-임시1</t>
  </si>
  <si>
    <t>기타수익-임시2</t>
  </si>
  <si>
    <t>기타수익-임시3</t>
  </si>
  <si>
    <t>98)임시기타수익2</t>
  </si>
  <si>
    <t>99)임시기타수익3</t>
  </si>
  <si>
    <t>Ⅶ.기타비용</t>
  </si>
  <si>
    <t>RS124J</t>
  </si>
  <si>
    <t>01)유형자산처분손실</t>
  </si>
  <si>
    <t>RS213</t>
  </si>
  <si>
    <t>유형자산처분손실-토지</t>
  </si>
  <si>
    <t>유형자산처분손실-건물</t>
  </si>
  <si>
    <t>유형자산처분손실-건물부속설비</t>
  </si>
  <si>
    <t>유형자산처분손실-구축물</t>
  </si>
  <si>
    <t>유형자산처분손실-임차개량</t>
  </si>
  <si>
    <t>유형자산처분손실-기계장치</t>
  </si>
  <si>
    <t>유형자산처분손실-차량운반구</t>
  </si>
  <si>
    <t>유형자산처분손실-공구와기구</t>
  </si>
  <si>
    <t>유형자산처분손실-비품</t>
  </si>
  <si>
    <t>유형자산처분손실-전산장비</t>
  </si>
  <si>
    <t>유형자산처분손실-건설중인자산</t>
  </si>
  <si>
    <t>유형자산처분손실-방송설비</t>
  </si>
  <si>
    <t>유형자산처분손실-HD방송설비</t>
  </si>
  <si>
    <t>유형자산처분손실-기타자산</t>
  </si>
  <si>
    <t>유형자산처분손실-임시1</t>
  </si>
  <si>
    <t>유형자산처분손실-임시2</t>
  </si>
  <si>
    <t>02)무형자산처분손실</t>
  </si>
  <si>
    <t>RS214</t>
  </si>
  <si>
    <t>무형자산처분손실-임차권리금</t>
  </si>
  <si>
    <t>무형자산처분손실-산업재산권(특허권)</t>
  </si>
  <si>
    <t>무형자산처분손실-소프트웨어</t>
  </si>
  <si>
    <t>무형자산처분손실-산업재산권(상표권)</t>
  </si>
  <si>
    <t>무형자산처분손실-영업권</t>
  </si>
  <si>
    <t>무형자산처분손실-비한정내용연수(디지털)</t>
  </si>
  <si>
    <t>무형자산처분손실-고객관계</t>
  </si>
  <si>
    <t>무형자산처분손실-방송사업권</t>
  </si>
  <si>
    <t>무형자산처분손실-기술개발비</t>
  </si>
  <si>
    <t>무형자산처분손실-라이센스</t>
  </si>
  <si>
    <t>무형자산처분손실-저작권</t>
  </si>
  <si>
    <t>무형자산처분손실-디지털자산</t>
  </si>
  <si>
    <t>처분손실-보증금(골프회원권)</t>
  </si>
  <si>
    <t>처분손실-보증금(콘도회원권)</t>
  </si>
  <si>
    <t>무형자산처분손실-임시3</t>
  </si>
  <si>
    <t>무형자산처분손실-임시4</t>
  </si>
  <si>
    <t>무형자산처분손실-임시5</t>
  </si>
  <si>
    <t>03)투자부동산처분손실</t>
  </si>
  <si>
    <t>RS220D</t>
  </si>
  <si>
    <t>투자부동산처분손실-토지</t>
  </si>
  <si>
    <t>투자부동산처분손실-건물</t>
  </si>
  <si>
    <t>투자부동산처분손실-임차자산</t>
  </si>
  <si>
    <t>투자부동산처분손실-사용권자산</t>
  </si>
  <si>
    <t>투자부동산처분손실-사용권개설</t>
  </si>
  <si>
    <t>투자부동산처분손실-임시1</t>
  </si>
  <si>
    <t>투자부동산처분손실-임시2</t>
  </si>
  <si>
    <t>투자부동산처분손실-임시3</t>
  </si>
  <si>
    <t>04)유형자산손상차손</t>
  </si>
  <si>
    <t>RS124K</t>
  </si>
  <si>
    <t>손상차손-토지</t>
  </si>
  <si>
    <t>손상차손-건물(일반)</t>
  </si>
  <si>
    <t>손상차손-건물(부속설비)</t>
  </si>
  <si>
    <t>손상차손-구축물</t>
  </si>
  <si>
    <t>유형자산손상임차자산</t>
  </si>
  <si>
    <t>유형자산손상임차자산(복구)</t>
  </si>
  <si>
    <t>손상차손-기계장치</t>
  </si>
  <si>
    <t>손상차손-차량운반구</t>
  </si>
  <si>
    <t>손상차손-공구와기구</t>
  </si>
  <si>
    <t>유형자산손상일반비품</t>
  </si>
  <si>
    <t>손상차손-산업재산권(상표권)</t>
  </si>
  <si>
    <t>유형자산손상전산비품</t>
  </si>
  <si>
    <t>손상차손-건설중인자산</t>
  </si>
  <si>
    <t>손상차손-방송설비</t>
  </si>
  <si>
    <t>손상차손-HD방송설비</t>
  </si>
  <si>
    <t>손상차손-유형임시1</t>
  </si>
  <si>
    <t>손상차손-유형임시2</t>
  </si>
  <si>
    <t>05)무형자산손상차손</t>
  </si>
  <si>
    <t>RS124H</t>
  </si>
  <si>
    <t>손상차손-임차권리금</t>
  </si>
  <si>
    <t>손상차손-산업재산권(특허권)</t>
  </si>
  <si>
    <t>손상차손-소프트웨어</t>
  </si>
  <si>
    <t>손상차손-영업권</t>
  </si>
  <si>
    <t>손상차손-비한정디지털자산</t>
  </si>
  <si>
    <t>손상차손-고객관계</t>
  </si>
  <si>
    <t>손상차손-방송사업권</t>
  </si>
  <si>
    <t>손상차손-보증금(골프회원권)</t>
  </si>
  <si>
    <t>손상차손-보증금(콘도회원권)</t>
  </si>
  <si>
    <t>손상차손-무형임시3</t>
  </si>
  <si>
    <t>손상차손-무형임시4</t>
  </si>
  <si>
    <t>손상차손-무형임시5</t>
  </si>
  <si>
    <t>06)투자부동산손상차손</t>
  </si>
  <si>
    <t>RS124T</t>
  </si>
  <si>
    <t>손상차손-투자부동산(사용권)</t>
  </si>
  <si>
    <t>손상차손-투자부동산(임차자산)</t>
  </si>
  <si>
    <t>손상차손-투자부동산(토지)</t>
  </si>
  <si>
    <t>손상차손-투자부동산(건물)</t>
  </si>
  <si>
    <t>손상차손-투자부동산(사용권개설)</t>
  </si>
  <si>
    <t>손상차손-투자임시1</t>
  </si>
  <si>
    <t>손상차손-투자임시2</t>
  </si>
  <si>
    <t>손상차손-투자임시3</t>
  </si>
  <si>
    <t>07)기부금</t>
  </si>
  <si>
    <t>RS240</t>
  </si>
  <si>
    <t>기부금-법정</t>
  </si>
  <si>
    <t>기부금-특례</t>
  </si>
  <si>
    <t>기부금-지정</t>
  </si>
  <si>
    <t>기부금-비지정</t>
  </si>
  <si>
    <t>기부금-조정</t>
  </si>
  <si>
    <t>기부금-금품기부</t>
  </si>
  <si>
    <t>기부금-임시1</t>
  </si>
  <si>
    <t>기부금-임시2</t>
  </si>
  <si>
    <t>기부금-임시3</t>
  </si>
  <si>
    <t>08)재평가손실</t>
  </si>
  <si>
    <t>RS124G</t>
  </si>
  <si>
    <t>재평가손실</t>
  </si>
  <si>
    <t>재평가손실-임시1</t>
  </si>
  <si>
    <t>재평가손실-임시2</t>
  </si>
  <si>
    <t>재평가손실-임시3</t>
  </si>
  <si>
    <t>09)기타영업외비용</t>
  </si>
  <si>
    <t>RS124E1</t>
  </si>
  <si>
    <t>영업외비용-사용권자산손상차손</t>
  </si>
  <si>
    <t>영업외비용-리스해지손실</t>
  </si>
  <si>
    <t>영업외비용-전대리스처분손실</t>
  </si>
  <si>
    <t>영업외비용-리스보증손실</t>
  </si>
  <si>
    <t>영업외비용-리스부채재측정손실</t>
  </si>
  <si>
    <t>영업외비용-매각예정자산처분손실</t>
  </si>
  <si>
    <t>대손상각비-대여금</t>
  </si>
  <si>
    <t>대손상각비-미수수익</t>
  </si>
  <si>
    <t>기타영업외손실-임시3</t>
  </si>
  <si>
    <t>10)잡손실</t>
  </si>
  <si>
    <t>RS241</t>
  </si>
  <si>
    <t>잡손실-현금과부족</t>
  </si>
  <si>
    <t>잡손실-미오출보상금</t>
  </si>
  <si>
    <t>잡손실-배송지연가산금</t>
  </si>
  <si>
    <t>잡손실-용기/공병파손</t>
  </si>
  <si>
    <t>잡손실-재고과부족</t>
  </si>
  <si>
    <t>잡손실-기타</t>
  </si>
  <si>
    <t>잡손실-임시1</t>
  </si>
  <si>
    <t>잡손실-임시2</t>
  </si>
  <si>
    <t>잡손실-임시3</t>
  </si>
  <si>
    <t>11)투자주식 처분손실</t>
  </si>
  <si>
    <t>RS218C</t>
  </si>
  <si>
    <t>처분손실-종속기업투자주식</t>
  </si>
  <si>
    <t>처분손실-공동기업투자주식</t>
  </si>
  <si>
    <t>처분손실-관계기업투자주식</t>
  </si>
  <si>
    <t>12)투자주식 손상차손</t>
  </si>
  <si>
    <t>RS218D</t>
  </si>
  <si>
    <t>손상차손-종속기업투자주식</t>
  </si>
  <si>
    <t>손상차손-공동기업투자주식</t>
  </si>
  <si>
    <t>손상차손-관계기업투자주식</t>
  </si>
  <si>
    <t>97)임시기타비용1</t>
  </si>
  <si>
    <t>기타비용-임시1</t>
  </si>
  <si>
    <t>기타비용-임시2</t>
  </si>
  <si>
    <t>기타비용-임시3</t>
  </si>
  <si>
    <t>98)임시기타비용2</t>
  </si>
  <si>
    <t>99)임시기타비용3</t>
  </si>
  <si>
    <t>Ⅷ.금융수익</t>
  </si>
  <si>
    <t>RS128</t>
  </si>
  <si>
    <t>01)이자수익</t>
  </si>
  <si>
    <t>RS177</t>
  </si>
  <si>
    <t>가.이자수익일반</t>
  </si>
  <si>
    <t>RS177A</t>
  </si>
  <si>
    <t>이자수익-금융상품이자</t>
  </si>
  <si>
    <t>이자수익-유가증권이자</t>
  </si>
  <si>
    <t>이자수익-기타</t>
  </si>
  <si>
    <t>이자수익-임시1</t>
  </si>
  <si>
    <t>이자수익-임시2</t>
  </si>
  <si>
    <t>이자수익-임시3</t>
  </si>
  <si>
    <t>나.상각후원가</t>
  </si>
  <si>
    <t>RS177B</t>
  </si>
  <si>
    <t>이자수익-금융리스(IFRS)</t>
  </si>
  <si>
    <t>이자수익-임차할인차금상각</t>
  </si>
  <si>
    <t>02)배당금수익</t>
  </si>
  <si>
    <t>RS178</t>
  </si>
  <si>
    <t>배당금수익</t>
  </si>
  <si>
    <t>배당금수익-임시1</t>
  </si>
  <si>
    <t>배당금수익-임시2</t>
  </si>
  <si>
    <t>배당금수익-임시3</t>
  </si>
  <si>
    <t>03)FVPL평가이익</t>
  </si>
  <si>
    <t>RS179</t>
  </si>
  <si>
    <t>FVPL평가이익-채무상품(비유동)</t>
  </si>
  <si>
    <t>FVPL평가이익-금융상품(비유동)</t>
  </si>
  <si>
    <t>FVPL평가이익-지분상품(비유동)</t>
  </si>
  <si>
    <t>FVPL평가이익-금융자산(유동)</t>
  </si>
  <si>
    <t>FVPL평가이익-채무상품(유동)</t>
  </si>
  <si>
    <t>FVPL평가이익-임시1</t>
  </si>
  <si>
    <t>FVPL평가이익-임시2</t>
  </si>
  <si>
    <t>FVPL평가이익-임시3</t>
  </si>
  <si>
    <t>04)FVPL처분이익</t>
  </si>
  <si>
    <t>RS128B</t>
  </si>
  <si>
    <t xml:space="preserve"> FVPL처분이익-금융상품(비유동)</t>
  </si>
  <si>
    <t xml:space="preserve"> FVPL처분이익-금융상품(유동)</t>
  </si>
  <si>
    <t xml:space="preserve"> FVPL처분이익-지분상품(비유동)</t>
  </si>
  <si>
    <t xml:space="preserve"> FVPL처분이익-채무상품(비유동)</t>
  </si>
  <si>
    <t xml:space="preserve"> FVPL처분이익-채무상품(유동)</t>
  </si>
  <si>
    <t>FVPL처분이익-임시1</t>
  </si>
  <si>
    <t>FVPL처분이익-임시2</t>
  </si>
  <si>
    <t>05)FVOCI처분이익</t>
  </si>
  <si>
    <t>RS128C</t>
  </si>
  <si>
    <t>FVOOCI처분이익-채무상품</t>
  </si>
  <si>
    <t>처분이익-임시1</t>
  </si>
  <si>
    <t>처분이익-임시2</t>
  </si>
  <si>
    <t>처분이익-임시3</t>
  </si>
  <si>
    <t>06)외화환산이익</t>
  </si>
  <si>
    <t>RS128D</t>
  </si>
  <si>
    <t>외화환산이익</t>
  </si>
  <si>
    <t>환산이익-임시1</t>
  </si>
  <si>
    <t>환산이익-임시2</t>
  </si>
  <si>
    <t>환산이익-임시3</t>
  </si>
  <si>
    <t>07)외화차익</t>
  </si>
  <si>
    <t>RS128E</t>
  </si>
  <si>
    <t>외환차익</t>
  </si>
  <si>
    <t>외환차익-임시1</t>
  </si>
  <si>
    <t>외환차익-임시2</t>
  </si>
  <si>
    <t>외환차익-임시3</t>
  </si>
  <si>
    <t>08)파생상품평가이익</t>
  </si>
  <si>
    <t>RS224A</t>
  </si>
  <si>
    <t>파생상품평가이익(IS)</t>
  </si>
  <si>
    <t>평가이익-임시1</t>
  </si>
  <si>
    <t>평가이익-임시2</t>
  </si>
  <si>
    <t>평가이익-임시3</t>
  </si>
  <si>
    <t>09)파생상품거래이익</t>
  </si>
  <si>
    <t>RSC180</t>
  </si>
  <si>
    <t>파생상품거래이익</t>
  </si>
  <si>
    <t>거래이익-임시1</t>
  </si>
  <si>
    <t>거래이익-임시2</t>
  </si>
  <si>
    <t>거래이익-임시3</t>
  </si>
  <si>
    <t>10)파생상품처분이익</t>
  </si>
  <si>
    <t>RSD180</t>
  </si>
  <si>
    <t>파생상품처분이익</t>
  </si>
  <si>
    <t>11)기타의대손충당금환입액</t>
  </si>
  <si>
    <t>RS182</t>
  </si>
  <si>
    <t>금융보증비용환</t>
  </si>
  <si>
    <t>기타충당금환입-임시1</t>
  </si>
  <si>
    <t>기타충당금환입-임시2</t>
  </si>
  <si>
    <t>기타충당금환입-임시3</t>
  </si>
  <si>
    <t>97)임시금융수익1</t>
  </si>
  <si>
    <t>금융수익-임시1</t>
  </si>
  <si>
    <t>금융수익-임시2</t>
  </si>
  <si>
    <t>금융수익-임시3</t>
  </si>
  <si>
    <t>98)임시금융수익2</t>
  </si>
  <si>
    <t>99)임시금융수익3</t>
  </si>
  <si>
    <t>Ⅸ.금융비용</t>
  </si>
  <si>
    <t>RS132</t>
  </si>
  <si>
    <t>01)이자비용</t>
  </si>
  <si>
    <t>RS209</t>
  </si>
  <si>
    <t>가.이자비용일반</t>
  </si>
  <si>
    <t>RS209A</t>
  </si>
  <si>
    <t>이자비용-일반차입</t>
  </si>
  <si>
    <t>이자비용-사채</t>
  </si>
  <si>
    <t>이자비용-기타</t>
  </si>
  <si>
    <t>이자비용-RCPS</t>
  </si>
  <si>
    <t>이자비용-임시2</t>
  </si>
  <si>
    <t>이자비용-임시3</t>
  </si>
  <si>
    <t>RS209B</t>
  </si>
  <si>
    <t>이자비용-사채할차금상각</t>
  </si>
  <si>
    <t>이자비용-영업보증금할인차금상각</t>
  </si>
  <si>
    <t>이자비용-상각후원가</t>
  </si>
  <si>
    <t>이자비용-금융리스(IFRS16)</t>
  </si>
  <si>
    <t>이자비용-복구충당</t>
  </si>
  <si>
    <t>이자비용-사채차금상각비</t>
  </si>
  <si>
    <t>02)FVPL평가손실</t>
  </si>
  <si>
    <t>RS210</t>
  </si>
  <si>
    <t>FVPL평가손실-채무상품(비유동)</t>
  </si>
  <si>
    <t>FVPL평가손실-금융상품(비유동)</t>
  </si>
  <si>
    <t>FVPL평가손실-지분상품(비유동)</t>
  </si>
  <si>
    <t>FVPL평가손실-금융상품(유동)</t>
  </si>
  <si>
    <t>FVPL평가손실-채무상품(유동)</t>
  </si>
  <si>
    <t>FVPL평가손실-임시1</t>
  </si>
  <si>
    <t>FVPL평가손실-임시2</t>
  </si>
  <si>
    <t>FVPL평가손실-임시3</t>
  </si>
  <si>
    <t>03)FVPL처분손실</t>
  </si>
  <si>
    <t>RS212D</t>
  </si>
  <si>
    <t>FVPL처분손실-금융상품(비유동)</t>
  </si>
  <si>
    <t>FVPL처분손실-금융상품(유동)</t>
  </si>
  <si>
    <t>FVPL처분손실-지분상품(비유동)</t>
  </si>
  <si>
    <t>FVPL처분손실-채무상품(비유동)</t>
  </si>
  <si>
    <t>FVPL처분손실-채무상품(유동)</t>
  </si>
  <si>
    <t>FVPL처분손실-임시1</t>
  </si>
  <si>
    <t>FVPL처분손실-임시2</t>
  </si>
  <si>
    <t>FVPL처분손실-임시3</t>
  </si>
  <si>
    <t>04)FVOCI처분손실</t>
  </si>
  <si>
    <t>RS240A</t>
  </si>
  <si>
    <t>FVOCI처분손실-채무상품</t>
  </si>
  <si>
    <t>환산손실-임시1</t>
  </si>
  <si>
    <t>환산손실-임시2</t>
  </si>
  <si>
    <t>환산손실-임시3</t>
  </si>
  <si>
    <t>05)외환환산손실</t>
  </si>
  <si>
    <t>외화환산손실</t>
  </si>
  <si>
    <t>06)외환차손</t>
  </si>
  <si>
    <t>RS240C</t>
  </si>
  <si>
    <t>외환차손</t>
  </si>
  <si>
    <t>외환차손-임시1</t>
  </si>
  <si>
    <t>외환차손-임시2</t>
  </si>
  <si>
    <t>외환차손-임시3</t>
  </si>
  <si>
    <t>07)파생상품평가손실</t>
  </si>
  <si>
    <t>RS240B</t>
  </si>
  <si>
    <t>파생상품평가손실(IS)</t>
  </si>
  <si>
    <t>평가손실-임시1</t>
  </si>
  <si>
    <t>평가손실-임시2</t>
  </si>
  <si>
    <t>평가손실-임시3</t>
  </si>
  <si>
    <t>09)파생상품거래손실</t>
  </si>
  <si>
    <t>RSC251</t>
  </si>
  <si>
    <t>파생상품거래손실</t>
  </si>
  <si>
    <t>거래손실-임시1</t>
  </si>
  <si>
    <t>거래손실-임시2</t>
  </si>
  <si>
    <t>거래손실-임시3</t>
  </si>
  <si>
    <t>08)사업부간지급이자</t>
  </si>
  <si>
    <t>RS251</t>
  </si>
  <si>
    <t>사업부간 수입이자</t>
  </si>
  <si>
    <t>순이자지급</t>
  </si>
  <si>
    <t>97)임시금융비용1</t>
  </si>
  <si>
    <t>금융비용-임시1</t>
  </si>
  <si>
    <t>금융비용-임시2</t>
  </si>
  <si>
    <t>금융비용-임시3</t>
  </si>
  <si>
    <t>98)임시금융비용2</t>
  </si>
  <si>
    <t>99)임시금융비용3</t>
  </si>
  <si>
    <t>Ⅹ.지분법손익</t>
  </si>
  <si>
    <t>RS124A</t>
  </si>
  <si>
    <t>01)지분법이익</t>
  </si>
  <si>
    <t>RS181</t>
  </si>
  <si>
    <t>지분법이익-임시1</t>
  </si>
  <si>
    <t>지분법이익-임시2</t>
  </si>
  <si>
    <t>지분법이익-임시3</t>
  </si>
  <si>
    <t>02)지분법손실</t>
  </si>
  <si>
    <t>RS211</t>
  </si>
  <si>
    <t>지분법손실-임시1</t>
  </si>
  <si>
    <t>지분법손실-임시2</t>
  </si>
  <si>
    <t>지분법손실-임시3</t>
  </si>
  <si>
    <t>XI.법인세비용차감전순이익</t>
  </si>
  <si>
    <t>RS143D</t>
  </si>
  <si>
    <t>XⅡ.법인세비용</t>
  </si>
  <si>
    <t>RS123</t>
  </si>
  <si>
    <t>01)법인세비용</t>
  </si>
  <si>
    <t>RS249</t>
  </si>
  <si>
    <t>02)조정법인세</t>
  </si>
  <si>
    <t>RS250</t>
  </si>
  <si>
    <t>조정법인세</t>
  </si>
  <si>
    <t>03)법인세추납액</t>
  </si>
  <si>
    <t>RS238</t>
  </si>
  <si>
    <t>법인세추납액</t>
  </si>
  <si>
    <t>04)법인세환급액</t>
  </si>
  <si>
    <t>RS223</t>
  </si>
  <si>
    <t>법인세환급액</t>
  </si>
  <si>
    <t>XⅢ.계속영업이익</t>
  </si>
  <si>
    <t>RS124B</t>
  </si>
  <si>
    <t>XⅣ.중단영업이익</t>
  </si>
  <si>
    <t>RS124C</t>
  </si>
  <si>
    <t>01)사업양도이익</t>
  </si>
  <si>
    <t>RS222</t>
  </si>
  <si>
    <t>사업양도이익</t>
  </si>
  <si>
    <t>XV. 당기순이익</t>
  </si>
  <si>
    <t>RS143E</t>
  </si>
  <si>
    <t>VLOOKUP INDEX</t>
    <phoneticPr fontId="2" type="noConversion"/>
  </si>
  <si>
    <t>※당기순이익 검증</t>
    <phoneticPr fontId="2" type="noConversion"/>
  </si>
  <si>
    <t>당기순이익</t>
    <phoneticPr fontId="2" type="noConversion"/>
  </si>
  <si>
    <t>********15.당기순이익</t>
  </si>
  <si>
    <t>레벨</t>
  </si>
  <si>
    <t>계정레벨여부</t>
  </si>
  <si>
    <t>재무제표</t>
  </si>
  <si>
    <t>계정코드</t>
  </si>
  <si>
    <t>전체합계</t>
  </si>
  <si>
    <t xml:space="preserve">편의점 </t>
  </si>
  <si>
    <t>프레시몰</t>
  </si>
  <si>
    <t>플랫폼BU공통</t>
  </si>
  <si>
    <t xml:space="preserve">홈쇼핑 </t>
  </si>
  <si>
    <t xml:space="preserve">개발사업부문 </t>
  </si>
  <si>
    <t>지원/기타</t>
  </si>
  <si>
    <t>중단사업</t>
  </si>
  <si>
    <t>0</t>
  </si>
  <si>
    <t/>
  </si>
  <si>
    <t xml:space="preserve">파일다운담당자 </t>
  </si>
  <si>
    <t>00508517</t>
  </si>
  <si>
    <t>파일다운일자</t>
  </si>
  <si>
    <t>파일다운시간</t>
  </si>
  <si>
    <t>회사코드</t>
  </si>
  <si>
    <t>1000</t>
  </si>
  <si>
    <t>회계년도</t>
  </si>
  <si>
    <t>2025</t>
  </si>
  <si>
    <t>조회기간</t>
  </si>
  <si>
    <t>202512</t>
  </si>
  <si>
    <t>레포트 선택</t>
  </si>
  <si>
    <t xml:space="preserve">재무상태표 </t>
  </si>
  <si>
    <t>사업부 선택</t>
  </si>
  <si>
    <t>전사</t>
  </si>
  <si>
    <t xml:space="preserve">재 무 상 태 표 </t>
  </si>
  <si>
    <t>RS162</t>
  </si>
  <si>
    <t>1</t>
  </si>
  <si>
    <t xml:space="preserve">자 산 </t>
  </si>
  <si>
    <t>RS6</t>
  </si>
  <si>
    <t>2</t>
  </si>
  <si>
    <t xml:space="preserve">Ⅰ. 유 동 자 산 </t>
  </si>
  <si>
    <t>RS7</t>
  </si>
  <si>
    <t>3</t>
  </si>
  <si>
    <t>(1) 현금및현금성자산</t>
  </si>
  <si>
    <t>RS13</t>
  </si>
  <si>
    <t>4</t>
  </si>
  <si>
    <t>01. 현금</t>
  </si>
  <si>
    <t>RS28</t>
  </si>
  <si>
    <t>5</t>
  </si>
  <si>
    <t>GL계정</t>
  </si>
  <si>
    <t>현금등-현금</t>
  </si>
  <si>
    <t>0001110101</t>
  </si>
  <si>
    <t>현금등-일반전도자금</t>
  </si>
  <si>
    <t>0001110103</t>
  </si>
  <si>
    <t>현금등-특별전도자금</t>
  </si>
  <si>
    <t>0001110104</t>
  </si>
  <si>
    <t>02. 당좌예금</t>
  </si>
  <si>
    <t>RS30</t>
  </si>
  <si>
    <t xml:space="preserve">신한펌뱅킹지급계좌 </t>
  </si>
  <si>
    <t>0007880010</t>
  </si>
  <si>
    <t>우리재경팀당좌예금</t>
  </si>
  <si>
    <t>0007200010</t>
  </si>
  <si>
    <t>하나재경팀당좌예금</t>
  </si>
  <si>
    <t>0007810010</t>
  </si>
  <si>
    <t>신한재경팀당좌예금</t>
  </si>
  <si>
    <t>0007260010</t>
  </si>
  <si>
    <t>제일은행 트윈타워 통장(H&amp;B)</t>
  </si>
  <si>
    <t>0007810011</t>
  </si>
  <si>
    <t xml:space="preserve">우리은행 외화 펌뱅킹 </t>
  </si>
  <si>
    <t>0007206250</t>
  </si>
  <si>
    <t>03. 보통예금</t>
  </si>
  <si>
    <t>RS290</t>
  </si>
  <si>
    <t>가. CVS</t>
  </si>
  <si>
    <t>RS291</t>
  </si>
  <si>
    <t>6</t>
  </si>
  <si>
    <t>개발자금</t>
  </si>
  <si>
    <t>RS291A</t>
  </si>
  <si>
    <t>7</t>
  </si>
  <si>
    <t>(해지)CVS 개발자금(박세준)</t>
  </si>
  <si>
    <t>0007266980</t>
  </si>
  <si>
    <t>(해지)CVS 개발자금(신동훈)</t>
  </si>
  <si>
    <t>0007268020</t>
  </si>
  <si>
    <t>(해지)CVS 개발자금(정호진)</t>
  </si>
  <si>
    <t>0007268030</t>
  </si>
  <si>
    <t>(해지)CVS 개발자금(김창국)</t>
  </si>
  <si>
    <t>0007268090</t>
  </si>
  <si>
    <t>(해지)CVS 개발자금(심우현)</t>
  </si>
  <si>
    <t>0007268080</t>
  </si>
  <si>
    <t>(해지)CVS 개발자금(이광원)</t>
  </si>
  <si>
    <t>0007268150</t>
  </si>
  <si>
    <t>1부문)긴급자금통장</t>
  </si>
  <si>
    <t>0007047870</t>
  </si>
  <si>
    <t>(해지)CVS 개발자금(조성환)</t>
  </si>
  <si>
    <t>0007267070</t>
  </si>
  <si>
    <t>(해지)CVS 개발자금(김지훈)</t>
  </si>
  <si>
    <t>0007121400</t>
  </si>
  <si>
    <t>(해지)CVS 개발자금(김재훈)</t>
  </si>
  <si>
    <t>0007207290</t>
  </si>
  <si>
    <t>1부문관리(개발)</t>
  </si>
  <si>
    <t>0007047310</t>
  </si>
  <si>
    <t>2부문관리(개발)</t>
  </si>
  <si>
    <t>0007047320</t>
  </si>
  <si>
    <t>3부문관리(개발)</t>
  </si>
  <si>
    <t>0007047330</t>
  </si>
  <si>
    <t>4부문관리(개발)</t>
  </si>
  <si>
    <t>0007047340</t>
  </si>
  <si>
    <t>5부문관리(개발)</t>
  </si>
  <si>
    <t>0007047350</t>
  </si>
  <si>
    <t>6부문관리(개발)</t>
  </si>
  <si>
    <t>0007047360</t>
  </si>
  <si>
    <t>(해지)CVS 개발자금(유경민)</t>
  </si>
  <si>
    <t>0007121180</t>
  </si>
  <si>
    <t>(해지)CVS 개발자금(정지훈)</t>
  </si>
  <si>
    <t>0007121270</t>
  </si>
  <si>
    <t>(해지)CVS 개발자금(정보형)</t>
  </si>
  <si>
    <t>0007121140</t>
  </si>
  <si>
    <t>(해지)CVS 개발자금(이한성)</t>
  </si>
  <si>
    <t>0007121110</t>
  </si>
  <si>
    <t>(해지)CVS 개발자금(문수영)</t>
  </si>
  <si>
    <t>0007121240</t>
  </si>
  <si>
    <t>(해지)CVS 개발자금(장일평)</t>
  </si>
  <si>
    <t>0007121370</t>
  </si>
  <si>
    <t>(해지)CVS 개발자금(박범수)</t>
  </si>
  <si>
    <t>0007121170</t>
  </si>
  <si>
    <t>(해지)CVS 개발자금(백창익)</t>
  </si>
  <si>
    <t>0007266910</t>
  </si>
  <si>
    <t>(해지)CVS 개발자금(오세훈)</t>
  </si>
  <si>
    <t>0007121280</t>
  </si>
  <si>
    <t>(해지)개발자금(김정현)</t>
  </si>
  <si>
    <t>0007207280</t>
  </si>
  <si>
    <t>(해지)개발자금(이병용)</t>
  </si>
  <si>
    <t>0007207270</t>
  </si>
  <si>
    <t>(해지)CVS 개발자금(강민수)</t>
  </si>
  <si>
    <t>0007121290</t>
  </si>
  <si>
    <t>(해지)CVS 개발자금(윤성일)</t>
  </si>
  <si>
    <t>0007207160</t>
  </si>
  <si>
    <t>(해지)CVS 개발자금(조세현)</t>
  </si>
  <si>
    <t>0007121250</t>
  </si>
  <si>
    <t>(해지)개발자금(김영명)</t>
  </si>
  <si>
    <t>0007121200</t>
  </si>
  <si>
    <t>4부문)개발 전도자금</t>
  </si>
  <si>
    <t>0007205480</t>
  </si>
  <si>
    <t>6부문)개발 전도자금</t>
  </si>
  <si>
    <t>0007205610</t>
  </si>
  <si>
    <t>(해지)개발자금(김기민)</t>
  </si>
  <si>
    <t>0007207190</t>
  </si>
  <si>
    <t>(해지)개발자금(안형기)</t>
  </si>
  <si>
    <t>0007121050</t>
  </si>
  <si>
    <t>(해지)개발자금(유승훈)</t>
  </si>
  <si>
    <t>0007121120</t>
  </si>
  <si>
    <t>(해지)개발자금(유범준)</t>
  </si>
  <si>
    <t>0007207110</t>
  </si>
  <si>
    <t>(해지)개발자금(신문섭)</t>
  </si>
  <si>
    <t>0007206930</t>
  </si>
  <si>
    <t>2부문)개발 전도자금</t>
  </si>
  <si>
    <t>0007264990</t>
  </si>
  <si>
    <t>3부문)개발 전도자금</t>
  </si>
  <si>
    <t>0007265010</t>
  </si>
  <si>
    <t>5부문)개발 전도자금</t>
  </si>
  <si>
    <t>0007205490</t>
  </si>
  <si>
    <t>1부문)개발 전도자금</t>
  </si>
  <si>
    <t>0007264870</t>
  </si>
  <si>
    <t>(해지)개발자금(김진규)</t>
  </si>
  <si>
    <t>0007207150</t>
  </si>
  <si>
    <t>(해지)개발자금(정석민)</t>
  </si>
  <si>
    <t>0007121010</t>
  </si>
  <si>
    <t>(해지)개발자금(고의석)</t>
  </si>
  <si>
    <t>0007121040</t>
  </si>
  <si>
    <t>(해지)개발자금(정기용)</t>
  </si>
  <si>
    <t>0007121030</t>
  </si>
  <si>
    <t>(해지)개발자금(이동엽)</t>
  </si>
  <si>
    <t>0007207140</t>
  </si>
  <si>
    <t>편의점사업부)사업기획</t>
  </si>
  <si>
    <t>0007204810</t>
  </si>
  <si>
    <t>(해지)개발자금(최창묵)</t>
  </si>
  <si>
    <t>0007121080</t>
  </si>
  <si>
    <t>(해지)개발자금(우찬용)</t>
  </si>
  <si>
    <t>0007207090</t>
  </si>
  <si>
    <t>(해지)개발자금(장지홍)</t>
  </si>
  <si>
    <t>0007266540</t>
  </si>
  <si>
    <t>(해지)CVS)개발자금(이기웅)</t>
  </si>
  <si>
    <t>0007202640</t>
  </si>
  <si>
    <t>(해지)CVS)개발자금(정호길)</t>
  </si>
  <si>
    <t>0007202600</t>
  </si>
  <si>
    <t>(해지)CVS)개발자금(허윤범)</t>
  </si>
  <si>
    <t>0007043930</t>
  </si>
  <si>
    <t>(해지)CVS)개발자금(김완근)</t>
  </si>
  <si>
    <t>0007262090</t>
  </si>
  <si>
    <t>(해지)CVS)개발자금(김기윤)</t>
  </si>
  <si>
    <t>0007262180</t>
  </si>
  <si>
    <t>(해지)CVS)개발자금(홍종범)</t>
  </si>
  <si>
    <t>0007262560</t>
  </si>
  <si>
    <t>(해지)CVS)영남입금계좌</t>
  </si>
  <si>
    <t>0007040970</t>
  </si>
  <si>
    <t>CVS)개발자금(SD기획)</t>
  </si>
  <si>
    <t>0007041120</t>
  </si>
  <si>
    <t>(해지)CVS)개발자금(오동필)</t>
  </si>
  <si>
    <t>0007043680</t>
  </si>
  <si>
    <t>(해지)CVS)개발자금(안형기)</t>
  </si>
  <si>
    <t>0007043690</t>
  </si>
  <si>
    <t>(해지)CVS)개발자금(박필종)</t>
  </si>
  <si>
    <t>0007043750</t>
  </si>
  <si>
    <t>(해지)CVS)개발자금(최영헌)</t>
  </si>
  <si>
    <t>0007043830</t>
  </si>
  <si>
    <t>(해지)CVS)개발자금(임진현)</t>
  </si>
  <si>
    <t>0007043900</t>
  </si>
  <si>
    <t>(해지)CVS)개발자금(정충일)</t>
  </si>
  <si>
    <t>0007044250</t>
  </si>
  <si>
    <t>(해지)CVS)개발자금(유강석)</t>
  </si>
  <si>
    <t>0007044390</t>
  </si>
  <si>
    <t>(해지)CVS)개발자금(범은철)</t>
  </si>
  <si>
    <t>0007113560</t>
  </si>
  <si>
    <t>(해지)CVS)개발자금(김복용)</t>
  </si>
  <si>
    <t>0007202740</t>
  </si>
  <si>
    <t>(해지)CVS)개발자금(김동관)</t>
  </si>
  <si>
    <t>0007202900</t>
  </si>
  <si>
    <t>(해지)CVS)개발자금(김성순)</t>
  </si>
  <si>
    <t>0007262010</t>
  </si>
  <si>
    <t>(해지)CVS)개발자금(최용수)</t>
  </si>
  <si>
    <t>0007262160</t>
  </si>
  <si>
    <t>(해지)CVS)개발자금(노영일)</t>
  </si>
  <si>
    <t>0007262270</t>
  </si>
  <si>
    <t>(해지)CVS)개발자금(이영규)</t>
  </si>
  <si>
    <t>0007262330</t>
  </si>
  <si>
    <t>(해지)CVS)개발자금(박철현)</t>
  </si>
  <si>
    <t>0007262440</t>
  </si>
  <si>
    <t>(해지)CVS 개발자금(문현진)</t>
  </si>
  <si>
    <t>0007262830</t>
  </si>
  <si>
    <t>(해지)CVS 개발자금(정재교)</t>
  </si>
  <si>
    <t>0007263040</t>
  </si>
  <si>
    <t>(해지)CVS 개발자금(윤덕일)</t>
  </si>
  <si>
    <t>0007263470</t>
  </si>
  <si>
    <t>(해지)CVS 개발자금(신경범)</t>
  </si>
  <si>
    <t>0007263480</t>
  </si>
  <si>
    <t>(해지)CVS 개발자금(김승태)</t>
  </si>
  <si>
    <t>0007206780</t>
  </si>
  <si>
    <t>(해지)CVS 개발자금(김종환)</t>
  </si>
  <si>
    <t>0007263530</t>
  </si>
  <si>
    <t>(해지)CVS 개발자금(김진규)</t>
  </si>
  <si>
    <t>0007045340</t>
  </si>
  <si>
    <t>(해지)CVS 개발자금(김진근)</t>
  </si>
  <si>
    <t>0007266400</t>
  </si>
  <si>
    <t>(해지)CVS 개발자금(박상욱)</t>
  </si>
  <si>
    <t>0007266410</t>
  </si>
  <si>
    <t>(해지)CVS 개발자금(박헌진)</t>
  </si>
  <si>
    <t>0007206790</t>
  </si>
  <si>
    <t>(해지)CVS 개발자금(변하연)</t>
  </si>
  <si>
    <t>0007206760</t>
  </si>
  <si>
    <t>(해지)CVS 개발자금(오선호)</t>
  </si>
  <si>
    <t>0007263640</t>
  </si>
  <si>
    <t>(해지)CVS 개발자금(이철규)</t>
  </si>
  <si>
    <t>0007118210</t>
  </si>
  <si>
    <t>(해지)CVS 개발자금(이호진)</t>
  </si>
  <si>
    <t>0007206750</t>
  </si>
  <si>
    <t>(해지)CVS 개발자금(장동수)</t>
  </si>
  <si>
    <t>0007206860</t>
  </si>
  <si>
    <t>(해지)CVS 개발자금(전종민)</t>
  </si>
  <si>
    <t>0007118110</t>
  </si>
  <si>
    <t>(해지)CVS 개발자금(홍경진)</t>
  </si>
  <si>
    <t>0007206800</t>
  </si>
  <si>
    <t>(해지)CVS 개발자금(홍승우)</t>
  </si>
  <si>
    <t>0007206730</t>
  </si>
  <si>
    <t>(해지)CVS 개발자금(홍태양)</t>
  </si>
  <si>
    <t>0007045630</t>
  </si>
  <si>
    <t>(해지)CVS 개발자금(김병철)</t>
  </si>
  <si>
    <t>0007045640</t>
  </si>
  <si>
    <t>(해지)CVS 개발자금(심규덕)</t>
  </si>
  <si>
    <t>0007118720</t>
  </si>
  <si>
    <t>(해지)CVS 개발자금(정승무)</t>
  </si>
  <si>
    <t>0007206980</t>
  </si>
  <si>
    <t>(해지)CVS 개발자금(박큰솔)</t>
  </si>
  <si>
    <t>0007206990</t>
  </si>
  <si>
    <t>(해지)CVS 개발자금(김종훈)</t>
  </si>
  <si>
    <t>0007266760</t>
  </si>
  <si>
    <t>(해지)CVS 개발자금(김의종)</t>
  </si>
  <si>
    <t>0007266610</t>
  </si>
  <si>
    <t>(해지)CVS 개발자금(박정식)</t>
  </si>
  <si>
    <t>0007207030</t>
  </si>
  <si>
    <t>(해지)CVS 개발자금(김무환)</t>
  </si>
  <si>
    <t>0007119460</t>
  </si>
  <si>
    <t>(해지)CVS 개발자금(윤효진)</t>
  </si>
  <si>
    <t>0007120000</t>
  </si>
  <si>
    <t>(해지)CVS 개발자금(오진석)</t>
  </si>
  <si>
    <t>0007207000</t>
  </si>
  <si>
    <t>(해지)CVS 개발자금(유병호)</t>
  </si>
  <si>
    <t>0007207010</t>
  </si>
  <si>
    <t>(해지)CVS 개발자금(김경남)</t>
  </si>
  <si>
    <t>0007207060</t>
  </si>
  <si>
    <t>(해지)CVS 개발자금(김보성)</t>
  </si>
  <si>
    <t>0007120010</t>
  </si>
  <si>
    <t>상생기획팀 매출통장</t>
  </si>
  <si>
    <t>0007204440</t>
  </si>
  <si>
    <t>(해지)개발자금(김태훈)</t>
  </si>
  <si>
    <t>0007207250</t>
  </si>
  <si>
    <t>(해지)개발자금(구승호)</t>
  </si>
  <si>
    <t>0007121380</t>
  </si>
  <si>
    <t>(해지)개발자금(이학영)</t>
  </si>
  <si>
    <t>0007121390</t>
  </si>
  <si>
    <t>(해지)개발자금(홍병표)</t>
  </si>
  <si>
    <t>0007207260</t>
  </si>
  <si>
    <t>개발자금(전형준)</t>
  </si>
  <si>
    <t>0007121500</t>
  </si>
  <si>
    <t>(해지)CVS 개발자금(정진우)</t>
  </si>
  <si>
    <t>0007121410</t>
  </si>
  <si>
    <t>(해지)CVS 개발자금(길태오)</t>
  </si>
  <si>
    <t>0007121420</t>
  </si>
  <si>
    <t>(해지)CVS 개발자금(서동윤)</t>
  </si>
  <si>
    <t>0007121430</t>
  </si>
  <si>
    <t>(해지)CVS 개발자금(정정주)</t>
  </si>
  <si>
    <t>0007121440</t>
  </si>
  <si>
    <t>(해지)CVS 개발자금(이희성)</t>
  </si>
  <si>
    <t>0007121450</t>
  </si>
  <si>
    <t>(해지)CVS 개발자금(김수영)</t>
  </si>
  <si>
    <t>0007121460</t>
  </si>
  <si>
    <t>CVS 개발자금(유동규)</t>
  </si>
  <si>
    <t>0007121470</t>
  </si>
  <si>
    <t>(해지)CVS 개발자금(김강호)</t>
  </si>
  <si>
    <t>0007121480</t>
  </si>
  <si>
    <t>(해지)CVS 개발자금(김도형)</t>
  </si>
  <si>
    <t>0007121490</t>
  </si>
  <si>
    <t>(해지)CVS 개발자금(김현욱)</t>
  </si>
  <si>
    <t>0007266950</t>
  </si>
  <si>
    <t>(해지)CVS 개발자금(유승훈)</t>
  </si>
  <si>
    <t>0007266960</t>
  </si>
  <si>
    <t>(해지)CVS 개발자금(오지운)</t>
  </si>
  <si>
    <t>0007266970</t>
  </si>
  <si>
    <t>(해지)개발자금(김경덕)</t>
  </si>
  <si>
    <t>0007121510</t>
  </si>
  <si>
    <t>(해지)개발자금(김종환)</t>
  </si>
  <si>
    <t>0007207300</t>
  </si>
  <si>
    <t>CVS 개발자금(이병무)</t>
  </si>
  <si>
    <t>0007121520</t>
  </si>
  <si>
    <t>아동급식</t>
  </si>
  <si>
    <t>RS291B</t>
  </si>
  <si>
    <t>CVS)급식(경남거제)</t>
  </si>
  <si>
    <t>0007117823</t>
  </si>
  <si>
    <t>CVS)농식품바우처</t>
  </si>
  <si>
    <t>0007117824</t>
  </si>
  <si>
    <t>우리동네GS(아동급식경기)</t>
  </si>
  <si>
    <t>0007117755</t>
  </si>
  <si>
    <t>CVS)급식(남원위생용품)</t>
  </si>
  <si>
    <t>0007117951</t>
  </si>
  <si>
    <t>CVS) 급식(전북정읍)</t>
  </si>
  <si>
    <t>0007117958</t>
  </si>
  <si>
    <t>CVS)급식(전남장성)</t>
  </si>
  <si>
    <t>0007117691</t>
  </si>
  <si>
    <t>CVS)급식(전남화순)</t>
  </si>
  <si>
    <t>0007117692</t>
  </si>
  <si>
    <t>CVS)급식(강원태백)</t>
  </si>
  <si>
    <t>0007117677</t>
  </si>
  <si>
    <t>CVS)급식(전남진도)</t>
  </si>
  <si>
    <t>0007117657</t>
  </si>
  <si>
    <t>CVS)급식(경남거창)</t>
  </si>
  <si>
    <t>0007117658</t>
  </si>
  <si>
    <t>CVS)아동급식(광양여성)</t>
  </si>
  <si>
    <t>0007117369</t>
  </si>
  <si>
    <t>우리동네GS(아동급식)</t>
  </si>
  <si>
    <t>0007117535</t>
  </si>
  <si>
    <t xml:space="preserve">CVS)아동급식(강원양 </t>
  </si>
  <si>
    <t>0007117406</t>
  </si>
  <si>
    <t>CVS)급식(경남함양)</t>
  </si>
  <si>
    <t>0007117402</t>
  </si>
  <si>
    <t>CVS아동급식(강원인제)</t>
  </si>
  <si>
    <t>0007117229</t>
  </si>
  <si>
    <t>CVS아동급식(충남계룡)</t>
  </si>
  <si>
    <t>0007117236</t>
  </si>
  <si>
    <t xml:space="preserve">CVS)아동급식 청양군 </t>
  </si>
  <si>
    <t>0007117128</t>
  </si>
  <si>
    <t>CVS아동급식(성동여성)</t>
  </si>
  <si>
    <t>0007117251</t>
  </si>
  <si>
    <t>CVS아동급식(김제여성)</t>
  </si>
  <si>
    <t>0007117249</t>
  </si>
  <si>
    <t>CVS아동급식(전남순천)</t>
  </si>
  <si>
    <t>0007117247</t>
  </si>
  <si>
    <t>CVS아동급식(청양간식)</t>
  </si>
  <si>
    <t>0007117248</t>
  </si>
  <si>
    <t>CVS아동급식(거제)</t>
  </si>
  <si>
    <t>0007117192</t>
  </si>
  <si>
    <t>CVS아동급식(고성2)</t>
  </si>
  <si>
    <t>0007117193</t>
  </si>
  <si>
    <t>CVS아동급식(홍천)</t>
  </si>
  <si>
    <t>0007117194</t>
  </si>
  <si>
    <t>CVS)급식(광주동구)</t>
  </si>
  <si>
    <t>0007263850</t>
  </si>
  <si>
    <t>CVS)급식(광주서구)</t>
  </si>
  <si>
    <t>0007263860</t>
  </si>
  <si>
    <t>CVS)급식(영월군)</t>
  </si>
  <si>
    <t>0007266590</t>
  </si>
  <si>
    <t>CVS)급식(춘천)</t>
  </si>
  <si>
    <t>0007262410</t>
  </si>
  <si>
    <t>CVS)급식(인천동구)</t>
  </si>
  <si>
    <t>0007261040</t>
  </si>
  <si>
    <t>CVS)급식(강원동해)</t>
  </si>
  <si>
    <t>0007261060</t>
  </si>
  <si>
    <t>CVS)급식(인천강화)</t>
  </si>
  <si>
    <t>0007042350</t>
  </si>
  <si>
    <t>CVS)급식(김해)</t>
  </si>
  <si>
    <t>0007390070</t>
  </si>
  <si>
    <t>CVS)급식(밀양)</t>
  </si>
  <si>
    <t>0007390080</t>
  </si>
  <si>
    <t>CVS)급식(창원)</t>
  </si>
  <si>
    <t>0007390090</t>
  </si>
  <si>
    <t>CVS)급식(서산)</t>
  </si>
  <si>
    <t>0007111560</t>
  </si>
  <si>
    <t>CVS)급식(홍성)</t>
  </si>
  <si>
    <t>0007111540</t>
  </si>
  <si>
    <t>CVS)급식(세종)</t>
  </si>
  <si>
    <t>0007111550</t>
  </si>
  <si>
    <t>CVS)급식(연수)</t>
  </si>
  <si>
    <t>0007042310</t>
  </si>
  <si>
    <t>CVS)급식(원주)</t>
  </si>
  <si>
    <t>0007042320</t>
  </si>
  <si>
    <t>CVS)급식(인천중구)</t>
  </si>
  <si>
    <t>0007042250</t>
  </si>
  <si>
    <t>CVS)급식(인천서구)</t>
  </si>
  <si>
    <t>0007042260</t>
  </si>
  <si>
    <t>CVS)급식(거창)</t>
  </si>
  <si>
    <t>0007042270</t>
  </si>
  <si>
    <t>CVS)급식(사천)</t>
  </si>
  <si>
    <t>0007262480</t>
  </si>
  <si>
    <t>CVS)급식(인천남구)</t>
  </si>
  <si>
    <t>0007260950</t>
  </si>
  <si>
    <t>CVS)급식(전주)</t>
  </si>
  <si>
    <t>0007042230</t>
  </si>
  <si>
    <t>CVS)급식(남원)</t>
  </si>
  <si>
    <t>0007042360</t>
  </si>
  <si>
    <t>CVS)급식(인천부평구)</t>
  </si>
  <si>
    <t>0007261320</t>
  </si>
  <si>
    <t>CVS)급식(인천계양구)</t>
  </si>
  <si>
    <t>0007261330</t>
  </si>
  <si>
    <t>CVS)급식(인천옹진)</t>
  </si>
  <si>
    <t>0007261840</t>
  </si>
  <si>
    <t>CVS)급식(충주)</t>
  </si>
  <si>
    <t>0007262450</t>
  </si>
  <si>
    <t>CVS)급식(고양)</t>
  </si>
  <si>
    <t>0007110150</t>
  </si>
  <si>
    <t>CVS)급식(충남/울산)</t>
  </si>
  <si>
    <t>0007111030</t>
  </si>
  <si>
    <t>CVS)급식(울산중구)</t>
  </si>
  <si>
    <t>0007111280</t>
  </si>
  <si>
    <t>CVS)급식(서울)</t>
  </si>
  <si>
    <t>0007200780</t>
  </si>
  <si>
    <t>CVS)급식(인천남동)</t>
  </si>
  <si>
    <t>0007260600</t>
  </si>
  <si>
    <t>CVS)급식(대구)</t>
  </si>
  <si>
    <t>0007310150</t>
  </si>
  <si>
    <t>CVS)급식(부산중구)</t>
  </si>
  <si>
    <t>0007320380</t>
  </si>
  <si>
    <t>CVS)급식(부산서구)</t>
  </si>
  <si>
    <t>0007320390</t>
  </si>
  <si>
    <t>CVS)급식(부산동구)</t>
  </si>
  <si>
    <t>0007320400</t>
  </si>
  <si>
    <t>CVS)급식(부산영도)</t>
  </si>
  <si>
    <t>0007320410</t>
  </si>
  <si>
    <t>CVS)급식(부산진구)</t>
  </si>
  <si>
    <t>0007320420</t>
  </si>
  <si>
    <t>CVS)급식(부산동래)</t>
  </si>
  <si>
    <t>0007320430</t>
  </si>
  <si>
    <t>CVS)급식(부산남구)</t>
  </si>
  <si>
    <t>0007320440</t>
  </si>
  <si>
    <t>CVS)급식(부산북구)</t>
  </si>
  <si>
    <t>0007320450</t>
  </si>
  <si>
    <t>CVS)급식(해운대구)</t>
  </si>
  <si>
    <t>0007320460</t>
  </si>
  <si>
    <t>CVS)급식(부산사하)</t>
  </si>
  <si>
    <t>0007320470</t>
  </si>
  <si>
    <t>CVS)급식(부산금정)</t>
  </si>
  <si>
    <t>0007320480</t>
  </si>
  <si>
    <t>CVS)급식(부산강서)</t>
  </si>
  <si>
    <t>0007320490</t>
  </si>
  <si>
    <t>CVS)급식(부산연제)</t>
  </si>
  <si>
    <t>0007320500</t>
  </si>
  <si>
    <t>CVS)급식(부산수영)</t>
  </si>
  <si>
    <t>0007320510</t>
  </si>
  <si>
    <t>CVS)급식(부산사상)</t>
  </si>
  <si>
    <t>0007320520</t>
  </si>
  <si>
    <t>CVS)급식(부산기장)</t>
  </si>
  <si>
    <t>0007320530</t>
  </si>
  <si>
    <t>CVS)급식(철원)</t>
  </si>
  <si>
    <t>0007262640</t>
  </si>
  <si>
    <t>CVS)급식(속초)</t>
  </si>
  <si>
    <t>0007262700</t>
  </si>
  <si>
    <t>CVS)급식(충남논산)</t>
  </si>
  <si>
    <t>0007262930</t>
  </si>
  <si>
    <t>CVS)아동급식(고성)</t>
  </si>
  <si>
    <t>0007262780</t>
  </si>
  <si>
    <t>CVS)급식(경남통영)</t>
  </si>
  <si>
    <t>0007263140</t>
  </si>
  <si>
    <t>CVS)급식(충남당진)</t>
  </si>
  <si>
    <t>0007263130</t>
  </si>
  <si>
    <t>CVS)급식(충북청주)</t>
  </si>
  <si>
    <t>0007263460</t>
  </si>
  <si>
    <t>CVS)급식(충남금산군)</t>
  </si>
  <si>
    <t>0007263780</t>
  </si>
  <si>
    <t>CVS)급식(충북증평군)</t>
  </si>
  <si>
    <t>0007263810</t>
  </si>
  <si>
    <t>CVS)급식(충북제천)</t>
  </si>
  <si>
    <t>0007263830</t>
  </si>
  <si>
    <t>CVS)급식(광주남구)</t>
  </si>
  <si>
    <t>0007263840</t>
  </si>
  <si>
    <t>CVS)급식(광주광산구)</t>
  </si>
  <si>
    <t>0007266740</t>
  </si>
  <si>
    <t>CVS)급식(인천교육청)</t>
  </si>
  <si>
    <t>0007266770</t>
  </si>
  <si>
    <t>CVS급식)광주북구</t>
  </si>
  <si>
    <t>0007266780</t>
  </si>
  <si>
    <t>CVS)급식(강원강릉시)</t>
  </si>
  <si>
    <t>0007111561</t>
  </si>
  <si>
    <t>CVS)급식(전북남원시)</t>
  </si>
  <si>
    <t>0007111562</t>
  </si>
  <si>
    <t>CVS아동급식(김제아동)</t>
  </si>
  <si>
    <t>0007117252</t>
  </si>
  <si>
    <t>CVS)급식(충북옥천)</t>
  </si>
  <si>
    <t>0007117393</t>
  </si>
  <si>
    <t>CVS)급식(전북장수)</t>
  </si>
  <si>
    <t>0007117394</t>
  </si>
  <si>
    <t>CVS)급식(서울중구진로)</t>
  </si>
  <si>
    <t>0007117959</t>
  </si>
  <si>
    <t xml:space="preserve">주류대금 </t>
  </si>
  <si>
    <t>RS291C</t>
  </si>
  <si>
    <t>경주법주㈜부산사무소(수퍼D)</t>
  </si>
  <si>
    <t>0007215920</t>
  </si>
  <si>
    <t>경주법주㈜부산사무소(수퍼T)</t>
  </si>
  <si>
    <t>0007215930</t>
  </si>
  <si>
    <t>㈜금복주부산지점(수퍼D)</t>
  </si>
  <si>
    <t>0007215940</t>
  </si>
  <si>
    <t>㈜금복주부산지점(수퍼T)</t>
  </si>
  <si>
    <t>0007215950</t>
  </si>
  <si>
    <t>대선주조(주)부산직매장(수퍼D)</t>
  </si>
  <si>
    <t>0007215960</t>
  </si>
  <si>
    <t>대선주조(주)부산직매장(수퍼T)</t>
  </si>
  <si>
    <t>0007215970</t>
  </si>
  <si>
    <t>디아지오코리아 주식회사(수퍼D)</t>
  </si>
  <si>
    <t>0007215980</t>
  </si>
  <si>
    <t>디아지오코리아 주식회사(수퍼T)</t>
  </si>
  <si>
    <t>0007215990</t>
  </si>
  <si>
    <t>롯데칠성음료㈜경남직매장-소주(수퍼D)</t>
  </si>
  <si>
    <t>0007216010</t>
  </si>
  <si>
    <t>롯데칠성음료㈜경남직매장-소주(수퍼T)</t>
  </si>
  <si>
    <t>0007216020</t>
  </si>
  <si>
    <t>하이트진로㈜남부산직매장-맥주(수퍼D)</t>
  </si>
  <si>
    <t>0007216030</t>
  </si>
  <si>
    <t>하이트진로㈜남부산직매장-맥주(수퍼T)</t>
  </si>
  <si>
    <t>0007216040</t>
  </si>
  <si>
    <t>하이트진로㈜남부산직매장-소주(수퍼D)</t>
  </si>
  <si>
    <t>0007216050</t>
  </si>
  <si>
    <t>하이트진로㈜남부산직매장-소주(수퍼T)</t>
  </si>
  <si>
    <t>0007216060</t>
  </si>
  <si>
    <t>㈜무학부산지점(수퍼D)</t>
  </si>
  <si>
    <t>0007216070</t>
  </si>
  <si>
    <t>㈜무학부산지점(수퍼T)</t>
  </si>
  <si>
    <t>0007216080</t>
  </si>
  <si>
    <t xml:space="preserve">롯데칠성음료㈜수지직매장 </t>
  </si>
  <si>
    <t>0007216090</t>
  </si>
  <si>
    <t>롯데칠성음료㈜화성직매장</t>
  </si>
  <si>
    <t>0007216110</t>
  </si>
  <si>
    <t>0007216120</t>
  </si>
  <si>
    <t>롯데칠성음료㈜청원직매장</t>
  </si>
  <si>
    <t>0007216130</t>
  </si>
  <si>
    <t>롯데칠성음료㈜경남직매장</t>
  </si>
  <si>
    <t>0007216140</t>
  </si>
  <si>
    <t>롯데주류(신광주)</t>
  </si>
  <si>
    <t>0007215880</t>
  </si>
  <si>
    <t>롯데주류(장성)</t>
  </si>
  <si>
    <t>0007215890</t>
  </si>
  <si>
    <t>롯데주류(익산)</t>
  </si>
  <si>
    <t>0007215910</t>
  </si>
  <si>
    <t>디아지오코리아 화성발안</t>
  </si>
  <si>
    <t>0007215870</t>
  </si>
  <si>
    <t>경주법주 화성</t>
  </si>
  <si>
    <t>0007215780</t>
  </si>
  <si>
    <t>(주)금복주 화성</t>
  </si>
  <si>
    <t>0007215790</t>
  </si>
  <si>
    <t>대선주조 화성</t>
  </si>
  <si>
    <t>0007215810</t>
  </si>
  <si>
    <t>디아지오코리아 화성</t>
  </si>
  <si>
    <t>0007215820</t>
  </si>
  <si>
    <t>롯데칠성음료(주)화성-소주</t>
  </si>
  <si>
    <t>0007215830</t>
  </si>
  <si>
    <t>하이트진로㈜화성-맥주</t>
  </si>
  <si>
    <t>0007215840</t>
  </si>
  <si>
    <t>하이트진로㈜화성-소주</t>
  </si>
  <si>
    <t>0007215850</t>
  </si>
  <si>
    <t>(주)무학용인물류센터 화성</t>
  </si>
  <si>
    <t>0007215860</t>
  </si>
  <si>
    <t>(주)금복주_신남양주2</t>
  </si>
  <si>
    <t>0007215680</t>
  </si>
  <si>
    <t>㈜무학_신남양주2</t>
  </si>
  <si>
    <t>0007215690</t>
  </si>
  <si>
    <t>(주)한라산소주_신남양주2</t>
  </si>
  <si>
    <t>0007215710</t>
  </si>
  <si>
    <t>경주법주_신남양주2</t>
  </si>
  <si>
    <t>0007215720</t>
  </si>
  <si>
    <t>디아지오코리아_신남양주2</t>
  </si>
  <si>
    <t>0007215730</t>
  </si>
  <si>
    <t>롯데주류_소주_신남양주2</t>
  </si>
  <si>
    <t>0007215740</t>
  </si>
  <si>
    <t xml:space="preserve">롯데주류_맥주_신광주 </t>
  </si>
  <si>
    <t>0007215750</t>
  </si>
  <si>
    <t xml:space="preserve">하이트진로㈜_소주_신광주 </t>
  </si>
  <si>
    <t>0007215760</t>
  </si>
  <si>
    <t xml:space="preserve">하이트진로㈜_맥주_신광주 </t>
  </si>
  <si>
    <t>0007215770</t>
  </si>
  <si>
    <t xml:space="preserve">(주)금복주_신광주 </t>
  </si>
  <si>
    <t>0007215580</t>
  </si>
  <si>
    <t xml:space="preserve">㈜무학_신광주 </t>
  </si>
  <si>
    <t>0007215590</t>
  </si>
  <si>
    <t xml:space="preserve">(주)한라산소주_신광주 </t>
  </si>
  <si>
    <t>0007215610</t>
  </si>
  <si>
    <t xml:space="preserve">경주법주_신광주 </t>
  </si>
  <si>
    <t>0007215620</t>
  </si>
  <si>
    <t xml:space="preserve">디아지오코리아_신광주 </t>
  </si>
  <si>
    <t>0007215630</t>
  </si>
  <si>
    <t xml:space="preserve">롯데주류_소주_신광주 </t>
  </si>
  <si>
    <t>0007215640</t>
  </si>
  <si>
    <t>0007215650</t>
  </si>
  <si>
    <t>0007215660</t>
  </si>
  <si>
    <t>0007215670</t>
  </si>
  <si>
    <t xml:space="preserve">제주물류_금복주 </t>
  </si>
  <si>
    <t>0007215490</t>
  </si>
  <si>
    <t>제주물류_무학</t>
  </si>
  <si>
    <t>0007215510</t>
  </si>
  <si>
    <t xml:space="preserve">제주물류_한라산소주 </t>
  </si>
  <si>
    <t>0007215520</t>
  </si>
  <si>
    <t>제주물류_경주법주</t>
  </si>
  <si>
    <t>0007215530</t>
  </si>
  <si>
    <t xml:space="preserve">제주물류_디아지오 </t>
  </si>
  <si>
    <t>0007215540</t>
  </si>
  <si>
    <t>제주물류_롯데주류</t>
  </si>
  <si>
    <t>0007215550</t>
  </si>
  <si>
    <t xml:space="preserve">제주물류_하이트소주 </t>
  </si>
  <si>
    <t>0007215560</t>
  </si>
  <si>
    <t xml:space="preserve">제주물류_하이트맥주 </t>
  </si>
  <si>
    <t>0007215570</t>
  </si>
  <si>
    <t xml:space="preserve">신남양주_금복주 </t>
  </si>
  <si>
    <t>0007215410</t>
  </si>
  <si>
    <t>신남양주_무학</t>
  </si>
  <si>
    <t>0007215420</t>
  </si>
  <si>
    <t xml:space="preserve">신남양주_한라산소주 </t>
  </si>
  <si>
    <t>0007215430</t>
  </si>
  <si>
    <t>신남양주_경주법주</t>
  </si>
  <si>
    <t>0007215440</t>
  </si>
  <si>
    <t>신남양주_디아지오코리아</t>
  </si>
  <si>
    <t>0007215450</t>
  </si>
  <si>
    <t>신남양주_롯데주류</t>
  </si>
  <si>
    <t>0007215460</t>
  </si>
  <si>
    <t xml:space="preserve">신남양주_하이트진로소주 </t>
  </si>
  <si>
    <t>0007215470</t>
  </si>
  <si>
    <t xml:space="preserve">신남양주_하이트진로맥주 </t>
  </si>
  <si>
    <t>0007215480</t>
  </si>
  <si>
    <t>(주)금복주_평택</t>
  </si>
  <si>
    <t>0007215120</t>
  </si>
  <si>
    <t>(주)무학_평택</t>
  </si>
  <si>
    <t>0007215130</t>
  </si>
  <si>
    <t>(주)한라산소주_평택</t>
  </si>
  <si>
    <t>0007215140</t>
  </si>
  <si>
    <t>경주법주㈜_평택</t>
  </si>
  <si>
    <t>0007215150</t>
  </si>
  <si>
    <t>디아지오_평택</t>
  </si>
  <si>
    <t>0007215160</t>
  </si>
  <si>
    <t>롯데칠성_평택</t>
  </si>
  <si>
    <t>0007215170</t>
  </si>
  <si>
    <t>페르노리카_평택</t>
  </si>
  <si>
    <t>0007215180</t>
  </si>
  <si>
    <t>하이트진로_평택소주</t>
  </si>
  <si>
    <t>0007215190</t>
  </si>
  <si>
    <t>하이트진로_평택맥주</t>
  </si>
  <si>
    <t>0007215210</t>
  </si>
  <si>
    <t>(주)금복주 평택2</t>
  </si>
  <si>
    <t>0007215220</t>
  </si>
  <si>
    <t>(주)무학 평택2</t>
  </si>
  <si>
    <t>0007215230</t>
  </si>
  <si>
    <t>(주)한라산_평택2</t>
  </si>
  <si>
    <t>0007215240</t>
  </si>
  <si>
    <t>경주법주㈜_평택2</t>
  </si>
  <si>
    <t>0007215250</t>
  </si>
  <si>
    <t>디아지오_평택2</t>
  </si>
  <si>
    <t>0007215260</t>
  </si>
  <si>
    <t>롯데칠성_평택2</t>
  </si>
  <si>
    <t>0007215270</t>
  </si>
  <si>
    <t>페르노리카_평택2</t>
  </si>
  <si>
    <t>0007215280</t>
  </si>
  <si>
    <t>하이트진로_평택2소주</t>
  </si>
  <si>
    <t>0007215290</t>
  </si>
  <si>
    <t>하이트진로_평택2맥주</t>
  </si>
  <si>
    <t>0007215310</t>
  </si>
  <si>
    <t>칠곡센터)디아지오편의점</t>
  </si>
  <si>
    <t>0007215110</t>
  </si>
  <si>
    <t xml:space="preserve">칠곡센터(편의점)대선주조 </t>
  </si>
  <si>
    <t>0007215090</t>
  </si>
  <si>
    <t xml:space="preserve">칠곡센터(편의점)금복주 </t>
  </si>
  <si>
    <t>0007215070</t>
  </si>
  <si>
    <t>칠곡센터(편의점)하이트진로(맥주)</t>
  </si>
  <si>
    <t>0007215080</t>
  </si>
  <si>
    <t>경주법주-남사</t>
  </si>
  <si>
    <t>0007214730</t>
  </si>
  <si>
    <t>경주법주남사</t>
  </si>
  <si>
    <t>0007214920</t>
  </si>
  <si>
    <t>칠곡센터(편의점)경주법주</t>
  </si>
  <si>
    <t>0007215020</t>
  </si>
  <si>
    <t>칠곡센터(편의점)무학주조</t>
  </si>
  <si>
    <t>0007215030</t>
  </si>
  <si>
    <t>칠곡센터(편의점)롯데칠성(소주)</t>
  </si>
  <si>
    <t>0007215040</t>
  </si>
  <si>
    <t>칠곡센터(편의점)하이트진로(소주)</t>
  </si>
  <si>
    <t>0007215050</t>
  </si>
  <si>
    <t>칠곡센터(편의점)페르노리카코리아</t>
  </si>
  <si>
    <t>0007215060</t>
  </si>
  <si>
    <t>디아지오-양산</t>
  </si>
  <si>
    <t>0007214880</t>
  </si>
  <si>
    <t>무학주조남사</t>
  </si>
  <si>
    <t>0007214930</t>
  </si>
  <si>
    <t>롯데칠성남사</t>
  </si>
  <si>
    <t>0007214950</t>
  </si>
  <si>
    <t>하이트진로남사_소주</t>
  </si>
  <si>
    <t>0007214960</t>
  </si>
  <si>
    <t>하이트진로남사_맥주</t>
  </si>
  <si>
    <t>0007214990</t>
  </si>
  <si>
    <t>디아지오-공주</t>
  </si>
  <si>
    <t>0007214890</t>
  </si>
  <si>
    <t>디아지오-발안</t>
  </si>
  <si>
    <t>0007214910</t>
  </si>
  <si>
    <t>페르노리카-용인1</t>
  </si>
  <si>
    <t>0007214830</t>
  </si>
  <si>
    <t>페르노리카-양산</t>
  </si>
  <si>
    <t>0007214840</t>
  </si>
  <si>
    <t>페르노리카-공주</t>
  </si>
  <si>
    <t>0007214850</t>
  </si>
  <si>
    <t>페르노리카-발안</t>
  </si>
  <si>
    <t>0007214860</t>
  </si>
  <si>
    <t>디아지오-용인1</t>
  </si>
  <si>
    <t>0007214870</t>
  </si>
  <si>
    <t>하이트진로(맥주)-남사</t>
  </si>
  <si>
    <t>0007214810</t>
  </si>
  <si>
    <t>한라산소주-남사</t>
  </si>
  <si>
    <t>0007214820</t>
  </si>
  <si>
    <t>FS팀)주류자판기_하나</t>
  </si>
  <si>
    <t>0007811210</t>
  </si>
  <si>
    <t xml:space="preserve">한라산 파주가정 </t>
  </si>
  <si>
    <t>0007214700</t>
  </si>
  <si>
    <t>무학주조-남사</t>
  </si>
  <si>
    <t>0007214740</t>
  </si>
  <si>
    <t>디아지오(수입)-남사</t>
  </si>
  <si>
    <t>0007214750</t>
  </si>
  <si>
    <t>롯데칠성(소주)-남사</t>
  </si>
  <si>
    <t>0007214760</t>
  </si>
  <si>
    <t>하이트진로(소주)-남사</t>
  </si>
  <si>
    <t>0007214770</t>
  </si>
  <si>
    <t>페르노리카코리아-남사</t>
  </si>
  <si>
    <t>0007214780</t>
  </si>
  <si>
    <t>CVS)주류판매</t>
  </si>
  <si>
    <t>0007047010</t>
  </si>
  <si>
    <t>한라산소주 고양2</t>
  </si>
  <si>
    <t>0007214710</t>
  </si>
  <si>
    <t>한라산소주 강릉</t>
  </si>
  <si>
    <t>0007214720</t>
  </si>
  <si>
    <t>경주법주 고촌</t>
  </si>
  <si>
    <t>0007214630</t>
  </si>
  <si>
    <t>무학주조 고촌</t>
  </si>
  <si>
    <t>0007214640</t>
  </si>
  <si>
    <t>디아지오(수입) 고촌</t>
  </si>
  <si>
    <t>0007214650</t>
  </si>
  <si>
    <t>롯데칠성(소주) 고촌</t>
  </si>
  <si>
    <t>0007214660</t>
  </si>
  <si>
    <t>하이트진로(소주) 고촌</t>
  </si>
  <si>
    <t>0007214670</t>
  </si>
  <si>
    <t>페르노리카코리아 고촌</t>
  </si>
  <si>
    <t>0007214680</t>
  </si>
  <si>
    <t>하이트진로(맥주) 고촌</t>
  </si>
  <si>
    <t>0007214690</t>
  </si>
  <si>
    <t xml:space="preserve">경주법주 김해 </t>
  </si>
  <si>
    <t>0007213730</t>
  </si>
  <si>
    <t xml:space="preserve">무학 김해 </t>
  </si>
  <si>
    <t>0007213740</t>
  </si>
  <si>
    <t xml:space="preserve">디아지오 김해 </t>
  </si>
  <si>
    <t>0007213750</t>
  </si>
  <si>
    <t xml:space="preserve">롯데주류 김해 </t>
  </si>
  <si>
    <t>0007213760</t>
  </si>
  <si>
    <t xml:space="preserve">진로 김해 </t>
  </si>
  <si>
    <t>0007213770</t>
  </si>
  <si>
    <t xml:space="preserve">페르노리카 김해 </t>
  </si>
  <si>
    <t>0007213790</t>
  </si>
  <si>
    <t xml:space="preserve">하이트 김해 </t>
  </si>
  <si>
    <t>0007213800</t>
  </si>
  <si>
    <t xml:space="preserve">대선주조 김해 </t>
  </si>
  <si>
    <t>0007213810</t>
  </si>
  <si>
    <t xml:space="preserve">금복주 김해 </t>
  </si>
  <si>
    <t>0007213820</t>
  </si>
  <si>
    <t>경주법주 김해2</t>
  </si>
  <si>
    <t>0007213830</t>
  </si>
  <si>
    <t>무학 김해2</t>
  </si>
  <si>
    <t>0007213840</t>
  </si>
  <si>
    <t>디아지오 김해2</t>
  </si>
  <si>
    <t>0007213850</t>
  </si>
  <si>
    <t>롯데칠성 김해2</t>
  </si>
  <si>
    <t>0007213860</t>
  </si>
  <si>
    <t>진로 김해2</t>
  </si>
  <si>
    <t>0007213870</t>
  </si>
  <si>
    <t>페르노리카 김해2</t>
  </si>
  <si>
    <t>0007213890</t>
  </si>
  <si>
    <t>하이트 김해2</t>
  </si>
  <si>
    <t>0007213900</t>
  </si>
  <si>
    <t>대선주조 김해2</t>
  </si>
  <si>
    <t>0007213910</t>
  </si>
  <si>
    <t>금복주 김해2</t>
  </si>
  <si>
    <t>0007213920</t>
  </si>
  <si>
    <t>경주법주 청주</t>
  </si>
  <si>
    <t>0007213720</t>
  </si>
  <si>
    <t xml:space="preserve">경주법주 평택2가정 </t>
  </si>
  <si>
    <t>0007213570</t>
  </si>
  <si>
    <t xml:space="preserve">경주법주 평택가정 </t>
  </si>
  <si>
    <t>0007213490</t>
  </si>
  <si>
    <t xml:space="preserve">CVS)금복주원주 </t>
  </si>
  <si>
    <t>0007213232</t>
  </si>
  <si>
    <t>CVS)금복주양산2</t>
  </si>
  <si>
    <t>0007211800</t>
  </si>
  <si>
    <t>CVS)무학발안</t>
  </si>
  <si>
    <t>0007212860</t>
  </si>
  <si>
    <t>CVS)무학주조제주</t>
  </si>
  <si>
    <t>0007213230</t>
  </si>
  <si>
    <t>CVS)무학주조원주</t>
  </si>
  <si>
    <t>0007212690</t>
  </si>
  <si>
    <t>CVS)무학인천2</t>
  </si>
  <si>
    <t>0007212950</t>
  </si>
  <si>
    <t xml:space="preserve">CVS)하이트용인 </t>
  </si>
  <si>
    <t>0007210330</t>
  </si>
  <si>
    <t>CVS)경주법주용인</t>
  </si>
  <si>
    <t>0007210350</t>
  </si>
  <si>
    <t>CVS)진로용인</t>
  </si>
  <si>
    <t>0007210370</t>
  </si>
  <si>
    <t>CVS)롯데주류용인</t>
  </si>
  <si>
    <t>0007210390</t>
  </si>
  <si>
    <t>CVS)무학주조용인</t>
  </si>
  <si>
    <t>0007210420</t>
  </si>
  <si>
    <t xml:space="preserve">CVS)페르노리카용인 </t>
  </si>
  <si>
    <t>0007210500</t>
  </si>
  <si>
    <t xml:space="preserve">CVS)디아지오용인 </t>
  </si>
  <si>
    <t>0007210520</t>
  </si>
  <si>
    <t>CVS)경주법주인천</t>
  </si>
  <si>
    <t>0007210530</t>
  </si>
  <si>
    <t>CVS)무학주조인천</t>
  </si>
  <si>
    <t>0007210540</t>
  </si>
  <si>
    <t xml:space="preserve">CVS)디아지오인천 </t>
  </si>
  <si>
    <t>0007210550</t>
  </si>
  <si>
    <t>CVS)롯데주류인천</t>
  </si>
  <si>
    <t>0007210560</t>
  </si>
  <si>
    <t>CVS)진로인천</t>
  </si>
  <si>
    <t>0007210570</t>
  </si>
  <si>
    <t xml:space="preserve">CVS)페르노리카인천 </t>
  </si>
  <si>
    <t>0007210600</t>
  </si>
  <si>
    <t xml:space="preserve">CVS)하이트인천 </t>
  </si>
  <si>
    <t>0007210610</t>
  </si>
  <si>
    <t>CVS)경주법주양산</t>
  </si>
  <si>
    <t>0007210620</t>
  </si>
  <si>
    <t>CVS)무학주조양산</t>
  </si>
  <si>
    <t>0007210630</t>
  </si>
  <si>
    <t xml:space="preserve">CVS)디아지오양산 </t>
  </si>
  <si>
    <t>0007210640</t>
  </si>
  <si>
    <t>CVS)롯데주류양산</t>
  </si>
  <si>
    <t>0007210650</t>
  </si>
  <si>
    <t>CVS)진로양산</t>
  </si>
  <si>
    <t>0007210660</t>
  </si>
  <si>
    <t xml:space="preserve">CVS)페르노리카양산 </t>
  </si>
  <si>
    <t>0007210690</t>
  </si>
  <si>
    <t xml:space="preserve">CVS)하이트양산 </t>
  </si>
  <si>
    <t>0007210700</t>
  </si>
  <si>
    <t>CVS)경주법주칠곡</t>
  </si>
  <si>
    <t>0007210710</t>
  </si>
  <si>
    <t xml:space="preserve">CVS)금복주칠곡 </t>
  </si>
  <si>
    <t>0007210720</t>
  </si>
  <si>
    <t xml:space="preserve">CVS)대선주조칠곡 </t>
  </si>
  <si>
    <t>0007210730</t>
  </si>
  <si>
    <t xml:space="preserve">CVS)디아지오칠곡 </t>
  </si>
  <si>
    <t>0007210740</t>
  </si>
  <si>
    <t>CVS)롯데주류칠곡</t>
  </si>
  <si>
    <t>0007210750</t>
  </si>
  <si>
    <t>CVS)진로칠곡</t>
  </si>
  <si>
    <t>0007210760</t>
  </si>
  <si>
    <t xml:space="preserve">CVS)페르노리카칠곡 </t>
  </si>
  <si>
    <t>0007210790</t>
  </si>
  <si>
    <t xml:space="preserve">CVS)하이트칠곡 </t>
  </si>
  <si>
    <t>0007210800</t>
  </si>
  <si>
    <t xml:space="preserve">CVS)롯데주류남양주 </t>
  </si>
  <si>
    <t>0007210860</t>
  </si>
  <si>
    <t>CVS)디아지오남양주</t>
  </si>
  <si>
    <t>0007210870</t>
  </si>
  <si>
    <t xml:space="preserve">CVS)무학남양주 </t>
  </si>
  <si>
    <t>0007210880</t>
  </si>
  <si>
    <t xml:space="preserve">CVS)진로남양주 </t>
  </si>
  <si>
    <t>0007210890</t>
  </si>
  <si>
    <t>CVS)페르노리카남양주</t>
  </si>
  <si>
    <t>0007210920</t>
  </si>
  <si>
    <t>CVS)하이트남양주</t>
  </si>
  <si>
    <t>0007210930</t>
  </si>
  <si>
    <t>CVS)롯데주류제주</t>
  </si>
  <si>
    <t>0007210940</t>
  </si>
  <si>
    <t xml:space="preserve">CVS)디아지오제주 </t>
  </si>
  <si>
    <t>0007210950</t>
  </si>
  <si>
    <t>CVS)진로제주</t>
  </si>
  <si>
    <t>0007210960</t>
  </si>
  <si>
    <t xml:space="preserve">CVS)페르노리카제주 </t>
  </si>
  <si>
    <t>0007210990</t>
  </si>
  <si>
    <t xml:space="preserve">CVS)하이트제주 </t>
  </si>
  <si>
    <t>0007211000</t>
  </si>
  <si>
    <t xml:space="preserve">CVS)대선주조양산 </t>
  </si>
  <si>
    <t>0007211020</t>
  </si>
  <si>
    <t xml:space="preserve">CVS)금복주양산 </t>
  </si>
  <si>
    <t>0007211030</t>
  </si>
  <si>
    <t xml:space="preserve">CVS)한라산소주제주 </t>
  </si>
  <si>
    <t>0007211040</t>
  </si>
  <si>
    <t>CVS)경주법주중부</t>
  </si>
  <si>
    <t>0007211050</t>
  </si>
  <si>
    <t>CVS)롯데주류중부</t>
  </si>
  <si>
    <t>0007211060</t>
  </si>
  <si>
    <t>CVS)디아지오중부</t>
  </si>
  <si>
    <t>0007211070</t>
  </si>
  <si>
    <t>CVS)무학주조중부</t>
  </si>
  <si>
    <t>0007211080</t>
  </si>
  <si>
    <t>CVS)진로중부</t>
  </si>
  <si>
    <t>0007211090</t>
  </si>
  <si>
    <t>CVS)페르노리카중부</t>
  </si>
  <si>
    <t>0007211120</t>
  </si>
  <si>
    <t>CVS)하이트중부</t>
  </si>
  <si>
    <t>0007211130</t>
  </si>
  <si>
    <t>CVS)무학경인파주</t>
  </si>
  <si>
    <t>0007211580</t>
  </si>
  <si>
    <t xml:space="preserve">CVS)디아지오파주 </t>
  </si>
  <si>
    <t>0007211590</t>
  </si>
  <si>
    <t>CVS)롯데주류파주</t>
  </si>
  <si>
    <t>0007211610</t>
  </si>
  <si>
    <t>CVS)진로파주</t>
  </si>
  <si>
    <t>0007211620</t>
  </si>
  <si>
    <t xml:space="preserve">CVS)페르노리카파주 </t>
  </si>
  <si>
    <t>0007211650</t>
  </si>
  <si>
    <t xml:space="preserve">CVS)하이트파주 </t>
  </si>
  <si>
    <t>0007211660</t>
  </si>
  <si>
    <t xml:space="preserve">CVS)경주법주남양주 </t>
  </si>
  <si>
    <t>0007211670</t>
  </si>
  <si>
    <t>CVS)경주법주파주</t>
  </si>
  <si>
    <t>0007211680</t>
  </si>
  <si>
    <t>CVS)경주법주제주</t>
  </si>
  <si>
    <t>0007211690</t>
  </si>
  <si>
    <t>CVS)경주법주남양주2</t>
  </si>
  <si>
    <t>0007211700</t>
  </si>
  <si>
    <t>CVS)무학남양주2</t>
  </si>
  <si>
    <t>0007211710</t>
  </si>
  <si>
    <t>CVS)디아지오남양주2</t>
  </si>
  <si>
    <t>0007211720</t>
  </si>
  <si>
    <t>CVS)롯데주류남양주2</t>
  </si>
  <si>
    <t>0007211740</t>
  </si>
  <si>
    <t>CVS)진로남양주2</t>
  </si>
  <si>
    <t>0007211750</t>
  </si>
  <si>
    <t>CVS)페르노리카남양주2</t>
  </si>
  <si>
    <t>0007211770</t>
  </si>
  <si>
    <t>CVS)하이트남양주2</t>
  </si>
  <si>
    <t>0007211780</t>
  </si>
  <si>
    <t>CVS)경주법주양산2</t>
  </si>
  <si>
    <t>0007211790</t>
  </si>
  <si>
    <t>CVS)대선주조양산2</t>
  </si>
  <si>
    <t>0007211810</t>
  </si>
  <si>
    <t>CVS)무학양산2</t>
  </si>
  <si>
    <t>0007211820</t>
  </si>
  <si>
    <t>CVS)디아지오양산2</t>
  </si>
  <si>
    <t>0007211830</t>
  </si>
  <si>
    <t>CVS)롯데주류양산2</t>
  </si>
  <si>
    <t>0007211850</t>
  </si>
  <si>
    <t>CVS)진로양산2</t>
  </si>
  <si>
    <t>0007211860</t>
  </si>
  <si>
    <t>CVS)페르노리카양산2</t>
  </si>
  <si>
    <t>0007211880</t>
  </si>
  <si>
    <t>CVS)하이트양산2</t>
  </si>
  <si>
    <t>0007211890</t>
  </si>
  <si>
    <t>CVS)경주법주장성</t>
  </si>
  <si>
    <t>0007212070</t>
  </si>
  <si>
    <t>CVS)무학장성</t>
  </si>
  <si>
    <t>0007212080</t>
  </si>
  <si>
    <t xml:space="preserve">CVS)디아지오장성 </t>
  </si>
  <si>
    <t>0007212090</t>
  </si>
  <si>
    <t>CVS)롯데주류장성</t>
  </si>
  <si>
    <t>0007212100</t>
  </si>
  <si>
    <t>CVS)진로장성</t>
  </si>
  <si>
    <t>0007212110</t>
  </si>
  <si>
    <t xml:space="preserve">CVS)페르노리카장성 </t>
  </si>
  <si>
    <t>0007212130</t>
  </si>
  <si>
    <t xml:space="preserve">CVS)하이트장성 </t>
  </si>
  <si>
    <t>0007212140</t>
  </si>
  <si>
    <t>CVS)경주법주원주</t>
  </si>
  <si>
    <t>0007212680</t>
  </si>
  <si>
    <t xml:space="preserve">CVS)디아지오원주 </t>
  </si>
  <si>
    <t>0007212700</t>
  </si>
  <si>
    <t>CVS)롯데주류원주</t>
  </si>
  <si>
    <t>0007212710</t>
  </si>
  <si>
    <t>CVS)진로원주</t>
  </si>
  <si>
    <t>0007212720</t>
  </si>
  <si>
    <t xml:space="preserve">CVS)페르노리카원주 </t>
  </si>
  <si>
    <t>0007212740</t>
  </si>
  <si>
    <t xml:space="preserve">CVS)하이트원주 </t>
  </si>
  <si>
    <t>0007212750</t>
  </si>
  <si>
    <t>CVS)경주법주발안</t>
  </si>
  <si>
    <t>0007212850</t>
  </si>
  <si>
    <t xml:space="preserve">CVS)디아지오발안 </t>
  </si>
  <si>
    <t>0007212870</t>
  </si>
  <si>
    <t>CVS)롯데주류발안</t>
  </si>
  <si>
    <t>0007212880</t>
  </si>
  <si>
    <t>CVS)진로발안</t>
  </si>
  <si>
    <t>0007212890</t>
  </si>
  <si>
    <t xml:space="preserve">CVS)페르노리카발안 </t>
  </si>
  <si>
    <t>0007212910</t>
  </si>
  <si>
    <t xml:space="preserve">CVS)하이트발안 </t>
  </si>
  <si>
    <t>0007212920</t>
  </si>
  <si>
    <t>CVS)무학칠곡</t>
  </si>
  <si>
    <t>0007212930</t>
  </si>
  <si>
    <t>CVS)경주법주인천2</t>
  </si>
  <si>
    <t>0007212940</t>
  </si>
  <si>
    <t>CVS)디아지오인천2</t>
  </si>
  <si>
    <t>0007212960</t>
  </si>
  <si>
    <t>CVS)롯데주류인천2</t>
  </si>
  <si>
    <t>0007212970</t>
  </si>
  <si>
    <t>CVS)진로인천2</t>
  </si>
  <si>
    <t>0007212980</t>
  </si>
  <si>
    <t>CVS)페르노리카인천2</t>
  </si>
  <si>
    <t>0007213000</t>
  </si>
  <si>
    <t>CVS)하이트인천2</t>
  </si>
  <si>
    <t>0007213010</t>
  </si>
  <si>
    <t>CVS)경주법주진주</t>
  </si>
  <si>
    <t>0007213020</t>
  </si>
  <si>
    <t>CVS)무학진주</t>
  </si>
  <si>
    <t>0007213030</t>
  </si>
  <si>
    <t xml:space="preserve">CVS)디아지오진주 </t>
  </si>
  <si>
    <t>0007213040</t>
  </si>
  <si>
    <t>CVS)롯데주류진주</t>
  </si>
  <si>
    <t>0007213050</t>
  </si>
  <si>
    <t>CVS)진로진주</t>
  </si>
  <si>
    <t>0007213060</t>
  </si>
  <si>
    <t xml:space="preserve">CVS)페르노리카진주 </t>
  </si>
  <si>
    <t>0007213080</t>
  </si>
  <si>
    <t xml:space="preserve">CVS)하이트진주 </t>
  </si>
  <si>
    <t>0007213090</t>
  </si>
  <si>
    <t xml:space="preserve">CVS)대선주조진주 </t>
  </si>
  <si>
    <t>0007213100</t>
  </si>
  <si>
    <t xml:space="preserve">CVS)금복주진주 </t>
  </si>
  <si>
    <t>0007213110</t>
  </si>
  <si>
    <t>CVS)경주법주송파2</t>
  </si>
  <si>
    <t>0007213240</t>
  </si>
  <si>
    <t>CVS)무학주조송파2</t>
  </si>
  <si>
    <t>0007213260</t>
  </si>
  <si>
    <t>CVS)디아지오송파2</t>
  </si>
  <si>
    <t>0007213270</t>
  </si>
  <si>
    <t>CVS)롯데소주송파2</t>
  </si>
  <si>
    <t>0007213280</t>
  </si>
  <si>
    <t>CVS)하이트소주송파2</t>
  </si>
  <si>
    <t>0007213290</t>
  </si>
  <si>
    <t>CVS)페르노리카송파2</t>
  </si>
  <si>
    <t>0007213310</t>
  </si>
  <si>
    <t>CVS)하이트맥주송파2</t>
  </si>
  <si>
    <t>0007213320</t>
  </si>
  <si>
    <t xml:space="preserve">무학 김포가정 </t>
  </si>
  <si>
    <t>0007213340</t>
  </si>
  <si>
    <t xml:space="preserve">디아지오 김포가정 </t>
  </si>
  <si>
    <t>0007213350</t>
  </si>
  <si>
    <t xml:space="preserve">롯데주류 김포가정 </t>
  </si>
  <si>
    <t>0007213360</t>
  </si>
  <si>
    <t xml:space="preserve">진로 김포가정 </t>
  </si>
  <si>
    <t>0007213370</t>
  </si>
  <si>
    <t xml:space="preserve">페르노리카김포가정 </t>
  </si>
  <si>
    <t>0007213390</t>
  </si>
  <si>
    <t xml:space="preserve">하이트 김포가정 </t>
  </si>
  <si>
    <t>0007213400</t>
  </si>
  <si>
    <t xml:space="preserve">무학 김포2가정 </t>
  </si>
  <si>
    <t>0007213420</t>
  </si>
  <si>
    <t xml:space="preserve">디아지오 김포2가정 </t>
  </si>
  <si>
    <t>0007213430</t>
  </si>
  <si>
    <t xml:space="preserve">롯데주류 김포2가정 </t>
  </si>
  <si>
    <t>0007213440</t>
  </si>
  <si>
    <t xml:space="preserve">진로 김포2가정 </t>
  </si>
  <si>
    <t>0007213450</t>
  </si>
  <si>
    <t xml:space="preserve">페르노리카김포2가정 </t>
  </si>
  <si>
    <t>0007213470</t>
  </si>
  <si>
    <t xml:space="preserve">하이트 김포2가정 </t>
  </si>
  <si>
    <t>0007213480</t>
  </si>
  <si>
    <t xml:space="preserve">경주법주 김포가정 </t>
  </si>
  <si>
    <t>0007213330</t>
  </si>
  <si>
    <t xml:space="preserve">경주법주 김포2가정 </t>
  </si>
  <si>
    <t>0007213410</t>
  </si>
  <si>
    <t xml:space="preserve">디아지오 평택가정 </t>
  </si>
  <si>
    <t>0007213510</t>
  </si>
  <si>
    <t xml:space="preserve">롯데주류 평택가정 </t>
  </si>
  <si>
    <t>0007213520</t>
  </si>
  <si>
    <t xml:space="preserve">무학 평택가정 </t>
  </si>
  <si>
    <t>0007213500</t>
  </si>
  <si>
    <t xml:space="preserve">진로 평택가정 </t>
  </si>
  <si>
    <t>0007213530</t>
  </si>
  <si>
    <t xml:space="preserve">페르노리카평택가정 </t>
  </si>
  <si>
    <t>0007213550</t>
  </si>
  <si>
    <t xml:space="preserve">하이트 평택가정 </t>
  </si>
  <si>
    <t>0007213560</t>
  </si>
  <si>
    <t xml:space="preserve">무학 평택2가정 </t>
  </si>
  <si>
    <t>0007213580</t>
  </si>
  <si>
    <t xml:space="preserve">디아지오 평택2가정 </t>
  </si>
  <si>
    <t>0007213590</t>
  </si>
  <si>
    <t xml:space="preserve">롯데주류 평택2가정 </t>
  </si>
  <si>
    <t>0007213600</t>
  </si>
  <si>
    <t xml:space="preserve">진로 평택2가정 </t>
  </si>
  <si>
    <t>0007213610</t>
  </si>
  <si>
    <t xml:space="preserve">페르노리카평택2가정 </t>
  </si>
  <si>
    <t>0007213630</t>
  </si>
  <si>
    <t xml:space="preserve">하이트 평택2가정 </t>
  </si>
  <si>
    <t>0007213640</t>
  </si>
  <si>
    <t>하이트맥주 청주</t>
  </si>
  <si>
    <t>0007213650</t>
  </si>
  <si>
    <t>페르노리카 청주</t>
  </si>
  <si>
    <t>0007213660</t>
  </si>
  <si>
    <t>진로 청주</t>
  </si>
  <si>
    <t>0007213680</t>
  </si>
  <si>
    <t>롯데주류 청주</t>
  </si>
  <si>
    <t>0007213690</t>
  </si>
  <si>
    <t>디아지오 청주</t>
  </si>
  <si>
    <t>0007213700</t>
  </si>
  <si>
    <t>무학 청주</t>
  </si>
  <si>
    <t>0007213710</t>
  </si>
  <si>
    <t xml:space="preserve">한라산 인천가정 </t>
  </si>
  <si>
    <t>0007213940</t>
  </si>
  <si>
    <t xml:space="preserve">한라산 인천2가정 </t>
  </si>
  <si>
    <t>0007213950</t>
  </si>
  <si>
    <t xml:space="preserve">한라산 남양주가정 </t>
  </si>
  <si>
    <t>0007213960</t>
  </si>
  <si>
    <t xml:space="preserve">한라산 남양주2가정 </t>
  </si>
  <si>
    <t>0007213970</t>
  </si>
  <si>
    <t xml:space="preserve">한라산 발안가정 </t>
  </si>
  <si>
    <t>0007214000</t>
  </si>
  <si>
    <t xml:space="preserve">한라산 송파가정 </t>
  </si>
  <si>
    <t>0007214010</t>
  </si>
  <si>
    <t xml:space="preserve">한라산 송파2가정 </t>
  </si>
  <si>
    <t>0007214020</t>
  </si>
  <si>
    <t xml:space="preserve">한라산 김포가정 </t>
  </si>
  <si>
    <t>0007214030</t>
  </si>
  <si>
    <t xml:space="preserve">한라산 김포2가정 </t>
  </si>
  <si>
    <t>0007214040</t>
  </si>
  <si>
    <t xml:space="preserve">한라산 평택가정 </t>
  </si>
  <si>
    <t>0007214050</t>
  </si>
  <si>
    <t xml:space="preserve">한라산 평택2가정 </t>
  </si>
  <si>
    <t>0007214060</t>
  </si>
  <si>
    <t xml:space="preserve">한라산 원주가정 </t>
  </si>
  <si>
    <t>0007214070</t>
  </si>
  <si>
    <t>무학 고양2</t>
  </si>
  <si>
    <t>0007214090</t>
  </si>
  <si>
    <t>디아지오 고양2</t>
  </si>
  <si>
    <t>0007214100</t>
  </si>
  <si>
    <t>롯데주류 고양2</t>
  </si>
  <si>
    <t>0007214110</t>
  </si>
  <si>
    <t>진로 고양2</t>
  </si>
  <si>
    <t>0007214120</t>
  </si>
  <si>
    <t>페르노리카고양2</t>
  </si>
  <si>
    <t>0007214140</t>
  </si>
  <si>
    <t>하이트맥주 고양2</t>
  </si>
  <si>
    <t>0007214150</t>
  </si>
  <si>
    <t xml:space="preserve">무학주조 서귀포 </t>
  </si>
  <si>
    <t>0007214180</t>
  </si>
  <si>
    <t xml:space="preserve">디아지오(수입) 서귀포 </t>
  </si>
  <si>
    <t>0007214190</t>
  </si>
  <si>
    <t xml:space="preserve">롯데칠성(소주&amp;국내와인) 서귀포 </t>
  </si>
  <si>
    <t>0007214200</t>
  </si>
  <si>
    <t xml:space="preserve">하이트진로(소주) 서귀포 </t>
  </si>
  <si>
    <t>0007214210</t>
  </si>
  <si>
    <t xml:space="preserve">페르노리카코리아 서귀포 </t>
  </si>
  <si>
    <t>0007214230</t>
  </si>
  <si>
    <t xml:space="preserve">하이트진로(맥주) 서귀포 </t>
  </si>
  <si>
    <t>0007214240</t>
  </si>
  <si>
    <t xml:space="preserve">한라산소주 서귀포 </t>
  </si>
  <si>
    <t>0007214250</t>
  </si>
  <si>
    <t>무학 강릉</t>
  </si>
  <si>
    <t>0007214270</t>
  </si>
  <si>
    <t>디아지오 강릉</t>
  </si>
  <si>
    <t>0007214280</t>
  </si>
  <si>
    <t>롯데주류 강릉</t>
  </si>
  <si>
    <t>0007214290</t>
  </si>
  <si>
    <t>진로 강릉</t>
  </si>
  <si>
    <t>0007214300</t>
  </si>
  <si>
    <t>페르노리카 강릉</t>
  </si>
  <si>
    <t>0007214320</t>
  </si>
  <si>
    <t>하이트맥주 강릉</t>
  </si>
  <si>
    <t>0007214330</t>
  </si>
  <si>
    <t>경주법주 경산2</t>
  </si>
  <si>
    <t>0007214360</t>
  </si>
  <si>
    <t>디아지오 경산2</t>
  </si>
  <si>
    <t>0007214380</t>
  </si>
  <si>
    <t>롯데주류 경산2</t>
  </si>
  <si>
    <t>0007214390</t>
  </si>
  <si>
    <t>진로 경산2</t>
  </si>
  <si>
    <t>0007214400</t>
  </si>
  <si>
    <t>페르노리카 경산2</t>
  </si>
  <si>
    <t>0007214420</t>
  </si>
  <si>
    <t>하이트맥주 경산2</t>
  </si>
  <si>
    <t>0007214430</t>
  </si>
  <si>
    <t>금복주 경산2</t>
  </si>
  <si>
    <t>0007214450</t>
  </si>
  <si>
    <t>경주법주 고양2</t>
  </si>
  <si>
    <t>0007214080</t>
  </si>
  <si>
    <t>경주법주 강릉</t>
  </si>
  <si>
    <t>0007214260</t>
  </si>
  <si>
    <t>금복주 강릉</t>
  </si>
  <si>
    <t>0007214350</t>
  </si>
  <si>
    <t>무학 경산2</t>
  </si>
  <si>
    <t>0007214370</t>
  </si>
  <si>
    <t>경주법주 익산</t>
  </si>
  <si>
    <t>0007214460</t>
  </si>
  <si>
    <t>무학 익산</t>
  </si>
  <si>
    <t>0007214470</t>
  </si>
  <si>
    <t>디아지오 익산</t>
  </si>
  <si>
    <t>0007214480</t>
  </si>
  <si>
    <t>롯데주류 익산</t>
  </si>
  <si>
    <t>0007214490</t>
  </si>
  <si>
    <t>진로 익산</t>
  </si>
  <si>
    <t>0007214500</t>
  </si>
  <si>
    <t>페르노리카 익산</t>
  </si>
  <si>
    <t>0007214520</t>
  </si>
  <si>
    <t>하이트맥주 익산</t>
  </si>
  <si>
    <t>0007214530</t>
  </si>
  <si>
    <t xml:space="preserve">경주법주 서귀포 </t>
  </si>
  <si>
    <t>0007214170</t>
  </si>
  <si>
    <t>대선주조 경산2</t>
  </si>
  <si>
    <t>0007214440</t>
  </si>
  <si>
    <t xml:space="preserve">주류)고촌2금복주 </t>
  </si>
  <si>
    <t>0007215320</t>
  </si>
  <si>
    <t>주류)고촌2무학</t>
  </si>
  <si>
    <t>0007215330</t>
  </si>
  <si>
    <t xml:space="preserve">주류)고촌2한라산소주 </t>
  </si>
  <si>
    <t>0007215340</t>
  </si>
  <si>
    <t>주류)고촌2경주법주</t>
  </si>
  <si>
    <t>0007215350</t>
  </si>
  <si>
    <t xml:space="preserve">주류)고촌2디아지오 </t>
  </si>
  <si>
    <t>0007215360</t>
  </si>
  <si>
    <t>주류)고촌2롯데칠성</t>
  </si>
  <si>
    <t>0007215370</t>
  </si>
  <si>
    <t xml:space="preserve">주류)고촌2하이트소주 </t>
  </si>
  <si>
    <t>0007215380</t>
  </si>
  <si>
    <t xml:space="preserve">주류)고촌2하이트맥주 </t>
  </si>
  <si>
    <t>0007215390</t>
  </si>
  <si>
    <t xml:space="preserve">디아지오남사 </t>
  </si>
  <si>
    <t>0007214940</t>
  </si>
  <si>
    <t xml:space="preserve">페르노리카남사 </t>
  </si>
  <si>
    <t>0007214970</t>
  </si>
  <si>
    <t>카드매출</t>
  </si>
  <si>
    <t>RS291D</t>
  </si>
  <si>
    <t>CVS)우리(유가증권)</t>
  </si>
  <si>
    <t>0007206290</t>
  </si>
  <si>
    <t>CVS)국민(인천공항)</t>
  </si>
  <si>
    <t>0007266690</t>
  </si>
  <si>
    <t>CVS)농협(인천공항)</t>
  </si>
  <si>
    <t>0007266720</t>
  </si>
  <si>
    <t>CVS)롯데(인천공항)</t>
  </si>
  <si>
    <t>0007266710</t>
  </si>
  <si>
    <t>CVS)비씨(인천공항)</t>
  </si>
  <si>
    <t>0007266680</t>
  </si>
  <si>
    <t>CVS)삼성(인천공항)</t>
  </si>
  <si>
    <t>0007266670</t>
  </si>
  <si>
    <t>CVS)신한(인천공항)</t>
  </si>
  <si>
    <t>0007266660</t>
  </si>
  <si>
    <t>CVS)외환(인천공항)</t>
  </si>
  <si>
    <t>0007811000</t>
  </si>
  <si>
    <t>CVS)현대(인천공항)</t>
  </si>
  <si>
    <t>0007266700</t>
  </si>
  <si>
    <t>CVS)국민카드(수도)</t>
  </si>
  <si>
    <t>0007040140</t>
  </si>
  <si>
    <t>CVS)비씨(유가증권)</t>
  </si>
  <si>
    <t>0007045930</t>
  </si>
  <si>
    <t>CVS)현대카드(수도)</t>
  </si>
  <si>
    <t>0007040320</t>
  </si>
  <si>
    <t>CVS)비씨카드(남부)</t>
  </si>
  <si>
    <t>0007040420</t>
  </si>
  <si>
    <t>CVS)국민카드(남부)</t>
  </si>
  <si>
    <t>0007040430</t>
  </si>
  <si>
    <t>CVS)현대카드(남부)</t>
  </si>
  <si>
    <t>0007040450</t>
  </si>
  <si>
    <t>CVS)교통카드</t>
  </si>
  <si>
    <t>0007040810</t>
  </si>
  <si>
    <t>CVS)현대카드(해군)</t>
  </si>
  <si>
    <t>0007041660</t>
  </si>
  <si>
    <t>CVS)국민카드(해군)</t>
  </si>
  <si>
    <t>0007041670</t>
  </si>
  <si>
    <t>CVS)비씨카드(해군)</t>
  </si>
  <si>
    <t>0007041680</t>
  </si>
  <si>
    <t>CVS)NH카드(수도)</t>
  </si>
  <si>
    <t>0007041990</t>
  </si>
  <si>
    <t>CVS)외환카드(수도)</t>
  </si>
  <si>
    <t>0007050330</t>
  </si>
  <si>
    <t>CVS)외환카드(남부)</t>
  </si>
  <si>
    <t>0007050340</t>
  </si>
  <si>
    <t>CVS)삼성카드(수도)</t>
  </si>
  <si>
    <t>0007050370</t>
  </si>
  <si>
    <t>CVS)삼성카드(남부)</t>
  </si>
  <si>
    <t>0007050380</t>
  </si>
  <si>
    <t>CVS)롯데카드(수도)</t>
  </si>
  <si>
    <t>0007050390</t>
  </si>
  <si>
    <t>CVS)롯데카드(남부)</t>
  </si>
  <si>
    <t>0007050400</t>
  </si>
  <si>
    <t>CVS)삼성카드(해군)</t>
  </si>
  <si>
    <t>0007050480</t>
  </si>
  <si>
    <t>CVS)외환카드(해군)</t>
  </si>
  <si>
    <t>0007050490</t>
  </si>
  <si>
    <t>CVS)롯데카드(해군)</t>
  </si>
  <si>
    <t>0007050500</t>
  </si>
  <si>
    <t>CVS)비씨카드(수도)</t>
  </si>
  <si>
    <t>0007060120</t>
  </si>
  <si>
    <t>CVS)신한카드(수도)</t>
  </si>
  <si>
    <t>0007260330</t>
  </si>
  <si>
    <t>CVS)신한카드(남부)</t>
  </si>
  <si>
    <t>0007260340</t>
  </si>
  <si>
    <t>CVS)나라사랑카드</t>
  </si>
  <si>
    <t>0007260650</t>
  </si>
  <si>
    <t>CVS)하나SK카드(수도)</t>
  </si>
  <si>
    <t>0007810140</t>
  </si>
  <si>
    <t>CVS)하나SK카드(해군)</t>
  </si>
  <si>
    <t>0007810750</t>
  </si>
  <si>
    <t>CVS)NH농협카드(해군)</t>
  </si>
  <si>
    <t>0007045220</t>
  </si>
  <si>
    <t>CVS)우리카드(수도)</t>
  </si>
  <si>
    <t>0007206130</t>
  </si>
  <si>
    <t>RS291E</t>
  </si>
  <si>
    <t>상생)경조금(전도자금)</t>
  </si>
  <si>
    <t>0007047880</t>
  </si>
  <si>
    <t>교육서비스팀)고용보험환급</t>
  </si>
  <si>
    <t>0007206480</t>
  </si>
  <si>
    <t>충북보은)바우처서비스</t>
  </si>
  <si>
    <t>0007117378</t>
  </si>
  <si>
    <t xml:space="preserve">해외사업팀)말레이시아 </t>
  </si>
  <si>
    <t>0007206030</t>
  </si>
  <si>
    <t xml:space="preserve">편)가맹정산통장 </t>
  </si>
  <si>
    <t>0007047290</t>
  </si>
  <si>
    <t xml:space="preserve">CVS)진안군드림카드 </t>
  </si>
  <si>
    <t>0007117297</t>
  </si>
  <si>
    <t xml:space="preserve">CHAK_지역화폐 </t>
  </si>
  <si>
    <t>0007117346</t>
  </si>
  <si>
    <t>CVS)우유바우처(전북)</t>
  </si>
  <si>
    <t>0007117339</t>
  </si>
  <si>
    <t>와인25플러스(국민)</t>
  </si>
  <si>
    <t>0007047160</t>
  </si>
  <si>
    <t xml:space="preserve">CVS)알리페이플러스 </t>
  </si>
  <si>
    <t>0007204960</t>
  </si>
  <si>
    <t>KT_착한페이</t>
  </si>
  <si>
    <t>0007117262</t>
  </si>
  <si>
    <t>GS PAY 정산통장(편의점)</t>
  </si>
  <si>
    <t>0007046810</t>
  </si>
  <si>
    <t xml:space="preserve">페이코인)편의점 </t>
  </si>
  <si>
    <t>0007205250</t>
  </si>
  <si>
    <t>CVS_코나아이</t>
  </si>
  <si>
    <t>0007205100</t>
  </si>
  <si>
    <t xml:space="preserve">편의점)마케팅 </t>
  </si>
  <si>
    <t>0007204720</t>
  </si>
  <si>
    <t>CVS)위챗페이</t>
  </si>
  <si>
    <t>0007204730</t>
  </si>
  <si>
    <t xml:space="preserve">MD본부-편의점 </t>
  </si>
  <si>
    <t>0007117186</t>
  </si>
  <si>
    <t xml:space="preserve">GS25몽골 입출금 </t>
  </si>
  <si>
    <t>0007204700</t>
  </si>
  <si>
    <t>편의점)회수 문화상품권 전용</t>
  </si>
  <si>
    <t>0007204620</t>
  </si>
  <si>
    <t xml:space="preserve">CVS)농협웹캐시지역사랑카드 </t>
  </si>
  <si>
    <t>0007111563</t>
  </si>
  <si>
    <t>CVS)알리페이</t>
  </si>
  <si>
    <t>0007250980</t>
  </si>
  <si>
    <t>CVS)자계좌집금(남부)</t>
  </si>
  <si>
    <t>0007040060</t>
  </si>
  <si>
    <t>CVS)자계좌집금(수도)</t>
  </si>
  <si>
    <t>0007040210</t>
  </si>
  <si>
    <t>CVS)대구본부(국민)</t>
  </si>
  <si>
    <t>0007040300</t>
  </si>
  <si>
    <t>CVS)폐업부가세(수도)</t>
  </si>
  <si>
    <t>0007230400</t>
  </si>
  <si>
    <t>CVS)폐업부가세(남부)</t>
  </si>
  <si>
    <t>0007230410</t>
  </si>
  <si>
    <t>CVS)복권대금(남부)</t>
  </si>
  <si>
    <t>0007320070</t>
  </si>
  <si>
    <t>CVS)중부권전도자금(하나)</t>
  </si>
  <si>
    <t>0007810490</t>
  </si>
  <si>
    <t>편의점사업부(국민)</t>
  </si>
  <si>
    <t>0007060070</t>
  </si>
  <si>
    <t>편의점)내국세환급 입금통장</t>
  </si>
  <si>
    <t>0007203520</t>
  </si>
  <si>
    <t>CVS)제로페이</t>
  </si>
  <si>
    <t>0007264120</t>
  </si>
  <si>
    <t>CVS)삼성(유가증권)</t>
  </si>
  <si>
    <t>0007811110</t>
  </si>
  <si>
    <t>CVS)KB국민(유가증권)</t>
  </si>
  <si>
    <t>0007046290</t>
  </si>
  <si>
    <t>CVS)신한(유가증권)</t>
  </si>
  <si>
    <t>0007264140</t>
  </si>
  <si>
    <t>GS25배방로얄점 코인세탁기정산금</t>
  </si>
  <si>
    <t>0007046460</t>
  </si>
  <si>
    <t>CVS)하나(유가증권)</t>
  </si>
  <si>
    <t>0007810930</t>
  </si>
  <si>
    <t>GS25파주스마트점 코인세탁기수익금</t>
  </si>
  <si>
    <t>0007046400</t>
  </si>
  <si>
    <t>CVS)우리카드(해군)</t>
  </si>
  <si>
    <t>0007206170</t>
  </si>
  <si>
    <t>나. SM</t>
  </si>
  <si>
    <t>RS292</t>
  </si>
  <si>
    <t>상품공급점(VC)</t>
  </si>
  <si>
    <t>RS292A</t>
  </si>
  <si>
    <t xml:space="preserve">가맹송금 </t>
  </si>
  <si>
    <t>RS292B</t>
  </si>
  <si>
    <t xml:space="preserve">수퍼)가맹__하안8점 </t>
  </si>
  <si>
    <t>0007117924</t>
  </si>
  <si>
    <t xml:space="preserve">수퍼)가맹__인천청라점 </t>
  </si>
  <si>
    <t>0007117925</t>
  </si>
  <si>
    <t xml:space="preserve">수퍼)가맹_검단풍경채점 </t>
  </si>
  <si>
    <t>0007117926</t>
  </si>
  <si>
    <t>수퍼)가맹_화성복합타운점</t>
  </si>
  <si>
    <t>0007117927</t>
  </si>
  <si>
    <t xml:space="preserve">수퍼)가맹__안산그랑시티자이점 </t>
  </si>
  <si>
    <t>0007117928</t>
  </si>
  <si>
    <t>수퍼)가맹_구미푸르지오점</t>
  </si>
  <si>
    <t>0007117929</t>
  </si>
  <si>
    <t xml:space="preserve">수퍼)가맹_의정부송산점 </t>
  </si>
  <si>
    <t>0007117934</t>
  </si>
  <si>
    <t>수퍼)가맹_구의역점</t>
  </si>
  <si>
    <t>0007117933</t>
  </si>
  <si>
    <t xml:space="preserve">수퍼)가맹_광명헤리티지점 </t>
  </si>
  <si>
    <t>0007117939</t>
  </si>
  <si>
    <t xml:space="preserve">수퍼)가맹__평택동삭점 </t>
  </si>
  <si>
    <t>0007117938</t>
  </si>
  <si>
    <t>수퍼)가맹_관악봉천점</t>
  </si>
  <si>
    <t>0007117942</t>
  </si>
  <si>
    <t xml:space="preserve">수퍼)가맹_만락중앙점 </t>
  </si>
  <si>
    <t>0007117945</t>
  </si>
  <si>
    <t>수퍼)가맹__평택대광점</t>
  </si>
  <si>
    <t>0007117946</t>
  </si>
  <si>
    <t xml:space="preserve">수퍼)가맹_성동옥수점 </t>
  </si>
  <si>
    <t>0007117948</t>
  </si>
  <si>
    <t xml:space="preserve">수퍼)가맹_고양대화역점 </t>
  </si>
  <si>
    <t>0007117954</t>
  </si>
  <si>
    <t>수퍼)가맹_대전둔산점</t>
  </si>
  <si>
    <t>0007117955</t>
  </si>
  <si>
    <t>수퍼)가맹__세종뉴고운점</t>
  </si>
  <si>
    <t>0007117952</t>
  </si>
  <si>
    <t xml:space="preserve">수퍼)가맹__디에이치자이점 </t>
  </si>
  <si>
    <t>0007117957</t>
  </si>
  <si>
    <t>수퍼)가맹__송파가락점</t>
  </si>
  <si>
    <t>0007117953</t>
  </si>
  <si>
    <t xml:space="preserve">수퍼)가맹_미추홀구청점 </t>
  </si>
  <si>
    <t>0007117964</t>
  </si>
  <si>
    <t xml:space="preserve">수퍼)가맹_청라아이파크점 </t>
  </si>
  <si>
    <t>0007117967</t>
  </si>
  <si>
    <t xml:space="preserve">수퍼)가맹__봉담내리점 </t>
  </si>
  <si>
    <t>0007117982</t>
  </si>
  <si>
    <t>수퍼)가맹_평택휴먼빌점</t>
  </si>
  <si>
    <t>0007117977</t>
  </si>
  <si>
    <t xml:space="preserve">수퍼)가맹_영등포구청역점 </t>
  </si>
  <si>
    <t>0007117976</t>
  </si>
  <si>
    <t xml:space="preserve">수퍼)가맹_안성만정점 </t>
  </si>
  <si>
    <t>0007117979</t>
  </si>
  <si>
    <t xml:space="preserve">수퍼)가맹__군포당동점 </t>
  </si>
  <si>
    <t>0007117975</t>
  </si>
  <si>
    <t>수퍼)가맹_인천운서역점</t>
  </si>
  <si>
    <t>0007117978</t>
  </si>
  <si>
    <t>수퍼)가맹__김포향산점</t>
  </si>
  <si>
    <t>0007117981</t>
  </si>
  <si>
    <t>수퍼)가맹_천안풍세로점</t>
  </si>
  <si>
    <t>0007117983</t>
  </si>
  <si>
    <t xml:space="preserve">수퍼)가맹__동탄한신점 </t>
  </si>
  <si>
    <t>0007117984</t>
  </si>
  <si>
    <t xml:space="preserve">수퍼)가맹__군포수리점 </t>
  </si>
  <si>
    <t>0007117986</t>
  </si>
  <si>
    <t xml:space="preserve">수퍼)가맹_김해스카이시티점 </t>
  </si>
  <si>
    <t>0007117965</t>
  </si>
  <si>
    <t xml:space="preserve">수퍼)가맹_순천트리마제점 </t>
  </si>
  <si>
    <t>0007117966</t>
  </si>
  <si>
    <t>수퍼)가맹__온천래미안점</t>
  </si>
  <si>
    <t>0007117985</t>
  </si>
  <si>
    <t xml:space="preserve">수퍼)가맹_보문역사거리점 </t>
  </si>
  <si>
    <t>0007117987</t>
  </si>
  <si>
    <t xml:space="preserve">수퍼)가맹_아산세교점 </t>
  </si>
  <si>
    <t>0007117989</t>
  </si>
  <si>
    <t>수퍼)가맹__검단더힐점</t>
  </si>
  <si>
    <t>0007117988</t>
  </si>
  <si>
    <t xml:space="preserve">수퍼)가맹__평택효성점 </t>
  </si>
  <si>
    <t>0007117994</t>
  </si>
  <si>
    <t>수퍼)가맹_세종새나루점</t>
  </si>
  <si>
    <t>0007117993</t>
  </si>
  <si>
    <t>수퍼)가맹__운정역점</t>
  </si>
  <si>
    <t>0007117997</t>
  </si>
  <si>
    <t>수퍼)가맹__운정와동점</t>
  </si>
  <si>
    <t>0007117995</t>
  </si>
  <si>
    <t>수퍼)가맹__한양대에리카점</t>
  </si>
  <si>
    <t>0007117996</t>
  </si>
  <si>
    <t>수퍼)가맹_안산선부역점</t>
  </si>
  <si>
    <t>0007118006</t>
  </si>
  <si>
    <t xml:space="preserve">수퍼)가맹__서울역센트럴자이점 </t>
  </si>
  <si>
    <t>0007118008</t>
  </si>
  <si>
    <t xml:space="preserve">수퍼)가맹_부산센텀점 </t>
  </si>
  <si>
    <t>0007117944</t>
  </si>
  <si>
    <t xml:space="preserve">수퍼)가맹__월성삼정점 </t>
  </si>
  <si>
    <t>0007117941</t>
  </si>
  <si>
    <t xml:space="preserve">수퍼)가맹__죽곡점 </t>
  </si>
  <si>
    <t>0007117947</t>
  </si>
  <si>
    <t xml:space="preserve">수퍼)가맹_부산델타자이점 </t>
  </si>
  <si>
    <t>0007117949</t>
  </si>
  <si>
    <t xml:space="preserve">수퍼)가맹_대구사월역점 </t>
  </si>
  <si>
    <t>0007117956</t>
  </si>
  <si>
    <t xml:space="preserve">수퍼)가맹_광진중곡점 </t>
  </si>
  <si>
    <t>0007117968</t>
  </si>
  <si>
    <t>수퍼)가맹_대전복수점</t>
  </si>
  <si>
    <t>0007117974</t>
  </si>
  <si>
    <t>수퍼)가맹_인천북청라점</t>
  </si>
  <si>
    <t>0007117969</t>
  </si>
  <si>
    <t>수퍼)가맹_강서등촌역점</t>
  </si>
  <si>
    <t>0007117971</t>
  </si>
  <si>
    <t>수퍼)가맹_세종반곡로점</t>
  </si>
  <si>
    <t>0007117972</t>
  </si>
  <si>
    <t xml:space="preserve">수퍼)가맹_운정한빛마을점 </t>
  </si>
  <si>
    <t>0007117973</t>
  </si>
  <si>
    <t>수퍼)가맹__송도센트럴시티점</t>
  </si>
  <si>
    <t>0007117932</t>
  </si>
  <si>
    <t xml:space="preserve">수퍼)가맹__진주초전점 </t>
  </si>
  <si>
    <t>0007117931</t>
  </si>
  <si>
    <t xml:space="preserve">수퍼)가맹__동탄중앙점 </t>
  </si>
  <si>
    <t>0007117921</t>
  </si>
  <si>
    <t>수퍼)가맹_오산칸타빌점</t>
  </si>
  <si>
    <t>0007117922</t>
  </si>
  <si>
    <t>수퍼)가맹_공릉역점</t>
  </si>
  <si>
    <t>0007117923</t>
  </si>
  <si>
    <t xml:space="preserve">수퍼)가맹_신방화역점 </t>
  </si>
  <si>
    <t>0007117915</t>
  </si>
  <si>
    <t>수퍼)가맹_강남대역점</t>
  </si>
  <si>
    <t>0007117916</t>
  </si>
  <si>
    <t xml:space="preserve">수퍼)가맹_부산문현역점 </t>
  </si>
  <si>
    <t>0007117917</t>
  </si>
  <si>
    <t xml:space="preserve">수퍼)가맹_광명트리우스점 </t>
  </si>
  <si>
    <t>0007117906</t>
  </si>
  <si>
    <t>수퍼)가맹__동탄아이비파크점</t>
  </si>
  <si>
    <t>0007117907</t>
  </si>
  <si>
    <t xml:space="preserve">수퍼)가맹_울산방어점 </t>
  </si>
  <si>
    <t>0007117908</t>
  </si>
  <si>
    <t>수퍼)가맹_성남산성역점</t>
  </si>
  <si>
    <t>0007117909</t>
  </si>
  <si>
    <t xml:space="preserve">수퍼)가맹_금천시흥점 </t>
  </si>
  <si>
    <t>0007117911</t>
  </si>
  <si>
    <t>수퍼)가맹__부평그랑힐스점</t>
  </si>
  <si>
    <t>0007117902</t>
  </si>
  <si>
    <t>수퍼)가맹_대동점</t>
  </si>
  <si>
    <t>0007117901</t>
  </si>
  <si>
    <t>수퍼)가맹__만덕이편한점</t>
  </si>
  <si>
    <t>0007117903</t>
  </si>
  <si>
    <t xml:space="preserve">수퍼)가맹__의정부신곡점 </t>
  </si>
  <si>
    <t>0007117904</t>
  </si>
  <si>
    <t>수퍼)가맹_창원가음점</t>
  </si>
  <si>
    <t>0007117905</t>
  </si>
  <si>
    <t>수퍼)가맹__검단대방점</t>
  </si>
  <si>
    <t>0007117893</t>
  </si>
  <si>
    <t>수퍼)가맹__대구월곡점</t>
  </si>
  <si>
    <t>0007117894</t>
  </si>
  <si>
    <t xml:space="preserve">수퍼)가맹_시흥장현점 </t>
  </si>
  <si>
    <t>0007117895</t>
  </si>
  <si>
    <t xml:space="preserve">수퍼)가맹_노량진역점 </t>
  </si>
  <si>
    <t>0007117896</t>
  </si>
  <si>
    <t>수퍼)가맹_광양와우점</t>
  </si>
  <si>
    <t>0007117897</t>
  </si>
  <si>
    <t>수퍼)가맹_판교대장점</t>
  </si>
  <si>
    <t>0007117887</t>
  </si>
  <si>
    <t xml:space="preserve">수퍼)가맹__송파시그니처점 </t>
  </si>
  <si>
    <t>0007117888</t>
  </si>
  <si>
    <t>수퍼)가맹__김포풍무점</t>
  </si>
  <si>
    <t>0007117889</t>
  </si>
  <si>
    <t>수퍼)가맹_둔산엘리프점</t>
  </si>
  <si>
    <t>0007117891</t>
  </si>
  <si>
    <t xml:space="preserve">수퍼)가맹_수유중앙점 </t>
  </si>
  <si>
    <t>0007117892</t>
  </si>
  <si>
    <t xml:space="preserve">수퍼)화성비봉점_송금재발급 </t>
  </si>
  <si>
    <t>0007117876</t>
  </si>
  <si>
    <t xml:space="preserve">수퍼)부암점_송금재발급 </t>
  </si>
  <si>
    <t>0007117877</t>
  </si>
  <si>
    <t xml:space="preserve">수퍼)포항펜타시티점_송금재발급 </t>
  </si>
  <si>
    <t>0007117878</t>
  </si>
  <si>
    <t xml:space="preserve">수퍼)해운대센텀점_송금재발급 </t>
  </si>
  <si>
    <t>0007117879</t>
  </si>
  <si>
    <t xml:space="preserve">수퍼)송도포레스트카운티점_송금재발급 </t>
  </si>
  <si>
    <t>0007117881</t>
  </si>
  <si>
    <t xml:space="preserve">수퍼)동래래미안점_송금재발급 </t>
  </si>
  <si>
    <t>0007117882</t>
  </si>
  <si>
    <t xml:space="preserve">수퍼)울산동부점_송금재발급 </t>
  </si>
  <si>
    <t>0007117883</t>
  </si>
  <si>
    <t xml:space="preserve">수퍼)이문라그란데점_송금재발급 </t>
  </si>
  <si>
    <t>0007117884</t>
  </si>
  <si>
    <t xml:space="preserve">수퍼)신검단중앙역점_송금재발급 </t>
  </si>
  <si>
    <t>0007117885</t>
  </si>
  <si>
    <t xml:space="preserve">수퍼)울산신정점_송금재발급 </t>
  </si>
  <si>
    <t>0007117886</t>
  </si>
  <si>
    <t>수퍼)가맹_안산초지역점</t>
  </si>
  <si>
    <t>0007117872</t>
  </si>
  <si>
    <t xml:space="preserve">수퍼)가맹__월영마린점 </t>
  </si>
  <si>
    <t>0007117873</t>
  </si>
  <si>
    <t>수퍼)가맹__관악청림점</t>
  </si>
  <si>
    <t>0007117864</t>
  </si>
  <si>
    <t>수퍼)가맹__청주테크노점</t>
  </si>
  <si>
    <t>0007117865</t>
  </si>
  <si>
    <t>수퍼)가맹__산본프라자점</t>
  </si>
  <si>
    <t>0007117866</t>
  </si>
  <si>
    <t xml:space="preserve">수퍼)가맹_용인몬테로이점 </t>
  </si>
  <si>
    <t>0007117867</t>
  </si>
  <si>
    <t>수퍼)가맹__부산시청점</t>
  </si>
  <si>
    <t>0007117856</t>
  </si>
  <si>
    <t xml:space="preserve">수퍼)가맹_포항펜타시티점 </t>
  </si>
  <si>
    <t>0007117857</t>
  </si>
  <si>
    <t xml:space="preserve">수퍼)가맹_울산옥현점 </t>
  </si>
  <si>
    <t>0007117858</t>
  </si>
  <si>
    <t xml:space="preserve">수퍼)가맹_화성비봉점 </t>
  </si>
  <si>
    <t>0007117859</t>
  </si>
  <si>
    <t>수퍼)가맹_부평역해링턴점</t>
  </si>
  <si>
    <t>0007117861</t>
  </si>
  <si>
    <t xml:space="preserve">해지)수퍼)가맹__송파시그니처점 </t>
  </si>
  <si>
    <t>0007117844</t>
  </si>
  <si>
    <t xml:space="preserve">수퍼)가맹__울산동부점 </t>
  </si>
  <si>
    <t>0007117845</t>
  </si>
  <si>
    <t>수퍼)가맹_이문라그란데점</t>
  </si>
  <si>
    <t>0007117846</t>
  </si>
  <si>
    <t xml:space="preserve">수퍼)가맹_검단중앙역점 </t>
  </si>
  <si>
    <t>0007117847</t>
  </si>
  <si>
    <t xml:space="preserve">수퍼)가맹__울산신정점 </t>
  </si>
  <si>
    <t>0007117848</t>
  </si>
  <si>
    <t xml:space="preserve">수퍼)가맹__해운대센텀점 </t>
  </si>
  <si>
    <t>0007117835</t>
  </si>
  <si>
    <t>수퍼)가맹__송도포레스트카운티점</t>
  </si>
  <si>
    <t>0007117836</t>
  </si>
  <si>
    <t xml:space="preserve">수퍼)가맹_동래래미안 </t>
  </si>
  <si>
    <t>0007117837</t>
  </si>
  <si>
    <t>수퍼)가맹__부암점</t>
  </si>
  <si>
    <t>0007117838</t>
  </si>
  <si>
    <t>수퍼)가맹__레이카운티점</t>
  </si>
  <si>
    <t>0007117839</t>
  </si>
  <si>
    <t xml:space="preserve">수퍼)가맹_홍성내포점 </t>
  </si>
  <si>
    <t>0007117841</t>
  </si>
  <si>
    <t xml:space="preserve">수퍼)가맹__행신무원점 </t>
  </si>
  <si>
    <t>0007117842</t>
  </si>
  <si>
    <t xml:space="preserve">수퍼)가맹_고양백석점 </t>
  </si>
  <si>
    <t>0007117843</t>
  </si>
  <si>
    <t xml:space="preserve">수퍼)가맹_창원명서점 </t>
  </si>
  <si>
    <t>0007117825</t>
  </si>
  <si>
    <t xml:space="preserve">수퍼)가맹_의왕고천점 </t>
  </si>
  <si>
    <t>0007117826</t>
  </si>
  <si>
    <t>수퍼)가맹_대전천동점</t>
  </si>
  <si>
    <t>0007117827</t>
  </si>
  <si>
    <t xml:space="preserve">수퍼)가맹__용인한숲시티5점 </t>
  </si>
  <si>
    <t>0007117828</t>
  </si>
  <si>
    <t>수퍼)가맹_온천래미안점</t>
  </si>
  <si>
    <t>0007117829</t>
  </si>
  <si>
    <t>수퍼)가맹_부산명륜점</t>
  </si>
  <si>
    <t>0007117831</t>
  </si>
  <si>
    <t xml:space="preserve">수퍼)가맹__신사점 </t>
  </si>
  <si>
    <t>0007117832</t>
  </si>
  <si>
    <t>수퍼)가맹_양천목2동점</t>
  </si>
  <si>
    <t>0007117833</t>
  </si>
  <si>
    <t xml:space="preserve">수퍼)가맹_대구노변점 </t>
  </si>
  <si>
    <t>0007117834</t>
  </si>
  <si>
    <t xml:space="preserve">수퍼)가맹_천안극동점 </t>
  </si>
  <si>
    <t>0007117816</t>
  </si>
  <si>
    <t xml:space="preserve">수퍼)가맹_수원탑동점 </t>
  </si>
  <si>
    <t>0007117817</t>
  </si>
  <si>
    <t xml:space="preserve">수퍼)가맹_목동중앙점 </t>
  </si>
  <si>
    <t>0007117818</t>
  </si>
  <si>
    <t xml:space="preserve">수퍼)가맹_평택장안점 </t>
  </si>
  <si>
    <t>0007117819</t>
  </si>
  <si>
    <t xml:space="preserve">수퍼)가맹_평택지제역점 </t>
  </si>
  <si>
    <t>0007117821</t>
  </si>
  <si>
    <t>수퍼)가맹_두정역점</t>
  </si>
  <si>
    <t>0007117822</t>
  </si>
  <si>
    <t>수퍼)가맹_대전스카이앤점</t>
  </si>
  <si>
    <t>0007117813</t>
  </si>
  <si>
    <t xml:space="preserve">수퍼)가맹_세종리버파크점 </t>
  </si>
  <si>
    <t>0007117799</t>
  </si>
  <si>
    <t>수퍼)가맹__검암푸르지오점</t>
  </si>
  <si>
    <t>0007117801</t>
  </si>
  <si>
    <t>수퍼)가맹_율하신도시점</t>
  </si>
  <si>
    <t>0007117802</t>
  </si>
  <si>
    <t>수퍼)가맹__구월용천로점</t>
  </si>
  <si>
    <t>0007117803</t>
  </si>
  <si>
    <t xml:space="preserve">수퍼)가맹__다대점 </t>
  </si>
  <si>
    <t>0007117804</t>
  </si>
  <si>
    <t xml:space="preserve">수퍼)가맹__세종다정점 </t>
  </si>
  <si>
    <t>0007117805</t>
  </si>
  <si>
    <t>수퍼)가맹_홍제해링턴점</t>
  </si>
  <si>
    <t>0007117806</t>
  </si>
  <si>
    <t xml:space="preserve">수퍼)가맹__서초교대점 </t>
  </si>
  <si>
    <t>0007117807</t>
  </si>
  <si>
    <t>수퍼)가맹_노원비석로점</t>
  </si>
  <si>
    <t>0007117796</t>
  </si>
  <si>
    <t xml:space="preserve">수퍼)가맹_강동성내점 </t>
  </si>
  <si>
    <t>0007117797</t>
  </si>
  <si>
    <t>수퍼)가맹_운정역점</t>
  </si>
  <si>
    <t>0007117798</t>
  </si>
  <si>
    <t xml:space="preserve">수퍼)가맹_역삼중앙점 </t>
  </si>
  <si>
    <t>0007117793</t>
  </si>
  <si>
    <t xml:space="preserve">수퍼)가맹__진주신안점 </t>
  </si>
  <si>
    <t>0007117794</t>
  </si>
  <si>
    <t xml:space="preserve">수퍼)가맹__운정아이파크점 </t>
  </si>
  <si>
    <t>0007117795</t>
  </si>
  <si>
    <t xml:space="preserve">수퍼)가맹_운정해솔마을점 </t>
  </si>
  <si>
    <t>0007117787</t>
  </si>
  <si>
    <t>수퍼)가맹_부산연산점</t>
  </si>
  <si>
    <t>0007117788</t>
  </si>
  <si>
    <t>수퍼)가맹__수원하늘채점</t>
  </si>
  <si>
    <t>0007117789</t>
  </si>
  <si>
    <t xml:space="preserve">수퍼)가맹__영종운서점 </t>
  </si>
  <si>
    <t>0007117791</t>
  </si>
  <si>
    <t xml:space="preserve">수퍼)가맹_부산미남역점 </t>
  </si>
  <si>
    <t>0007117792</t>
  </si>
  <si>
    <t>수퍼)가맹__죽전현암로점</t>
  </si>
  <si>
    <t>0007117783</t>
  </si>
  <si>
    <t xml:space="preserve">수퍼)가맹__동탄목동점 </t>
  </si>
  <si>
    <t>0007117784</t>
  </si>
  <si>
    <t xml:space="preserve">수퍼)가맹_화성기산점 </t>
  </si>
  <si>
    <t>0007117785</t>
  </si>
  <si>
    <t xml:space="preserve">(해지)수퍼)가맹__동탄중앙점 </t>
  </si>
  <si>
    <t>0007117786</t>
  </si>
  <si>
    <t xml:space="preserve">수퍼)가맹__만수2점 </t>
  </si>
  <si>
    <t>0007117775</t>
  </si>
  <si>
    <t xml:space="preserve">수퍼)가맹_의정부센트럴 </t>
  </si>
  <si>
    <t>0007117776</t>
  </si>
  <si>
    <t>(해지)수퍼)가맹__세종대평점</t>
  </si>
  <si>
    <t>0007117777</t>
  </si>
  <si>
    <t xml:space="preserve">수퍼)가맹_울산덕하점 </t>
  </si>
  <si>
    <t>0007117778</t>
  </si>
  <si>
    <t>수퍼)가맹_관악신림점</t>
  </si>
  <si>
    <t>0007117779</t>
  </si>
  <si>
    <t xml:space="preserve">수퍼)가맹__안양석수점 </t>
  </si>
  <si>
    <t>0007117781</t>
  </si>
  <si>
    <t xml:space="preserve">수퍼)가맹_부산남천역점 </t>
  </si>
  <si>
    <t>0007117782</t>
  </si>
  <si>
    <t xml:space="preserve">수퍼)가맹_관저북로점 </t>
  </si>
  <si>
    <t>0007117773</t>
  </si>
  <si>
    <t xml:space="preserve">수퍼)가맹_대전스마트시티점 </t>
  </si>
  <si>
    <t>0007117774</t>
  </si>
  <si>
    <t xml:space="preserve">수퍼)가맹_파주야당점 </t>
  </si>
  <si>
    <t>0007047910</t>
  </si>
  <si>
    <t xml:space="preserve">수퍼)가맹_송도더스카이점 </t>
  </si>
  <si>
    <t>0007117768</t>
  </si>
  <si>
    <t>수퍼)가맹_김해율하점</t>
  </si>
  <si>
    <t>0007117769</t>
  </si>
  <si>
    <t>0007117771</t>
  </si>
  <si>
    <t>수퍼)가맹__압구정점</t>
  </si>
  <si>
    <t>0007117772</t>
  </si>
  <si>
    <t xml:space="preserve">수퍼)가맹__신내점 </t>
  </si>
  <si>
    <t>0007117766</t>
  </si>
  <si>
    <t>수퍼)가맹_부산하단점</t>
  </si>
  <si>
    <t>0007117767</t>
  </si>
  <si>
    <t xml:space="preserve">수퍼)가맹_오송센텀점 </t>
  </si>
  <si>
    <t>0007117756</t>
  </si>
  <si>
    <t xml:space="preserve">수퍼)가맹_청담점 </t>
  </si>
  <si>
    <t>0007117757</t>
  </si>
  <si>
    <t xml:space="preserve">수퍼)가맹_화성상신점 </t>
  </si>
  <si>
    <t>0007117758</t>
  </si>
  <si>
    <t xml:space="preserve">수퍼)가맹_강선마을점 </t>
  </si>
  <si>
    <t>0007117759</t>
  </si>
  <si>
    <t>수퍼)가맹_한양대에리카점</t>
  </si>
  <si>
    <t>0007117761</t>
  </si>
  <si>
    <t xml:space="preserve">수퍼)가맹_부천시청역점 </t>
  </si>
  <si>
    <t>0007117762</t>
  </si>
  <si>
    <t>수퍼)가맹_부산당감점</t>
  </si>
  <si>
    <t>0007117763</t>
  </si>
  <si>
    <t>수퍼)가맹_문정역점</t>
  </si>
  <si>
    <t>0007117764</t>
  </si>
  <si>
    <t xml:space="preserve">수퍼)가맹_광진능동점 </t>
  </si>
  <si>
    <t>0007117754</t>
  </si>
  <si>
    <t xml:space="preserve">수퍼)_세종소담점 </t>
  </si>
  <si>
    <t>0007117753</t>
  </si>
  <si>
    <t xml:space="preserve">수퍼)가맹_창동점 </t>
  </si>
  <si>
    <t>0007117752</t>
  </si>
  <si>
    <t xml:space="preserve">수퍼)가맹__남가좌디엠씨점 </t>
  </si>
  <si>
    <t>0007117748</t>
  </si>
  <si>
    <t>수퍼)가맹_김포구래점</t>
  </si>
  <si>
    <t>0007117738</t>
  </si>
  <si>
    <t xml:space="preserve">수퍼)가맹_의정부장암점 </t>
  </si>
  <si>
    <t>0007117739</t>
  </si>
  <si>
    <t>수퍼)가맹_대구파크드림점</t>
  </si>
  <si>
    <t>0007117741</t>
  </si>
  <si>
    <t xml:space="preserve">수퍼)가맹_부산구남역점 </t>
  </si>
  <si>
    <t>0007117742</t>
  </si>
  <si>
    <t xml:space="preserve">수퍼)가맹__의왕장안점 </t>
  </si>
  <si>
    <t>0007117743</t>
  </si>
  <si>
    <t>수퍼)가맹_고양삼송역점</t>
  </si>
  <si>
    <t>0007117744</t>
  </si>
  <si>
    <t xml:space="preserve">수퍼)가맹_평택신촌점 </t>
  </si>
  <si>
    <t>0007117745</t>
  </si>
  <si>
    <t xml:space="preserve">수퍼)가맹_부산양정역점 </t>
  </si>
  <si>
    <t>0007117746</t>
  </si>
  <si>
    <t>수퍼)가맹_인천석바위점</t>
  </si>
  <si>
    <t>0007117747</t>
  </si>
  <si>
    <t xml:space="preserve">수퍼)가맹_송도호반점 </t>
  </si>
  <si>
    <t>0007117736</t>
  </si>
  <si>
    <t>수퍼)가맹_일광신도시점</t>
  </si>
  <si>
    <t>0007117737</t>
  </si>
  <si>
    <t xml:space="preserve">수퍼)가맹_청라호수공원점 </t>
  </si>
  <si>
    <t>0007117729</t>
  </si>
  <si>
    <t xml:space="preserve">수퍼)가맹_안양동편마을점 </t>
  </si>
  <si>
    <t>0007117731</t>
  </si>
  <si>
    <t>수퍼)가맹_남양주가운점</t>
  </si>
  <si>
    <t>0007117732</t>
  </si>
  <si>
    <t>수퍼)가맹_대구서재점</t>
  </si>
  <si>
    <t>0007117733</t>
  </si>
  <si>
    <t xml:space="preserve">수퍼)가맹_대구오페라점 </t>
  </si>
  <si>
    <t>0007117734</t>
  </si>
  <si>
    <t xml:space="preserve">수퍼)가맹_대구화랑로점 </t>
  </si>
  <si>
    <t>0007117735</t>
  </si>
  <si>
    <t>수퍼)가맹__가정루원시티점</t>
  </si>
  <si>
    <t>0007117726</t>
  </si>
  <si>
    <t xml:space="preserve">수퍼)가맹__양산중부점 </t>
  </si>
  <si>
    <t>0007117727</t>
  </si>
  <si>
    <t>수퍼)가맹_서산테크노점</t>
  </si>
  <si>
    <t>0007117728</t>
  </si>
  <si>
    <t xml:space="preserve">수퍼)가맹__용현자이점 </t>
  </si>
  <si>
    <t>0007117725</t>
  </si>
  <si>
    <t xml:space="preserve">수퍼)가맹_강서염창점 </t>
  </si>
  <si>
    <t>0007047860</t>
  </si>
  <si>
    <t xml:space="preserve">수퍼)가맹_옥정린파밀리에점 </t>
  </si>
  <si>
    <t>0007117717</t>
  </si>
  <si>
    <t>수퍼)가맹_오산스카이점</t>
  </si>
  <si>
    <t>0007117718</t>
  </si>
  <si>
    <t xml:space="preserve">수퍼)가맹_세종새뜸마을점 </t>
  </si>
  <si>
    <t>0007117719</t>
  </si>
  <si>
    <t xml:space="preserve">수퍼)가맹_세종중흥점 </t>
  </si>
  <si>
    <t>0007117721</t>
  </si>
  <si>
    <t>수퍼)가맹_은평가좌점</t>
  </si>
  <si>
    <t>0007117722</t>
  </si>
  <si>
    <t xml:space="preserve">수퍼)가맹_진해남문점 </t>
  </si>
  <si>
    <t>0007117723</t>
  </si>
  <si>
    <t xml:space="preserve">수퍼)가맹_양산증산점 </t>
  </si>
  <si>
    <t>0007117724</t>
  </si>
  <si>
    <t xml:space="preserve">수퍼)가맹__천안차암점 </t>
  </si>
  <si>
    <t>0007117715</t>
  </si>
  <si>
    <t xml:space="preserve">수퍼)가맹__세종새샘마을점 </t>
  </si>
  <si>
    <t>0007117716</t>
  </si>
  <si>
    <t>수퍼)가맹_덕계역점</t>
  </si>
  <si>
    <t>0007117714</t>
  </si>
  <si>
    <t xml:space="preserve">수퍼)가맹_부산엘시티점 </t>
  </si>
  <si>
    <t>0007117711</t>
  </si>
  <si>
    <t>수퍼)가맹_인천작전역점</t>
  </si>
  <si>
    <t>0007117712</t>
  </si>
  <si>
    <t xml:space="preserve">수퍼)가맹_방배서리풀점 </t>
  </si>
  <si>
    <t>0007117713</t>
  </si>
  <si>
    <t xml:space="preserve">(해지)수퍼)가맹__월영마린점 </t>
  </si>
  <si>
    <t>0007117701</t>
  </si>
  <si>
    <t>수퍼)가맹_송파나루역점</t>
  </si>
  <si>
    <t>0007117702</t>
  </si>
  <si>
    <t xml:space="preserve">수퍼)가맹_평택서정점 </t>
  </si>
  <si>
    <t>0007117703</t>
  </si>
  <si>
    <t xml:space="preserve">수퍼)가맹_대구범어역점 </t>
  </si>
  <si>
    <t>0007117704</t>
  </si>
  <si>
    <t>수퍼)가맹_운정풍경채점</t>
  </si>
  <si>
    <t>0007117705</t>
  </si>
  <si>
    <t xml:space="preserve">수퍼)가맹_사천유천점 </t>
  </si>
  <si>
    <t>0007117706</t>
  </si>
  <si>
    <t xml:space="preserve">수퍼)가맹__충주용산점 </t>
  </si>
  <si>
    <t>0007117707</t>
  </si>
  <si>
    <t xml:space="preserve">(해지)수퍼)가맹__인천청라점 </t>
  </si>
  <si>
    <t>0007117708</t>
  </si>
  <si>
    <t xml:space="preserve">수퍼)가맹__송도그린워크점 </t>
  </si>
  <si>
    <t>0007217694</t>
  </si>
  <si>
    <t xml:space="preserve">수퍼)가맹__고덕해리움점 </t>
  </si>
  <si>
    <t>0007117695</t>
  </si>
  <si>
    <t xml:space="preserve">수퍼)가맹__광양금호점 </t>
  </si>
  <si>
    <t>0007206450</t>
  </si>
  <si>
    <t>0007117696</t>
  </si>
  <si>
    <t xml:space="preserve">수퍼)가맹__울산야음점 </t>
  </si>
  <si>
    <t>0007117688</t>
  </si>
  <si>
    <t xml:space="preserve">수퍼)가맹__행신점 </t>
  </si>
  <si>
    <t>0007117689</t>
  </si>
  <si>
    <t>수퍼)가맹_구월용천로점</t>
  </si>
  <si>
    <t>0007117684</t>
  </si>
  <si>
    <t>수퍼)가맹_수지상현동점</t>
  </si>
  <si>
    <t>0007117685</t>
  </si>
  <si>
    <t>수퍼)가맹_영통래미안점</t>
  </si>
  <si>
    <t>0007117686</t>
  </si>
  <si>
    <t xml:space="preserve">수퍼)가맹_용인둔전점 </t>
  </si>
  <si>
    <t>0007117687</t>
  </si>
  <si>
    <t xml:space="preserve">수퍼)가맹__중랑망우점 </t>
  </si>
  <si>
    <t>0007117672</t>
  </si>
  <si>
    <t xml:space="preserve">수퍼)가맹_군포수리점 </t>
  </si>
  <si>
    <t>0007117678</t>
  </si>
  <si>
    <t xml:space="preserve">수퍼)가맹_북서울숲점 </t>
  </si>
  <si>
    <t>0007117679</t>
  </si>
  <si>
    <t xml:space="preserve">수퍼)가맹__아산탕정점 </t>
  </si>
  <si>
    <t>0007117681</t>
  </si>
  <si>
    <t xml:space="preserve">수퍼)가맹_동래안락점 </t>
  </si>
  <si>
    <t>0007117682</t>
  </si>
  <si>
    <t>(해지)수퍼)가맹_산본프라자점</t>
  </si>
  <si>
    <t>0007117683</t>
  </si>
  <si>
    <t xml:space="preserve">수퍼)가맹__경주현곡점 </t>
  </si>
  <si>
    <t>0007117673</t>
  </si>
  <si>
    <t xml:space="preserve">(해지)수퍼)가맹_신내점 </t>
  </si>
  <si>
    <t>0007117674</t>
  </si>
  <si>
    <t>수퍼)가맹_운정물향기점</t>
  </si>
  <si>
    <t>0007117675</t>
  </si>
  <si>
    <t xml:space="preserve">수퍼)가맹__용인신봉점 </t>
  </si>
  <si>
    <t>0007117676</t>
  </si>
  <si>
    <t xml:space="preserve">수퍼)가맹_강남영동점 </t>
  </si>
  <si>
    <t>0007117671</t>
  </si>
  <si>
    <t>수퍼)가맹_동탄반도유보라점</t>
  </si>
  <si>
    <t>0007047820</t>
  </si>
  <si>
    <t>수퍼)가맹_신촌이대역점</t>
  </si>
  <si>
    <t>0007206420</t>
  </si>
  <si>
    <t>수퍼)가맹_대구역풍경채점</t>
  </si>
  <si>
    <t>0007206430</t>
  </si>
  <si>
    <t xml:space="preserve">수퍼)가맹_용인영덕점 </t>
  </si>
  <si>
    <t>0007047780</t>
  </si>
  <si>
    <t xml:space="preserve">수퍼)가맹_동탄서연점 </t>
  </si>
  <si>
    <t>0007047790</t>
  </si>
  <si>
    <t xml:space="preserve">수퍼)가맹_평택고덕점 </t>
  </si>
  <si>
    <t>0007047810</t>
  </si>
  <si>
    <t xml:space="preserve">수퍼)가맹_의왕백운호수점 </t>
  </si>
  <si>
    <t>0007117664</t>
  </si>
  <si>
    <t xml:space="preserve">수퍼)가맹_세종종촌점 </t>
  </si>
  <si>
    <t>0007117665</t>
  </si>
  <si>
    <t>수퍼)가맹_길음뉴타운점</t>
  </si>
  <si>
    <t>0007117666</t>
  </si>
  <si>
    <t xml:space="preserve">해지)수퍼)가맹_용현자이점 </t>
  </si>
  <si>
    <t>0007267030</t>
  </si>
  <si>
    <t>(해지)수퍼)가맹_죽전현암로점</t>
  </si>
  <si>
    <t>0007117661</t>
  </si>
  <si>
    <t xml:space="preserve">수퍼)가맹_해운대동부점 </t>
  </si>
  <si>
    <t>0007117662</t>
  </si>
  <si>
    <t xml:space="preserve">수퍼)가맹_인천용현점 </t>
  </si>
  <si>
    <t>0007117663</t>
  </si>
  <si>
    <t xml:space="preserve">수퍼)가맹_장안한내점 </t>
  </si>
  <si>
    <t>0007047760</t>
  </si>
  <si>
    <t>수퍼)가맹_용인신갈역점</t>
  </si>
  <si>
    <t>0007047740</t>
  </si>
  <si>
    <t xml:space="preserve">수퍼)가맹_고양지축역점 </t>
  </si>
  <si>
    <t>0007047750</t>
  </si>
  <si>
    <t xml:space="preserve">수퍼)가맹_행신사거리 </t>
  </si>
  <si>
    <t>0007266360</t>
  </si>
  <si>
    <t xml:space="preserve">수퍼)가맹_사하구평점 </t>
  </si>
  <si>
    <t>0007206370</t>
  </si>
  <si>
    <t>(해지)수퍼)가맹_평택대광점</t>
  </si>
  <si>
    <t>0007267010</t>
  </si>
  <si>
    <t>수퍼)가맹_이매역점</t>
  </si>
  <si>
    <t>0007267020</t>
  </si>
  <si>
    <t>수퍼)가맹_관악은천점</t>
  </si>
  <si>
    <t>0007206380</t>
  </si>
  <si>
    <t xml:space="preserve">수퍼)가맹_노원월계점 </t>
  </si>
  <si>
    <t>0007047710</t>
  </si>
  <si>
    <t>수퍼)가맹_성동텐즈힐점</t>
  </si>
  <si>
    <t>0007047720</t>
  </si>
  <si>
    <t xml:space="preserve">수퍼)가맹_부산수영로점 </t>
  </si>
  <si>
    <t>0007047730</t>
  </si>
  <si>
    <t>수퍼)가맹_부산가야점</t>
  </si>
  <si>
    <t>0007117656</t>
  </si>
  <si>
    <t>해지)수퍼)가맹_부평그랑힐스점</t>
  </si>
  <si>
    <t>0007206340</t>
  </si>
  <si>
    <t>수퍼)가맹_부평청천점</t>
  </si>
  <si>
    <t>0007206350</t>
  </si>
  <si>
    <t xml:space="preserve">수퍼)가맹_동작상도점 </t>
  </si>
  <si>
    <t>0007266350</t>
  </si>
  <si>
    <t xml:space="preserve">해지)수퍼)가맹_아산둔포점 </t>
  </si>
  <si>
    <t>0007206320</t>
  </si>
  <si>
    <t>수퍼)가맹_부산하버시티점</t>
  </si>
  <si>
    <t>0007117654</t>
  </si>
  <si>
    <t xml:space="preserve">수퍼)가맹_대연더비치점 </t>
  </si>
  <si>
    <t>0007117655</t>
  </si>
  <si>
    <t xml:space="preserve">수퍼)가맹_노원캐슬점 </t>
  </si>
  <si>
    <t>0007206330</t>
  </si>
  <si>
    <t>수퍼)가맹_목감레이크점</t>
  </si>
  <si>
    <t>0007047670</t>
  </si>
  <si>
    <t xml:space="preserve">수퍼)가맹_송파석촌호수점 </t>
  </si>
  <si>
    <t>0007047680</t>
  </si>
  <si>
    <t>수퍼)가맹_강서증미역점</t>
  </si>
  <si>
    <t>0007047690</t>
  </si>
  <si>
    <t>수퍼)가맹__송도더샵점(신)</t>
  </si>
  <si>
    <t>0007266340</t>
  </si>
  <si>
    <t xml:space="preserve">수퍼)가맹__탕정물빛도시점 </t>
  </si>
  <si>
    <t>0007117647</t>
  </si>
  <si>
    <t xml:space="preserve">수퍼)가맹__천안쌍용점 </t>
  </si>
  <si>
    <t>0007117648</t>
  </si>
  <si>
    <t xml:space="preserve">(해지)수퍼)가맹__죽곡점 </t>
  </si>
  <si>
    <t>0007117649</t>
  </si>
  <si>
    <t xml:space="preserve">수퍼)가맹__화성오산점 </t>
  </si>
  <si>
    <t>0007117651</t>
  </si>
  <si>
    <t>해지)수퍼)가맹__파주와동점(신)</t>
  </si>
  <si>
    <t>0007047630</t>
  </si>
  <si>
    <t xml:space="preserve">수퍼)가맹_인천주안점 </t>
  </si>
  <si>
    <t>0007047640</t>
  </si>
  <si>
    <t>수퍼)가맹__센트럴파크점(신)</t>
  </si>
  <si>
    <t>0007266330</t>
  </si>
  <si>
    <t xml:space="preserve">수퍼)가맹__용인역북점 </t>
  </si>
  <si>
    <t>0007206270</t>
  </si>
  <si>
    <t xml:space="preserve">수퍼)가맹__구미구평점 </t>
  </si>
  <si>
    <t>0007117645</t>
  </si>
  <si>
    <t xml:space="preserve">수퍼)가맹__잠실파크리오점 </t>
  </si>
  <si>
    <t>0007047620</t>
  </si>
  <si>
    <t xml:space="preserve">수퍼)가맹__충주산업단지점 </t>
  </si>
  <si>
    <t>0007206280</t>
  </si>
  <si>
    <t>수퍼)가맹__도청신도시점</t>
  </si>
  <si>
    <t>0007117646</t>
  </si>
  <si>
    <t>수퍼)가맹_오송파라곤점</t>
  </si>
  <si>
    <t>0007266310</t>
  </si>
  <si>
    <t xml:space="preserve">수퍼)가맹_신길사러가점 </t>
  </si>
  <si>
    <t>0007266320</t>
  </si>
  <si>
    <t>수퍼)가맹_김해신문점</t>
  </si>
  <si>
    <t>0007117642</t>
  </si>
  <si>
    <t xml:space="preserve">수퍼)가맹__도청호명점 </t>
  </si>
  <si>
    <t>0007117643</t>
  </si>
  <si>
    <t>(해지)수퍼)가맹__대동점</t>
  </si>
  <si>
    <t>0007117644</t>
  </si>
  <si>
    <t xml:space="preserve">수퍼)가맹_인천서운점 </t>
  </si>
  <si>
    <t>0007047600</t>
  </si>
  <si>
    <t xml:space="preserve">수퍼)가맹_안동강변점 </t>
  </si>
  <si>
    <t>0007117641</t>
  </si>
  <si>
    <t>수퍼)가맹_수원센트럴점</t>
  </si>
  <si>
    <t>0007266260</t>
  </si>
  <si>
    <t xml:space="preserve">수퍼)가맹_양주한신더휴점 </t>
  </si>
  <si>
    <t>0007117536</t>
  </si>
  <si>
    <t>수퍼)가맹_부천범박점</t>
  </si>
  <si>
    <t>0007047550</t>
  </si>
  <si>
    <t xml:space="preserve">수퍼)가맹_솔빛나루점 </t>
  </si>
  <si>
    <t>0007266270</t>
  </si>
  <si>
    <t xml:space="preserve">수퍼)가맹_울산중산점 </t>
  </si>
  <si>
    <t>0007117537</t>
  </si>
  <si>
    <t>수퍼)가맹_남양주진점접</t>
  </si>
  <si>
    <t>0007206260</t>
  </si>
  <si>
    <t>수퍼)가맹_송도마리나점(신)</t>
  </si>
  <si>
    <t>0007266280</t>
  </si>
  <si>
    <t xml:space="preserve">수퍼)가맹_신부중앙점 </t>
  </si>
  <si>
    <t>0007117538</t>
  </si>
  <si>
    <t xml:space="preserve">수퍼)가맹_용인캐슬점 </t>
  </si>
  <si>
    <t>0007266290</t>
  </si>
  <si>
    <t>수퍼)가맹_구미신당점(신)</t>
  </si>
  <si>
    <t>0007117539</t>
  </si>
  <si>
    <t>해지)수퍼가맹)동래래미안점</t>
  </si>
  <si>
    <t>0007206060</t>
  </si>
  <si>
    <t>수퍼)가맹_울산지웰자</t>
  </si>
  <si>
    <t>0007117403</t>
  </si>
  <si>
    <t>수퍼)가맹__광명데시</t>
  </si>
  <si>
    <t>0007117404</t>
  </si>
  <si>
    <t xml:space="preserve">수퍼)가맹__김해외동 </t>
  </si>
  <si>
    <t>0007117405</t>
  </si>
  <si>
    <t xml:space="preserve">수퍼)가맹_사하괴정점 </t>
  </si>
  <si>
    <t>0007047460</t>
  </si>
  <si>
    <t xml:space="preserve">해지)수퍼가맹)중랑망우점 </t>
  </si>
  <si>
    <t>0007117389</t>
  </si>
  <si>
    <t>수퍼가맹)지웰시티점</t>
  </si>
  <si>
    <t>0007266070</t>
  </si>
  <si>
    <t xml:space="preserve">수퍼가맹)해운대마린점 </t>
  </si>
  <si>
    <t>0007047430</t>
  </si>
  <si>
    <t xml:space="preserve">해지)수퍼가맹)_사직싸용점 </t>
  </si>
  <si>
    <t>0007117386</t>
  </si>
  <si>
    <t>수퍼가맹)동대문장안점</t>
  </si>
  <si>
    <t>0007117387</t>
  </si>
  <si>
    <t xml:space="preserve">수퍼가맹)청계2점 </t>
  </si>
  <si>
    <t>0007206050</t>
  </si>
  <si>
    <t>수퍼가맹)진주센트럴점</t>
  </si>
  <si>
    <t>0007117384</t>
  </si>
  <si>
    <t>수퍼가맹)부평더샵점</t>
  </si>
  <si>
    <t>0007117382</t>
  </si>
  <si>
    <t xml:space="preserve">수퍼가맹)부평열우물점 </t>
  </si>
  <si>
    <t>0007117383</t>
  </si>
  <si>
    <t>수퍼가맹)은계호반점</t>
  </si>
  <si>
    <t>0007117374</t>
  </si>
  <si>
    <t xml:space="preserve">수퍼가맹)춘천온의점 </t>
  </si>
  <si>
    <t>0007117375</t>
  </si>
  <si>
    <t xml:space="preserve">해지)수퍼가맹)_구미인덕점 </t>
  </si>
  <si>
    <t>0007117376</t>
  </si>
  <si>
    <t xml:space="preserve">수퍼가맹)시흥죽율점 </t>
  </si>
  <si>
    <t>0007117377</t>
  </si>
  <si>
    <t>해지)수퍼가맹)송도하버뷰점</t>
  </si>
  <si>
    <t>0007266050</t>
  </si>
  <si>
    <t>수퍼가맹)송파하비오점</t>
  </si>
  <si>
    <t>0007266060</t>
  </si>
  <si>
    <t xml:space="preserve">수퍼가맹)__분당구미점 </t>
  </si>
  <si>
    <t>0007266040</t>
  </si>
  <si>
    <t xml:space="preserve">해지)수퍼가맹)탕정물빛도시점 </t>
  </si>
  <si>
    <t>0007117372</t>
  </si>
  <si>
    <t xml:space="preserve">수퍼가맹)양산덕계점 </t>
  </si>
  <si>
    <t>0007047390</t>
  </si>
  <si>
    <t>수퍼가맹)수원매교역점</t>
  </si>
  <si>
    <t>0007047410</t>
  </si>
  <si>
    <t xml:space="preserve">수퍼가맹)_하남미사점 </t>
  </si>
  <si>
    <t>0007117373</t>
  </si>
  <si>
    <t>수퍼가맹)대연혁신점</t>
  </si>
  <si>
    <t>0007047370</t>
  </si>
  <si>
    <t>수퍼가맹)부산온천점</t>
  </si>
  <si>
    <t>0007117371</t>
  </si>
  <si>
    <t xml:space="preserve">해지)수퍼가맹)송파시그니처점 </t>
  </si>
  <si>
    <t>0007047380</t>
  </si>
  <si>
    <t xml:space="preserve">수퍼가맹)용산이촌점 </t>
  </si>
  <si>
    <t>0007205990</t>
  </si>
  <si>
    <t xml:space="preserve">해지)수퍼가맹)시흥장현점 </t>
  </si>
  <si>
    <t>0007117361</t>
  </si>
  <si>
    <t>수퍼가맹)광명뉴타운점</t>
  </si>
  <si>
    <t>0007117362</t>
  </si>
  <si>
    <t xml:space="preserve">수퍼가맹)시흥배곧파크점 </t>
  </si>
  <si>
    <t>0007117363</t>
  </si>
  <si>
    <t xml:space="preserve">수퍼가맹)울산태화점 </t>
  </si>
  <si>
    <t>0007117364</t>
  </si>
  <si>
    <t xml:space="preserve">수퍼가맹)세종도담점 </t>
  </si>
  <si>
    <t>0007206010</t>
  </si>
  <si>
    <t>(해지)수퍼)가맹_송도센트럴시티점</t>
  </si>
  <si>
    <t>0007117359</t>
  </si>
  <si>
    <t>수퍼)가맹_시흥은계점</t>
  </si>
  <si>
    <t>0007117357</t>
  </si>
  <si>
    <t xml:space="preserve">수퍼)가맹_강남일원점 </t>
  </si>
  <si>
    <t>0007205970</t>
  </si>
  <si>
    <t xml:space="preserve">해지)수퍼)가맹_울산야음점 </t>
  </si>
  <si>
    <t>0007117358</t>
  </si>
  <si>
    <t>수퍼가맹_부산송도점</t>
  </si>
  <si>
    <t>0007047260</t>
  </si>
  <si>
    <t xml:space="preserve">수퍼가맹_해운대중동점 </t>
  </si>
  <si>
    <t>0007047270</t>
  </si>
  <si>
    <t xml:space="preserve">수퍼)가맹_호평알프하임점 </t>
  </si>
  <si>
    <t>0007205950</t>
  </si>
  <si>
    <t xml:space="preserve">수퍼)가맹_명지오션점 </t>
  </si>
  <si>
    <t>0007265340</t>
  </si>
  <si>
    <t xml:space="preserve">수퍼)가맹_강릉포남점 </t>
  </si>
  <si>
    <t>0007117355</t>
  </si>
  <si>
    <t xml:space="preserve">수퍼)가맹_포항상도점 </t>
  </si>
  <si>
    <t>0007117356</t>
  </si>
  <si>
    <t xml:space="preserve">수퍼)가맹_용인보정점 </t>
  </si>
  <si>
    <t>0007265350</t>
  </si>
  <si>
    <t xml:space="preserve">수퍼)가맹_김포은여울점 </t>
  </si>
  <si>
    <t>0007265330</t>
  </si>
  <si>
    <t>수퍼)가맹_물금대방점</t>
  </si>
  <si>
    <t>0007205910</t>
  </si>
  <si>
    <t xml:space="preserve">수퍼)가맹_군포당정점 </t>
  </si>
  <si>
    <t>0007205920</t>
  </si>
  <si>
    <t>수퍼)가맹_수원오목천점</t>
  </si>
  <si>
    <t>0007205930</t>
  </si>
  <si>
    <t>(해지)수퍼)가맹_김포향산점</t>
  </si>
  <si>
    <t>0007205940</t>
  </si>
  <si>
    <t>수퍼)가맹_화성스타힐스</t>
  </si>
  <si>
    <t>0007117353</t>
  </si>
  <si>
    <t xml:space="preserve">수퍼)가맹_강릉입암점 </t>
  </si>
  <si>
    <t>0007117354</t>
  </si>
  <si>
    <t xml:space="preserve">수퍼)가맹_군포산본점 </t>
  </si>
  <si>
    <t>0007047250</t>
  </si>
  <si>
    <t xml:space="preserve">수퍼)가맹_송도파크자이점 </t>
  </si>
  <si>
    <t>0007117349</t>
  </si>
  <si>
    <t xml:space="preserve">수퍼)가맹_다대점 </t>
  </si>
  <si>
    <t>0007265290</t>
  </si>
  <si>
    <t>(해지)수퍼)가맹_오산대역점</t>
  </si>
  <si>
    <t>0007205870</t>
  </si>
  <si>
    <t>수퍼)가맹_동탄한신점(신)</t>
  </si>
  <si>
    <t>0007117347</t>
  </si>
  <si>
    <t>수퍼)가맹_항동에듀힐즈</t>
  </si>
  <si>
    <t>0007047240</t>
  </si>
  <si>
    <t>수퍼)가맹_양천향교역점</t>
  </si>
  <si>
    <t>0007265260</t>
  </si>
  <si>
    <t xml:space="preserve">(해지)수퍼)가맹_세종해들마을점 </t>
  </si>
  <si>
    <t>0007117348</t>
  </si>
  <si>
    <t>(해지)수퍼)가맹_검단더힐점</t>
  </si>
  <si>
    <t>0007265270</t>
  </si>
  <si>
    <t xml:space="preserve">수퍼)가맹_용인마북점 </t>
  </si>
  <si>
    <t>0007117345</t>
  </si>
  <si>
    <t>수퍼)가맹_배곧신도시점</t>
  </si>
  <si>
    <t>0007047230</t>
  </si>
  <si>
    <t>수퍼)가맹_명지센트럴점</t>
  </si>
  <si>
    <t>0007205850</t>
  </si>
  <si>
    <t>수퍼)가맹_신촌숲아이파크점</t>
  </si>
  <si>
    <t>0007205860</t>
  </si>
  <si>
    <t>해지)수퍼)스낵포_부산강동점</t>
  </si>
  <si>
    <t>0007265250</t>
  </si>
  <si>
    <t xml:space="preserve">수퍼)가맹_수원팔달점 </t>
  </si>
  <si>
    <t>0007205820</t>
  </si>
  <si>
    <t xml:space="preserve">해지)수퍼)가맹_동탄한신점 </t>
  </si>
  <si>
    <t>0007117342</t>
  </si>
  <si>
    <t>0007117343</t>
  </si>
  <si>
    <t xml:space="preserve">수퍼)가맹_광양성황점 </t>
  </si>
  <si>
    <t>0007117344</t>
  </si>
  <si>
    <t xml:space="preserve">해지)수퍼)가맹_동탄중앙점 </t>
  </si>
  <si>
    <t>0007265230</t>
  </si>
  <si>
    <t>수퍼)가맹_동탄기흥로점</t>
  </si>
  <si>
    <t>0007265240</t>
  </si>
  <si>
    <t>수퍼)가맹_관악난향점</t>
  </si>
  <si>
    <t>0007205780</t>
  </si>
  <si>
    <t>수퍼)가맹_광나루점</t>
  </si>
  <si>
    <t>0007205790</t>
  </si>
  <si>
    <t xml:space="preserve">해지)수퍼)가맹_센텀시티점 </t>
  </si>
  <si>
    <t>0007117341</t>
  </si>
  <si>
    <t xml:space="preserve">(해지)수퍼)가맹_디에이치자이점 </t>
  </si>
  <si>
    <t>0007205730</t>
  </si>
  <si>
    <t xml:space="preserve">수퍼)가맹_용인동백점 </t>
  </si>
  <si>
    <t>0007205740</t>
  </si>
  <si>
    <t xml:space="preserve">수퍼)가맹_경성부경대점 </t>
  </si>
  <si>
    <t>0007205750</t>
  </si>
  <si>
    <t>수퍼)가맹_가경아이파크점</t>
  </si>
  <si>
    <t>0007117332</t>
  </si>
  <si>
    <t xml:space="preserve">수퍼)가맹_무악현대점 </t>
  </si>
  <si>
    <t>0007117333</t>
  </si>
  <si>
    <t>수퍼)가맹_선유도점</t>
  </si>
  <si>
    <t>0007117334</t>
  </si>
  <si>
    <t xml:space="preserve">(해지)수퍼)가맹_월성삼정점 </t>
  </si>
  <si>
    <t>0007117335</t>
  </si>
  <si>
    <t xml:space="preserve">수퍼)가맹_안양호계점 </t>
  </si>
  <si>
    <t>0007265220</t>
  </si>
  <si>
    <t xml:space="preserve">수퍼)가맹_송파2점 </t>
  </si>
  <si>
    <t>0007811320</t>
  </si>
  <si>
    <t>수퍼)김포사우점_송금</t>
  </si>
  <si>
    <t>0007117328</t>
  </si>
  <si>
    <t>(해지)수퍼)가맹_만덕이편한점</t>
  </si>
  <si>
    <t>0007117326</t>
  </si>
  <si>
    <t xml:space="preserve">수퍼)가맹_북위례점 </t>
  </si>
  <si>
    <t>0007117327</t>
  </si>
  <si>
    <t>(해지)수퍼)가맹_산본역점</t>
  </si>
  <si>
    <t>0007265190</t>
  </si>
  <si>
    <t xml:space="preserve">수퍼)가맹_천안불당점 </t>
  </si>
  <si>
    <t>0007265210</t>
  </si>
  <si>
    <t xml:space="preserve">수퍼)가맹_진주초전점 </t>
  </si>
  <si>
    <t>0007117324</t>
  </si>
  <si>
    <t xml:space="preserve">(해지)수퍼)가맹_평택동삭점 </t>
  </si>
  <si>
    <t>0007117325</t>
  </si>
  <si>
    <t xml:space="preserve">수퍼)가맹_광진구의점 </t>
  </si>
  <si>
    <t>0007265180</t>
  </si>
  <si>
    <t xml:space="preserve">수퍼)가맹_송도랜드마크점 </t>
  </si>
  <si>
    <t>0007205710</t>
  </si>
  <si>
    <t xml:space="preserve">해지)수퍼)가맹_동작상도점 </t>
  </si>
  <si>
    <t>0007205720</t>
  </si>
  <si>
    <t>수퍼)가맹_김천혁신점</t>
  </si>
  <si>
    <t>0007117321</t>
  </si>
  <si>
    <t>해지)수퍼)가맹_동탄아이비파크점</t>
  </si>
  <si>
    <t>0007265120</t>
  </si>
  <si>
    <t xml:space="preserve">수퍼)가맹_의정부신곡점 </t>
  </si>
  <si>
    <t>0007265110</t>
  </si>
  <si>
    <t xml:space="preserve">수퍼)가맹_광명철산점 </t>
  </si>
  <si>
    <t>0007205690</t>
  </si>
  <si>
    <t xml:space="preserve">수퍼)가맹_광교호수점 </t>
  </si>
  <si>
    <t>0007205680</t>
  </si>
  <si>
    <t xml:space="preserve">해지)수퍼)가맹_울산태화점 </t>
  </si>
  <si>
    <t>0007117317</t>
  </si>
  <si>
    <t xml:space="preserve">수퍼)성북클라시아점_가맹 </t>
  </si>
  <si>
    <t>0007205670</t>
  </si>
  <si>
    <t xml:space="preserve">수퍼)세종가온마을점_가맹 </t>
  </si>
  <si>
    <t>0007117316</t>
  </si>
  <si>
    <t xml:space="preserve">해지)수퍼)사직쌍용점_가맹 </t>
  </si>
  <si>
    <t>0007117315</t>
  </si>
  <si>
    <t xml:space="preserve">수퍼)군포오금_가맹 </t>
  </si>
  <si>
    <t>0007117258</t>
  </si>
  <si>
    <t xml:space="preserve">수퍼)가맹_봇들마을점 </t>
  </si>
  <si>
    <t>0007117313</t>
  </si>
  <si>
    <t xml:space="preserve">수퍼_가맹_안양비산점 </t>
  </si>
  <si>
    <t>0007265090</t>
  </si>
  <si>
    <t xml:space="preserve">해지)수퍼)가맹_남가좌디엠씨점 </t>
  </si>
  <si>
    <t>0007265050</t>
  </si>
  <si>
    <t xml:space="preserve">수퍼)가맹_권선아이파크점 </t>
  </si>
  <si>
    <t>0007265060</t>
  </si>
  <si>
    <t xml:space="preserve">수퍼)가맹_강북미아점 </t>
  </si>
  <si>
    <t>0007265070</t>
  </si>
  <si>
    <t>해지)수퍼)가맹_검단대방점</t>
  </si>
  <si>
    <t>0007265080</t>
  </si>
  <si>
    <t xml:space="preserve">수퍼)광명_가맹 </t>
  </si>
  <si>
    <t>0007117305</t>
  </si>
  <si>
    <t xml:space="preserve">해지)수퍼)가맹_김포풍무 </t>
  </si>
  <si>
    <t>0007265020</t>
  </si>
  <si>
    <t>수퍼)가맹_울산서부</t>
  </si>
  <si>
    <t>0007265030</t>
  </si>
  <si>
    <t xml:space="preserve">수퍼)평택세교_가맹 </t>
  </si>
  <si>
    <t>0007117295</t>
  </si>
  <si>
    <t xml:space="preserve">수퍼)구리갈매_가맹 </t>
  </si>
  <si>
    <t>0007117296</t>
  </si>
  <si>
    <t>해지)수퍼)가맹_울산동부</t>
  </si>
  <si>
    <t>0007205620</t>
  </si>
  <si>
    <t xml:space="preserve">수퍼)가맹_아산음봉점 </t>
  </si>
  <si>
    <t>0007205630</t>
  </si>
  <si>
    <t>CX부당이득금_회수</t>
  </si>
  <si>
    <t>0007205640</t>
  </si>
  <si>
    <t>해지)수퍼)창원감계점_송금</t>
  </si>
  <si>
    <t>0007117287</t>
  </si>
  <si>
    <t>수퍼)울산구영점_송금</t>
  </si>
  <si>
    <t>0007117279</t>
  </si>
  <si>
    <t>해지)수퍼)경주현곡점_송금</t>
  </si>
  <si>
    <t>0007117283</t>
  </si>
  <si>
    <t>(해지)수퍼)시흥정왕점_송금</t>
  </si>
  <si>
    <t>0007205360</t>
  </si>
  <si>
    <t>해지)수퍼)하남미사점_송금</t>
  </si>
  <si>
    <t>0007205370</t>
  </si>
  <si>
    <t>수퍼)용인포곡점_송금</t>
  </si>
  <si>
    <t>0007205380</t>
  </si>
  <si>
    <t>해지)수퍼)아산탕정점_송금</t>
  </si>
  <si>
    <t>0007205390</t>
  </si>
  <si>
    <t>해지)수퍼)부곡점_송금</t>
  </si>
  <si>
    <t>0007205410</t>
  </si>
  <si>
    <t>해지)수퍼)원동점_송금</t>
  </si>
  <si>
    <t>0007205420</t>
  </si>
  <si>
    <t>해지)수퍼)포항연일점_송금</t>
  </si>
  <si>
    <t>0007205430</t>
  </si>
  <si>
    <t>수퍼)토월점_송금</t>
  </si>
  <si>
    <t>0007205440</t>
  </si>
  <si>
    <t>수퍼)가맹_목동12</t>
  </si>
  <si>
    <t>0007205450</t>
  </si>
  <si>
    <t xml:space="preserve">해지)수퍼)동탄한신_가맹 </t>
  </si>
  <si>
    <t>0007205470</t>
  </si>
  <si>
    <t>수퍼)부평산곡점_송금</t>
  </si>
  <si>
    <t>0007264920</t>
  </si>
  <si>
    <t>수퍼)관악점_송금</t>
  </si>
  <si>
    <t>0007264930</t>
  </si>
  <si>
    <t>수퍼)성북돈암점_송금</t>
  </si>
  <si>
    <t>0007264940</t>
  </si>
  <si>
    <t>수퍼)당진점_송금</t>
  </si>
  <si>
    <t>0007264950</t>
  </si>
  <si>
    <t>수퍼)청주봉명점_송금</t>
  </si>
  <si>
    <t>0007264960</t>
  </si>
  <si>
    <t>수퍼)가맹_수지동천</t>
  </si>
  <si>
    <t>0007264970</t>
  </si>
  <si>
    <t>0007264980</t>
  </si>
  <si>
    <t>해지)수퍼)마산점_송금</t>
  </si>
  <si>
    <t>0007811230</t>
  </si>
  <si>
    <t>해지)수퍼)거제신현점_송금</t>
  </si>
  <si>
    <t>0007811240</t>
  </si>
  <si>
    <t>수퍼)상계점_송금</t>
  </si>
  <si>
    <t>0007811250</t>
  </si>
  <si>
    <t>해지)수퍼)송파2점_송금</t>
  </si>
  <si>
    <t>0007811270</t>
  </si>
  <si>
    <t>수퍼)화명</t>
  </si>
  <si>
    <t>0007117253</t>
  </si>
  <si>
    <t>(해지)수퍼)대전송강점_송금</t>
  </si>
  <si>
    <t>0007117275</t>
  </si>
  <si>
    <t>해지)수퍼)신탄진점_송금</t>
  </si>
  <si>
    <t>0007117276</t>
  </si>
  <si>
    <t>해지)수퍼)군산나운점_송금</t>
  </si>
  <si>
    <t>0007117277</t>
  </si>
  <si>
    <t>해지)수퍼)도청신도시점_송금</t>
  </si>
  <si>
    <t>0007117278</t>
  </si>
  <si>
    <t>수퍼)포항두호점_송금</t>
  </si>
  <si>
    <t>0007310190</t>
  </si>
  <si>
    <t>(해지)수퍼)칠곡왜관점_송금</t>
  </si>
  <si>
    <t>0007310210</t>
  </si>
  <si>
    <t>수퍼)포항양덕점_송금</t>
  </si>
  <si>
    <t>0007310220</t>
  </si>
  <si>
    <t>수퍼)개금점_송금</t>
  </si>
  <si>
    <t>0007320560</t>
  </si>
  <si>
    <t>수퍼)명장점_송금</t>
  </si>
  <si>
    <t>0007320570</t>
  </si>
  <si>
    <t>수퍼)대동점_송금</t>
  </si>
  <si>
    <t>0007320580</t>
  </si>
  <si>
    <t>수퍼)명지국제점_송금</t>
  </si>
  <si>
    <t>0007320590</t>
  </si>
  <si>
    <t>해지)수퍼)초읍점_송금</t>
  </si>
  <si>
    <t>0007117243</t>
  </si>
  <si>
    <t>수퍼)의정부민락점_송금</t>
  </si>
  <si>
    <t>0007117263</t>
  </si>
  <si>
    <t>해지)수퍼)학익점_송금</t>
  </si>
  <si>
    <t>0007117264</t>
  </si>
  <si>
    <t>해지)수퍼)원주점_송금</t>
  </si>
  <si>
    <t>0007117265</t>
  </si>
  <si>
    <t>수퍼)용인점_송금</t>
  </si>
  <si>
    <t>0007117266</t>
  </si>
  <si>
    <t>수퍼)안성점_송금</t>
  </si>
  <si>
    <t>0007117267</t>
  </si>
  <si>
    <t>수퍼)공주신관점_송금</t>
  </si>
  <si>
    <t>0007117268</t>
  </si>
  <si>
    <t>수퍼)공주점_송금</t>
  </si>
  <si>
    <t>0007117269</t>
  </si>
  <si>
    <t>해지)수퍼)당진송악점_송금</t>
  </si>
  <si>
    <t>0007117271</t>
  </si>
  <si>
    <t>해지)수퍼)예산점_송금</t>
  </si>
  <si>
    <t>0007117272</t>
  </si>
  <si>
    <t>수퍼)천안두정점_송금</t>
  </si>
  <si>
    <t>0007117273</t>
  </si>
  <si>
    <t>수퍼)천안점_송금</t>
  </si>
  <si>
    <t>0007117274</t>
  </si>
  <si>
    <t>해지)수퍼)포항창포점_송금</t>
  </si>
  <si>
    <t>0007117281</t>
  </si>
  <si>
    <t>수퍼)포항환호점_송금</t>
  </si>
  <si>
    <t>0007117282</t>
  </si>
  <si>
    <t>수퍼)구포점_송금</t>
  </si>
  <si>
    <t>0007117284</t>
  </si>
  <si>
    <t>수퍼)진주평거점_송금</t>
  </si>
  <si>
    <t>0007117285</t>
  </si>
  <si>
    <t>해지)수퍼)진해여좌점_송금</t>
  </si>
  <si>
    <t>0007117286</t>
  </si>
  <si>
    <t>수퍼)대방점_송금</t>
  </si>
  <si>
    <t>0007117288</t>
  </si>
  <si>
    <t>수퍼)장유점_송금</t>
  </si>
  <si>
    <t>0007117289</t>
  </si>
  <si>
    <t>해지)수퍼)진해풍호점_송금</t>
  </si>
  <si>
    <t>0007117291</t>
  </si>
  <si>
    <t xml:space="preserve">수퍼)가맹_양산가촌 </t>
  </si>
  <si>
    <t>0007117293</t>
  </si>
  <si>
    <t>(해지)수퍼)가맹_장유삼문</t>
  </si>
  <si>
    <t>0007117294</t>
  </si>
  <si>
    <t>수퍼)동두천점_송금</t>
  </si>
  <si>
    <t>0007031070</t>
  </si>
  <si>
    <t>수퍼)인천삼산점_송금</t>
  </si>
  <si>
    <t>0007031080</t>
  </si>
  <si>
    <t>수허)서산석남점_송금</t>
  </si>
  <si>
    <t>0007032010</t>
  </si>
  <si>
    <t>해지)수퍼)광진화양점_송금</t>
  </si>
  <si>
    <t>0007047080</t>
  </si>
  <si>
    <t>수퍼)서인천점_송금</t>
  </si>
  <si>
    <t>0007047090</t>
  </si>
  <si>
    <t>해지)수퍼)관악난향점_송금</t>
  </si>
  <si>
    <t>0007047100</t>
  </si>
  <si>
    <t>해지)수퍼)홍천점_송금</t>
  </si>
  <si>
    <t>0007047110</t>
  </si>
  <si>
    <t>해지)수퍼)하남점_송금</t>
  </si>
  <si>
    <t>0007047120</t>
  </si>
  <si>
    <t>해지)수퍼)양산물금점_송금</t>
  </si>
  <si>
    <t>0007047130</t>
  </si>
  <si>
    <t>수퍼)만덕점_송금</t>
  </si>
  <si>
    <t>0007047140</t>
  </si>
  <si>
    <t>해지)수퍼)배곧신도시_송금</t>
  </si>
  <si>
    <t>0007117259</t>
  </si>
  <si>
    <t xml:space="preserve">수퍼)대전아이파크_가맹 </t>
  </si>
  <si>
    <t>0007264880</t>
  </si>
  <si>
    <t>수퍼)만수점_송금</t>
  </si>
  <si>
    <t>0007264890</t>
  </si>
  <si>
    <t xml:space="preserve">해지)수퍼)배곧신도시 </t>
  </si>
  <si>
    <t>0007117261</t>
  </si>
  <si>
    <t xml:space="preserve">수퍼)가맹)수원화서점 </t>
  </si>
  <si>
    <t>0007264810</t>
  </si>
  <si>
    <t>수퍼)가맹_해운대센텀</t>
  </si>
  <si>
    <t>0007047050</t>
  </si>
  <si>
    <t>해지)수퍼)신길사러가점_송금</t>
  </si>
  <si>
    <t>0007047070</t>
  </si>
  <si>
    <t>수퍼)화명_송금</t>
  </si>
  <si>
    <t>0007117254</t>
  </si>
  <si>
    <t>수퍼)과천자이점_송금</t>
  </si>
  <si>
    <t>0007117256</t>
  </si>
  <si>
    <t xml:space="preserve">수퍼)세종아름_가맹 </t>
  </si>
  <si>
    <t>0007117257</t>
  </si>
  <si>
    <t>해지)수퍼)방이_송금</t>
  </si>
  <si>
    <t>0007047030</t>
  </si>
  <si>
    <t>수퍼)가맹)파주문산</t>
  </si>
  <si>
    <t>0007264860</t>
  </si>
  <si>
    <t>해지)수퍼)진해자은_송금</t>
  </si>
  <si>
    <t>0007117237</t>
  </si>
  <si>
    <t>해지)수퍼)포항죽도점_송금</t>
  </si>
  <si>
    <t>0007117244</t>
  </si>
  <si>
    <t>해지)수퍼)가맹)서초교대</t>
  </si>
  <si>
    <t>0007205320</t>
  </si>
  <si>
    <t>해지)수퍼)부암_송금</t>
  </si>
  <si>
    <t>0007205340</t>
  </si>
  <si>
    <t>해지)수퍼)가맹)세종소담</t>
  </si>
  <si>
    <t>0007264840</t>
  </si>
  <si>
    <t>해지)수퍼)광명데시앙_송금</t>
  </si>
  <si>
    <t>0007117242</t>
  </si>
  <si>
    <t xml:space="preserve">수퍼)가맹)검단푸르지오 </t>
  </si>
  <si>
    <t>0007264850</t>
  </si>
  <si>
    <t>수퍼)가맹)동탄남광장점</t>
  </si>
  <si>
    <t>0007205330</t>
  </si>
  <si>
    <t>수퍼)가맹 세종다정</t>
  </si>
  <si>
    <t>0007264820</t>
  </si>
  <si>
    <t>해지)수퍼)남양주금곡점</t>
  </si>
  <si>
    <t>0007046960</t>
  </si>
  <si>
    <t>해지)수퍼)남양주금곡점_송금</t>
  </si>
  <si>
    <t>0007046970</t>
  </si>
  <si>
    <t>해지)수퍼)부산금정점_송금</t>
  </si>
  <si>
    <t>0007046990</t>
  </si>
  <si>
    <t>수퍼)가맹 대구수목원</t>
  </si>
  <si>
    <t>0007117235</t>
  </si>
  <si>
    <t>해지)수퍼)디에이치자이</t>
  </si>
  <si>
    <t>0007811180</t>
  </si>
  <si>
    <t>수퍼)속초교동_송금</t>
  </si>
  <si>
    <t>0007117231</t>
  </si>
  <si>
    <t xml:space="preserve">(해지)수퍼)가맹)만수2점 </t>
  </si>
  <si>
    <t>0007117232</t>
  </si>
  <si>
    <t>해지)수퍼)디에이치자이_송금</t>
  </si>
  <si>
    <t>0007811190</t>
  </si>
  <si>
    <t>해지)수퍼)대치사거리_송금</t>
  </si>
  <si>
    <t>0007117233</t>
  </si>
  <si>
    <t>수퍼)가맹)아산아이유쉘</t>
  </si>
  <si>
    <t>0007205240</t>
  </si>
  <si>
    <t>수퍼)강동캐슬_송금</t>
  </si>
  <si>
    <t>0007046940</t>
  </si>
  <si>
    <t xml:space="preserve">수퍼)가맹)김포장기 </t>
  </si>
  <si>
    <t>0007205230</t>
  </si>
  <si>
    <t>수퍼)가맹)마산월영</t>
  </si>
  <si>
    <t>0007264780</t>
  </si>
  <si>
    <t>해지)수퍼)가맹)양산중부</t>
  </si>
  <si>
    <t>0007264790</t>
  </si>
  <si>
    <t>수퍼)청주용담)송금</t>
  </si>
  <si>
    <t>0007117227</t>
  </si>
  <si>
    <t>해지)수퍼)가맹)해운대센텀</t>
  </si>
  <si>
    <t>0007811160</t>
  </si>
  <si>
    <t>해지)수퍼)본리_송금</t>
  </si>
  <si>
    <t>0007264750</t>
  </si>
  <si>
    <t>수퍼)가맹)용인한숲시티4</t>
  </si>
  <si>
    <t>0007264760</t>
  </si>
  <si>
    <t>해지)수퍼)가맹)송도더샵</t>
  </si>
  <si>
    <t>0007264770</t>
  </si>
  <si>
    <t>해지)수퍼)(가맹)평택세교</t>
  </si>
  <si>
    <t>0007205120</t>
  </si>
  <si>
    <t>해지)수퍼)광양금호_송금</t>
  </si>
  <si>
    <t>0007205170</t>
  </si>
  <si>
    <t>해지)수퍼)광나루_송금</t>
  </si>
  <si>
    <t>0007205190</t>
  </si>
  <si>
    <t xml:space="preserve">해지)수퍼)천안차암_가맹 </t>
  </si>
  <si>
    <t>0007205210</t>
  </si>
  <si>
    <t>해지)수퍼)구미구평_송금</t>
  </si>
  <si>
    <t>0007117223</t>
  </si>
  <si>
    <t>해지)수퍼)군포오금_송금</t>
  </si>
  <si>
    <t>0007117225</t>
  </si>
  <si>
    <t>수퍼)포천_송금</t>
  </si>
  <si>
    <t>0007117226</t>
  </si>
  <si>
    <t>수퍼)남양주별내)송금</t>
  </si>
  <si>
    <t>0007046890</t>
  </si>
  <si>
    <t xml:space="preserve">해지)수퍼)가맹)만덕이편한 </t>
  </si>
  <si>
    <t>0007046910</t>
  </si>
  <si>
    <t>해지)수퍼)가맹)남가좌디엠씨</t>
  </si>
  <si>
    <t>0007046920</t>
  </si>
  <si>
    <t>수퍼)가맹)수원매현</t>
  </si>
  <si>
    <t>0007046930</t>
  </si>
  <si>
    <t>해지)수퍼)죽곡_송금</t>
  </si>
  <si>
    <t>0007117222</t>
  </si>
  <si>
    <t xml:space="preserve">수퍼)잠실장미_가맹 </t>
  </si>
  <si>
    <t>0007046850</t>
  </si>
  <si>
    <t>해지)수퍼)관악청림_송금</t>
  </si>
  <si>
    <t>0007205140</t>
  </si>
  <si>
    <t>수퍼)가맹)군포고산</t>
  </si>
  <si>
    <t>0007117221</t>
  </si>
  <si>
    <t xml:space="preserve">수퍼)창원무동_가맹 </t>
  </si>
  <si>
    <t>0007205130</t>
  </si>
  <si>
    <t>수퍼)종로평창(송금)</t>
  </si>
  <si>
    <t>0007264470</t>
  </si>
  <si>
    <t>수퍼)(가맹)파주동패</t>
  </si>
  <si>
    <t>0007264720</t>
  </si>
  <si>
    <t xml:space="preserve">수퍼)(가맹)용산해링턴 </t>
  </si>
  <si>
    <t>0007264690</t>
  </si>
  <si>
    <t>수퍼)가맹)광교신대</t>
  </si>
  <si>
    <t>0007264730</t>
  </si>
  <si>
    <t>해지)수퍼)청주용담_송금</t>
  </si>
  <si>
    <t>0007046770</t>
  </si>
  <si>
    <t xml:space="preserve">수퍼)(가맹)평촌어바인 </t>
  </si>
  <si>
    <t>0007117216</t>
  </si>
  <si>
    <t>수퍼)증평_송금</t>
  </si>
  <si>
    <t>0007117218</t>
  </si>
  <si>
    <t xml:space="preserve">수퍼)증평점 </t>
  </si>
  <si>
    <t>0007117219</t>
  </si>
  <si>
    <t>수퍼)청주_송금</t>
  </si>
  <si>
    <t>0007117213</t>
  </si>
  <si>
    <t>해지)수퍼)신갈점_송금</t>
  </si>
  <si>
    <t>0007046760</t>
  </si>
  <si>
    <t>해지)수퍼)(가맹)월영마린</t>
  </si>
  <si>
    <t>0007117217</t>
  </si>
  <si>
    <t>해지)수퍼)구갈_송금</t>
  </si>
  <si>
    <t>0007264660</t>
  </si>
  <si>
    <t>수퍼)마산월영</t>
  </si>
  <si>
    <t>0007390100</t>
  </si>
  <si>
    <t>수퍼)마산월영_송금</t>
  </si>
  <si>
    <t>0007390110</t>
  </si>
  <si>
    <t>수퍼)진천점_송금</t>
  </si>
  <si>
    <t>0007117211</t>
  </si>
  <si>
    <t>해지)수퍼)충주용산_송금</t>
  </si>
  <si>
    <t>0007117212</t>
  </si>
  <si>
    <t>해지)수퍼)충주연수_송금</t>
  </si>
  <si>
    <t>0007117214</t>
  </si>
  <si>
    <t>해지)수퍼)강릉포남_송금</t>
  </si>
  <si>
    <t>0007117215</t>
  </si>
  <si>
    <t>해지)수퍼)(가맹)호평알프하임</t>
  </si>
  <si>
    <t>0007117206</t>
  </si>
  <si>
    <t xml:space="preserve">해지)수퍼)진주센트럴 </t>
  </si>
  <si>
    <t>0007117207</t>
  </si>
  <si>
    <t>해지)수퍼)진주센트럴_송금</t>
  </si>
  <si>
    <t>0007117208</t>
  </si>
  <si>
    <t>수퍼)안산자이해솔_송금</t>
  </si>
  <si>
    <t>0007031050</t>
  </si>
  <si>
    <t>수퍼)안산자이해솔</t>
  </si>
  <si>
    <t>0007031060</t>
  </si>
  <si>
    <t>수퍼)강동고덕_송금</t>
  </si>
  <si>
    <t>0007046740</t>
  </si>
  <si>
    <t>해지)수퍼)강릉입암_송금</t>
  </si>
  <si>
    <t>0007117204</t>
  </si>
  <si>
    <t>해지)수퍼)(가맹)사하구평</t>
  </si>
  <si>
    <t>0007117205</t>
  </si>
  <si>
    <t>해지)수퍼)(가맹)세종도담</t>
  </si>
  <si>
    <t>0007117203</t>
  </si>
  <si>
    <t xml:space="preserve">수퍼)(가맹)김포고촌 </t>
  </si>
  <si>
    <t>0007264620</t>
  </si>
  <si>
    <t>수퍼)(가맹)인천도림</t>
  </si>
  <si>
    <t>0007264610</t>
  </si>
  <si>
    <t>해지)수퍼)마포상암(송금)</t>
  </si>
  <si>
    <t>0007811150</t>
  </si>
  <si>
    <t>수퍼)송도(송금)</t>
  </si>
  <si>
    <t>0007117165</t>
  </si>
  <si>
    <t xml:space="preserve">수퍼)(가맹)남양주묵현 </t>
  </si>
  <si>
    <t>0007117187</t>
  </si>
  <si>
    <t>수퍼)(가맹)청주주성</t>
  </si>
  <si>
    <t>0007117188</t>
  </si>
  <si>
    <t>수퍼)파주동패(송금)</t>
  </si>
  <si>
    <t>0007117189</t>
  </si>
  <si>
    <t>수퍼)파주동패</t>
  </si>
  <si>
    <t>0007117191</t>
  </si>
  <si>
    <t>해지)수퍼)평택이충(송금)</t>
  </si>
  <si>
    <t>0007117195</t>
  </si>
  <si>
    <t>수퍼)(가맹)인천동춘</t>
  </si>
  <si>
    <t>0007117196</t>
  </si>
  <si>
    <t>해지)수퍼)울산태화점_송금</t>
  </si>
  <si>
    <t>0007117197</t>
  </si>
  <si>
    <t>해지)수퍼)(가맹)창원봉림</t>
  </si>
  <si>
    <t>0007117198</t>
  </si>
  <si>
    <t>수퍼)울산태화</t>
  </si>
  <si>
    <t>0007117199</t>
  </si>
  <si>
    <t>해지)수퍼)(가맹)인천왕길</t>
  </si>
  <si>
    <t>0007117201</t>
  </si>
  <si>
    <t xml:space="preserve">수퍼)(가맹)세종가락마을 </t>
  </si>
  <si>
    <t>0007117202</t>
  </si>
  <si>
    <t xml:space="preserve">해지)수퍼)(가맹)김포향산 </t>
  </si>
  <si>
    <t>0007204790</t>
  </si>
  <si>
    <t>수퍼)(가맹)식사자이</t>
  </si>
  <si>
    <t>0007204840</t>
  </si>
  <si>
    <t>해지)수퍼)잠실장미</t>
  </si>
  <si>
    <t>0007230570</t>
  </si>
  <si>
    <t>수퍼)양천신은_(송금)</t>
  </si>
  <si>
    <t>0007031030</t>
  </si>
  <si>
    <t xml:space="preserve">수퍼)(가맹)명지퍼스트 </t>
  </si>
  <si>
    <t>0007264560</t>
  </si>
  <si>
    <t>해지)수퍼)(가맹)문정아이파크</t>
  </si>
  <si>
    <t>0007264570</t>
  </si>
  <si>
    <t xml:space="preserve">수퍼)(가맹)포레스티아 </t>
  </si>
  <si>
    <t>0007264580</t>
  </si>
  <si>
    <t>해지)수퍼)김포사우_(송금)</t>
  </si>
  <si>
    <t>0007204770</t>
  </si>
  <si>
    <t xml:space="preserve">수퍼)(가맹)마곡점 </t>
  </si>
  <si>
    <t>0007046720</t>
  </si>
  <si>
    <t>해지)수퍼)(가맹)충주산업단지</t>
  </si>
  <si>
    <t>0007117181</t>
  </si>
  <si>
    <t>수퍼)(가맹)창원무동</t>
  </si>
  <si>
    <t>0007117183</t>
  </si>
  <si>
    <t>해지)수퍼)대구수목원(송금)</t>
  </si>
  <si>
    <t>0007264600</t>
  </si>
  <si>
    <t>해지)수퍼)(가맹)창원무동</t>
  </si>
  <si>
    <t>0007046710</t>
  </si>
  <si>
    <t>해지)수퍼)가맹)구미신당</t>
  </si>
  <si>
    <t>0007117174</t>
  </si>
  <si>
    <t xml:space="preserve">해지)수퍼)(가맹)송도마리나 </t>
  </si>
  <si>
    <t>0007204680</t>
  </si>
  <si>
    <t xml:space="preserve">(해지)수퍼)가맹)송파가락 </t>
  </si>
  <si>
    <t>0007811130</t>
  </si>
  <si>
    <t xml:space="preserve">해지)수퍼)가맹)엄궁점 </t>
  </si>
  <si>
    <t>0007204690</t>
  </si>
  <si>
    <t xml:space="preserve">수퍼)가맹)녹번이캐슬 </t>
  </si>
  <si>
    <t>0007264540</t>
  </si>
  <si>
    <t>수퍼)직영)수원아트리움(송금)</t>
  </si>
  <si>
    <t>0007117143</t>
  </si>
  <si>
    <t xml:space="preserve">수퍼)(가맹)개포블레시티지점 </t>
  </si>
  <si>
    <t>0007117145</t>
  </si>
  <si>
    <t>해지)수퍼)(가맹)천안불당</t>
  </si>
  <si>
    <t>0007204550</t>
  </si>
  <si>
    <t xml:space="preserve">해지)수퍼)(가맹)서동탄더샵 </t>
  </si>
  <si>
    <t>0007264450</t>
  </si>
  <si>
    <t>해지)수퍼)만수(송금)</t>
  </si>
  <si>
    <t>0007046610</t>
  </si>
  <si>
    <t>해지)수퍼)잠실(송금)</t>
  </si>
  <si>
    <t>0007046660</t>
  </si>
  <si>
    <t>수퍼)인천부개(송금)</t>
  </si>
  <si>
    <t>0007046670</t>
  </si>
  <si>
    <t>수퍼)의왕점(송금)</t>
  </si>
  <si>
    <t>0007117139</t>
  </si>
  <si>
    <t>수퍼)송도그린워크(송금)</t>
  </si>
  <si>
    <t>0007031000</t>
  </si>
  <si>
    <t>수퍼)의왕오전(송금)</t>
  </si>
  <si>
    <t>0007031010</t>
  </si>
  <si>
    <t>수퍼)군포당점(송금)</t>
  </si>
  <si>
    <t>0007031020</t>
  </si>
  <si>
    <t>해지)수퍼)행신점(송금)</t>
  </si>
  <si>
    <t>0007046590</t>
  </si>
  <si>
    <t>수퍼)수택3(송금)</t>
  </si>
  <si>
    <t>0007046600</t>
  </si>
  <si>
    <t xml:space="preserve">수퍼)(가맹)향동디엠씨 </t>
  </si>
  <si>
    <t>0007117141</t>
  </si>
  <si>
    <t>해지)수퍼)(가맹)안산그랑시티자이</t>
  </si>
  <si>
    <t>0007204500</t>
  </si>
  <si>
    <t>해지)수퍼)암사캐슬(송금)</t>
  </si>
  <si>
    <t>0007204531</t>
  </si>
  <si>
    <t xml:space="preserve">수퍼)(가맹)미사강변1점 </t>
  </si>
  <si>
    <t>0007117135</t>
  </si>
  <si>
    <t>해지)수퍼)(가맹)충주시티자이</t>
  </si>
  <si>
    <t>0007117137</t>
  </si>
  <si>
    <t>수퍼)인천박촌(송금)</t>
  </si>
  <si>
    <t>0007117138</t>
  </si>
  <si>
    <t xml:space="preserve">해지)수퍼)(가맹)안산힐스테이트 </t>
  </si>
  <si>
    <t>0007046510</t>
  </si>
  <si>
    <t>수퍼)(가맹)시흥은계점(배민)</t>
  </si>
  <si>
    <t>0007117133</t>
  </si>
  <si>
    <t xml:space="preserve">수퍼)(가맹)인천마장점 </t>
  </si>
  <si>
    <t>0007204520</t>
  </si>
  <si>
    <t xml:space="preserve">수퍼)(가맹)춘천한숲시티점 </t>
  </si>
  <si>
    <t>0007264380</t>
  </si>
  <si>
    <t>수퍼)안산본오점(송금)</t>
  </si>
  <si>
    <t>0007810960</t>
  </si>
  <si>
    <t>수퍼)(가맹)장유대청점</t>
  </si>
  <si>
    <t>0007117126</t>
  </si>
  <si>
    <t xml:space="preserve">수퍼)(가맹)창원유니시티점 </t>
  </si>
  <si>
    <t>0007117127</t>
  </si>
  <si>
    <t>해지)수퍼)강북미아점(송금)</t>
  </si>
  <si>
    <t>0007264370</t>
  </si>
  <si>
    <t>해지)수퍼)(가맹) 수지 동천</t>
  </si>
  <si>
    <t>0007264310</t>
  </si>
  <si>
    <t xml:space="preserve">(해지)수퍼)(가맹) 하안8점 </t>
  </si>
  <si>
    <t>0007264311</t>
  </si>
  <si>
    <t xml:space="preserve">수퍼)(가맹) 파주청암점 </t>
  </si>
  <si>
    <t>0007264312</t>
  </si>
  <si>
    <t>해지)수퍼)(가맹) 판교운중</t>
  </si>
  <si>
    <t>0007264313</t>
  </si>
  <si>
    <t>수퍼)직영)기흥효성(송금)</t>
  </si>
  <si>
    <t>0007264330</t>
  </si>
  <si>
    <t xml:space="preserve">해지)수퍼)(가맹) 시흥 은계 </t>
  </si>
  <si>
    <t>0007117121</t>
  </si>
  <si>
    <t xml:space="preserve">해지)수퍼)(가맹) 양산 가촌 </t>
  </si>
  <si>
    <t>0007117122</t>
  </si>
  <si>
    <t>수퍼)(가맹) 울산 신정</t>
  </si>
  <si>
    <t>0007117123</t>
  </si>
  <si>
    <t>수퍼)직영)개포블레시티지(송금)</t>
  </si>
  <si>
    <t>0007117124</t>
  </si>
  <si>
    <t>0007204490</t>
  </si>
  <si>
    <t xml:space="preserve">해지)수퍼)(가맹)장유삼문점 </t>
  </si>
  <si>
    <t>0007117117</t>
  </si>
  <si>
    <t xml:space="preserve">해지)수퍼)(가맹)목동12점 </t>
  </si>
  <si>
    <t>0007046470</t>
  </si>
  <si>
    <t>0007117119</t>
  </si>
  <si>
    <t xml:space="preserve">수퍼)(가맹)부산장전 </t>
  </si>
  <si>
    <t>0007119790</t>
  </si>
  <si>
    <t>해지)수퍼)(가맹)수원권선</t>
  </si>
  <si>
    <t>0007045950</t>
  </si>
  <si>
    <t xml:space="preserve">해지)수퍼)(가맹)용인역북점 </t>
  </si>
  <si>
    <t>0007045960</t>
  </si>
  <si>
    <t xml:space="preserve">해지)수퍼)(가맹)천안불당점 </t>
  </si>
  <si>
    <t>0007263950</t>
  </si>
  <si>
    <t>해지)수퍼)(가맹)파주청암</t>
  </si>
  <si>
    <t>0007119780</t>
  </si>
  <si>
    <t xml:space="preserve">해지)수퍼)(가맹)구미신당점 </t>
  </si>
  <si>
    <t>0007119730</t>
  </si>
  <si>
    <t>수퍼)가맹)충무공점</t>
  </si>
  <si>
    <t>0007119770</t>
  </si>
  <si>
    <t>수퍼)(가맹)수지풍덕천점</t>
  </si>
  <si>
    <t>0007045900</t>
  </si>
  <si>
    <t>해지)수퍼)(가맹)파주와동점</t>
  </si>
  <si>
    <t>0007203980</t>
  </si>
  <si>
    <t xml:space="preserve">해지)수퍼)(가맹)권선아이파크점 </t>
  </si>
  <si>
    <t>0007045870</t>
  </si>
  <si>
    <t xml:space="preserve">해지)수퍼)(가맹)도청호명점 </t>
  </si>
  <si>
    <t>0007119520</t>
  </si>
  <si>
    <t xml:space="preserve">해지)수퍼)(가맹)세종도담점 </t>
  </si>
  <si>
    <t>0007119390</t>
  </si>
  <si>
    <t>0007203920</t>
  </si>
  <si>
    <t>SM)(가맹)인천당하</t>
  </si>
  <si>
    <t>0007202930</t>
  </si>
  <si>
    <t>해지)SM)(가맹)관저북로</t>
  </si>
  <si>
    <t>0007114220</t>
  </si>
  <si>
    <t>해지)SM)(가맹)전주후곡</t>
  </si>
  <si>
    <t>0007114080</t>
  </si>
  <si>
    <t>해지)SM)(가맹)강남영동</t>
  </si>
  <si>
    <t>0007113350</t>
  </si>
  <si>
    <t xml:space="preserve">해지)SM)(가맹)길음뉴타운 </t>
  </si>
  <si>
    <t>0007202530</t>
  </si>
  <si>
    <t xml:space="preserve">해지)SM)(가맹)김포청수 </t>
  </si>
  <si>
    <t>0007261960</t>
  </si>
  <si>
    <t>SM)(가맹)인천계산</t>
  </si>
  <si>
    <t>0007030580</t>
  </si>
  <si>
    <t>해지)SM)(가맹)천안백석</t>
  </si>
  <si>
    <t>0007112770</t>
  </si>
  <si>
    <t>해지)SM)(가맹)동작상도</t>
  </si>
  <si>
    <t>0007202230</t>
  </si>
  <si>
    <t>SM)(가맹)의정부금오</t>
  </si>
  <si>
    <t>0007113080</t>
  </si>
  <si>
    <t>해지)SM)(가맹)광명</t>
  </si>
  <si>
    <t>0007202280</t>
  </si>
  <si>
    <t xml:space="preserve">해지)SM)(가맹)목동오거리 </t>
  </si>
  <si>
    <t>0007042520</t>
  </si>
  <si>
    <t>해지)SM)(가맹)분당야탑</t>
  </si>
  <si>
    <t>0007111960</t>
  </si>
  <si>
    <t>해지)SM)(가맹)목동12</t>
  </si>
  <si>
    <t>0007261010</t>
  </si>
  <si>
    <t xml:space="preserve">해지)SM)(가맹)대구월곡 </t>
  </si>
  <si>
    <t>0007042200</t>
  </si>
  <si>
    <t>해지)SM)(가맹)인천청라</t>
  </si>
  <si>
    <t>0007250520</t>
  </si>
  <si>
    <t>해지)SM)(가맹)식사자이</t>
  </si>
  <si>
    <t>0007030460</t>
  </si>
  <si>
    <t xml:space="preserve">해지)SM)(가맹)김포장기 </t>
  </si>
  <si>
    <t>0007111360</t>
  </si>
  <si>
    <t>해지)SM)(가맹)인천도림</t>
  </si>
  <si>
    <t>0007111390</t>
  </si>
  <si>
    <t>해지)SM)(가맹)파주야당</t>
  </si>
  <si>
    <t>0007111410</t>
  </si>
  <si>
    <t>해지)SM)(가맹)진주초전</t>
  </si>
  <si>
    <t>0007111420</t>
  </si>
  <si>
    <t>해지)SM)(가맹)성북길음</t>
  </si>
  <si>
    <t>0007250470</t>
  </si>
  <si>
    <t>SM)(가맹)신사</t>
  </si>
  <si>
    <t>0007260880</t>
  </si>
  <si>
    <t>해지)SM)(가맹)용인보라</t>
  </si>
  <si>
    <t>0007042410</t>
  </si>
  <si>
    <t>해지)SM)(가맹)월성</t>
  </si>
  <si>
    <t>0007261030</t>
  </si>
  <si>
    <t xml:space="preserve">해지)SM)(가맹)남양주마석 </t>
  </si>
  <si>
    <t>0007030600</t>
  </si>
  <si>
    <t>SM)(가맹)행신무원</t>
  </si>
  <si>
    <t>0007043430</t>
  </si>
  <si>
    <t>해지)SM)(가맹)파주동패</t>
  </si>
  <si>
    <t>0007113570</t>
  </si>
  <si>
    <t>해지)SM)(가맹)노원월계</t>
  </si>
  <si>
    <t>0007250920</t>
  </si>
  <si>
    <t>해지)SM)(가맹)고양식사</t>
  </si>
  <si>
    <t>0007261910</t>
  </si>
  <si>
    <t>SM)(가맹)화성청계</t>
  </si>
  <si>
    <t>0007044600</t>
  </si>
  <si>
    <t>해지)SM)(가맹)남양주별내2</t>
  </si>
  <si>
    <t>0007044800</t>
  </si>
  <si>
    <t>해지)SM)(가맹)군포고산</t>
  </si>
  <si>
    <t>0007115360</t>
  </si>
  <si>
    <t>해지)SM)(가맹)청주주성</t>
  </si>
  <si>
    <t>0007115400</t>
  </si>
  <si>
    <t>해지)SM)(가맹)화성향남</t>
  </si>
  <si>
    <t>0007251130</t>
  </si>
  <si>
    <t xml:space="preserve">해지)SM)(가맹)김해내동 </t>
  </si>
  <si>
    <t>0007262910</t>
  </si>
  <si>
    <t>해지)수퍼)(가맹)파주목동</t>
  </si>
  <si>
    <t>0007263010</t>
  </si>
  <si>
    <t>수퍼)(가맹)인천왕길</t>
  </si>
  <si>
    <t>0007044920</t>
  </si>
  <si>
    <t>해지)수퍼)(가맹)원당</t>
  </si>
  <si>
    <t>0007115880</t>
  </si>
  <si>
    <t>해지)수퍼)(가맹)아산음봉</t>
  </si>
  <si>
    <t>0007203370</t>
  </si>
  <si>
    <t>해지)수퍼)(가맹)안양석수점 매출통장</t>
  </si>
  <si>
    <t>0007251200</t>
  </si>
  <si>
    <t>해지)수퍼)(가맹)진주신안</t>
  </si>
  <si>
    <t>0007116420</t>
  </si>
  <si>
    <t xml:space="preserve">수퍼)(가맹)안성대덕 </t>
  </si>
  <si>
    <t>0007203390</t>
  </si>
  <si>
    <t>해지)수퍼)(가맹)광교신대</t>
  </si>
  <si>
    <t>0007203410</t>
  </si>
  <si>
    <t>해지)수퍼)(가맹)용인신봉 매출통장</t>
  </si>
  <si>
    <t>0007251210</t>
  </si>
  <si>
    <t>해지)수퍼)(가맹)분당정자</t>
  </si>
  <si>
    <t>0007030800</t>
  </si>
  <si>
    <t xml:space="preserve">해지)수퍼)(가맹)미사강변1점 </t>
  </si>
  <si>
    <t>0007263250</t>
  </si>
  <si>
    <t>수퍼)(가맹)청주사직</t>
  </si>
  <si>
    <t>0007116700</t>
  </si>
  <si>
    <t>수퍼)(가맹)마산삼계</t>
  </si>
  <si>
    <t>0007116840</t>
  </si>
  <si>
    <t>해지)수퍼)(가맹)고양백석</t>
  </si>
  <si>
    <t>0007045300</t>
  </si>
  <si>
    <t>해지)수퍼)(가맹)화성오산</t>
  </si>
  <si>
    <t>0007045360</t>
  </si>
  <si>
    <t>해지)수퍼)(가맹)광나루점</t>
  </si>
  <si>
    <t>0007203690</t>
  </si>
  <si>
    <t>해지)수퍼)(가맹)물금대방점</t>
  </si>
  <si>
    <t>0007117740</t>
  </si>
  <si>
    <t>해지)수퍼)(가맹)갈매중앙</t>
  </si>
  <si>
    <t>0007045470</t>
  </si>
  <si>
    <t>수퍼)(가맹)부천약대</t>
  </si>
  <si>
    <t>0007045490</t>
  </si>
  <si>
    <t xml:space="preserve">해지)수퍼)(가맹)강북미아점 </t>
  </si>
  <si>
    <t>0007263570</t>
  </si>
  <si>
    <t xml:space="preserve">해지)수퍼)(가맹)분당구미점 </t>
  </si>
  <si>
    <t>0007118070</t>
  </si>
  <si>
    <t>수퍼)(가맹)남산타운점</t>
  </si>
  <si>
    <t>0007045550</t>
  </si>
  <si>
    <t xml:space="preserve">해지)수퍼)(가맹)사당점 </t>
  </si>
  <si>
    <t>0007251320</t>
  </si>
  <si>
    <t>해지)수퍼)(가맹)관악청림점</t>
  </si>
  <si>
    <t>0007203770</t>
  </si>
  <si>
    <t xml:space="preserve">해지)수퍼)(가맹)구미인덕점 </t>
  </si>
  <si>
    <t>0007118350</t>
  </si>
  <si>
    <t xml:space="preserve">수퍼)(가맹)미사강변2점 </t>
  </si>
  <si>
    <t>0007045690</t>
  </si>
  <si>
    <t xml:space="preserve">해지)수퍼)(가맹)향남하길점 </t>
  </si>
  <si>
    <t>0007203830</t>
  </si>
  <si>
    <t xml:space="preserve">해지)수퍼)(가맹)신정2점 </t>
  </si>
  <si>
    <t>0007263800</t>
  </si>
  <si>
    <t xml:space="preserve">해지)수퍼)(가맹)분당정자점 </t>
  </si>
  <si>
    <t>0007030950</t>
  </si>
  <si>
    <t>수퍼)(가맹)송도캠퍼스점</t>
  </si>
  <si>
    <t>0007118910</t>
  </si>
  <si>
    <t>해지)수퍼)(가맹)세종첫마을점</t>
  </si>
  <si>
    <t>0007118990</t>
  </si>
  <si>
    <t xml:space="preserve">수퍼)(가맹)성북보문점 </t>
  </si>
  <si>
    <t>0007203870</t>
  </si>
  <si>
    <t>해지)수퍼)(가맹)광주역동</t>
  </si>
  <si>
    <t>0007251390</t>
  </si>
  <si>
    <t xml:space="preserve">해지)수퍼)(가맹)수택3점 </t>
  </si>
  <si>
    <t>0007045810</t>
  </si>
  <si>
    <t>해지)수퍼)(가맹)명지신도시점</t>
  </si>
  <si>
    <t>0007119180</t>
  </si>
  <si>
    <t xml:space="preserve">해지)수퍼)(가맹)파주문산점 </t>
  </si>
  <si>
    <t>0007119800</t>
  </si>
  <si>
    <t>수퍼)(가맹)미사13단지</t>
  </si>
  <si>
    <t>0007204110</t>
  </si>
  <si>
    <t xml:space="preserve">해지)수퍼)(가맹)송파2점 </t>
  </si>
  <si>
    <t>0007810820</t>
  </si>
  <si>
    <t xml:space="preserve">수퍼)(가맹)해운대센텀점 </t>
  </si>
  <si>
    <t>0007045990</t>
  </si>
  <si>
    <t xml:space="preserve">수퍼)(가맹)청라한울점 </t>
  </si>
  <si>
    <t>0007263970</t>
  </si>
  <si>
    <t xml:space="preserve">수퍼)(가맹)강서염창점 </t>
  </si>
  <si>
    <t>0007030970</t>
  </si>
  <si>
    <t>수퍼)(가맹)다산반도유보라점</t>
  </si>
  <si>
    <t>0007810850</t>
  </si>
  <si>
    <t>수퍼)(가맹)파주파크타운점</t>
  </si>
  <si>
    <t>0007046060</t>
  </si>
  <si>
    <t xml:space="preserve">해지)수퍼)(가맹)평택세교점 </t>
  </si>
  <si>
    <t>0007119840</t>
  </si>
  <si>
    <t xml:space="preserve">해지)수퍼)(가맹)안산본오점 </t>
  </si>
  <si>
    <t>0007119850</t>
  </si>
  <si>
    <t xml:space="preserve">해지)수퍼)(가맹)충주시티자이점 </t>
  </si>
  <si>
    <t>0007119860</t>
  </si>
  <si>
    <t>해지)수퍼)(가맹)가정루원시티점</t>
  </si>
  <si>
    <t>0007204130</t>
  </si>
  <si>
    <t xml:space="preserve">해지)수퍼)(가맹)창원봉림점 </t>
  </si>
  <si>
    <t>0007119870</t>
  </si>
  <si>
    <t xml:space="preserve">해지)수퍼)(가맹)용인한숲시티4점 </t>
  </si>
  <si>
    <t>0007119880</t>
  </si>
  <si>
    <t>해지)수퍼)(가맹)만수2</t>
  </si>
  <si>
    <t>0007119900</t>
  </si>
  <si>
    <t xml:space="preserve">해지)수퍼)(가맹)천안차암점 </t>
  </si>
  <si>
    <t>0007119920</t>
  </si>
  <si>
    <t xml:space="preserve">해지)수퍼)(가맹)평택동삭점 </t>
  </si>
  <si>
    <t>0007263990</t>
  </si>
  <si>
    <t xml:space="preserve">해지)수퍼)(가맹)송파가락 </t>
  </si>
  <si>
    <t>0007810860</t>
  </si>
  <si>
    <t xml:space="preserve">(해지)수퍼)(가맹)부산지사 </t>
  </si>
  <si>
    <t>0007119910</t>
  </si>
  <si>
    <t>해지)수퍼)(가맹)오산가장점</t>
  </si>
  <si>
    <t>0007119940</t>
  </si>
  <si>
    <t>해지)수퍼)(가맹)울산신정</t>
  </si>
  <si>
    <t>0007119970</t>
  </si>
  <si>
    <t xml:space="preserve">수퍼)(가맹)포항메트로 </t>
  </si>
  <si>
    <t>0007119980</t>
  </si>
  <si>
    <t>해지)수퍼)(가맹)진접금곡</t>
  </si>
  <si>
    <t>0007204160</t>
  </si>
  <si>
    <t xml:space="preserve">수퍼)(가맹)군포당동점 </t>
  </si>
  <si>
    <t>0007110010</t>
  </si>
  <si>
    <t xml:space="preserve">수퍼)(가맹)청주성화점 </t>
  </si>
  <si>
    <t>0007264000</t>
  </si>
  <si>
    <t>해지)수퍼)(가맹)서울역센트럴자이</t>
  </si>
  <si>
    <t>0007264010</t>
  </si>
  <si>
    <t xml:space="preserve">해지)수퍼)(가맹)동탄영천점 </t>
  </si>
  <si>
    <t>0007110000</t>
  </si>
  <si>
    <t>수퍼)(가맹)천안불당시티</t>
  </si>
  <si>
    <t>0007119960</t>
  </si>
  <si>
    <t>수퍼)(가맹)기흥역점</t>
  </si>
  <si>
    <t>0007119990</t>
  </si>
  <si>
    <t xml:space="preserve">해지)수퍼)(가맹)창원무동점 </t>
  </si>
  <si>
    <t>0007264020</t>
  </si>
  <si>
    <t>해지)수퍼)(가맹)양산중부</t>
  </si>
  <si>
    <t>0007119515</t>
  </si>
  <si>
    <t>해지)수퍼)(가맹)대전학하점</t>
  </si>
  <si>
    <t>0007119514</t>
  </si>
  <si>
    <t xml:space="preserve">수퍼)(가맹)운정힐스테이트 </t>
  </si>
  <si>
    <t>0007264030</t>
  </si>
  <si>
    <t xml:space="preserve">해지)수퍼)(가맹)동탄목동점 </t>
  </si>
  <si>
    <t>0007046140</t>
  </si>
  <si>
    <t xml:space="preserve">해지)수퍼)(가맹)의정부민락2점 </t>
  </si>
  <si>
    <t>0007046150</t>
  </si>
  <si>
    <t xml:space="preserve">해지)수퍼)(가맹)식사자이점 </t>
  </si>
  <si>
    <t>0007264040</t>
  </si>
  <si>
    <t>해지)수퍼)(가맹)지웰시티점</t>
  </si>
  <si>
    <t>0007264050</t>
  </si>
  <si>
    <t>해지)수퍼)(가맹)대구수목원</t>
  </si>
  <si>
    <t>0007046160</t>
  </si>
  <si>
    <t>수퍼)(가맹)안동용상</t>
  </si>
  <si>
    <t>0007119518</t>
  </si>
  <si>
    <t xml:space="preserve">수퍼)(가맹)수원권선점 </t>
  </si>
  <si>
    <t>0007046180</t>
  </si>
  <si>
    <t>0007046190</t>
  </si>
  <si>
    <t xml:space="preserve">수퍼)(가맹)청주오창점 </t>
  </si>
  <si>
    <t>0007119519</t>
  </si>
  <si>
    <t>해지)수퍼)(가맹)송도센트럴시티점</t>
  </si>
  <si>
    <t>0007119521</t>
  </si>
  <si>
    <t>해지)수퍼)(가맹)당진기지시점</t>
  </si>
  <si>
    <t>0007119522</t>
  </si>
  <si>
    <t xml:space="preserve">수퍼)(가맹)별내2점 </t>
  </si>
  <si>
    <t>0007264060</t>
  </si>
  <si>
    <t xml:space="preserve">해지)수퍼)(가맹)아산한성점 </t>
  </si>
  <si>
    <t>0007119525</t>
  </si>
  <si>
    <t xml:space="preserve">수퍼)(가맹)향남하길점 </t>
  </si>
  <si>
    <t>0007119526</t>
  </si>
  <si>
    <t xml:space="preserve">(해지)수퍼)(가맹)송도포레스티카운티 </t>
  </si>
  <si>
    <t>0007119527</t>
  </si>
  <si>
    <t xml:space="preserve">수퍼)(가맹)용인한숲시티5점 </t>
  </si>
  <si>
    <t>0007119528</t>
  </si>
  <si>
    <t xml:space="preserve">해지)수퍼)(가맹)충주산업단지점 </t>
  </si>
  <si>
    <t>0007119531</t>
  </si>
  <si>
    <t xml:space="preserve">수퍼)(가맹)평택동삭2점 </t>
  </si>
  <si>
    <t>0007204260</t>
  </si>
  <si>
    <t>해지)수퍼)(가맹)청주테크노점</t>
  </si>
  <si>
    <t>0007264080</t>
  </si>
  <si>
    <t>수퍼)(가맹)군포당동점_2</t>
  </si>
  <si>
    <t>0007046260</t>
  </si>
  <si>
    <t xml:space="preserve">수퍼)(가맹)배곧중흥점 </t>
  </si>
  <si>
    <t>0007119535</t>
  </si>
  <si>
    <t>해지)수퍼)(가맹)당진기지시점_2</t>
  </si>
  <si>
    <t>0007119536</t>
  </si>
  <si>
    <t>해지)수퍼)(가맹)평택세교점_2</t>
  </si>
  <si>
    <t>0007264110</t>
  </si>
  <si>
    <t>수퍼)(가맹)송정신도시점</t>
  </si>
  <si>
    <t>0007810910</t>
  </si>
  <si>
    <t xml:space="preserve">수퍼)(가맹)진영에코시티점 </t>
  </si>
  <si>
    <t>0007046280</t>
  </si>
  <si>
    <t>해지)수퍼)(가맹)동탄아이비파크점</t>
  </si>
  <si>
    <t>0007204290</t>
  </si>
  <si>
    <t>수퍼)(가맹)김해내동점</t>
  </si>
  <si>
    <t>0007264150</t>
  </si>
  <si>
    <t xml:space="preserve">해지)수퍼)(가맹)잠실장미점 </t>
  </si>
  <si>
    <t>0007810940</t>
  </si>
  <si>
    <t xml:space="preserve">해지)수퍼)(가맹)군포오금점 </t>
  </si>
  <si>
    <t>0007116991</t>
  </si>
  <si>
    <t xml:space="preserve">해지)수퍼)(가맹)다산중앙점 </t>
  </si>
  <si>
    <t>0007119542</t>
  </si>
  <si>
    <t xml:space="preserve">수퍼)(가맹)천안신부점 </t>
  </si>
  <si>
    <t>0007119543</t>
  </si>
  <si>
    <t xml:space="preserve">해지)수퍼)(가맹)개포블레스티지점 </t>
  </si>
  <si>
    <t>0007119544</t>
  </si>
  <si>
    <t>수퍼)(가맹)분당야탑점-1</t>
  </si>
  <si>
    <t>0007204310</t>
  </si>
  <si>
    <t xml:space="preserve">해지)수퍼)(가맹)기흥효성점 </t>
  </si>
  <si>
    <t>0007116992</t>
  </si>
  <si>
    <t xml:space="preserve">수퍼)(가맹)진주신안점 </t>
  </si>
  <si>
    <t>0007046360</t>
  </si>
  <si>
    <t xml:space="preserve">수퍼)(가맹)다대점 </t>
  </si>
  <si>
    <t>0007046420</t>
  </si>
  <si>
    <t xml:space="preserve">수퍼)(가맹)동탄영천점 </t>
  </si>
  <si>
    <t>0007116995</t>
  </si>
  <si>
    <t xml:space="preserve">해지)수퍼)(가맹)항동에듀힐즈점 </t>
  </si>
  <si>
    <t>0007116996</t>
  </si>
  <si>
    <t xml:space="preserve">해지)수퍼)(가맹)송도파크자이점 </t>
  </si>
  <si>
    <t>0007116997</t>
  </si>
  <si>
    <t xml:space="preserve">수퍼)(가맹)여수웅천점 </t>
  </si>
  <si>
    <t>0007116998</t>
  </si>
  <si>
    <t xml:space="preserve">해지)수퍼)(가맹)오산대점 </t>
  </si>
  <si>
    <t>0007264270</t>
  </si>
  <si>
    <t>해지)수퍼)(가맹)신촌숲아이파크점</t>
  </si>
  <si>
    <t>0007264260</t>
  </si>
  <si>
    <t xml:space="preserve">수퍼)(가맹)다산중앙점 </t>
  </si>
  <si>
    <t>0007264280</t>
  </si>
  <si>
    <t xml:space="preserve">해지)수퍼)(가맹)용인보라점 </t>
  </si>
  <si>
    <t>0007264290</t>
  </si>
  <si>
    <t xml:space="preserve">수퍼)(가맹)원주기업도시점 </t>
  </si>
  <si>
    <t>0007116999</t>
  </si>
  <si>
    <t>수퍼)(가맹)다산금강펜테리움</t>
  </si>
  <si>
    <t>0007117114</t>
  </si>
  <si>
    <t xml:space="preserve">해지)수퍼)(가맹)물금대방 </t>
  </si>
  <si>
    <t>0007204400</t>
  </si>
  <si>
    <t>해지)수퍼)(가맹)수원능실마을</t>
  </si>
  <si>
    <t>0007204410</t>
  </si>
  <si>
    <t>수퍼)(가맹)갈매중앙</t>
  </si>
  <si>
    <t>0007204420</t>
  </si>
  <si>
    <t>(해지)수퍼)(가맹)평택효성</t>
  </si>
  <si>
    <t>0007204430</t>
  </si>
  <si>
    <t xml:space="preserve">수퍼)(가맹)광주역동점 </t>
  </si>
  <si>
    <t>0007810950</t>
  </si>
  <si>
    <t xml:space="preserve">해지)수퍼)(가맹)세종아름점 </t>
  </si>
  <si>
    <t>0007204470</t>
  </si>
  <si>
    <t xml:space="preserve">수퍼)(가맹)전주효천점 </t>
  </si>
  <si>
    <t>0007204480</t>
  </si>
  <si>
    <t xml:space="preserve">해지)수퍼)(가맹)거제양정점 </t>
  </si>
  <si>
    <t>0007117116</t>
  </si>
  <si>
    <t>0007117118</t>
  </si>
  <si>
    <t>해지)수퍼)(가맹)송도랜드마크</t>
  </si>
  <si>
    <t>0007117182</t>
  </si>
  <si>
    <t xml:space="preserve">수퍼)(가맹)방학신동아 </t>
  </si>
  <si>
    <t>0007264650</t>
  </si>
  <si>
    <t xml:space="preserve">수퍼)가맹_양산범어점 </t>
  </si>
  <si>
    <t>0007047440</t>
  </si>
  <si>
    <t xml:space="preserve">수퍼가맹)_향남하길점 </t>
  </si>
  <si>
    <t>0007117391</t>
  </si>
  <si>
    <t xml:space="preserve">수퍼가맹)세종수루배 </t>
  </si>
  <si>
    <t>0007117392</t>
  </si>
  <si>
    <t xml:space="preserve">(해지)수퍼)가맹_세종뉴고운 </t>
  </si>
  <si>
    <t>0007117395</t>
  </si>
  <si>
    <t xml:space="preserve">(해지)수퍼)가맹_용호빌리브 </t>
  </si>
  <si>
    <t>0007117396</t>
  </si>
  <si>
    <t>수퍼)가맹_신정2</t>
  </si>
  <si>
    <t>0007206090</t>
  </si>
  <si>
    <t>수퍼)가맹_수원한일타</t>
  </si>
  <si>
    <t>0007206110</t>
  </si>
  <si>
    <t xml:space="preserve">수퍼가맹)방이점 </t>
  </si>
  <si>
    <t>0007266080</t>
  </si>
  <si>
    <t xml:space="preserve">수퍼)가맹_운정초롱점 </t>
  </si>
  <si>
    <t>0007206120</t>
  </si>
  <si>
    <t>해지)수퍼)가맹_압구정점</t>
  </si>
  <si>
    <t>0007266090</t>
  </si>
  <si>
    <t xml:space="preserve">수퍼)가맹_문래점 </t>
  </si>
  <si>
    <t>0007047450</t>
  </si>
  <si>
    <t xml:space="preserve">수퍼)가맹_비산파크뷰 </t>
  </si>
  <si>
    <t>0007117397</t>
  </si>
  <si>
    <t xml:space="preserve">수퍼)가맹_울산전하점 </t>
  </si>
  <si>
    <t>0007117398</t>
  </si>
  <si>
    <t>수퍼)가맹__명지신도</t>
  </si>
  <si>
    <t>0007117399</t>
  </si>
  <si>
    <t xml:space="preserve">해지)수퍼)가맹_의왕장안점 </t>
  </si>
  <si>
    <t>0007117401</t>
  </si>
  <si>
    <t>수퍼)가맹_본리점(신)</t>
  </si>
  <si>
    <t>0007206140</t>
  </si>
  <si>
    <t xml:space="preserve">수퍼)가맹_청주동남점 </t>
  </si>
  <si>
    <t>0007206180</t>
  </si>
  <si>
    <t>수퍼)가맹_목동13점(</t>
  </si>
  <si>
    <t>0007266110</t>
  </si>
  <si>
    <t xml:space="preserve">수퍼)가맹_동탄한백점 </t>
  </si>
  <si>
    <t>0007266120</t>
  </si>
  <si>
    <t xml:space="preserve">수퍼)가맹_양주풍경채 </t>
  </si>
  <si>
    <t>0007266130</t>
  </si>
  <si>
    <t xml:space="preserve">수퍼)가맹_루원리더스 </t>
  </si>
  <si>
    <t>0007266140</t>
  </si>
  <si>
    <t xml:space="preserve">수퍼)가맹_서울역센트 </t>
  </si>
  <si>
    <t>0007266150</t>
  </si>
  <si>
    <t xml:space="preserve">수퍼)가맹_양산사송점 </t>
  </si>
  <si>
    <t>0007117532</t>
  </si>
  <si>
    <t xml:space="preserve">수퍼)가맹__엄궁점 </t>
  </si>
  <si>
    <t>0007117533</t>
  </si>
  <si>
    <t xml:space="preserve">수퍼)가맹__진해풍호점 </t>
  </si>
  <si>
    <t>0007117534</t>
  </si>
  <si>
    <t xml:space="preserve">수퍼)가맹_평택국제점 </t>
  </si>
  <si>
    <t>0007266160</t>
  </si>
  <si>
    <t>수퍼)가맹_검단법원점</t>
  </si>
  <si>
    <t>0007266170</t>
  </si>
  <si>
    <t xml:space="preserve">수퍼)가맹__강릉포남점 </t>
  </si>
  <si>
    <t>0007266180</t>
  </si>
  <si>
    <t>수퍼)가맹__당진기지시점</t>
  </si>
  <si>
    <t>0007266240</t>
  </si>
  <si>
    <t>해지수퍼)가맹_성동텐즈힐점</t>
  </si>
  <si>
    <t>0007266250</t>
  </si>
  <si>
    <t xml:space="preserve">수퍼)가맹__창원감계점 </t>
  </si>
  <si>
    <t>0007117407</t>
  </si>
  <si>
    <t>수퍼)가맹_현대중공업점</t>
  </si>
  <si>
    <t>0007117408</t>
  </si>
  <si>
    <t>수퍼)가맹_수지구청역점</t>
  </si>
  <si>
    <t>0007047470</t>
  </si>
  <si>
    <t>수퍼)가맹_상왕십리역점</t>
  </si>
  <si>
    <t>0007047480</t>
  </si>
  <si>
    <t>수퍼)가맹__부산용호점(신)</t>
  </si>
  <si>
    <t>0007047490</t>
  </si>
  <si>
    <t xml:space="preserve">수퍼)가맹_안산호수공원점 </t>
  </si>
  <si>
    <t>0007117961</t>
  </si>
  <si>
    <t>수퍼)가맹__부산지사점</t>
  </si>
  <si>
    <t>0007117962</t>
  </si>
  <si>
    <t xml:space="preserve">수퍼)가맹_동탄파크릭스점 </t>
  </si>
  <si>
    <t>0007117963</t>
  </si>
  <si>
    <t>직영매출</t>
  </si>
  <si>
    <t>RS292C</t>
  </si>
  <si>
    <t>수퍼)방배중앙점_송금</t>
  </si>
  <si>
    <t>0007117918</t>
  </si>
  <si>
    <t>수퍼)방배중앙점_외상</t>
  </si>
  <si>
    <t>0007117919</t>
  </si>
  <si>
    <t>수퍼)동소문점_외상</t>
  </si>
  <si>
    <t>0007117913</t>
  </si>
  <si>
    <t>수퍼)북가좌점_외상</t>
  </si>
  <si>
    <t>0007117914</t>
  </si>
  <si>
    <t>수퍼)둔촌포레온점_송금</t>
  </si>
  <si>
    <t>0007117898</t>
  </si>
  <si>
    <t>수퍼)둔촌포레온점_외상</t>
  </si>
  <si>
    <t>0007117899</t>
  </si>
  <si>
    <t>수퍼)창원대원점_송금</t>
  </si>
  <si>
    <t>0007117874</t>
  </si>
  <si>
    <t>수퍼)신길사러가점_송금</t>
  </si>
  <si>
    <t>0007118001</t>
  </si>
  <si>
    <t>수퍼)창원대원점_외상</t>
  </si>
  <si>
    <t>0007117875</t>
  </si>
  <si>
    <t>0007117868</t>
  </si>
  <si>
    <t>수퍼)인천삼산점_외상</t>
  </si>
  <si>
    <t>0007117869</t>
  </si>
  <si>
    <t>수퍼)홍천점_송금</t>
  </si>
  <si>
    <t>0007117862</t>
  </si>
  <si>
    <t>수퍼)홍천점_외상</t>
  </si>
  <si>
    <t>0007117863</t>
  </si>
  <si>
    <t>0007117854</t>
  </si>
  <si>
    <t>0007117855</t>
  </si>
  <si>
    <t>수퍼)포항이인점_송금</t>
  </si>
  <si>
    <t>0007117849</t>
  </si>
  <si>
    <t>수퍼)포항이인점_외상</t>
  </si>
  <si>
    <t>0007117851</t>
  </si>
  <si>
    <t>수퍼)부천신중동점_송금</t>
  </si>
  <si>
    <t>0007117852</t>
  </si>
  <si>
    <t>수퍼)부천신중동점_외상</t>
  </si>
  <si>
    <t>0007117853</t>
  </si>
  <si>
    <t>수퍼)의왕점_외상</t>
  </si>
  <si>
    <t>0007117814</t>
  </si>
  <si>
    <t>수퍼)속초교동점_외상</t>
  </si>
  <si>
    <t>0007117815</t>
  </si>
  <si>
    <t>수퍼)진해여좌점_송금</t>
  </si>
  <si>
    <t>0007047920</t>
  </si>
  <si>
    <t>수퍼)진해여좌점_외상</t>
  </si>
  <si>
    <t>0007047930</t>
  </si>
  <si>
    <t>수퍼)봉담내리점_송금</t>
  </si>
  <si>
    <t>0007117811</t>
  </si>
  <si>
    <t>수퍼)봉담내리점_외상</t>
  </si>
  <si>
    <t>0007117812</t>
  </si>
  <si>
    <t>수퍼)다산신도시점_송금</t>
  </si>
  <si>
    <t>0007117808</t>
  </si>
  <si>
    <t>수퍼)다산신도시점_외상</t>
  </si>
  <si>
    <t>0007117809</t>
  </si>
  <si>
    <t>수퍼)구갈점_외상</t>
  </si>
  <si>
    <t>0007047890</t>
  </si>
  <si>
    <t>수퍼)김포감정점_외상</t>
  </si>
  <si>
    <t>0007117765</t>
  </si>
  <si>
    <t>수퍼)여의도시범단지점_송금</t>
  </si>
  <si>
    <t>0007811390</t>
  </si>
  <si>
    <t>수퍼)여의도시범단지점_외상</t>
  </si>
  <si>
    <t>0007811410</t>
  </si>
  <si>
    <t>수퍼)안산그랑시티자이_송금</t>
  </si>
  <si>
    <t>0007032040</t>
  </si>
  <si>
    <t>수퍼)안산그랑시티자이_외상</t>
  </si>
  <si>
    <t>0007032050</t>
  </si>
  <si>
    <t>수퍼)정관신도시점_송금</t>
  </si>
  <si>
    <t>0007117749</t>
  </si>
  <si>
    <t>수퍼)정관신도시점_외상</t>
  </si>
  <si>
    <t>0007117751</t>
  </si>
  <si>
    <t>수퍼)원주혁신점_외상</t>
  </si>
  <si>
    <t>0007206530</t>
  </si>
  <si>
    <t>수퍼)원주점_외상</t>
  </si>
  <si>
    <t>0007268050</t>
  </si>
  <si>
    <t>수퍼)원주점_송금</t>
  </si>
  <si>
    <t>0007268060</t>
  </si>
  <si>
    <t>수퍼)성북돈암점_외상</t>
  </si>
  <si>
    <t>0007268010</t>
  </si>
  <si>
    <t>수퍼)만덕점_외상</t>
  </si>
  <si>
    <t>0007047850</t>
  </si>
  <si>
    <t>수퍼)장유점_외상</t>
  </si>
  <si>
    <t>0007117709</t>
  </si>
  <si>
    <t>수퍼)구포점_외상</t>
  </si>
  <si>
    <t>0007117697</t>
  </si>
  <si>
    <t>수퍼)대방점_외상</t>
  </si>
  <si>
    <t>0007117698</t>
  </si>
  <si>
    <t>0007047840</t>
  </si>
  <si>
    <t>0007117699</t>
  </si>
  <si>
    <t>수퍼)마산회원점_외상</t>
  </si>
  <si>
    <t>0007117667</t>
  </si>
  <si>
    <t>수퍼)영종하늘도시점_송금</t>
  </si>
  <si>
    <t>0007117668</t>
  </si>
  <si>
    <t>수퍼)영종하늘도시점_외상</t>
  </si>
  <si>
    <t>0007117669</t>
  </si>
  <si>
    <t>해지)수퍼)레이카운티점_송금</t>
  </si>
  <si>
    <t>0007206390</t>
  </si>
  <si>
    <t>해지)수퍼)레이카운티점_외상</t>
  </si>
  <si>
    <t>0007206410</t>
  </si>
  <si>
    <t>수퍼)동작구청_송금</t>
  </si>
  <si>
    <t>0007047650</t>
  </si>
  <si>
    <t>수퍼)동작구청_외상</t>
  </si>
  <si>
    <t>0007047660</t>
  </si>
  <si>
    <t>수퍼)하남_송금</t>
  </si>
  <si>
    <t>0007117652</t>
  </si>
  <si>
    <t>수퍼)하남_외상</t>
  </si>
  <si>
    <t>0007117653</t>
  </si>
  <si>
    <t>수퍼)서울숲_송금</t>
  </si>
  <si>
    <t>0007047580</t>
  </si>
  <si>
    <t>수퍼)서울숲_외상</t>
  </si>
  <si>
    <t>0007047590</t>
  </si>
  <si>
    <t>수퍼)마산점_매출</t>
  </si>
  <si>
    <t>0007117385</t>
  </si>
  <si>
    <t>해지수퍼)포항환호점_송금</t>
  </si>
  <si>
    <t>0007310230</t>
  </si>
  <si>
    <t>해지)수퍼)수원하늘채점_외상</t>
  </si>
  <si>
    <t>0007117379</t>
  </si>
  <si>
    <t>해지)수퍼)수원하늘채점_송금</t>
  </si>
  <si>
    <t>0007117381</t>
  </si>
  <si>
    <t>해지)수퍼)신탄진점_외상</t>
  </si>
  <si>
    <t>0007117366</t>
  </si>
  <si>
    <t>0007117367</t>
  </si>
  <si>
    <t>해지)수퍼)동두천점_송금</t>
  </si>
  <si>
    <t>0007117368</t>
  </si>
  <si>
    <t>수퍼)거제신현점_송금</t>
  </si>
  <si>
    <t>0007047280</t>
  </si>
  <si>
    <t>수퍼)학익점_외상</t>
  </si>
  <si>
    <t>0007117365</t>
  </si>
  <si>
    <t>수퍼)검단신도시_외상</t>
  </si>
  <si>
    <t>0007265310</t>
  </si>
  <si>
    <t>수퍼)검단신도시_송금</t>
  </si>
  <si>
    <t>0007265320</t>
  </si>
  <si>
    <t>해지)수퍼)분당구미_외상</t>
  </si>
  <si>
    <t>0007205880</t>
  </si>
  <si>
    <t>해지)수퍼)분당구미_송금</t>
  </si>
  <si>
    <t>0007205890</t>
  </si>
  <si>
    <t>수퍼)김포한강자이_외상</t>
  </si>
  <si>
    <t>0007117351</t>
  </si>
  <si>
    <t>수퍼)김포한강자이_송금</t>
  </si>
  <si>
    <t>0007117352</t>
  </si>
  <si>
    <t>수퍼)구갈점_송금</t>
  </si>
  <si>
    <t>0007047220</t>
  </si>
  <si>
    <t>수퍼)양천신은점_외상</t>
  </si>
  <si>
    <t>0007205830</t>
  </si>
  <si>
    <t>수퍼)양천신은점_송금</t>
  </si>
  <si>
    <t>0007205840</t>
  </si>
  <si>
    <t>해지)수퍼)방이점_외상</t>
  </si>
  <si>
    <t>0007205660</t>
  </si>
  <si>
    <t>해지)수퍼)용산이촌점_외상</t>
  </si>
  <si>
    <t>0007205760</t>
  </si>
  <si>
    <t>해지)수퍼)용산이촌점_송금</t>
  </si>
  <si>
    <t>0007205770</t>
  </si>
  <si>
    <t>해지)수퍼)검단신도시점_외상</t>
  </si>
  <si>
    <t>0007047170</t>
  </si>
  <si>
    <t>해지)수퍼)검단신도시점_송금</t>
  </si>
  <si>
    <t>0007047180</t>
  </si>
  <si>
    <t>해지)수퍼)부평열우물점_외상</t>
  </si>
  <si>
    <t>0007117336</t>
  </si>
  <si>
    <t>해지)수퍼)부평열우물점_송금</t>
  </si>
  <si>
    <t>0007117337</t>
  </si>
  <si>
    <t>해지)수퍼)사직쌍용점_외상</t>
  </si>
  <si>
    <t>0007117329</t>
  </si>
  <si>
    <t>해지)수퍼)사직쌍용점_송금</t>
  </si>
  <si>
    <t>0007117331</t>
  </si>
  <si>
    <t>수퍼)과천자이점_외상</t>
  </si>
  <si>
    <t>0007117314</t>
  </si>
  <si>
    <t>해지)수퍼)호평알프하임점_외상</t>
  </si>
  <si>
    <t>0007811290</t>
  </si>
  <si>
    <t>해지)수퍼)호평알프하임점_매출</t>
  </si>
  <si>
    <t>0007811310</t>
  </si>
  <si>
    <t>수퍼)센텀시티점_외상</t>
  </si>
  <si>
    <t>0007320670</t>
  </si>
  <si>
    <t>해지)수퍼)은계호반점_외상</t>
  </si>
  <si>
    <t>0007117318</t>
  </si>
  <si>
    <t>해지)수퍼)은계호반점_매출</t>
  </si>
  <si>
    <t>0007117319</t>
  </si>
  <si>
    <t>수퍼)광진화양점_외상</t>
  </si>
  <si>
    <t>0007265130</t>
  </si>
  <si>
    <t>수퍼)광진화양점_매출</t>
  </si>
  <si>
    <t>0007265140</t>
  </si>
  <si>
    <t>해지)수퍼)가맹_남양주금곡점</t>
  </si>
  <si>
    <t>0007265150</t>
  </si>
  <si>
    <t>수퍼)부산용호점_외상</t>
  </si>
  <si>
    <t>0007320690</t>
  </si>
  <si>
    <t>수퍼)부산용호점_매출</t>
  </si>
  <si>
    <t>0007320710</t>
  </si>
  <si>
    <t>수퍼)마포상암점_외상</t>
  </si>
  <si>
    <t>0007265160</t>
  </si>
  <si>
    <t>수퍼)마포상암점_매출</t>
  </si>
  <si>
    <t>0007265170</t>
  </si>
  <si>
    <t>수퍼)포항창포점_매출</t>
  </si>
  <si>
    <t>0007047150</t>
  </si>
  <si>
    <t>해지)수퍼)부평더샵점_외상</t>
  </si>
  <si>
    <t>0007117322</t>
  </si>
  <si>
    <t>해지)수퍼)부평더샵점_매출</t>
  </si>
  <si>
    <t>0007117323</t>
  </si>
  <si>
    <t>해지)수퍼)방이점_매출송금</t>
  </si>
  <si>
    <t>0007205650</t>
  </si>
  <si>
    <t>수퍼)센텀시티점_매출송금</t>
  </si>
  <si>
    <t>0007320680</t>
  </si>
  <si>
    <t>해지)수퍼)강북미아점(매출)</t>
  </si>
  <si>
    <t>0007264360</t>
  </si>
  <si>
    <t>수퍼)가맹_대치사거리</t>
  </si>
  <si>
    <t>0007117303</t>
  </si>
  <si>
    <t xml:space="preserve">수퍼)가맹_명지국제점 </t>
  </si>
  <si>
    <t>0007117312</t>
  </si>
  <si>
    <t xml:space="preserve">해지)수퍼)송파2점 </t>
  </si>
  <si>
    <t>0007811260</t>
  </si>
  <si>
    <t>수퍼)가맹_부산금정점</t>
  </si>
  <si>
    <t>0007117307</t>
  </si>
  <si>
    <t>해지)수퍼)포항상도점_송금</t>
  </si>
  <si>
    <t>0007117308</t>
  </si>
  <si>
    <t>0007117309</t>
  </si>
  <si>
    <t>해지)수퍼)부산금정점</t>
  </si>
  <si>
    <t>0007046980</t>
  </si>
  <si>
    <t xml:space="preserve">수퍼)천안점 </t>
  </si>
  <si>
    <t>0007117299</t>
  </si>
  <si>
    <t xml:space="preserve">수퍼)안성점 </t>
  </si>
  <si>
    <t>0007117301</t>
  </si>
  <si>
    <t>수퍼)가맹_판교운중</t>
  </si>
  <si>
    <t>0007117302</t>
  </si>
  <si>
    <t>수퍼)가맹_울산천곡</t>
  </si>
  <si>
    <t>0007117304</t>
  </si>
  <si>
    <t xml:space="preserve">수퍼)만수점 </t>
  </si>
  <si>
    <t>0007264910</t>
  </si>
  <si>
    <t xml:space="preserve">수허)서산석남점 </t>
  </si>
  <si>
    <t>0007030190</t>
  </si>
  <si>
    <t xml:space="preserve">수퍼)용인점 </t>
  </si>
  <si>
    <t>0007117298</t>
  </si>
  <si>
    <t>해지)수퍼)광나루_외상매출</t>
  </si>
  <si>
    <t>0007205180</t>
  </si>
  <si>
    <t xml:space="preserve">해지)수퍼)신길사러가점 </t>
  </si>
  <si>
    <t>0007047060</t>
  </si>
  <si>
    <t>해지)수퍼)군포오금</t>
  </si>
  <si>
    <t>0007117224</t>
  </si>
  <si>
    <t>해지)수퍼)대치사거리</t>
  </si>
  <si>
    <t>0007117234</t>
  </si>
  <si>
    <t>해지)수퍼)송도센트럴시티점_송금</t>
  </si>
  <si>
    <t>0007117245</t>
  </si>
  <si>
    <t>해지)수퍼)송도센트럴시티점</t>
  </si>
  <si>
    <t>0007117246</t>
  </si>
  <si>
    <t>해지)수퍼)권선아이파크</t>
  </si>
  <si>
    <t>0007205290</t>
  </si>
  <si>
    <t>해지)수퍼)관악청림점</t>
  </si>
  <si>
    <t>0007204250</t>
  </si>
  <si>
    <t>해지)수퍼)광양금호_외상매출</t>
  </si>
  <si>
    <t>0007205160</t>
  </si>
  <si>
    <t>해지)수퍼)권선아이파크_송금</t>
  </si>
  <si>
    <t>0007205280</t>
  </si>
  <si>
    <t>수퍼)청주용담)외상매출</t>
  </si>
  <si>
    <t>0007117228</t>
  </si>
  <si>
    <t>수퍼)감동캐슬_외상매출</t>
  </si>
  <si>
    <t>0007046950</t>
  </si>
  <si>
    <t>해지)수퍼)구갈</t>
  </si>
  <si>
    <t>0007264670</t>
  </si>
  <si>
    <t>수퍼)마포염리</t>
  </si>
  <si>
    <t>0007264680</t>
  </si>
  <si>
    <t>해지수퍼)세종새샘마을</t>
  </si>
  <si>
    <t>0007264710</t>
  </si>
  <si>
    <t>수퍼)강동고덕</t>
  </si>
  <si>
    <t>0007046750</t>
  </si>
  <si>
    <t>수퍼)광교신대</t>
  </si>
  <si>
    <t>0007204930</t>
  </si>
  <si>
    <t>수퍼)용인포곡</t>
  </si>
  <si>
    <t>0007204990</t>
  </si>
  <si>
    <t>해지)수퍼)왜관(배민)</t>
  </si>
  <si>
    <t>0007046580</t>
  </si>
  <si>
    <t>0007204880</t>
  </si>
  <si>
    <t>수퍼)광교신대_송금</t>
  </si>
  <si>
    <t>0007204940</t>
  </si>
  <si>
    <t>수퍼)김포한강자이(송금)</t>
  </si>
  <si>
    <t>0007031040</t>
  </si>
  <si>
    <t>해지)수퍼)잠실장미(송금)</t>
  </si>
  <si>
    <t>0007230580</t>
  </si>
  <si>
    <t>해지)수퍼)포항상도(송금)</t>
  </si>
  <si>
    <t>0007204850</t>
  </si>
  <si>
    <t>해지)수퍼)포항상도</t>
  </si>
  <si>
    <t>0007204860</t>
  </si>
  <si>
    <t>해지)수퍼)대구수목원</t>
  </si>
  <si>
    <t>0007264590</t>
  </si>
  <si>
    <t>해지)수퍼)도청호명</t>
  </si>
  <si>
    <t>0007117177</t>
  </si>
  <si>
    <t xml:space="preserve">해지)수퍼)현곡푸르지오 </t>
  </si>
  <si>
    <t>0007117179</t>
  </si>
  <si>
    <t>해지)수퍼)직영)현곡푸르지오 송금</t>
  </si>
  <si>
    <t>0007117176</t>
  </si>
  <si>
    <t>해지)수퍼)도청호명(송금)</t>
  </si>
  <si>
    <t>0007117178</t>
  </si>
  <si>
    <t>해지)수퍼)구미구평</t>
  </si>
  <si>
    <t>0007117175</t>
  </si>
  <si>
    <t>수퍼)낙성대(송금)</t>
  </si>
  <si>
    <t>0007811070</t>
  </si>
  <si>
    <t>수퍼)신주례(송금)</t>
  </si>
  <si>
    <t>0007811090</t>
  </si>
  <si>
    <t>해지)수퍼)주례(송금)</t>
  </si>
  <si>
    <t>0007811100</t>
  </si>
  <si>
    <t>수퍼)화명(송금)</t>
  </si>
  <si>
    <t>0007320550</t>
  </si>
  <si>
    <t>수퍼)목동7(송금)</t>
  </si>
  <si>
    <t>0007264510</t>
  </si>
  <si>
    <t>해지)수퍼)목동13점(송금)</t>
  </si>
  <si>
    <t>0007204600</t>
  </si>
  <si>
    <t>수퍼)원주혁신(송금)</t>
  </si>
  <si>
    <t>0007204640</t>
  </si>
  <si>
    <t>수퍼)여의도(송금)</t>
  </si>
  <si>
    <t>0007204650</t>
  </si>
  <si>
    <t>수퍼)북가좌(송금)</t>
  </si>
  <si>
    <t>0007204660</t>
  </si>
  <si>
    <t>수퍼)강남대치(송금)</t>
  </si>
  <si>
    <t>0007204670</t>
  </si>
  <si>
    <t>수퍼)종로구기(송금)</t>
  </si>
  <si>
    <t>0007117163</t>
  </si>
  <si>
    <t>해지)수퍼)능곡(송금)</t>
  </si>
  <si>
    <t>0007117164</t>
  </si>
  <si>
    <t>해지)수퍼)장유(배민)</t>
  </si>
  <si>
    <t>0007117171</t>
  </si>
  <si>
    <t xml:space="preserve">해지)수퍼)(가맹)당진기지시 </t>
  </si>
  <si>
    <t>0007117172</t>
  </si>
  <si>
    <t>수퍼)양천신은(송금)</t>
  </si>
  <si>
    <t>0007046700</t>
  </si>
  <si>
    <t>해지)수퍼)청주율량(송금)</t>
  </si>
  <si>
    <t>0007117151</t>
  </si>
  <si>
    <t>해지)수퍼)전주호성(송금)</t>
  </si>
  <si>
    <t>0007117156</t>
  </si>
  <si>
    <t>수퍼)김해외동(송금)</t>
  </si>
  <si>
    <t>0007117159</t>
  </si>
  <si>
    <t>수퍼)마산회원(송금)</t>
  </si>
  <si>
    <t>0007117161</t>
  </si>
  <si>
    <t>해지)수퍼)직영)분당정자</t>
  </si>
  <si>
    <t>0007046560</t>
  </si>
  <si>
    <t>수퍼)양산물금(배민)</t>
  </si>
  <si>
    <t>0007046620</t>
  </si>
  <si>
    <t>해지)수퍼)광양금호(송금)</t>
  </si>
  <si>
    <t>0007046630</t>
  </si>
  <si>
    <t>해지)수퍼)거제옥포(송금)</t>
  </si>
  <si>
    <t>0007046640</t>
  </si>
  <si>
    <t>해지)수퍼)진주평거(배민)</t>
  </si>
  <si>
    <t>0007046680</t>
  </si>
  <si>
    <t>해지)수퍼)위례중앙(송금)</t>
  </si>
  <si>
    <t>0007264520</t>
  </si>
  <si>
    <t>0007046650</t>
  </si>
  <si>
    <t>수퍼)김포사우(송금)</t>
  </si>
  <si>
    <t>0007046690</t>
  </si>
  <si>
    <t>수퍼)문경(송금)</t>
  </si>
  <si>
    <t>0007117152</t>
  </si>
  <si>
    <t>수퍼)세종도담</t>
  </si>
  <si>
    <t>0007117169</t>
  </si>
  <si>
    <t>수퍼)송파위례(송금)</t>
  </si>
  <si>
    <t>0007204570</t>
  </si>
  <si>
    <t>해지)수퍼)사당태평(송금)</t>
  </si>
  <si>
    <t>0007811040</t>
  </si>
  <si>
    <t>수퍼)도곡렉슬(송금)</t>
  </si>
  <si>
    <t>0007811050</t>
  </si>
  <si>
    <t>해지)수퍼)잠원(송금)</t>
  </si>
  <si>
    <t>0007811060</t>
  </si>
  <si>
    <t>수퍼)수원매탄(송금)</t>
  </si>
  <si>
    <t>0007811120</t>
  </si>
  <si>
    <t>수퍼)서초(송금)</t>
  </si>
  <si>
    <t>0007264490</t>
  </si>
  <si>
    <t>해지)수퍼)잠실파크리오(송금)</t>
  </si>
  <si>
    <t>0007264500</t>
  </si>
  <si>
    <t>수퍼)명일(송금)</t>
  </si>
  <si>
    <t>0007264530</t>
  </si>
  <si>
    <t>해지)수퍼)연수(송금)</t>
  </si>
  <si>
    <t>0007811020</t>
  </si>
  <si>
    <t>수퍼)송파(송금)</t>
  </si>
  <si>
    <t>0007811030</t>
  </si>
  <si>
    <t>(해지)수퍼)안양메가트리아(송금)</t>
  </si>
  <si>
    <t>0007204590</t>
  </si>
  <si>
    <t>수퍼)분당시범단지(송금)</t>
  </si>
  <si>
    <t>0007204610</t>
  </si>
  <si>
    <t>0007204630</t>
  </si>
  <si>
    <t>수퍼)평택세교(송금)</t>
  </si>
  <si>
    <t>0007264460</t>
  </si>
  <si>
    <t>수퍼)과천3(송금)</t>
  </si>
  <si>
    <t>0007264480</t>
  </si>
  <si>
    <t>해지)수퍼)대전도마(송금)</t>
  </si>
  <si>
    <t>0007117158</t>
  </si>
  <si>
    <t>해지)수퍼)직영)배곧신도시(송금)</t>
  </si>
  <si>
    <t>0007204540</t>
  </si>
  <si>
    <t>해지)수퍼)방이(송금)</t>
  </si>
  <si>
    <t>0007204560</t>
  </si>
  <si>
    <t>수퍼)동소문(송금)</t>
  </si>
  <si>
    <t>0007204580</t>
  </si>
  <si>
    <t>(해지)수퍼)(가맹)다산인스빌점</t>
  </si>
  <si>
    <t>0007117142</t>
  </si>
  <si>
    <t>해지)수퍼)천안쌍용(송금)</t>
  </si>
  <si>
    <t>0007117157</t>
  </si>
  <si>
    <t xml:space="preserve">수퍼)직영)용인한숲시티점 </t>
  </si>
  <si>
    <t>0007119950</t>
  </si>
  <si>
    <t>수퍼)직영)기흥효성</t>
  </si>
  <si>
    <t>0007264320</t>
  </si>
  <si>
    <t>해지)수퍼)직영)분당정자(송금)</t>
  </si>
  <si>
    <t>0007046570</t>
  </si>
  <si>
    <t>수퍼)직영)개포블레시티지</t>
  </si>
  <si>
    <t>0007117125</t>
  </si>
  <si>
    <t xml:space="preserve">수퍼)종로구기점 </t>
  </si>
  <si>
    <t>0007117132</t>
  </si>
  <si>
    <t xml:space="preserve">수퍼)직영)고양백석점 </t>
  </si>
  <si>
    <t>0007046350</t>
  </si>
  <si>
    <t xml:space="preserve">수퍼)과천8점 </t>
  </si>
  <si>
    <t>0007116994</t>
  </si>
  <si>
    <t xml:space="preserve">수퍼)인천마장점 </t>
  </si>
  <si>
    <t>0007204140</t>
  </si>
  <si>
    <t>수퍼)양산가촌점</t>
  </si>
  <si>
    <t>0007810890</t>
  </si>
  <si>
    <t xml:space="preserve">수퍼)송파위례점 </t>
  </si>
  <si>
    <t>0007203900</t>
  </si>
  <si>
    <t xml:space="preserve">수퍼)직영)위례엠코점 </t>
  </si>
  <si>
    <t>0007045920</t>
  </si>
  <si>
    <t xml:space="preserve">해지)수퍼)직영)구리갈매점 </t>
  </si>
  <si>
    <t>0007045940</t>
  </si>
  <si>
    <t>SM)송도그린워크</t>
  </si>
  <si>
    <t>0007030610</t>
  </si>
  <si>
    <t>해지)SM)창원감계</t>
  </si>
  <si>
    <t>0007112560</t>
  </si>
  <si>
    <t xml:space="preserve">SM)남양주별내 </t>
  </si>
  <si>
    <t>0007042770</t>
  </si>
  <si>
    <t>해지)SM)천안쌍용</t>
  </si>
  <si>
    <t>0007111440</t>
  </si>
  <si>
    <t>SM)인천계산</t>
  </si>
  <si>
    <t>0007030480</t>
  </si>
  <si>
    <t>SM)강릉입암</t>
  </si>
  <si>
    <t>0007111350</t>
  </si>
  <si>
    <t>해지)SM)화성반송</t>
  </si>
  <si>
    <t>0007111480</t>
  </si>
  <si>
    <t>(해지)SM)시흥정왕</t>
  </si>
  <si>
    <t>0007201020</t>
  </si>
  <si>
    <t xml:space="preserve">SM)금촌점송금 </t>
  </si>
  <si>
    <t>0007030030</t>
  </si>
  <si>
    <t xml:space="preserve">SM)관악 </t>
  </si>
  <si>
    <t>0007030240</t>
  </si>
  <si>
    <t>SM)아산배방</t>
  </si>
  <si>
    <t>0007030330</t>
  </si>
  <si>
    <t>SM)원당</t>
  </si>
  <si>
    <t>0007030340</t>
  </si>
  <si>
    <t>SM)광명소하</t>
  </si>
  <si>
    <t>0007030380</t>
  </si>
  <si>
    <t>(해지)SM)군포당정</t>
  </si>
  <si>
    <t>0007030400</t>
  </si>
  <si>
    <t>SM)인천삼산</t>
  </si>
  <si>
    <t>0007030410</t>
  </si>
  <si>
    <t xml:space="preserve">SM)인천검단 </t>
  </si>
  <si>
    <t>0007030450</t>
  </si>
  <si>
    <t>SM)증평</t>
  </si>
  <si>
    <t>0007040290</t>
  </si>
  <si>
    <t>해지)SM)명일</t>
  </si>
  <si>
    <t>0007040580</t>
  </si>
  <si>
    <t>해지)SM)천안</t>
  </si>
  <si>
    <t>0007040620</t>
  </si>
  <si>
    <t>SM)만수1</t>
  </si>
  <si>
    <t>0007040650</t>
  </si>
  <si>
    <t>해지)SM)행신</t>
  </si>
  <si>
    <t>0007040660</t>
  </si>
  <si>
    <t>SM)잠실</t>
  </si>
  <si>
    <t>0007040710</t>
  </si>
  <si>
    <t>SM)포항창포</t>
  </si>
  <si>
    <t>0007040750</t>
  </si>
  <si>
    <t>SM)능곡</t>
  </si>
  <si>
    <t>0007040770</t>
  </si>
  <si>
    <t>SM)신갈</t>
  </si>
  <si>
    <t>0007040830</t>
  </si>
  <si>
    <t>해지)SM)구갈</t>
  </si>
  <si>
    <t>0007040850</t>
  </si>
  <si>
    <t>SM)E-SHOP</t>
  </si>
  <si>
    <t>0007040860</t>
  </si>
  <si>
    <t>해지)SM)홍천</t>
  </si>
  <si>
    <t>0007040900</t>
  </si>
  <si>
    <t>SM)당진</t>
  </si>
  <si>
    <t>0007040940</t>
  </si>
  <si>
    <t>SM)인천구월</t>
  </si>
  <si>
    <t>0007041050</t>
  </si>
  <si>
    <t>해지)SM)양산물금</t>
  </si>
  <si>
    <t>0007041150</t>
  </si>
  <si>
    <t>해지)SM)마산</t>
  </si>
  <si>
    <t>0007041160</t>
  </si>
  <si>
    <t>SM)창원팔용</t>
  </si>
  <si>
    <t>0007041170</t>
  </si>
  <si>
    <t>해지)SM)낙성대</t>
  </si>
  <si>
    <t>0007041270</t>
  </si>
  <si>
    <t>SM)암사캐슬</t>
  </si>
  <si>
    <t>0007041300</t>
  </si>
  <si>
    <t>SM)거제신현</t>
  </si>
  <si>
    <t>0007041390</t>
  </si>
  <si>
    <t>SM)천곡</t>
  </si>
  <si>
    <t>0007041400</t>
  </si>
  <si>
    <t>SM)전주인후</t>
  </si>
  <si>
    <t>0007041520</t>
  </si>
  <si>
    <t>SM)종로구기</t>
  </si>
  <si>
    <t>0007041730</t>
  </si>
  <si>
    <t xml:space="preserve">SM)부천송내 </t>
  </si>
  <si>
    <t>0007041820</t>
  </si>
  <si>
    <t>SM)청주용담</t>
  </si>
  <si>
    <t>0007041830</t>
  </si>
  <si>
    <t>SM)isuper분당구미</t>
  </si>
  <si>
    <t>0007041860</t>
  </si>
  <si>
    <t>SM)isuper분당이매</t>
  </si>
  <si>
    <t>0007041870</t>
  </si>
  <si>
    <t>SM)isuper분당금곡</t>
  </si>
  <si>
    <t>0007041880</t>
  </si>
  <si>
    <t xml:space="preserve">SM)isuper길음뉴타운 </t>
  </si>
  <si>
    <t>0007041920</t>
  </si>
  <si>
    <t>SM)isuper송파문정</t>
  </si>
  <si>
    <t>0007041930</t>
  </si>
  <si>
    <t>SM)isuper춘천후평</t>
  </si>
  <si>
    <t>0007041940</t>
  </si>
  <si>
    <t xml:space="preserve">SM)김포사우 </t>
  </si>
  <si>
    <t>0007041950</t>
  </si>
  <si>
    <t>SM)군포당동</t>
  </si>
  <si>
    <t>0007041970</t>
  </si>
  <si>
    <t>해지)SM)하남</t>
  </si>
  <si>
    <t>0007042150</t>
  </si>
  <si>
    <t>SM)신주례</t>
  </si>
  <si>
    <t>0007050250</t>
  </si>
  <si>
    <t>SM)주례</t>
  </si>
  <si>
    <t>0007050270</t>
  </si>
  <si>
    <t xml:space="preserve">SM)E-매출대금 </t>
  </si>
  <si>
    <t>0007050300</t>
  </si>
  <si>
    <t>SM)울산구영</t>
  </si>
  <si>
    <t>0007050420</t>
  </si>
  <si>
    <t>해지)수퍼)울산구영(배민)</t>
  </si>
  <si>
    <t>0007811010</t>
  </si>
  <si>
    <t>GSfresh제휴몰)11번가</t>
  </si>
  <si>
    <t>0007060300</t>
  </si>
  <si>
    <t xml:space="preserve">SM)서인천 </t>
  </si>
  <si>
    <t>0007060340</t>
  </si>
  <si>
    <t>해지)SM)포천</t>
  </si>
  <si>
    <t>0007060370</t>
  </si>
  <si>
    <t>해지)SM)거제옥포세일</t>
  </si>
  <si>
    <t>0007060500</t>
  </si>
  <si>
    <t>해지)SM)원주</t>
  </si>
  <si>
    <t>0007110180</t>
  </si>
  <si>
    <t>SM)태화</t>
  </si>
  <si>
    <t>0007110240</t>
  </si>
  <si>
    <t xml:space="preserve">SM)대방 </t>
  </si>
  <si>
    <t>0007110250</t>
  </si>
  <si>
    <t>SM)초읍</t>
  </si>
  <si>
    <t>0007110260</t>
  </si>
  <si>
    <t>SM)천안두정</t>
  </si>
  <si>
    <t>0007110300</t>
  </si>
  <si>
    <t>SM)의왕</t>
  </si>
  <si>
    <t>0007110350</t>
  </si>
  <si>
    <t>SM)과천8</t>
  </si>
  <si>
    <t>0007110400</t>
  </si>
  <si>
    <t>해지)SM)예산</t>
  </si>
  <si>
    <t>0007110420</t>
  </si>
  <si>
    <t>SM)공주</t>
  </si>
  <si>
    <t>0007110440</t>
  </si>
  <si>
    <t>SM)청주산남</t>
  </si>
  <si>
    <t>0007110450</t>
  </si>
  <si>
    <t>SM)평택이충</t>
  </si>
  <si>
    <t>0007110470</t>
  </si>
  <si>
    <t>SM)포항죽도</t>
  </si>
  <si>
    <t>0007110500</t>
  </si>
  <si>
    <t>SM)충주용산</t>
  </si>
  <si>
    <t>0007110510</t>
  </si>
  <si>
    <t>SM)용인포곡</t>
  </si>
  <si>
    <t>0007110530</t>
  </si>
  <si>
    <t>SM)장유삼문</t>
  </si>
  <si>
    <t>0007110540</t>
  </si>
  <si>
    <t>SM)진해자은</t>
  </si>
  <si>
    <t>0007110550</t>
  </si>
  <si>
    <t>SM)마산회원</t>
  </si>
  <si>
    <t>0007110560</t>
  </si>
  <si>
    <t>SM)구미구평</t>
  </si>
  <si>
    <t>0007110570</t>
  </si>
  <si>
    <t>SM)고양벽제</t>
  </si>
  <si>
    <t>0007110590</t>
  </si>
  <si>
    <t>SM)토월매출</t>
  </si>
  <si>
    <t>0007110600</t>
  </si>
  <si>
    <t>해지)SM)진해여좌</t>
  </si>
  <si>
    <t>0007110610</t>
  </si>
  <si>
    <t>SM)문경</t>
  </si>
  <si>
    <t>0007110630</t>
  </si>
  <si>
    <t>SM)전주서신</t>
  </si>
  <si>
    <t>0007110650</t>
  </si>
  <si>
    <t>SM)거제고현</t>
  </si>
  <si>
    <t>0007110660</t>
  </si>
  <si>
    <t>(해지)SM)송도</t>
  </si>
  <si>
    <t>0007110680</t>
  </si>
  <si>
    <t>SM)구포</t>
  </si>
  <si>
    <t>0007110690</t>
  </si>
  <si>
    <t>SM)충주연수</t>
  </si>
  <si>
    <t>0007110700</t>
  </si>
  <si>
    <t>SM)당진송악</t>
  </si>
  <si>
    <t>0007110770</t>
  </si>
  <si>
    <t xml:space="preserve">SM)대전도마 </t>
  </si>
  <si>
    <t>0007110910</t>
  </si>
  <si>
    <t>해지)SM)청주율량</t>
  </si>
  <si>
    <t>0007110940</t>
  </si>
  <si>
    <t>SM)구미형곡</t>
  </si>
  <si>
    <t>0007110980</t>
  </si>
  <si>
    <t>SM)전주동산</t>
  </si>
  <si>
    <t>0007110990</t>
  </si>
  <si>
    <t xml:space="preserve">SM)김포감정 </t>
  </si>
  <si>
    <t>0007111010</t>
  </si>
  <si>
    <t>SM)경주현곡</t>
  </si>
  <si>
    <t>0007111090</t>
  </si>
  <si>
    <t>해지)SM)전주호성</t>
  </si>
  <si>
    <t>0007111110</t>
  </si>
  <si>
    <t>SM)인천박촌</t>
  </si>
  <si>
    <t>0007111120</t>
  </si>
  <si>
    <t>SM)속초교동</t>
  </si>
  <si>
    <t>0007111200</t>
  </si>
  <si>
    <t>SM)수원망포</t>
  </si>
  <si>
    <t>0007111300</t>
  </si>
  <si>
    <t>SM)공주신관</t>
  </si>
  <si>
    <t>0007111370</t>
  </si>
  <si>
    <t xml:space="preserve">해지)SM)신탄진 </t>
  </si>
  <si>
    <t>0007130030</t>
  </si>
  <si>
    <t xml:space="preserve">SM)동소문 </t>
  </si>
  <si>
    <t>0007200040</t>
  </si>
  <si>
    <t>SM)미래</t>
  </si>
  <si>
    <t>0007200080</t>
  </si>
  <si>
    <t xml:space="preserve">SM)부곡 </t>
  </si>
  <si>
    <t>0007200260</t>
  </si>
  <si>
    <t>SM)목동13</t>
  </si>
  <si>
    <t>0007200350</t>
  </si>
  <si>
    <t xml:space="preserve">해지SM)부암 </t>
  </si>
  <si>
    <t>0007200370</t>
  </si>
  <si>
    <t xml:space="preserve">SM)북가좌 </t>
  </si>
  <si>
    <t>0007200380</t>
  </si>
  <si>
    <t>SM)하안8</t>
  </si>
  <si>
    <t>0007200400</t>
  </si>
  <si>
    <t>해지SM)방이</t>
  </si>
  <si>
    <t>0007200510</t>
  </si>
  <si>
    <t>해지)SM)용인</t>
  </si>
  <si>
    <t>0007200550</t>
  </si>
  <si>
    <t>SM)광진화양</t>
  </si>
  <si>
    <t>0007200680</t>
  </si>
  <si>
    <t>SM)분당시범단지</t>
  </si>
  <si>
    <t>0007200690</t>
  </si>
  <si>
    <t>해지)SM)양천신은</t>
  </si>
  <si>
    <t>0007200870</t>
  </si>
  <si>
    <t>(해지)SM)의왕오전</t>
  </si>
  <si>
    <t>0007200890</t>
  </si>
  <si>
    <t>해지)SM)포항연일</t>
  </si>
  <si>
    <t>0007200910</t>
  </si>
  <si>
    <t xml:space="preserve">해지)SM)관악난향 </t>
  </si>
  <si>
    <t>0007200940</t>
  </si>
  <si>
    <t>SM)안성</t>
  </si>
  <si>
    <t>0007210220</t>
  </si>
  <si>
    <t>해지)SM)송파</t>
  </si>
  <si>
    <t>0007250230</t>
  </si>
  <si>
    <t>SM)학익</t>
  </si>
  <si>
    <t>0007250240</t>
  </si>
  <si>
    <t>SM)구리수택</t>
  </si>
  <si>
    <t>0007250350</t>
  </si>
  <si>
    <t xml:space="preserve">SM)대전월평 </t>
  </si>
  <si>
    <t>0007250380</t>
  </si>
  <si>
    <t>SM)청주봉명</t>
  </si>
  <si>
    <t>0007260370</t>
  </si>
  <si>
    <t>해지)SM)본리</t>
  </si>
  <si>
    <t>0007260420</t>
  </si>
  <si>
    <t>해지)SM)신천</t>
  </si>
  <si>
    <t>0007260440</t>
  </si>
  <si>
    <t>SM)과천3</t>
  </si>
  <si>
    <t>0007260480</t>
  </si>
  <si>
    <t>SM)발산</t>
  </si>
  <si>
    <t>0007260490</t>
  </si>
  <si>
    <t>해지)SM)군산나운</t>
  </si>
  <si>
    <t>0007260500</t>
  </si>
  <si>
    <t>SM)다대</t>
  </si>
  <si>
    <t>0007260520</t>
  </si>
  <si>
    <t xml:space="preserve">SM)부평산곡 </t>
  </si>
  <si>
    <t>0007260550</t>
  </si>
  <si>
    <t>SM)서초</t>
  </si>
  <si>
    <t>0007260660</t>
  </si>
  <si>
    <t>SM)성북돈암</t>
  </si>
  <si>
    <t>0007260720</t>
  </si>
  <si>
    <t>SM)종로평창</t>
  </si>
  <si>
    <t>0007260890</t>
  </si>
  <si>
    <t xml:space="preserve">SM)대전전민 </t>
  </si>
  <si>
    <t>0007260910</t>
  </si>
  <si>
    <t>SM)포항두호</t>
  </si>
  <si>
    <t>0007310040</t>
  </si>
  <si>
    <t>SM)죽곡</t>
  </si>
  <si>
    <t>0007310080</t>
  </si>
  <si>
    <t>(해지)SM)왜관</t>
  </si>
  <si>
    <t>0007310090</t>
  </si>
  <si>
    <t>SM)개금</t>
  </si>
  <si>
    <t>0007320230</t>
  </si>
  <si>
    <t xml:space="preserve">SM)대동 </t>
  </si>
  <si>
    <t>0007320240</t>
  </si>
  <si>
    <t>SM)명장</t>
  </si>
  <si>
    <t>0007320250</t>
  </si>
  <si>
    <t>SM)화명</t>
  </si>
  <si>
    <t>0007320270</t>
  </si>
  <si>
    <t>SM)장유</t>
  </si>
  <si>
    <t>0007320330</t>
  </si>
  <si>
    <t>SM)만덕</t>
  </si>
  <si>
    <t>0007320340</t>
  </si>
  <si>
    <t>SM)남산</t>
  </si>
  <si>
    <t>0007320360</t>
  </si>
  <si>
    <t>SM)상계</t>
  </si>
  <si>
    <t>0007810430</t>
  </si>
  <si>
    <t>해지)SM)잠원</t>
  </si>
  <si>
    <t>0007810530</t>
  </si>
  <si>
    <t>SM)도곡렉슬</t>
  </si>
  <si>
    <t>0007810680</t>
  </si>
  <si>
    <t>SM)잠실장미</t>
  </si>
  <si>
    <t>0007810690</t>
  </si>
  <si>
    <t>SM)수원매탄</t>
  </si>
  <si>
    <t>0007810760</t>
  </si>
  <si>
    <t xml:space="preserve">SM)인천부개 </t>
  </si>
  <si>
    <t>0007042180</t>
  </si>
  <si>
    <t>0007830030</t>
  </si>
  <si>
    <t>해지SM)포항환호</t>
  </si>
  <si>
    <t>0007310170</t>
  </si>
  <si>
    <t>해지)SM)원주혁신</t>
  </si>
  <si>
    <t>0007044500</t>
  </si>
  <si>
    <t xml:space="preserve">SM)김포운양 </t>
  </si>
  <si>
    <t>0007111880</t>
  </si>
  <si>
    <t xml:space="preserve">SM)여의도 </t>
  </si>
  <si>
    <t>0007203030</t>
  </si>
  <si>
    <t xml:space="preserve">SM)왕십리뉴타운 </t>
  </si>
  <si>
    <t>0007262550</t>
  </si>
  <si>
    <t>SM)(직영)청라라임</t>
  </si>
  <si>
    <t>0007203250</t>
  </si>
  <si>
    <t xml:space="preserve">해지)SM)(직영)부산용호 </t>
  </si>
  <si>
    <t>0007050630</t>
  </si>
  <si>
    <t>해지)SM)(직영)진해풍호</t>
  </si>
  <si>
    <t>0007115290</t>
  </si>
  <si>
    <t>해지)수퍼)강릉포남</t>
  </si>
  <si>
    <t>0007263020</t>
  </si>
  <si>
    <t>해지)수퍼)수원장안</t>
  </si>
  <si>
    <t>0007044910</t>
  </si>
  <si>
    <t>SM)(직영)만덕백양</t>
  </si>
  <si>
    <t>0007115300</t>
  </si>
  <si>
    <t>수퍼)(직영)명지국제</t>
  </si>
  <si>
    <t>0007320540</t>
  </si>
  <si>
    <t>해지)수퍼)광진화양</t>
  </si>
  <si>
    <t>0007045280</t>
  </si>
  <si>
    <t>해지)수퍼)아산탕정</t>
  </si>
  <si>
    <t>0007203670</t>
  </si>
  <si>
    <t>해지)수퍼)마포상암</t>
  </si>
  <si>
    <t>0007251250</t>
  </si>
  <si>
    <t xml:space="preserve">해지)수퍼)강남대치 </t>
  </si>
  <si>
    <t>0007251230</t>
  </si>
  <si>
    <t>수퍼)관악점</t>
  </si>
  <si>
    <t>0007263420</t>
  </si>
  <si>
    <t xml:space="preserve">해지)수퍼)하남미사점 </t>
  </si>
  <si>
    <t>0007203710</t>
  </si>
  <si>
    <t>(해지)수퍼)대전송강점</t>
  </si>
  <si>
    <t>0007118200</t>
  </si>
  <si>
    <t xml:space="preserve">해지)수퍼)광양금호점 </t>
  </si>
  <si>
    <t>0007045600</t>
  </si>
  <si>
    <t>해지)수퍼)김포한강자이점</t>
  </si>
  <si>
    <t>0007263740</t>
  </si>
  <si>
    <t xml:space="preserve">수퍼)아산둔포점 </t>
  </si>
  <si>
    <t>0007203800</t>
  </si>
  <si>
    <t xml:space="preserve">해지)수퍼)원동점 </t>
  </si>
  <si>
    <t>0007203790</t>
  </si>
  <si>
    <t>수퍼)장유삼문</t>
  </si>
  <si>
    <t>0007118840</t>
  </si>
  <si>
    <t xml:space="preserve">수퍼)의정부민락점 </t>
  </si>
  <si>
    <t>0007118700</t>
  </si>
  <si>
    <t xml:space="preserve">수퍼)순천해룡점 </t>
  </si>
  <si>
    <t>0007118960</t>
  </si>
  <si>
    <t xml:space="preserve">해지)수퍼)위례중앙점 </t>
  </si>
  <si>
    <t>0007263820</t>
  </si>
  <si>
    <t xml:space="preserve">수퍼)구포점 </t>
  </si>
  <si>
    <t>0007119760</t>
  </si>
  <si>
    <t xml:space="preserve">수퍼)판교운중점 </t>
  </si>
  <si>
    <t>0007045980</t>
  </si>
  <si>
    <t>수퍼)김포초당점</t>
  </si>
  <si>
    <t>0007046030</t>
  </si>
  <si>
    <t>해지)수퍼)직영)도청신도시점</t>
  </si>
  <si>
    <t>0007119740</t>
  </si>
  <si>
    <t xml:space="preserve">해지)수퍼)능곡점 </t>
  </si>
  <si>
    <t>0007119810</t>
  </si>
  <si>
    <t>수퍼)직영)송도마스터뷰</t>
  </si>
  <si>
    <t>0007263940</t>
  </si>
  <si>
    <t xml:space="preserve">해지)수퍼)직영)사당태평점 </t>
  </si>
  <si>
    <t>0007810880</t>
  </si>
  <si>
    <t xml:space="preserve">(해지)수퍼)(직영)안양덕천점 </t>
  </si>
  <si>
    <t>0007203960</t>
  </si>
  <si>
    <t xml:space="preserve">수퍼)직영)진주신안점 </t>
  </si>
  <si>
    <t>0007046090</t>
  </si>
  <si>
    <t xml:space="preserve">수퍼)하남덕풍점 </t>
  </si>
  <si>
    <t>0007119512</t>
  </si>
  <si>
    <t xml:space="preserve">해지)수퍼)직영)신갈점 </t>
  </si>
  <si>
    <t>0007046210</t>
  </si>
  <si>
    <t xml:space="preserve">수퍼)파주청암점 </t>
  </si>
  <si>
    <t>0007046170</t>
  </si>
  <si>
    <t xml:space="preserve">해지)수퍼)잠실점 </t>
  </si>
  <si>
    <t>0007046240</t>
  </si>
  <si>
    <t xml:space="preserve">해지)수퍼)암사캐슬점 </t>
  </si>
  <si>
    <t>0007204270</t>
  </si>
  <si>
    <t>해지)수퍼)김포풍무점</t>
  </si>
  <si>
    <t>0007204280</t>
  </si>
  <si>
    <t xml:space="preserve">수퍼)다대점 </t>
  </si>
  <si>
    <t>0007264090</t>
  </si>
  <si>
    <t>수퍼)청주센트럴자이점</t>
  </si>
  <si>
    <t>0007264100</t>
  </si>
  <si>
    <t>해지)수퍼)동탄반도유보라점</t>
  </si>
  <si>
    <t>0007119533</t>
  </si>
  <si>
    <t xml:space="preserve">수퍼)위례엠코점 </t>
  </si>
  <si>
    <t>0007119534</t>
  </si>
  <si>
    <t>해지)수퍼)킨텍스꿈에그린점</t>
  </si>
  <si>
    <t>0007264130</t>
  </si>
  <si>
    <t xml:space="preserve">수퍼)성동옥수점 </t>
  </si>
  <si>
    <t>0007810830</t>
  </si>
  <si>
    <t>수퍼)직영)김해내동점</t>
  </si>
  <si>
    <t>0007119524</t>
  </si>
  <si>
    <t xml:space="preserve">수퍼)직영)원당점 </t>
  </si>
  <si>
    <t>0007119539</t>
  </si>
  <si>
    <t>수퍼)직영)김해진영점</t>
  </si>
  <si>
    <t>0007030980</t>
  </si>
  <si>
    <t>수퍼)동두천점</t>
  </si>
  <si>
    <t>0007030990</t>
  </si>
  <si>
    <t xml:space="preserve">수퍼)직영)포항양덕점 </t>
  </si>
  <si>
    <t>0007310180</t>
  </si>
  <si>
    <t xml:space="preserve">수퍼)안산힐스테이점 </t>
  </si>
  <si>
    <t>0007046230</t>
  </si>
  <si>
    <t xml:space="preserve">해지)수퍼)직영)진주평거점 </t>
  </si>
  <si>
    <t>0007046410</t>
  </si>
  <si>
    <t xml:space="preserve">수퍼)진천점 </t>
  </si>
  <si>
    <t>0007116993</t>
  </si>
  <si>
    <t xml:space="preserve">수퍼)평택세교점 </t>
  </si>
  <si>
    <t>0007264250</t>
  </si>
  <si>
    <t>수퍼)직영)고양백석점(송금)</t>
  </si>
  <si>
    <t>0007046450</t>
  </si>
  <si>
    <t>수퍼)구월점(송금)</t>
  </si>
  <si>
    <t>0007046430</t>
  </si>
  <si>
    <t>수퍼)직영)고덕그라시움점(송금)</t>
  </si>
  <si>
    <t>0007117112</t>
  </si>
  <si>
    <t>해지)수퍼)직영)송도마스터뷰</t>
  </si>
  <si>
    <t>0007117115</t>
  </si>
  <si>
    <t xml:space="preserve">수퍼)직영)미사강변1점 </t>
  </si>
  <si>
    <t>0007204300</t>
  </si>
  <si>
    <t>수퍼)직영)미사강변1점(송금)</t>
  </si>
  <si>
    <t>0007204450</t>
  </si>
  <si>
    <t>수퍼)미래(송금)</t>
  </si>
  <si>
    <t>0007204390</t>
  </si>
  <si>
    <t>해지)수퍼)송도마스터뷰</t>
  </si>
  <si>
    <t>0007117111</t>
  </si>
  <si>
    <t xml:space="preserve">수퍼)직영)고덕그라시움점 </t>
  </si>
  <si>
    <t>0007117113</t>
  </si>
  <si>
    <t xml:space="preserve">수퍼)직영)수택3점 </t>
  </si>
  <si>
    <t>0007119541</t>
  </si>
  <si>
    <t>안산자이해솔점_송금</t>
  </si>
  <si>
    <t>0007032020</t>
  </si>
  <si>
    <t>안산자이해솔점_매출</t>
  </si>
  <si>
    <t>0007032030</t>
  </si>
  <si>
    <t>양산물금점_송금</t>
  </si>
  <si>
    <t>0007047510</t>
  </si>
  <si>
    <t>양산물금점_매출</t>
  </si>
  <si>
    <t>0007047520</t>
  </si>
  <si>
    <t>해지)검암푸르지오점_송금</t>
  </si>
  <si>
    <t>0007047530</t>
  </si>
  <si>
    <t>해지)검암푸르지오점_외상</t>
  </si>
  <si>
    <t>0007047540</t>
  </si>
  <si>
    <t>능곡점_송금</t>
  </si>
  <si>
    <t>0007117409</t>
  </si>
  <si>
    <t>당진송악점_송금</t>
  </si>
  <si>
    <t>0007117501</t>
  </si>
  <si>
    <t>대전도마점_송금</t>
  </si>
  <si>
    <t>0007117502</t>
  </si>
  <si>
    <t>수원망포점_송금</t>
  </si>
  <si>
    <t>0007117503</t>
  </si>
  <si>
    <t>해지)진해자은점_송금</t>
  </si>
  <si>
    <t>0007117504</t>
  </si>
  <si>
    <t>초읍점_송금</t>
  </si>
  <si>
    <t>0007117505</t>
  </si>
  <si>
    <t>충주연수점_송금</t>
  </si>
  <si>
    <t>0007117506</t>
  </si>
  <si>
    <t>평택이충점_송금</t>
  </si>
  <si>
    <t>0007117507</t>
  </si>
  <si>
    <t>포항죽도점_송금</t>
  </si>
  <si>
    <t>0007117508</t>
  </si>
  <si>
    <t>학익점_송금</t>
  </si>
  <si>
    <t>0007117509</t>
  </si>
  <si>
    <t>해지)경주현곡점_매출</t>
  </si>
  <si>
    <t>0007117511</t>
  </si>
  <si>
    <t>고양벽제점_매출</t>
  </si>
  <si>
    <t>0007117512</t>
  </si>
  <si>
    <t>능곡점_매출</t>
  </si>
  <si>
    <t>0007117513</t>
  </si>
  <si>
    <t>당진송악점_매출</t>
  </si>
  <si>
    <t>0007117514</t>
  </si>
  <si>
    <t>대전도마점_매출</t>
  </si>
  <si>
    <t>0007117515</t>
  </si>
  <si>
    <t>마산점_매출</t>
  </si>
  <si>
    <t>0007117516</t>
  </si>
  <si>
    <t>수원망포점_매출</t>
  </si>
  <si>
    <t>0007117517</t>
  </si>
  <si>
    <t>수원아트리움점_매출</t>
  </si>
  <si>
    <t>0007117518</t>
  </si>
  <si>
    <t>진주평거점_매출</t>
  </si>
  <si>
    <t>0007117519</t>
  </si>
  <si>
    <t>해지)진해자은점_매출</t>
  </si>
  <si>
    <t>0007117521</t>
  </si>
  <si>
    <t>천안두정점_매출</t>
  </si>
  <si>
    <t>0007117522</t>
  </si>
  <si>
    <t>청주점_매출</t>
  </si>
  <si>
    <t>0007117523</t>
  </si>
  <si>
    <t>초읍점_매출</t>
  </si>
  <si>
    <t>0007117524</t>
  </si>
  <si>
    <t>충주연수점_매출</t>
  </si>
  <si>
    <t>0007117525</t>
  </si>
  <si>
    <t>해지)충주용산점_매출</t>
  </si>
  <si>
    <t>0007117526</t>
  </si>
  <si>
    <t>토월점_매출</t>
  </si>
  <si>
    <t>0007117527</t>
  </si>
  <si>
    <t>평택이충점_매출</t>
  </si>
  <si>
    <t>0007117528</t>
  </si>
  <si>
    <t>포천점_매출</t>
  </si>
  <si>
    <t>0007117529</t>
  </si>
  <si>
    <t>포항죽도점_매출</t>
  </si>
  <si>
    <t>0007117531</t>
  </si>
  <si>
    <t>강남대치점_매출</t>
  </si>
  <si>
    <t>0007206220</t>
  </si>
  <si>
    <t>미래점_매출</t>
  </si>
  <si>
    <t>0007206230</t>
  </si>
  <si>
    <t>송파점_매출</t>
  </si>
  <si>
    <t>0007206240</t>
  </si>
  <si>
    <t>위례중앙점_송금</t>
  </si>
  <si>
    <t>0007266190</t>
  </si>
  <si>
    <t>명일점_매출</t>
  </si>
  <si>
    <t>0007266210</t>
  </si>
  <si>
    <t>위례중앙점_매출</t>
  </si>
  <si>
    <t>0007266220</t>
  </si>
  <si>
    <t>종로평창점_매출</t>
  </si>
  <si>
    <t>0007266230</t>
  </si>
  <si>
    <t>연수점_송금</t>
  </si>
  <si>
    <t>0007811330</t>
  </si>
  <si>
    <t>주례점_송금</t>
  </si>
  <si>
    <t>0007811340</t>
  </si>
  <si>
    <t>낙성대점_매출</t>
  </si>
  <si>
    <t>0007811350</t>
  </si>
  <si>
    <t>연수점_매출</t>
  </si>
  <si>
    <t>0007811360</t>
  </si>
  <si>
    <t>주례점_매출</t>
  </si>
  <si>
    <t>0007811370</t>
  </si>
  <si>
    <t>수퍼)김포감정점(송금)</t>
  </si>
  <si>
    <t>0007117166</t>
  </si>
  <si>
    <t>수퍼)인천동춘(송금)</t>
  </si>
  <si>
    <t>0007117167</t>
  </si>
  <si>
    <t>수퍼)세종도담(송금)</t>
  </si>
  <si>
    <t>0007117168</t>
  </si>
  <si>
    <t>(해지)수퍼)송도(송금)</t>
  </si>
  <si>
    <t>0007117146</t>
  </si>
  <si>
    <t>수퍼)고양벽제(송금)</t>
  </si>
  <si>
    <t>0007117147</t>
  </si>
  <si>
    <t>해지)수퍼)수원망포(송금)</t>
  </si>
  <si>
    <t>0007117148</t>
  </si>
  <si>
    <t>수퍼)용인한숲시티(송금)</t>
  </si>
  <si>
    <t>0007117149</t>
  </si>
  <si>
    <t>해지)수퍼)동탄중앙(송금)</t>
  </si>
  <si>
    <t>0007117153</t>
  </si>
  <si>
    <t>0007117154</t>
  </si>
  <si>
    <t>해지)수퍼)과천8(송금)</t>
  </si>
  <si>
    <t>0007117155</t>
  </si>
  <si>
    <t>RS292D</t>
  </si>
  <si>
    <t>SM)경주법주(용인)</t>
  </si>
  <si>
    <t>0007212240</t>
  </si>
  <si>
    <t>SM)디아지오(용인)</t>
  </si>
  <si>
    <t>0007212260</t>
  </si>
  <si>
    <t>SM)롯데주류(용인)</t>
  </si>
  <si>
    <t>0007212270</t>
  </si>
  <si>
    <t>SM)진로(용인)</t>
  </si>
  <si>
    <t>0007212280</t>
  </si>
  <si>
    <t>(해지)SM)페르노리카(용인)</t>
  </si>
  <si>
    <t>0007212300</t>
  </si>
  <si>
    <t>SM)하이트맥주(용인)</t>
  </si>
  <si>
    <t>0007212310</t>
  </si>
  <si>
    <t>SM)금복주(용인)</t>
  </si>
  <si>
    <t>0007212320</t>
  </si>
  <si>
    <t>SM)경주법주(중부)</t>
  </si>
  <si>
    <t>0007212410</t>
  </si>
  <si>
    <t>SM)디아지오(중부)</t>
  </si>
  <si>
    <t>0007212430</t>
  </si>
  <si>
    <t>SM)롯데주류(중부)</t>
  </si>
  <si>
    <t>0007212440</t>
  </si>
  <si>
    <t>SM)진로(중부)</t>
  </si>
  <si>
    <t>0007212450</t>
  </si>
  <si>
    <t>(해지)SM)페르노리카(중부)</t>
  </si>
  <si>
    <t>0007212470</t>
  </si>
  <si>
    <t>SM)하이트맥주(중부)</t>
  </si>
  <si>
    <t>0007212480</t>
  </si>
  <si>
    <t>SM)경주법주(양산)</t>
  </si>
  <si>
    <t>0007212490</t>
  </si>
  <si>
    <t>SM)무학주조(양산)</t>
  </si>
  <si>
    <t>0007212500</t>
  </si>
  <si>
    <t>SM)디아지오(양산)</t>
  </si>
  <si>
    <t>0007212510</t>
  </si>
  <si>
    <t>SM)롯데주류(양산)</t>
  </si>
  <si>
    <t>0007212520</t>
  </si>
  <si>
    <t>SM)진로(양산)</t>
  </si>
  <si>
    <t>0007212530</t>
  </si>
  <si>
    <t>(해지)SM)페르노리카(양산)</t>
  </si>
  <si>
    <t>0007212550</t>
  </si>
  <si>
    <t>SM)하이트맥주(양산)</t>
  </si>
  <si>
    <t>0007212560</t>
  </si>
  <si>
    <t>SM)대선주조(양산)</t>
  </si>
  <si>
    <t>0007212570</t>
  </si>
  <si>
    <t>SM)금복주(양산)</t>
  </si>
  <si>
    <t>0007212580</t>
  </si>
  <si>
    <t>SM)경주법주(발안)</t>
  </si>
  <si>
    <t>0007212760</t>
  </si>
  <si>
    <t>SM)디아지오(발안)</t>
  </si>
  <si>
    <t>0007212780</t>
  </si>
  <si>
    <t>SM)롯데주류(발안)</t>
  </si>
  <si>
    <t>0007212790</t>
  </si>
  <si>
    <t>SM)진로(발안)</t>
  </si>
  <si>
    <t>0007212800</t>
  </si>
  <si>
    <t>(해지)SM)페르노리카(발안)</t>
  </si>
  <si>
    <t>0007212820</t>
  </si>
  <si>
    <t>SM)하이트맥주(발안)</t>
  </si>
  <si>
    <t>0007212830</t>
  </si>
  <si>
    <t>0007212840</t>
  </si>
  <si>
    <t>SM)금복주(공주)</t>
  </si>
  <si>
    <t>0007213220</t>
  </si>
  <si>
    <t>SM)무학주조(용인)</t>
  </si>
  <si>
    <t>0007212250</t>
  </si>
  <si>
    <t>SM)무학주조(중부)</t>
  </si>
  <si>
    <t>0007212420</t>
  </si>
  <si>
    <t>무학 발안할인</t>
  </si>
  <si>
    <t>0007212770</t>
  </si>
  <si>
    <t>RS292E</t>
  </si>
  <si>
    <t>SM)우리카드(직영)</t>
  </si>
  <si>
    <t>0007206510</t>
  </si>
  <si>
    <t>SM)우리카드(가맹)</t>
  </si>
  <si>
    <t>0007206520</t>
  </si>
  <si>
    <t>SM)국민카드(영남)</t>
  </si>
  <si>
    <t>0007043380</t>
  </si>
  <si>
    <t>SM)국민카드(가맹)</t>
  </si>
  <si>
    <t>0007041410</t>
  </si>
  <si>
    <t>SM)외환카드(가맹)</t>
  </si>
  <si>
    <t>0007050450</t>
  </si>
  <si>
    <t>SM)하나FC카드(회계3)</t>
  </si>
  <si>
    <t>0007250300</t>
  </si>
  <si>
    <t>SM)신한FC카드(회계3)</t>
  </si>
  <si>
    <t>0007260580</t>
  </si>
  <si>
    <t>SM)삼성카드(영남)</t>
  </si>
  <si>
    <t>0007050610</t>
  </si>
  <si>
    <t>SM)국민카드(회계2)</t>
  </si>
  <si>
    <t>0007040110</t>
  </si>
  <si>
    <t>SM)현대카드(영남)</t>
  </si>
  <si>
    <t>0007040510</t>
  </si>
  <si>
    <t>SM)롯데,농협카드(영남)</t>
  </si>
  <si>
    <t>0007040520</t>
  </si>
  <si>
    <t>SM)국민,농협카드(영남)</t>
  </si>
  <si>
    <t>0007041500</t>
  </si>
  <si>
    <t>SM)외환카드(회계2)</t>
  </si>
  <si>
    <t>0007050030</t>
  </si>
  <si>
    <t>SM)외환비자(영남)</t>
  </si>
  <si>
    <t>0007050350</t>
  </si>
  <si>
    <t>SM)롯데,삼성,외환카드(영남)</t>
  </si>
  <si>
    <t>0007050460</t>
  </si>
  <si>
    <t>SM)신한카드(수도)</t>
  </si>
  <si>
    <t>0007260290</t>
  </si>
  <si>
    <t>SM)신한카드(영남)</t>
  </si>
  <si>
    <t>0007260300</t>
  </si>
  <si>
    <t>SM)신한카드(영남가맹)</t>
  </si>
  <si>
    <t>0007260680</t>
  </si>
  <si>
    <t>SM)비씨카드(영남)</t>
  </si>
  <si>
    <t>0007260940</t>
  </si>
  <si>
    <t>SM)하나카드(회계2)</t>
  </si>
  <si>
    <t>0007810050</t>
  </si>
  <si>
    <t>SM)비씨,하나,현대카드(영남)</t>
  </si>
  <si>
    <t>0007810720</t>
  </si>
  <si>
    <t>본부/기타</t>
  </si>
  <si>
    <t>RS292F</t>
  </si>
  <si>
    <t>수퍼)개발4팀 전도자금</t>
  </si>
  <si>
    <t>0007047830</t>
  </si>
  <si>
    <t xml:space="preserve">BIZ클럽)하나수금용 </t>
  </si>
  <si>
    <t>0007810100</t>
  </si>
  <si>
    <t xml:space="preserve">BIZ클럽)신한수금용 </t>
  </si>
  <si>
    <t>0007260060</t>
  </si>
  <si>
    <t>수퍼)개발3팀 전도자금</t>
  </si>
  <si>
    <t>0007117693</t>
  </si>
  <si>
    <t>수퍼)개발2팀 전도자금</t>
  </si>
  <si>
    <t>0007206440</t>
  </si>
  <si>
    <t>수퍼농식품바우처</t>
  </si>
  <si>
    <t>0007117388</t>
  </si>
  <si>
    <t>개발)우리수금용(LG카드)</t>
  </si>
  <si>
    <t>0007200160</t>
  </si>
  <si>
    <t>개발)전자결제만기(주택)</t>
  </si>
  <si>
    <t>0007060260</t>
  </si>
  <si>
    <t>번개배달 외부 채널</t>
  </si>
  <si>
    <t>0007264740</t>
  </si>
  <si>
    <t xml:space="preserve">GSPAY 수퍼앱 정산용 </t>
  </si>
  <si>
    <t>0007046870</t>
  </si>
  <si>
    <t>GS PAY 정산통장(수퍼)</t>
  </si>
  <si>
    <t>0007046820</t>
  </si>
  <si>
    <t>빅데이터플랫폼 매출통장</t>
  </si>
  <si>
    <t>0007264300</t>
  </si>
  <si>
    <t>해지)수퍼)신탄진(배민)</t>
  </si>
  <si>
    <t>0007117144</t>
  </si>
  <si>
    <t>해지)수퍼)구월점(배민)</t>
  </si>
  <si>
    <t>0007046540</t>
  </si>
  <si>
    <t>해지)수퍼)김포사우(배민)</t>
  </si>
  <si>
    <t>0007046520</t>
  </si>
  <si>
    <t>해지)수퍼)서인천점(배민)</t>
  </si>
  <si>
    <t>0007046530</t>
  </si>
  <si>
    <t>해지)수퍼)포항창포점(배민)</t>
  </si>
  <si>
    <t>0007046550</t>
  </si>
  <si>
    <t>해지)수퍼)상계점(배민)</t>
  </si>
  <si>
    <t>0007810980</t>
  </si>
  <si>
    <t>해지)수퍼)마산점(배민)</t>
  </si>
  <si>
    <t>0007810990</t>
  </si>
  <si>
    <t>해지)당진점(배민)</t>
  </si>
  <si>
    <t>0007264400</t>
  </si>
  <si>
    <t>해지)수퍼)명일점(배민)</t>
  </si>
  <si>
    <t>0007264410</t>
  </si>
  <si>
    <t>해지)수퍼)관악점(배민)</t>
  </si>
  <si>
    <t>0007264420</t>
  </si>
  <si>
    <t>해지)수퍼)부평산곡(배민)</t>
  </si>
  <si>
    <t>0007264430</t>
  </si>
  <si>
    <t>해지)대전송강(배민)</t>
  </si>
  <si>
    <t>0007117129</t>
  </si>
  <si>
    <t>해지)대전도마(배민)</t>
  </si>
  <si>
    <t>0007117131</t>
  </si>
  <si>
    <t>해지)수퍼)학익점(배민)</t>
  </si>
  <si>
    <t>0007117134</t>
  </si>
  <si>
    <t>해지)수퍼)토월점(배민)</t>
  </si>
  <si>
    <t>0007204510</t>
  </si>
  <si>
    <t>해지)수퍼)원동점(배민)</t>
  </si>
  <si>
    <t>0007204530</t>
  </si>
  <si>
    <t xml:space="preserve">수퍼)안산본오점 </t>
  </si>
  <si>
    <t>0007810970</t>
  </si>
  <si>
    <t>사업기획팀</t>
  </si>
  <si>
    <t>0007263930</t>
  </si>
  <si>
    <t>SM)멤버십팝카드결제</t>
  </si>
  <si>
    <t>0007261240</t>
  </si>
  <si>
    <t xml:space="preserve">SM)멤버십팝카드수수료 </t>
  </si>
  <si>
    <t>0007261250</t>
  </si>
  <si>
    <t>SM)개발1부문(개발자금_농협)</t>
  </si>
  <si>
    <t>0007111510</t>
  </si>
  <si>
    <t xml:space="preserve">SM)개발지원전대료 </t>
  </si>
  <si>
    <t>0007111520</t>
  </si>
  <si>
    <t>SM)교통카드충천</t>
  </si>
  <si>
    <t>0007042280</t>
  </si>
  <si>
    <t xml:space="preserve">SM)교통카드결재대금 </t>
  </si>
  <si>
    <t>0007042290</t>
  </si>
  <si>
    <t>SM)개발자금(국민)</t>
  </si>
  <si>
    <t>0007042220</t>
  </si>
  <si>
    <t>해지)SM)파출수납</t>
  </si>
  <si>
    <t>0007200570</t>
  </si>
  <si>
    <t xml:space="preserve">SM)목7점본사송금 </t>
  </si>
  <si>
    <t>0007210080</t>
  </si>
  <si>
    <t>SM)태영(하나)</t>
  </si>
  <si>
    <t>0007810020</t>
  </si>
  <si>
    <t xml:space="preserve">SM)삼성U포인트정산 </t>
  </si>
  <si>
    <t>0007042380</t>
  </si>
  <si>
    <t>수퍼)MD기획팀</t>
  </si>
  <si>
    <t>0007203640</t>
  </si>
  <si>
    <t>수퍼)마케팅팀 제휴행사</t>
  </si>
  <si>
    <t>0007263170</t>
  </si>
  <si>
    <t>수퍼)영업기획팀</t>
  </si>
  <si>
    <t>0007203630</t>
  </si>
  <si>
    <t>수퍼)2부문 개발자금(국민)</t>
  </si>
  <si>
    <t>0007045520</t>
  </si>
  <si>
    <t>수퍼)2부문 개발자금(농협)</t>
  </si>
  <si>
    <t>0007117870</t>
  </si>
  <si>
    <t xml:space="preserve">수퍼)영업2부문 </t>
  </si>
  <si>
    <t>0007118140</t>
  </si>
  <si>
    <t xml:space="preserve">수퍼)영업3부문 </t>
  </si>
  <si>
    <t>0007263680</t>
  </si>
  <si>
    <t xml:space="preserve">수퍼개발기획)투자비입금 </t>
  </si>
  <si>
    <t>0007204330</t>
  </si>
  <si>
    <t xml:space="preserve">수퍼개발기획)대출상환통장 </t>
  </si>
  <si>
    <t>0007204360</t>
  </si>
  <si>
    <t xml:space="preserve">수퍼)(가맹)오산시티자이점 </t>
  </si>
  <si>
    <t>0007204320</t>
  </si>
  <si>
    <t xml:space="preserve">해지)수퍼)(가맹)화성오산점 </t>
  </si>
  <si>
    <t>0007204370</t>
  </si>
  <si>
    <t>다. 개발</t>
  </si>
  <si>
    <t>RS293</t>
  </si>
  <si>
    <t xml:space="preserve">사업장매출 </t>
  </si>
  <si>
    <t>RS293B</t>
  </si>
  <si>
    <t>에너지플러스서울로(개발)</t>
  </si>
  <si>
    <t>0007206540</t>
  </si>
  <si>
    <t>동부산 미식일상</t>
  </si>
  <si>
    <t>0007204870</t>
  </si>
  <si>
    <t>개발)임대매출(경희의료원)</t>
  </si>
  <si>
    <t>0007202520</t>
  </si>
  <si>
    <t>개발)임대매출(구로G)</t>
  </si>
  <si>
    <t>0007201140</t>
  </si>
  <si>
    <t>개발)임대매출(신분당)</t>
  </si>
  <si>
    <t>0007200770</t>
  </si>
  <si>
    <t>개발)임대매출(공항철도)</t>
  </si>
  <si>
    <t>0007203650</t>
  </si>
  <si>
    <t>영업팀)서울대병원</t>
  </si>
  <si>
    <t>0007204170</t>
  </si>
  <si>
    <t xml:space="preserve">영업팀)안녕인사동입금통장 </t>
  </si>
  <si>
    <t>0007204460</t>
  </si>
  <si>
    <t>RS293C</t>
  </si>
  <si>
    <t>판교 C2</t>
  </si>
  <si>
    <t>0007204830</t>
  </si>
  <si>
    <t>판교 C1</t>
  </si>
  <si>
    <t>0007204820</t>
  </si>
  <si>
    <t>개발기획팀 입금통장</t>
  </si>
  <si>
    <t>0007203500</t>
  </si>
  <si>
    <t>개발)역전주유소 공동영업예금</t>
  </si>
  <si>
    <t>0007040001</t>
  </si>
  <si>
    <t>라. 지원/기타</t>
  </si>
  <si>
    <t>RS294</t>
  </si>
  <si>
    <t>센터매출</t>
  </si>
  <si>
    <t>RS294A</t>
  </si>
  <si>
    <t xml:space="preserve">(해지)이천센터회계매출대금 </t>
  </si>
  <si>
    <t>0007250550</t>
  </si>
  <si>
    <t xml:space="preserve">(해지)농협양산센터매출대금 </t>
  </si>
  <si>
    <t>0007110340</t>
  </si>
  <si>
    <t>RS294B</t>
  </si>
  <si>
    <t>포인트/회원통합TFT(P)</t>
  </si>
  <si>
    <t>0007117912</t>
  </si>
  <si>
    <t>대구은행 예금 결산계정</t>
  </si>
  <si>
    <t>0007310240</t>
  </si>
  <si>
    <t>SC은행 예금 결산계정</t>
  </si>
  <si>
    <t>0007230920</t>
  </si>
  <si>
    <t>부산은행 예금 결산계정</t>
  </si>
  <si>
    <t>0007320810</t>
  </si>
  <si>
    <t>국민은행 예금 결산계정</t>
  </si>
  <si>
    <t>0007047940</t>
  </si>
  <si>
    <t>상생협력재단 지원금</t>
  </si>
  <si>
    <t>0007117935</t>
  </si>
  <si>
    <t>우리은행 예금 결산계정</t>
  </si>
  <si>
    <t>0007206580</t>
  </si>
  <si>
    <t>하나은행 예금 결산계정</t>
  </si>
  <si>
    <t>0007811420</t>
  </si>
  <si>
    <t>GS P&amp;L 임시계좌</t>
  </si>
  <si>
    <t>0007206560</t>
  </si>
  <si>
    <t>외화지급용(하나은행)</t>
  </si>
  <si>
    <t>0007811380</t>
  </si>
  <si>
    <t xml:space="preserve">DCBU 채권관리 </t>
  </si>
  <si>
    <t>0007047040</t>
  </si>
  <si>
    <t>EC사업부</t>
  </si>
  <si>
    <t>0007204710</t>
  </si>
  <si>
    <t>EC사업부)편의점 결제</t>
  </si>
  <si>
    <t>0007206190</t>
  </si>
  <si>
    <t>EC사업부)수퍼 결제대</t>
  </si>
  <si>
    <t>0007206210</t>
  </si>
  <si>
    <t>GS PAY 정산통장(M4)</t>
  </si>
  <si>
    <t>0007046840</t>
  </si>
  <si>
    <t>(해지)디지털사업부문 입금통장</t>
  </si>
  <si>
    <t>0007203490</t>
  </si>
  <si>
    <t>카카오)와인25</t>
  </si>
  <si>
    <t>0007206490</t>
  </si>
  <si>
    <t>RMN사업 계좌</t>
  </si>
  <si>
    <t>0007206470</t>
  </si>
  <si>
    <t xml:space="preserve">CVC)딥테크팁스 </t>
  </si>
  <si>
    <t>0007206360</t>
  </si>
  <si>
    <t xml:space="preserve">CVC)일반형팁스 </t>
  </si>
  <si>
    <t>0007206310</t>
  </si>
  <si>
    <t>우리동네GS PAY</t>
  </si>
  <si>
    <t>0007047420</t>
  </si>
  <si>
    <t>CVC)일반형팁스2025</t>
  </si>
  <si>
    <t>0007117936</t>
  </si>
  <si>
    <t>CVC)딥테크팁스2025</t>
  </si>
  <si>
    <t>0007117937</t>
  </si>
  <si>
    <t xml:space="preserve">전략마케팅_대금 </t>
  </si>
  <si>
    <t>0007205960</t>
  </si>
  <si>
    <t>기업본사집금보통예금집금모계좌가수금</t>
  </si>
  <si>
    <t>0007030022</t>
  </si>
  <si>
    <t>국민본사집금보통예금집금모계좌가수금</t>
  </si>
  <si>
    <t>0007040022</t>
  </si>
  <si>
    <t>수퍼시설지원팀 통장</t>
  </si>
  <si>
    <t>0007206040</t>
  </si>
  <si>
    <t>수출입파트)외화결제</t>
  </si>
  <si>
    <t>0007206020</t>
  </si>
  <si>
    <t xml:space="preserve">플랫폼마케팅팀_대금수취 </t>
  </si>
  <si>
    <t>0007205980</t>
  </si>
  <si>
    <t>SM)하나카드(영남)</t>
  </si>
  <si>
    <t>0007810200</t>
  </si>
  <si>
    <t>(해지)페이코인)수퍼</t>
  </si>
  <si>
    <t>0007205260</t>
  </si>
  <si>
    <t>SM)회계팀입금</t>
  </si>
  <si>
    <t>0007201110</t>
  </si>
  <si>
    <t>퀵커머스운영(편의점)</t>
  </si>
  <si>
    <t>0007265280</t>
  </si>
  <si>
    <t>수퍼)GSPAY_우동마트</t>
  </si>
  <si>
    <t>0007046860</t>
  </si>
  <si>
    <t xml:space="preserve">수출입파트)외화대금수취 </t>
  </si>
  <si>
    <t>0007205810</t>
  </si>
  <si>
    <t xml:space="preserve">디지털마케팅)대금수취 </t>
  </si>
  <si>
    <t>0007117292</t>
  </si>
  <si>
    <t>우리은행RFC모계좌2</t>
  </si>
  <si>
    <t>0007200021</t>
  </si>
  <si>
    <t>신한은행RFC모계좌2</t>
  </si>
  <si>
    <t>0007260021</t>
  </si>
  <si>
    <t xml:space="preserve">농협RFC모계좌 </t>
  </si>
  <si>
    <t>0007110026</t>
  </si>
  <si>
    <t>GS리테일 보험계약통장</t>
  </si>
  <si>
    <t>0007205220</t>
  </si>
  <si>
    <t>우친BIZ)우딜 통장</t>
  </si>
  <si>
    <t>0007230590</t>
  </si>
  <si>
    <t>EC사업부(하나은행)</t>
  </si>
  <si>
    <t>0007811280</t>
  </si>
  <si>
    <t>신한은행 출납통장</t>
  </si>
  <si>
    <t>0007117943</t>
  </si>
  <si>
    <t>법인카드 결제계좌</t>
  </si>
  <si>
    <t>0007207480</t>
  </si>
  <si>
    <t>GS PAY</t>
  </si>
  <si>
    <t>0007046790</t>
  </si>
  <si>
    <t>비즈클럽 입금통장</t>
  </si>
  <si>
    <t>0007205270</t>
  </si>
  <si>
    <t>신사업추진팀 통장</t>
  </si>
  <si>
    <t>0007205310</t>
  </si>
  <si>
    <t>본사)EC사업팀</t>
  </si>
  <si>
    <t>0007250600</t>
  </si>
  <si>
    <t>CVS)POP캐시넛(EC)</t>
  </si>
  <si>
    <t>0007250670</t>
  </si>
  <si>
    <t>GSPAY 더팝</t>
  </si>
  <si>
    <t>0007046880</t>
  </si>
  <si>
    <t>CVC팀 통장</t>
  </si>
  <si>
    <t>0007264830</t>
  </si>
  <si>
    <t xml:space="preserve">수퍼)캐시비 결제 대금 </t>
  </si>
  <si>
    <t>0007046390</t>
  </si>
  <si>
    <t xml:space="preserve">수퍼)캐시비 수수료 </t>
  </si>
  <si>
    <t>0007046380</t>
  </si>
  <si>
    <t>수퍼)우동마트 입금</t>
  </si>
  <si>
    <t>0007205150</t>
  </si>
  <si>
    <t xml:space="preserve">작은사랑나눔회기금 </t>
  </si>
  <si>
    <t>0007205110</t>
  </si>
  <si>
    <t xml:space="preserve">수퍼)POSA, 멤버쉽 팝 </t>
  </si>
  <si>
    <t>0007204230</t>
  </si>
  <si>
    <t xml:space="preserve">수퍼)POST, 스마일박스 </t>
  </si>
  <si>
    <t>0007204220</t>
  </si>
  <si>
    <t>SM)MD기획임대매출</t>
  </si>
  <si>
    <t>0007041840</t>
  </si>
  <si>
    <t>㈜지에스리테일 파주센터</t>
  </si>
  <si>
    <t>0007204010</t>
  </si>
  <si>
    <t xml:space="preserve">㈜지에스리테일 김포센터 </t>
  </si>
  <si>
    <t>0007204000</t>
  </si>
  <si>
    <t>㈜지에스리테일 인천센터</t>
  </si>
  <si>
    <t>0007203990</t>
  </si>
  <si>
    <t xml:space="preserve">(해지)빅데이터플랫폼 3차년 사업비 </t>
  </si>
  <si>
    <t>0007264640</t>
  </si>
  <si>
    <t>씨브이에스넷(택배)</t>
  </si>
  <si>
    <t>0007264440</t>
  </si>
  <si>
    <t>서비스기획팀 입금통장</t>
  </si>
  <si>
    <t>0007204970</t>
  </si>
  <si>
    <t>사랑의 온라인 기부장터(커뮤)</t>
  </si>
  <si>
    <t>0007204980</t>
  </si>
  <si>
    <t>우리동네 딜리버리</t>
  </si>
  <si>
    <t>0007204910</t>
  </si>
  <si>
    <t>제휴/프로모션정산</t>
  </si>
  <si>
    <t>0007204950</t>
  </si>
  <si>
    <t>오가닉)달리살다 매출통장</t>
  </si>
  <si>
    <t>0007264390</t>
  </si>
  <si>
    <t xml:space="preserve">(해지)빅데이터플랫폼 2차년 사업비 </t>
  </si>
  <si>
    <t>0007264340</t>
  </si>
  <si>
    <t>더팝통합앱(유료멤버십)</t>
  </si>
  <si>
    <t>0007264314</t>
  </si>
  <si>
    <t>미식일상 본점입금통장</t>
  </si>
  <si>
    <t>0007204030</t>
  </si>
  <si>
    <t>물류)고철매각전용계좌</t>
  </si>
  <si>
    <t>0007203840</t>
  </si>
  <si>
    <t>전략MD부문)MD개발팀</t>
  </si>
  <si>
    <t>0007203950</t>
  </si>
  <si>
    <t>본사)총무팀입금</t>
  </si>
  <si>
    <t>0007201130</t>
  </si>
  <si>
    <t>본사)인재육성팀입금</t>
  </si>
  <si>
    <t>0007030520</t>
  </si>
  <si>
    <t>본사)인사운영팀입금</t>
  </si>
  <si>
    <t>0007042340</t>
  </si>
  <si>
    <t>본사)재경자금(부산)</t>
  </si>
  <si>
    <t>0007320050</t>
  </si>
  <si>
    <t>본사)금융팀출납(우리)</t>
  </si>
  <si>
    <t>0007201120</t>
  </si>
  <si>
    <t>본사)보통예금-출납</t>
  </si>
  <si>
    <t>0007000001</t>
  </si>
  <si>
    <t>본사)모계좌(기업)</t>
  </si>
  <si>
    <t>0007030020</t>
  </si>
  <si>
    <t>본사)모계좌(국민)</t>
  </si>
  <si>
    <t>0007040020</t>
  </si>
  <si>
    <t>본사)급여계좌(국민)</t>
  </si>
  <si>
    <t>0007040280</t>
  </si>
  <si>
    <t>본사)모계좌(외환)</t>
  </si>
  <si>
    <t>0007050020</t>
  </si>
  <si>
    <t>본사)급여계좌(외환)</t>
  </si>
  <si>
    <t>0007050290</t>
  </si>
  <si>
    <t>본사)집금보통(농협)</t>
  </si>
  <si>
    <t>0007110025</t>
  </si>
  <si>
    <t>본사)급여계좌(농협)</t>
  </si>
  <si>
    <t>0007110410</t>
  </si>
  <si>
    <t>본사)미제시수표(우리)</t>
  </si>
  <si>
    <t>0007200017</t>
  </si>
  <si>
    <t>본사)모계좌(우리)</t>
  </si>
  <si>
    <t>0007200020</t>
  </si>
  <si>
    <t>본사)급여계좌(우리)</t>
  </si>
  <si>
    <t>0007200410</t>
  </si>
  <si>
    <t>우리구매카드납부계좌</t>
  </si>
  <si>
    <t>0007200540</t>
  </si>
  <si>
    <t>본사)급여계좌(조흥)</t>
  </si>
  <si>
    <t>0007210320</t>
  </si>
  <si>
    <t>본사)모계좌(제일)</t>
  </si>
  <si>
    <t>0007230020</t>
  </si>
  <si>
    <t>본사)급여계좌(제일)</t>
  </si>
  <si>
    <t>0007230320</t>
  </si>
  <si>
    <t>본사)모계좌(하나)</t>
  </si>
  <si>
    <t>0007250020</t>
  </si>
  <si>
    <t>본사)모계좌(신한)</t>
  </si>
  <si>
    <t>0007260020</t>
  </si>
  <si>
    <t>본사)집금모계좌(대구)</t>
  </si>
  <si>
    <t>0007310060</t>
  </si>
  <si>
    <t>본사)모계좌(부산)</t>
  </si>
  <si>
    <t>0007320020</t>
  </si>
  <si>
    <t>본사)집금모계좌(광주)</t>
  </si>
  <si>
    <t>0007340020</t>
  </si>
  <si>
    <t>본사)모계좌(경남)</t>
  </si>
  <si>
    <t>0007390020</t>
  </si>
  <si>
    <t>하나상품권대금(영남)</t>
  </si>
  <si>
    <t>0007810460</t>
  </si>
  <si>
    <t>본사)모계좌(산업)</t>
  </si>
  <si>
    <t>0007002010</t>
  </si>
  <si>
    <t>본사)급여계좌(하나)</t>
  </si>
  <si>
    <t>0007810520</t>
  </si>
  <si>
    <t>본사)기업구매카드납부계좌</t>
  </si>
  <si>
    <t>0007030300</t>
  </si>
  <si>
    <t xml:space="preserve">물류)공병보증금/수수료입금 </t>
  </si>
  <si>
    <t>0007262920</t>
  </si>
  <si>
    <t>본사)어린이집지원금전용</t>
  </si>
  <si>
    <t>0007203350</t>
  </si>
  <si>
    <t>경영정보부문 입금통장</t>
  </si>
  <si>
    <t>0007203480</t>
  </si>
  <si>
    <t>SE팀 입금통장</t>
  </si>
  <si>
    <t>0007203550</t>
  </si>
  <si>
    <t>물류기획팀 입금통장</t>
  </si>
  <si>
    <t>0007203510</t>
  </si>
  <si>
    <t>(해지)서비스혁신총괄팀 입금통장</t>
  </si>
  <si>
    <t>0007203580</t>
  </si>
  <si>
    <t>법원 환급금 처리</t>
  </si>
  <si>
    <t>0007203570</t>
  </si>
  <si>
    <t>W-TFT매출통장</t>
  </si>
  <si>
    <t>0007263980</t>
  </si>
  <si>
    <t xml:space="preserve">(해지)푸드신사업팀)미식일상서초점 </t>
  </si>
  <si>
    <t>0007204120</t>
  </si>
  <si>
    <t>I&amp;C팀 통장</t>
  </si>
  <si>
    <t>0007204180</t>
  </si>
  <si>
    <t xml:space="preserve">(해지)데이터운영팀)빅데이터플랫폼 </t>
  </si>
  <si>
    <t>0007264160</t>
  </si>
  <si>
    <t>(해지)조직문화)다이어트</t>
  </si>
  <si>
    <t>0007206150</t>
  </si>
  <si>
    <t>(해지)조직문화)금연</t>
  </si>
  <si>
    <t>0007206160</t>
  </si>
  <si>
    <t xml:space="preserve">미래에셋증권 증권계 </t>
  </si>
  <si>
    <t>0007999997</t>
  </si>
  <si>
    <t xml:space="preserve">한국투자증권 증권계 </t>
  </si>
  <si>
    <t>0007999998</t>
  </si>
  <si>
    <t>NH투자증권 증권계좌(</t>
  </si>
  <si>
    <t>0007999999</t>
  </si>
  <si>
    <t>마. H&amp;B</t>
  </si>
  <si>
    <t>RS297</t>
  </si>
  <si>
    <t>통장</t>
  </si>
  <si>
    <t>RS297A</t>
  </si>
  <si>
    <t xml:space="preserve">(해지)H&amp;B 본부매출대금 </t>
  </si>
  <si>
    <t>0007206960</t>
  </si>
  <si>
    <t xml:space="preserve">바. 미사용 </t>
  </si>
  <si>
    <t>RS296</t>
  </si>
  <si>
    <t>사. 해지계좌</t>
  </si>
  <si>
    <t>RS295</t>
  </si>
  <si>
    <t xml:space="preserve">해지)수퍼)(가맹)청계2점 </t>
  </si>
  <si>
    <t>0007045680</t>
  </si>
  <si>
    <t xml:space="preserve">해지)수퍼)(가맹)용인동백점 </t>
  </si>
  <si>
    <t>0007046200</t>
  </si>
  <si>
    <t xml:space="preserve">해지)수퍼)(가맹)의정부신곡점 </t>
  </si>
  <si>
    <t>0007046270</t>
  </si>
  <si>
    <t>해지)수퍼)(가맹)김포풍무점</t>
  </si>
  <si>
    <t>0007046250</t>
  </si>
  <si>
    <t xml:space="preserve">해지)수퍼)(가맹)동탄한신점 </t>
  </si>
  <si>
    <t>0007046220</t>
  </si>
  <si>
    <t xml:space="preserve">해지)수퍼)(가맹)수원매현점 </t>
  </si>
  <si>
    <t>0007046340</t>
  </si>
  <si>
    <t>해지)수퍼)(가맹)현곡푸르지오점</t>
  </si>
  <si>
    <t>0007046330</t>
  </si>
  <si>
    <t xml:space="preserve">해지)수퍼)(가맹)전주만성점 </t>
  </si>
  <si>
    <t>0007046320</t>
  </si>
  <si>
    <t>해지)개발운영 통합계좌</t>
  </si>
  <si>
    <t>0007206550</t>
  </si>
  <si>
    <t>해지)개발)임대매출(대전앤비)</t>
  </si>
  <si>
    <t>0007201090</t>
  </si>
  <si>
    <t>해지)개발)특판매출(기업)</t>
  </si>
  <si>
    <t>0007030290</t>
  </si>
  <si>
    <t>해지)개발)임대매출(M9)</t>
  </si>
  <si>
    <t>0007200610</t>
  </si>
  <si>
    <t>해지)개발)임대매출(의왕휴게)</t>
  </si>
  <si>
    <t>0007200880</t>
  </si>
  <si>
    <t>해지)개발)임대매출(노벨리나)</t>
  </si>
  <si>
    <t>0007250400</t>
  </si>
  <si>
    <t>해지)H&amp;B)평택점2</t>
  </si>
  <si>
    <t>0007047190</t>
  </si>
  <si>
    <t xml:space="preserve">해지)H&amp;B 홍제점 </t>
  </si>
  <si>
    <t>0007264630</t>
  </si>
  <si>
    <t>해지)H&amp;B)알리페이</t>
  </si>
  <si>
    <t>0007810810</t>
  </si>
  <si>
    <t xml:space="preserve">해지)H&amp;B 하나은행 </t>
  </si>
  <si>
    <t>0007250040</t>
  </si>
  <si>
    <t>해지)개발)임대매출(동대문)</t>
  </si>
  <si>
    <t>0007201070</t>
  </si>
  <si>
    <t xml:space="preserve">해지)상봉 듀오트리스 위탁운영 수수료 </t>
  </si>
  <si>
    <t>0007204380</t>
  </si>
  <si>
    <t>해지)GS PAY 정산통장(랄블)</t>
  </si>
  <si>
    <t>0007046830</t>
  </si>
  <si>
    <t>해지)H&amp;B)위챗페이</t>
  </si>
  <si>
    <t>0007204740</t>
  </si>
  <si>
    <t>해지)MD-H&amp;B</t>
  </si>
  <si>
    <t>0007204760</t>
  </si>
  <si>
    <t xml:space="preserve">해지)H&amp;B 우리은행 </t>
  </si>
  <si>
    <t>0007206950</t>
  </si>
  <si>
    <t xml:space="preserve">해지)H&amp;B 신한은행 </t>
  </si>
  <si>
    <t>0007266490</t>
  </si>
  <si>
    <t xml:space="preserve">해지)H&amp;B 국민은행 </t>
  </si>
  <si>
    <t>0007045750</t>
  </si>
  <si>
    <t xml:space="preserve">미사용)H&amp;B)자계좌집금 </t>
  </si>
  <si>
    <t>0007040000</t>
  </si>
  <si>
    <t xml:space="preserve">해지)H&amp;B온라인매출) 제휴몰 </t>
  </si>
  <si>
    <t>0007046780</t>
  </si>
  <si>
    <t>해지)i-Super계양센타</t>
  </si>
  <si>
    <t>0007117640</t>
  </si>
  <si>
    <t>해지)i-Super과천센타</t>
  </si>
  <si>
    <t>0007117810</t>
  </si>
  <si>
    <t>해지)E커머스)송파중형센터매출통장</t>
  </si>
  <si>
    <t>0007204780</t>
  </si>
  <si>
    <t>해지)디지털)송파센터 매출통장</t>
  </si>
  <si>
    <t>0007263960</t>
  </si>
  <si>
    <t>해지)i-Super송파센타</t>
  </si>
  <si>
    <t>0007263200</t>
  </si>
  <si>
    <t>해지)i-Super양천센타</t>
  </si>
  <si>
    <t>0007263550</t>
  </si>
  <si>
    <t xml:space="preserve">해지)디지털)Gsfresh고양센터매출대금통장 </t>
  </si>
  <si>
    <t>0007046100</t>
  </si>
  <si>
    <t>해지)E커머스)강서센터매출통장</t>
  </si>
  <si>
    <t>0007046370</t>
  </si>
  <si>
    <t>해지)디지털사업부)Gsfresh용인수지센터</t>
  </si>
  <si>
    <t>0007264070</t>
  </si>
  <si>
    <t xml:space="preserve">해지)심플리쿡)대금수취 </t>
  </si>
  <si>
    <t>0007205460</t>
  </si>
  <si>
    <t>해지)SM)isuper스마트로매출</t>
  </si>
  <si>
    <t>0007044260</t>
  </si>
  <si>
    <t>해지)EC마케팅팀 입금통장</t>
  </si>
  <si>
    <t>0007204020</t>
  </si>
  <si>
    <t>해지)밀킷팀 매출통장</t>
  </si>
  <si>
    <t>0007204100</t>
  </si>
  <si>
    <t xml:space="preserve">해지)H&amp;B온라인매출대금 </t>
  </si>
  <si>
    <t>0007046040</t>
  </si>
  <si>
    <t>해지)랄라블라 온라인몰 제휴 전용</t>
  </si>
  <si>
    <t>0007204750</t>
  </si>
  <si>
    <t>해지)개발)카드대금(국민)</t>
  </si>
  <si>
    <t>0007040130</t>
  </si>
  <si>
    <t>해지)GSfresh)밀킷팀 11번가통장(구)</t>
  </si>
  <si>
    <t>0007046070</t>
  </si>
  <si>
    <t xml:space="preserve">해지)하나집금모계좌 </t>
  </si>
  <si>
    <t>0007810450</t>
  </si>
  <si>
    <t xml:space="preserve">해지)PRK임페리얼 김해 </t>
  </si>
  <si>
    <t>0007213780</t>
  </si>
  <si>
    <t>해지)PRK임페리얼 김해2</t>
  </si>
  <si>
    <t>0007213880</t>
  </si>
  <si>
    <t>해지)CVS)PRK임페리얼용인</t>
  </si>
  <si>
    <t>0007210400</t>
  </si>
  <si>
    <t>해지)CVS)PRK임페리얼인천</t>
  </si>
  <si>
    <t>0007210580</t>
  </si>
  <si>
    <t>해지)CVS)PRK임페리얼양산</t>
  </si>
  <si>
    <t>0007210670</t>
  </si>
  <si>
    <t>해지)CVS)PRK임페리얼칠곡</t>
  </si>
  <si>
    <t>0007210770</t>
  </si>
  <si>
    <t xml:space="preserve">해지)CVS)PRK임페리얼남양주 </t>
  </si>
  <si>
    <t>0007210900</t>
  </si>
  <si>
    <t>해지)CVS)PRK임페리얼제주</t>
  </si>
  <si>
    <t>0007210970</t>
  </si>
  <si>
    <t>해지)CVS)PRK임페리얼중부</t>
  </si>
  <si>
    <t>0007211100</t>
  </si>
  <si>
    <t>해지)CVS)PRK임페리얼파주</t>
  </si>
  <si>
    <t>0007211630</t>
  </si>
  <si>
    <t>해지)CVS)PRK임페리얼남양주2</t>
  </si>
  <si>
    <t>0007211760</t>
  </si>
  <si>
    <t>해지)CVS)PRK임페리얼양산2</t>
  </si>
  <si>
    <t>0007211870</t>
  </si>
  <si>
    <t>해지)CVS)PRK임페리얼장성</t>
  </si>
  <si>
    <t>0007212120</t>
  </si>
  <si>
    <t>해지)CVS)PRK임페리얼원주</t>
  </si>
  <si>
    <t>0007212730</t>
  </si>
  <si>
    <t>해지)CVS)PRK임페리얼발안</t>
  </si>
  <si>
    <t>0007212900</t>
  </si>
  <si>
    <t>해지)CVS)PRK임페리얼인천2</t>
  </si>
  <si>
    <t>0007212990</t>
  </si>
  <si>
    <t>해지)CVS)PRK임페리얼진주</t>
  </si>
  <si>
    <t>0007213070</t>
  </si>
  <si>
    <t>해지)CVS)PRK임페리얼송파2</t>
  </si>
  <si>
    <t>0007213300</t>
  </si>
  <si>
    <t xml:space="preserve">해지)PRK임페리얼김포가정 </t>
  </si>
  <si>
    <t>0007213380</t>
  </si>
  <si>
    <t xml:space="preserve">해지)PRK임페리얼김포2가정 </t>
  </si>
  <si>
    <t>0007213460</t>
  </si>
  <si>
    <t xml:space="preserve">해지)PRK임페리얼평택가정 </t>
  </si>
  <si>
    <t>0007213540</t>
  </si>
  <si>
    <t xml:space="preserve">해지)PRK임페리얼평택2가정 </t>
  </si>
  <si>
    <t>0007213620</t>
  </si>
  <si>
    <t>해지)PRK임페리얼 청주</t>
  </si>
  <si>
    <t>0007213670</t>
  </si>
  <si>
    <t xml:space="preserve">해지)한라산 파주가정 </t>
  </si>
  <si>
    <t>0007213980</t>
  </si>
  <si>
    <t>해지)PRK임페리얼고양2</t>
  </si>
  <si>
    <t>0007214130</t>
  </si>
  <si>
    <t xml:space="preserve">해지)PRK임페리얼 서귀포 </t>
  </si>
  <si>
    <t>0007214220</t>
  </si>
  <si>
    <t>해지)PRK임페리얼 강릉</t>
  </si>
  <si>
    <t>0007214310</t>
  </si>
  <si>
    <t>해지)PRK임페리얼 경산2</t>
  </si>
  <si>
    <t>0007214410</t>
  </si>
  <si>
    <t>해지)PRK임페리얼 익산</t>
  </si>
  <si>
    <t>0007214510</t>
  </si>
  <si>
    <t>해지)하이트맥주 이천할인</t>
  </si>
  <si>
    <t>0007212220</t>
  </si>
  <si>
    <t xml:space="preserve">해지)SM)페르노리카임페리얼 </t>
  </si>
  <si>
    <t>0007212290</t>
  </si>
  <si>
    <t>0007212460</t>
  </si>
  <si>
    <t>0007212540</t>
  </si>
  <si>
    <t>해지)SM)PRK임페리얼(발안)</t>
  </si>
  <si>
    <t>0007212810</t>
  </si>
  <si>
    <t>해지)SM)경주법주(진주)</t>
  </si>
  <si>
    <t>0007213120</t>
  </si>
  <si>
    <t>해지)SM)무학(진주)</t>
  </si>
  <si>
    <t>0007213130</t>
  </si>
  <si>
    <t>해지)SM)디아지오(진주)</t>
  </si>
  <si>
    <t>0007213140</t>
  </si>
  <si>
    <t>해지)SM)롯데주료(진주)</t>
  </si>
  <si>
    <t>0007213150</t>
  </si>
  <si>
    <t>해지)SM)진로(진주)</t>
  </si>
  <si>
    <t>0007213160</t>
  </si>
  <si>
    <t>해지)SM)PRK임페리얼(진주)</t>
  </si>
  <si>
    <t>0007213170</t>
  </si>
  <si>
    <t>해지)SM)페르노리카(진주)</t>
  </si>
  <si>
    <t>0007213180</t>
  </si>
  <si>
    <t>해지)SM)하이트(진주)</t>
  </si>
  <si>
    <t>0007213190</t>
  </si>
  <si>
    <t>해지)SM)대선주조(진주)</t>
  </si>
  <si>
    <t>0007213200</t>
  </si>
  <si>
    <t>해지)SM)금복주(진주)</t>
  </si>
  <si>
    <t>0007213210</t>
  </si>
  <si>
    <t xml:space="preserve">해지)경주법주 김포수퍼 </t>
  </si>
  <si>
    <t>0007264170</t>
  </si>
  <si>
    <t xml:space="preserve">해지)무학 김포수퍼 </t>
  </si>
  <si>
    <t>0007264180</t>
  </si>
  <si>
    <t xml:space="preserve">해지)디아지오 김포수퍼 </t>
  </si>
  <si>
    <t>0007264190</t>
  </si>
  <si>
    <t xml:space="preserve">해지)롯데주류 김포수퍼 </t>
  </si>
  <si>
    <t>0007264200</t>
  </si>
  <si>
    <t xml:space="preserve">해지)진로 김포수퍼 </t>
  </si>
  <si>
    <t>0007264210</t>
  </si>
  <si>
    <t xml:space="preserve">해지)하이트맥주 김포수퍼 </t>
  </si>
  <si>
    <t>0007264220</t>
  </si>
  <si>
    <t xml:space="preserve">해지)페르노리카 김포수퍼 </t>
  </si>
  <si>
    <t>0007264230</t>
  </si>
  <si>
    <t xml:space="preserve">해지)개발)67아이앤바이 </t>
  </si>
  <si>
    <t>0007202980</t>
  </si>
  <si>
    <t>해지)개발)67팬시리빙할인</t>
  </si>
  <si>
    <t>0007203000</t>
  </si>
  <si>
    <t>해지)개발)67브레댄코(망원)</t>
  </si>
  <si>
    <t>0007202970</t>
  </si>
  <si>
    <t>해지)개발)67더착한커피(월드컵경기장)</t>
  </si>
  <si>
    <t>0007202500</t>
  </si>
  <si>
    <t xml:space="preserve">해지)개발)67율리어스마이늘 </t>
  </si>
  <si>
    <t>0007202540</t>
  </si>
  <si>
    <t>해지)개발)67빵터지는집</t>
  </si>
  <si>
    <t>0007202550</t>
  </si>
  <si>
    <t>해지)개발)67어반들키스-안암</t>
  </si>
  <si>
    <t>0007202240</t>
  </si>
  <si>
    <t>해지)개발)67이디야(디지털미디어시티)</t>
  </si>
  <si>
    <t>0007202250</t>
  </si>
  <si>
    <t>해지)개발)67마노핀</t>
  </si>
  <si>
    <t>0007202200</t>
  </si>
  <si>
    <t>해지)개발)67이디야(석계)</t>
  </si>
  <si>
    <t>0007202220</t>
  </si>
  <si>
    <t xml:space="preserve">해지)개발)67네이처리퍼블릭 </t>
  </si>
  <si>
    <t>0007201510</t>
  </si>
  <si>
    <t>해지)개발)67낙엽비당</t>
  </si>
  <si>
    <t>0007201520</t>
  </si>
  <si>
    <t>해지)개발)67브레댄코(학동)</t>
  </si>
  <si>
    <t>0007201560</t>
  </si>
  <si>
    <t>해지)개발67호선)폰케이스(정혜영)</t>
  </si>
  <si>
    <t>0007201580</t>
  </si>
  <si>
    <t xml:space="preserve">해지)개발)67은평구청 </t>
  </si>
  <si>
    <t>0007201590</t>
  </si>
  <si>
    <t xml:space="preserve">해지)개발)67히카루 </t>
  </si>
  <si>
    <t>0007201600</t>
  </si>
  <si>
    <t>해지)개발)67리드업코리아</t>
  </si>
  <si>
    <t>0007201630</t>
  </si>
  <si>
    <t>해지)개발)67만쥬하나</t>
  </si>
  <si>
    <t>0007201660</t>
  </si>
  <si>
    <t>해지)개발)67이디야(청담)</t>
  </si>
  <si>
    <t>0007201670</t>
  </si>
  <si>
    <t>해지)개발)67이디야(중계)</t>
  </si>
  <si>
    <t>0007201680</t>
  </si>
  <si>
    <t>해지)개발)67이디야(도봉산)</t>
  </si>
  <si>
    <t>0007201690</t>
  </si>
  <si>
    <t>해지)개발)67이디야(한강진)</t>
  </si>
  <si>
    <t>0007201700</t>
  </si>
  <si>
    <t>해지)개발)67커피에그리다</t>
  </si>
  <si>
    <t>0007201710</t>
  </si>
  <si>
    <t>해지)개발)67에스알리테일</t>
  </si>
  <si>
    <t>0007201720</t>
  </si>
  <si>
    <t xml:space="preserve">해지)개발)67드림하우스 </t>
  </si>
  <si>
    <t>0007201730</t>
  </si>
  <si>
    <t>해지)개발)67이타르트(학동)</t>
  </si>
  <si>
    <t>0007201760</t>
  </si>
  <si>
    <t>해지)개발)67골드트리</t>
  </si>
  <si>
    <t>0007201770</t>
  </si>
  <si>
    <t xml:space="preserve">해지)개발)67포유넷 </t>
  </si>
  <si>
    <t>0007201780</t>
  </si>
  <si>
    <t>해지)개발)67이타르트(먹골)</t>
  </si>
  <si>
    <t>0007201790</t>
  </si>
  <si>
    <t>해지)개발)67폰하우스</t>
  </si>
  <si>
    <t>0007201800</t>
  </si>
  <si>
    <t>해지)개발)67정보와기술주식회사</t>
  </si>
  <si>
    <t>0007201810</t>
  </si>
  <si>
    <t>해지)개발)67소미미단팥빵</t>
  </si>
  <si>
    <t>0007201820</t>
  </si>
  <si>
    <t>해지)개발)67브레댄코(대림)</t>
  </si>
  <si>
    <t>0007201830</t>
  </si>
  <si>
    <t>해지)개발)67안다미로</t>
  </si>
  <si>
    <t>0007201850</t>
  </si>
  <si>
    <t>해지)개발)67이디야(화랑대)</t>
  </si>
  <si>
    <t>0007201860</t>
  </si>
  <si>
    <t>해지)개발)67이디야(고려대)</t>
  </si>
  <si>
    <t>0007201880</t>
  </si>
  <si>
    <t>해지)개발67호선)사가정(어우동)</t>
  </si>
  <si>
    <t>0007201890</t>
  </si>
  <si>
    <t>해지)개발)67제너시스(노원)</t>
  </si>
  <si>
    <t>0007201900</t>
  </si>
  <si>
    <t>해지)개발)67이디야(상월곡)</t>
  </si>
  <si>
    <t>0007201920</t>
  </si>
  <si>
    <t>해지)개발)67봉구스밥버거</t>
  </si>
  <si>
    <t>0007202270</t>
  </si>
  <si>
    <t>해지)개발)67전자담배</t>
  </si>
  <si>
    <t>0007202290</t>
  </si>
  <si>
    <t>해지)개발)67비틀주스(어린이대공원)</t>
  </si>
  <si>
    <t>0007202340</t>
  </si>
  <si>
    <t>해지)개발)67MIK</t>
  </si>
  <si>
    <t>0007202350</t>
  </si>
  <si>
    <t>해지)개발)67레인보우</t>
  </si>
  <si>
    <t>0007201450</t>
  </si>
  <si>
    <t>해지)개발)67엉클스브레드-태릉입구</t>
  </si>
  <si>
    <t>0007201460</t>
  </si>
  <si>
    <t>해지)개발)67중곡니콜리아</t>
  </si>
  <si>
    <t>0007201470</t>
  </si>
  <si>
    <t>해지)개발)67브레댄코(건대입구)</t>
  </si>
  <si>
    <t>0007201490</t>
  </si>
  <si>
    <t>해지)개발)67브레댄코(화랑대)</t>
  </si>
  <si>
    <t>0007201500</t>
  </si>
  <si>
    <t>해지)개발)67브레댄코(합정)</t>
  </si>
  <si>
    <t>0007201280</t>
  </si>
  <si>
    <t>해지)개발)67브레댄코(장승)</t>
  </si>
  <si>
    <t>0007201290</t>
  </si>
  <si>
    <t>해지)개발)67호선매출</t>
  </si>
  <si>
    <t>0007201080</t>
  </si>
  <si>
    <t>해지)개발)67브레댄코(보라매)</t>
  </si>
  <si>
    <t>0007201390</t>
  </si>
  <si>
    <t>해지)개발)67브레댄코(신풍)</t>
  </si>
  <si>
    <t>0007201400</t>
  </si>
  <si>
    <t>해지)개발)67비틀쥬스</t>
  </si>
  <si>
    <t>0007201420</t>
  </si>
  <si>
    <t>해지)개발)67아뜰리에</t>
  </si>
  <si>
    <t>0007201430</t>
  </si>
  <si>
    <t>해지)개발)67미샤</t>
  </si>
  <si>
    <t>0007201200</t>
  </si>
  <si>
    <t>해지)개발)67토니모리</t>
  </si>
  <si>
    <t>0007201210</t>
  </si>
  <si>
    <t xml:space="preserve">해지)개발)67더페이스샵 </t>
  </si>
  <si>
    <t>0007201220</t>
  </si>
  <si>
    <t xml:space="preserve">해지)개발)67제이앤비원 </t>
  </si>
  <si>
    <t>0007201240</t>
  </si>
  <si>
    <t>해지)개발)67디엔비어패럴</t>
  </si>
  <si>
    <t>0007201250</t>
  </si>
  <si>
    <t xml:space="preserve">해지)개발)67이니스프리 </t>
  </si>
  <si>
    <t>0007202700</t>
  </si>
  <si>
    <t>해지)개발)67(주)에스엠에이치홀딩스(동묘앞)</t>
  </si>
  <si>
    <t>0007202750</t>
  </si>
  <si>
    <t>해지)개발)67분식의신(공덕월곡온수)</t>
  </si>
  <si>
    <t>0007202800</t>
  </si>
  <si>
    <t>해지)개발)67디자인스킨(대림)</t>
  </si>
  <si>
    <t>0007202810</t>
  </si>
  <si>
    <t>해지)개발)67SN</t>
  </si>
  <si>
    <t>0007202840</t>
  </si>
  <si>
    <t>해지)개발)67네오에프앤씨</t>
  </si>
  <si>
    <t>0007202850</t>
  </si>
  <si>
    <t xml:space="preserve">해지)개발)67세븐티엠씨 </t>
  </si>
  <si>
    <t>0007202370</t>
  </si>
  <si>
    <t>해지)개발)67러브엔드</t>
  </si>
  <si>
    <t>0007203070</t>
  </si>
  <si>
    <t xml:space="preserve">해지)개발)67스프링 </t>
  </si>
  <si>
    <t>0007203080</t>
  </si>
  <si>
    <t>해지)개발)67브레댄코새절내방</t>
  </si>
  <si>
    <t>0007203170</t>
  </si>
  <si>
    <t>해지)개발)67니콜리아효창공원</t>
  </si>
  <si>
    <t>0007203180</t>
  </si>
  <si>
    <t>해지)개발)67비더베스트(중계)</t>
  </si>
  <si>
    <t>0007203190</t>
  </si>
  <si>
    <t>해지)개발)67타미하우스</t>
  </si>
  <si>
    <t>0007203200</t>
  </si>
  <si>
    <t>해지)개발)67랍소(응암)</t>
  </si>
  <si>
    <t>0007203210</t>
  </si>
  <si>
    <t>해지)개발)67거성푸드시스템(배고팡)</t>
  </si>
  <si>
    <t>0007203400</t>
  </si>
  <si>
    <t xml:space="preserve">해지)개발)67메이비 </t>
  </si>
  <si>
    <t>0007203590</t>
  </si>
  <si>
    <t xml:space="preserve">해지)E커머스기획팀_제휴몰 </t>
  </si>
  <si>
    <t>0007046440</t>
  </si>
  <si>
    <t>해지)GSfresh제휴몰)GSshop</t>
  </si>
  <si>
    <t>0007046130</t>
  </si>
  <si>
    <t xml:space="preserve">해지)GSfresh제휴몰)위메프 </t>
  </si>
  <si>
    <t>0007046480</t>
  </si>
  <si>
    <t>해지)GSfresh제휴몰)G마켓</t>
  </si>
  <si>
    <t>0007046080</t>
  </si>
  <si>
    <t xml:space="preserve">해지)GSfresh제휴몰)네이버 </t>
  </si>
  <si>
    <t>0007046490</t>
  </si>
  <si>
    <t>해지)GSfresh제휴몰)LG전자</t>
  </si>
  <si>
    <t>0007046500</t>
  </si>
  <si>
    <t>아. 해지예정계좌</t>
  </si>
  <si>
    <t>RS298</t>
  </si>
  <si>
    <t>자. HBU</t>
  </si>
  <si>
    <t>RS299</t>
  </si>
  <si>
    <t>홈쇼핑 어린이집(총무)</t>
  </si>
  <si>
    <t>0007206460</t>
  </si>
  <si>
    <t>HBU)국민-집행이체</t>
  </si>
  <si>
    <t>0007049901</t>
  </si>
  <si>
    <t>HBU)하나-보통예금(225-910080-73704)</t>
  </si>
  <si>
    <t>0007819903</t>
  </si>
  <si>
    <t>HBU)국민-당산구매카드</t>
  </si>
  <si>
    <t>0007049902</t>
  </si>
  <si>
    <t>HBU)국민-집금</t>
  </si>
  <si>
    <t>0007049903</t>
  </si>
  <si>
    <t>HBU)우리-목동(CS)</t>
  </si>
  <si>
    <t>0007209901</t>
  </si>
  <si>
    <t>HBU)국민-카드수납</t>
  </si>
  <si>
    <t>0007049904</t>
  </si>
  <si>
    <t>HBU)농협-무통장(가상)</t>
  </si>
  <si>
    <t>0007119901</t>
  </si>
  <si>
    <t>HBU)SC-무통장모계좌</t>
  </si>
  <si>
    <t>0007239901</t>
  </si>
  <si>
    <t>HBU)SC-무통장자계좌</t>
  </si>
  <si>
    <t>0007239902</t>
  </si>
  <si>
    <t>HBU)우리-국세,지방세</t>
  </si>
  <si>
    <t>0007209902</t>
  </si>
  <si>
    <t>HBU)신한-당산무통장/카드</t>
  </si>
  <si>
    <t>0007889901</t>
  </si>
  <si>
    <t xml:space="preserve">HBU)하나-가상 </t>
  </si>
  <si>
    <t>0007819901</t>
  </si>
  <si>
    <t>HBU)국민-외화결산조정</t>
  </si>
  <si>
    <t>0007049905</t>
  </si>
  <si>
    <t xml:space="preserve">HBU)기업-실시간환불 </t>
  </si>
  <si>
    <t>0007039901</t>
  </si>
  <si>
    <t xml:space="preserve">HBU)기업-문래지점물류 </t>
  </si>
  <si>
    <t>0007039902</t>
  </si>
  <si>
    <t xml:space="preserve">HBU)우체국-가상 </t>
  </si>
  <si>
    <t>0007719901</t>
  </si>
  <si>
    <t>HBU)하나-외환카드수납</t>
  </si>
  <si>
    <t>0007819902</t>
  </si>
  <si>
    <t xml:space="preserve">HBU)기업-무통장구매카드 </t>
  </si>
  <si>
    <t>0007039903</t>
  </si>
  <si>
    <t xml:space="preserve">HBU)우리-가상 </t>
  </si>
  <si>
    <t>0007209903</t>
  </si>
  <si>
    <t>HBU)국민-PG결제</t>
  </si>
  <si>
    <t>0007049906</t>
  </si>
  <si>
    <t>HBU)신한-가상모계좌</t>
  </si>
  <si>
    <t>0007889902</t>
  </si>
  <si>
    <t xml:space="preserve">HBU)대구-가상 </t>
  </si>
  <si>
    <t>0007319901</t>
  </si>
  <si>
    <t xml:space="preserve">HBU)국민-카드정산모계좌 </t>
  </si>
  <si>
    <t>0007049907</t>
  </si>
  <si>
    <t xml:space="preserve">HBU)부산-가상 </t>
  </si>
  <si>
    <t>0007329901</t>
  </si>
  <si>
    <t>HBU)기업-일잔집금</t>
  </si>
  <si>
    <t>0007039904</t>
  </si>
  <si>
    <t>HBU)국민-거래처D&amp;S</t>
  </si>
  <si>
    <t>0007049908</t>
  </si>
  <si>
    <t>HBU)국민-도담어린이집</t>
  </si>
  <si>
    <t>0007049909</t>
  </si>
  <si>
    <t>HBU)국민-외화(USD)</t>
  </si>
  <si>
    <t>0007049910</t>
  </si>
  <si>
    <t>HBU)우리-외화</t>
  </si>
  <si>
    <t>0007209904</t>
  </si>
  <si>
    <t>HBU)우리-이천물류</t>
  </si>
  <si>
    <t>0007209905</t>
  </si>
  <si>
    <t>HBU)우리-군포물류</t>
  </si>
  <si>
    <t>0007209906</t>
  </si>
  <si>
    <t>HBU)우리-무통장모계좌(우체국)</t>
  </si>
  <si>
    <t>0007209907</t>
  </si>
  <si>
    <t>HBU)기업-구매카드</t>
  </si>
  <si>
    <t>0007039905</t>
  </si>
  <si>
    <t>04. 금융상품</t>
  </si>
  <si>
    <t>RS29A</t>
  </si>
  <si>
    <t>특정금전신탁</t>
  </si>
  <si>
    <t>0007830200</t>
  </si>
  <si>
    <t>정기예적금(3개월이내)</t>
  </si>
  <si>
    <t>0007830400</t>
  </si>
  <si>
    <t>기타금융상품</t>
  </si>
  <si>
    <t>0007830488</t>
  </si>
  <si>
    <t>MMT기업5019</t>
  </si>
  <si>
    <t>0007830489</t>
  </si>
  <si>
    <t>MMT우리8902</t>
  </si>
  <si>
    <t>0007830490</t>
  </si>
  <si>
    <t>MMT신한0530</t>
  </si>
  <si>
    <t>0007830491</t>
  </si>
  <si>
    <t>MMT하나0452</t>
  </si>
  <si>
    <t>0007830492</t>
  </si>
  <si>
    <t>MMT국민0190</t>
  </si>
  <si>
    <t>0007830493</t>
  </si>
  <si>
    <t>MMT농협8011</t>
  </si>
  <si>
    <t>0007830494</t>
  </si>
  <si>
    <t>MMT수협2171</t>
  </si>
  <si>
    <t>0007007010</t>
  </si>
  <si>
    <t>MMDA우리5647</t>
  </si>
  <si>
    <t>0007206570</t>
  </si>
  <si>
    <t>MMDA신한9626</t>
  </si>
  <si>
    <t>0007268180</t>
  </si>
  <si>
    <t>MMDA수협3961</t>
  </si>
  <si>
    <t>0007007020</t>
  </si>
  <si>
    <t>(2) 매출채권및기타채권</t>
  </si>
  <si>
    <t>RS16</t>
  </si>
  <si>
    <t>01. 매출채권</t>
  </si>
  <si>
    <t>RS16A</t>
  </si>
  <si>
    <t xml:space="preserve">가.외상매출금 </t>
  </si>
  <si>
    <t>RS31</t>
  </si>
  <si>
    <t>외상매출금-일반</t>
  </si>
  <si>
    <t>0001111501</t>
  </si>
  <si>
    <t>외상매출금-신용카드</t>
  </si>
  <si>
    <t>0001111502</t>
  </si>
  <si>
    <t>외상매출금-구매카드</t>
  </si>
  <si>
    <t>0001111504</t>
  </si>
  <si>
    <t>외상매출금-PG(카드)</t>
  </si>
  <si>
    <t>0001113070</t>
  </si>
  <si>
    <t>외상매출금-PG(무통장)</t>
  </si>
  <si>
    <t>0001113071</t>
  </si>
  <si>
    <t>외상매출금-PG(휴대폰)</t>
  </si>
  <si>
    <t>0001113072</t>
  </si>
  <si>
    <t>외상매출금-초도상품</t>
  </si>
  <si>
    <t>0001111505</t>
  </si>
  <si>
    <t>외상매출금-할인쿠폰</t>
  </si>
  <si>
    <t>0001111506</t>
  </si>
  <si>
    <t xml:space="preserve">외상매출금-제휴상품권 </t>
  </si>
  <si>
    <t>0001111507</t>
  </si>
  <si>
    <t>외상매출금-보험(대리점수수료)</t>
  </si>
  <si>
    <t>0001111511</t>
  </si>
  <si>
    <t xml:space="preserve">외상매출금-딜광고 </t>
  </si>
  <si>
    <t>0001111512</t>
  </si>
  <si>
    <t>외상매출금-외화</t>
  </si>
  <si>
    <t>0001111513</t>
  </si>
  <si>
    <t>외상매출금-보험(성과수수료)</t>
  </si>
  <si>
    <t>0001111514</t>
  </si>
  <si>
    <t>외상매출금-정액수수료(상계)</t>
  </si>
  <si>
    <t>0001111515</t>
  </si>
  <si>
    <t>외상매출금-정액수수료(입금)</t>
  </si>
  <si>
    <t>0001111516</t>
  </si>
  <si>
    <t>외상매출금-포장자재</t>
  </si>
  <si>
    <t>0001111517</t>
  </si>
  <si>
    <t>외상매출금-광고(상계)</t>
  </si>
  <si>
    <t>0001111518</t>
  </si>
  <si>
    <t>외상매출금-광고(입금)</t>
  </si>
  <si>
    <t>0001111519</t>
  </si>
  <si>
    <t>외상매출금-무이자수수료</t>
  </si>
  <si>
    <t>0001111520</t>
  </si>
  <si>
    <t>외상매출금-보험추정</t>
  </si>
  <si>
    <t>0001111521</t>
  </si>
  <si>
    <t xml:space="preserve">외상매출금-후결제 </t>
  </si>
  <si>
    <t>0001111522</t>
  </si>
  <si>
    <t>외상매출금-N채널</t>
  </si>
  <si>
    <t>0001111523</t>
  </si>
  <si>
    <t>외상매출금-기타할인</t>
  </si>
  <si>
    <t>0001111524</t>
  </si>
  <si>
    <t>외상매출금_주문</t>
  </si>
  <si>
    <t>0001111525</t>
  </si>
  <si>
    <t xml:space="preserve">외상매출금-검색광고 </t>
  </si>
  <si>
    <t>0001111526</t>
  </si>
  <si>
    <t>외상매출금-보험계약</t>
  </si>
  <si>
    <t>0001111527</t>
  </si>
  <si>
    <t>외상매출금-조정</t>
  </si>
  <si>
    <t>0001111590</t>
  </si>
  <si>
    <t>나.매출채권대손충당금</t>
  </si>
  <si>
    <t>RS146</t>
  </si>
  <si>
    <t>외상매출금대손충당금</t>
  </si>
  <si>
    <t>0001111600</t>
  </si>
  <si>
    <t xml:space="preserve">02. 미수금 </t>
  </si>
  <si>
    <t>RS16B</t>
  </si>
  <si>
    <t xml:space="preserve">가.미수금 </t>
  </si>
  <si>
    <t>RS45</t>
  </si>
  <si>
    <t>미수금-일반</t>
  </si>
  <si>
    <t>0001113001</t>
  </si>
  <si>
    <t xml:space="preserve">미수금-임대차 </t>
  </si>
  <si>
    <t>0001113003</t>
  </si>
  <si>
    <t>미수금-리스</t>
  </si>
  <si>
    <t>0001113004</t>
  </si>
  <si>
    <t xml:space="preserve">미수금-양수도 </t>
  </si>
  <si>
    <t>0001113006</t>
  </si>
  <si>
    <t>미수금-신용카드</t>
  </si>
  <si>
    <t>0001113007</t>
  </si>
  <si>
    <t>미수금-타사상품권</t>
  </si>
  <si>
    <t>0001113010</t>
  </si>
  <si>
    <t>미수금-물류지원금</t>
  </si>
  <si>
    <t>0001113011</t>
  </si>
  <si>
    <t xml:space="preserve">미수금-교육환급금 </t>
  </si>
  <si>
    <t>0001113012</t>
  </si>
  <si>
    <t xml:space="preserve">미수금-단기보증금 </t>
  </si>
  <si>
    <t>0001113013</t>
  </si>
  <si>
    <t>미수금-채무상계</t>
  </si>
  <si>
    <t>0001113014</t>
  </si>
  <si>
    <t>미수금-타사포인트</t>
  </si>
  <si>
    <t>0001113017</t>
  </si>
  <si>
    <t xml:space="preserve">미수금-오연결 </t>
  </si>
  <si>
    <t>0001113020</t>
  </si>
  <si>
    <t xml:space="preserve">미수금-반품미수금 </t>
  </si>
  <si>
    <t>0001113021</t>
  </si>
  <si>
    <t xml:space="preserve">미수금-실시간계좌이체 </t>
  </si>
  <si>
    <t>0001113022</t>
  </si>
  <si>
    <t xml:space="preserve">미수금-직송배송비 </t>
  </si>
  <si>
    <t>0001113023</t>
  </si>
  <si>
    <t xml:space="preserve">미수금-품절보상적립금 </t>
  </si>
  <si>
    <t>0001113024</t>
  </si>
  <si>
    <t xml:space="preserve">미수금-편의점택배 </t>
  </si>
  <si>
    <t>0001113025</t>
  </si>
  <si>
    <t xml:space="preserve">미수금-센터배송물류비 </t>
  </si>
  <si>
    <t>0001113026</t>
  </si>
  <si>
    <t xml:space="preserve">미수금-외부적립금 </t>
  </si>
  <si>
    <t>0001113027</t>
  </si>
  <si>
    <t>미수금-적립금(상품)</t>
  </si>
  <si>
    <t>0001113028</t>
  </si>
  <si>
    <t>미수금-&amp;포인트(상품)</t>
  </si>
  <si>
    <t>0001113029</t>
  </si>
  <si>
    <t>미수금-신용카드(승인)</t>
  </si>
  <si>
    <t>0001113030</t>
  </si>
  <si>
    <t>미수금-GRM</t>
  </si>
  <si>
    <t>0001113040</t>
  </si>
  <si>
    <t>미수금-POP카드</t>
  </si>
  <si>
    <t>0001113050</t>
  </si>
  <si>
    <t>미수금-카드할인</t>
  </si>
  <si>
    <t>0001113060</t>
  </si>
  <si>
    <t>미수금-TR</t>
  </si>
  <si>
    <t>0001113098</t>
  </si>
  <si>
    <t>미수금-기타</t>
  </si>
  <si>
    <t>0001113091</t>
  </si>
  <si>
    <t>나.미수금대손충당금</t>
  </si>
  <si>
    <t>RS46</t>
  </si>
  <si>
    <t>미수금대손충당금</t>
  </si>
  <si>
    <t>0001113100</t>
  </si>
  <si>
    <t>03. 미수수익</t>
  </si>
  <si>
    <t>RS47</t>
  </si>
  <si>
    <t>미수수익-금융상품</t>
  </si>
  <si>
    <t>0001113501</t>
  </si>
  <si>
    <t>미수수익-기타</t>
  </si>
  <si>
    <t>0001113599</t>
  </si>
  <si>
    <t>미수수익-대손충당금</t>
  </si>
  <si>
    <t>0001113600</t>
  </si>
  <si>
    <t>04. 단기대여금</t>
  </si>
  <si>
    <t>RS17</t>
  </si>
  <si>
    <t>가.단기대여금</t>
  </si>
  <si>
    <t>RS18</t>
  </si>
  <si>
    <t>단기대여금-일반</t>
  </si>
  <si>
    <t>0001112501</t>
  </si>
  <si>
    <t>나.단기대여금대손충당금</t>
  </si>
  <si>
    <t>RS44</t>
  </si>
  <si>
    <t>단기대여금대손충당금</t>
  </si>
  <si>
    <t>0001112600</t>
  </si>
  <si>
    <t>05. 유동성장기대여금</t>
  </si>
  <si>
    <t>RS48</t>
  </si>
  <si>
    <t>유동성장기대여금-일반</t>
  </si>
  <si>
    <t>0001118503</t>
  </si>
  <si>
    <t>유동성장기대여금-대손충당금</t>
  </si>
  <si>
    <t>0001118603</t>
  </si>
  <si>
    <t xml:space="preserve">유동성장기대여금-현재가치할인차금 </t>
  </si>
  <si>
    <t>0001118703</t>
  </si>
  <si>
    <t>0001118504</t>
  </si>
  <si>
    <t xml:space="preserve">06. 단기보증금 </t>
  </si>
  <si>
    <t>RS32</t>
  </si>
  <si>
    <t>단기보증금-일반</t>
  </si>
  <si>
    <t>0001115501</t>
  </si>
  <si>
    <t>단기보증금-용기</t>
  </si>
  <si>
    <t>0001115502</t>
  </si>
  <si>
    <t>단기보증금-공병</t>
  </si>
  <si>
    <t>0001115504</t>
  </si>
  <si>
    <t>단기보증금-상품공병</t>
  </si>
  <si>
    <t>0001115505</t>
  </si>
  <si>
    <t xml:space="preserve">단기보증금-팔레트 </t>
  </si>
  <si>
    <t>0001115506</t>
  </si>
  <si>
    <t>유동성장기보증금</t>
    <phoneticPr fontId="2" type="noConversion"/>
  </si>
  <si>
    <t>07. 유동성장기보증금</t>
  </si>
  <si>
    <t>RS16C</t>
  </si>
  <si>
    <t>유동성장기보증금</t>
  </si>
  <si>
    <t>0001115507</t>
  </si>
  <si>
    <t xml:space="preserve">유동성장기보증금-현재가치할인차금 </t>
  </si>
  <si>
    <t>0001115508</t>
  </si>
  <si>
    <t xml:space="preserve">08. 단기금융기관예치금 </t>
  </si>
  <si>
    <t>RS14</t>
  </si>
  <si>
    <t xml:space="preserve">단기금융-정기예적금 </t>
  </si>
  <si>
    <t>0001110501</t>
  </si>
  <si>
    <t>단기금융-특정예금</t>
  </si>
  <si>
    <t>0001110502</t>
  </si>
  <si>
    <t>단기금융-금융상품</t>
  </si>
  <si>
    <t>0001110503</t>
  </si>
  <si>
    <t>09. 가지급금</t>
  </si>
  <si>
    <t>RS53</t>
  </si>
  <si>
    <t xml:space="preserve">가지급금-업무가불 </t>
  </si>
  <si>
    <t>0001117501</t>
  </si>
  <si>
    <t>10. 리스채권(유동/IFRS16)</t>
  </si>
  <si>
    <t>RE54</t>
  </si>
  <si>
    <t>리스채권-부동산(유동)</t>
  </si>
  <si>
    <t>0001213011</t>
  </si>
  <si>
    <t>리스채권-기타(유동)</t>
  </si>
  <si>
    <t>0001213012</t>
  </si>
  <si>
    <t>(3) 기타유동금융자산</t>
  </si>
  <si>
    <t>RS14A</t>
  </si>
  <si>
    <t>01. 기타유동금융자산</t>
  </si>
  <si>
    <t>RS15D</t>
  </si>
  <si>
    <t>FVPL금융상품(유동)-MMF우리7056</t>
  </si>
  <si>
    <t>0001111013</t>
  </si>
  <si>
    <t xml:space="preserve">FVOCI채무상품(유동)-국공채 </t>
  </si>
  <si>
    <t>0001111010</t>
  </si>
  <si>
    <t>FVPL지분상품(유동)</t>
  </si>
  <si>
    <t>0001111011</t>
  </si>
  <si>
    <t>FVPL금융상품(유동)</t>
  </si>
  <si>
    <t>0001111012</t>
  </si>
  <si>
    <t>FVPL금융상품(유동)-MMF하나9113</t>
  </si>
  <si>
    <t>0001111016</t>
  </si>
  <si>
    <t>FVPL금융상품(유동)-MMF신한9627</t>
  </si>
  <si>
    <t>0001111014</t>
  </si>
  <si>
    <t>FVPL금융상품(유동)-MMF국민0185</t>
  </si>
  <si>
    <t>0001111015</t>
  </si>
  <si>
    <t>FVPL채무상품(유동)</t>
  </si>
  <si>
    <t>0001111017</t>
  </si>
  <si>
    <t xml:space="preserve">02. 유동성파생상품자산 </t>
  </si>
  <si>
    <t>RS16D</t>
  </si>
  <si>
    <t>파생상품자산(유동)</t>
  </si>
  <si>
    <t>0001118900</t>
  </si>
  <si>
    <t>(4) 기타유동자산</t>
  </si>
  <si>
    <t>RS47A</t>
  </si>
  <si>
    <t xml:space="preserve">01. 선급금 </t>
  </si>
  <si>
    <t>RS49</t>
  </si>
  <si>
    <t>선급금-일반</t>
  </si>
  <si>
    <t>0001114000</t>
  </si>
  <si>
    <t>선급금-HR</t>
  </si>
  <si>
    <t>0001114001</t>
  </si>
  <si>
    <t xml:space="preserve">선급금-대금정산 </t>
  </si>
  <si>
    <t>0001114002</t>
  </si>
  <si>
    <t>선급금-중소기업</t>
  </si>
  <si>
    <t>0001114003</t>
  </si>
  <si>
    <t xml:space="preserve">선급금-해외거래처 </t>
  </si>
  <si>
    <t>0001114004</t>
  </si>
  <si>
    <t>02. 선급비용</t>
  </si>
  <si>
    <t>RS51</t>
  </si>
  <si>
    <t xml:space="preserve">선급비용-임차료 </t>
  </si>
  <si>
    <t>0001114501</t>
  </si>
  <si>
    <t xml:space="preserve">선급비용-보험료 </t>
  </si>
  <si>
    <t>0001114502</t>
  </si>
  <si>
    <t>선급비용-차입이자</t>
  </si>
  <si>
    <t>0001114503</t>
  </si>
  <si>
    <t xml:space="preserve">선급비용-인건비 </t>
  </si>
  <si>
    <t>0001114505</t>
  </si>
  <si>
    <t>선급비용-상여</t>
  </si>
  <si>
    <t>0001114507</t>
  </si>
  <si>
    <t xml:space="preserve">선급비용-산재보험료 </t>
  </si>
  <si>
    <t>0001114509</t>
  </si>
  <si>
    <t xml:space="preserve">선급비용-고용보험료 </t>
  </si>
  <si>
    <t>0001114510</t>
  </si>
  <si>
    <t xml:space="preserve">선급비용-임금채권보장금 </t>
  </si>
  <si>
    <t>0001114511</t>
  </si>
  <si>
    <t>선급비용-급여</t>
  </si>
  <si>
    <t>0001114512</t>
  </si>
  <si>
    <t>선급비용-용역(전산/파견)</t>
  </si>
  <si>
    <t>0001114513</t>
  </si>
  <si>
    <t xml:space="preserve">선급비용-SO송출수수료 </t>
  </si>
  <si>
    <t>0001114514</t>
  </si>
  <si>
    <t>선급비용-임차료(상각)</t>
  </si>
  <si>
    <t>0001114581</t>
  </si>
  <si>
    <t xml:space="preserve">선급비용-판관비 </t>
  </si>
  <si>
    <t>0001114582</t>
  </si>
  <si>
    <t>선급비용-기타</t>
  </si>
  <si>
    <t>0001114599</t>
  </si>
  <si>
    <t xml:space="preserve">03. 대급금부가세 </t>
  </si>
  <si>
    <t>RS113</t>
  </si>
  <si>
    <t>부가세대급금</t>
  </si>
  <si>
    <t>0001118000</t>
  </si>
  <si>
    <t>부가세대급금-조정</t>
  </si>
  <si>
    <t>0001118001</t>
  </si>
  <si>
    <t>04. 기타유동자산</t>
  </si>
  <si>
    <t>RS54</t>
  </si>
  <si>
    <t xml:space="preserve">기타당좌자산-상품권 </t>
  </si>
  <si>
    <t>0001119901</t>
  </si>
  <si>
    <t>기타당좌자산-복권</t>
  </si>
  <si>
    <t>0001119902</t>
  </si>
  <si>
    <t>기타유동자산-수익인식</t>
  </si>
  <si>
    <t>0001119904</t>
  </si>
  <si>
    <t>기타당좌자산-기타</t>
  </si>
  <si>
    <t>0001119999</t>
  </si>
  <si>
    <t>기타유동자산-계약자산</t>
  </si>
  <si>
    <t>0001119900</t>
  </si>
  <si>
    <t>유동계약자산-대손충당금</t>
  </si>
  <si>
    <t>0001119910</t>
  </si>
  <si>
    <t xml:space="preserve">(5) 당기법인세자산 </t>
  </si>
  <si>
    <t>RS7A</t>
  </si>
  <si>
    <t xml:space="preserve">01. 선급법인세 </t>
  </si>
  <si>
    <t>RS52</t>
  </si>
  <si>
    <t xml:space="preserve">선급법인세-법인세 </t>
  </si>
  <si>
    <t>0001115001</t>
  </si>
  <si>
    <t xml:space="preserve">선급법인세-주민세 </t>
  </si>
  <si>
    <t>0001115002</t>
  </si>
  <si>
    <t xml:space="preserve">선급법인세-농특세 </t>
  </si>
  <si>
    <t>0001115003</t>
  </si>
  <si>
    <t>선급법인세-기타</t>
  </si>
  <si>
    <t>0001115099</t>
  </si>
  <si>
    <t>(6) 재고자산</t>
  </si>
  <si>
    <t>RS19</t>
  </si>
  <si>
    <t>01. 상품</t>
  </si>
  <si>
    <t>RS20</t>
  </si>
  <si>
    <t>상품-일반</t>
  </si>
  <si>
    <t>0001120100</t>
  </si>
  <si>
    <t>상품조정-특정기말재고</t>
  </si>
  <si>
    <t>0001120180</t>
  </si>
  <si>
    <t>상품조정-반품자산</t>
  </si>
  <si>
    <t>0001120170</t>
  </si>
  <si>
    <t xml:space="preserve">상품조정-기타장려금 </t>
  </si>
  <si>
    <t>0001120172</t>
  </si>
  <si>
    <t xml:space="preserve">02. 상품평가충당금 </t>
  </si>
  <si>
    <t>RS20A</t>
  </si>
  <si>
    <t xml:space="preserve">재고자산평가충당금 </t>
  </si>
  <si>
    <t>0001120200</t>
  </si>
  <si>
    <t>03. 저장품</t>
  </si>
  <si>
    <t>RS33</t>
  </si>
  <si>
    <t xml:space="preserve">저장품-포장재 </t>
  </si>
  <si>
    <t>0001120501</t>
  </si>
  <si>
    <t xml:space="preserve">저장품-사은품 </t>
  </si>
  <si>
    <t>0001120507</t>
  </si>
  <si>
    <t>저장품-기타</t>
  </si>
  <si>
    <t>0001120599</t>
  </si>
  <si>
    <t>04. 미착상품</t>
  </si>
  <si>
    <t>RS159</t>
  </si>
  <si>
    <t xml:space="preserve">적송품 </t>
  </si>
  <si>
    <t>0001121001</t>
  </si>
  <si>
    <t>미착품-미착상품</t>
  </si>
  <si>
    <t>0001121000</t>
  </si>
  <si>
    <t>(7) 매각예정자산</t>
  </si>
  <si>
    <t>RS7B</t>
  </si>
  <si>
    <t>01. 매각예정자산</t>
  </si>
  <si>
    <t>RS7B1</t>
  </si>
  <si>
    <t>매각예정자산</t>
  </si>
  <si>
    <t>0001119780</t>
  </si>
  <si>
    <t>(8) 유동성이연법인세자산</t>
  </si>
  <si>
    <t>RS7C</t>
  </si>
  <si>
    <t>01. 유동성이연법인세자산</t>
  </si>
  <si>
    <t>RS48A</t>
  </si>
  <si>
    <t>이연법인세자산(유동)</t>
  </si>
  <si>
    <t>0001119800</t>
  </si>
  <si>
    <t xml:space="preserve">Ⅱ. 비 유 동 자 산 </t>
  </si>
  <si>
    <t>RS8</t>
  </si>
  <si>
    <t>(1) 장기매출채권및기타채권</t>
  </si>
  <si>
    <t>RS8A</t>
  </si>
  <si>
    <t xml:space="preserve">01. 장기성매출채권 </t>
  </si>
  <si>
    <t>RS8B</t>
  </si>
  <si>
    <t xml:space="preserve">가.장기성매출채권 </t>
  </si>
  <si>
    <t>RS35</t>
  </si>
  <si>
    <t xml:space="preserve">장기매출채권-외상매출금 </t>
  </si>
  <si>
    <t>0001211001</t>
  </si>
  <si>
    <t>장기매출채권-사고채권</t>
  </si>
  <si>
    <t>0001211003</t>
  </si>
  <si>
    <t>장기매출채권-보험계약</t>
  </si>
  <si>
    <t>0001211004</t>
  </si>
  <si>
    <t>나.장기성매출채권대손충당금</t>
  </si>
  <si>
    <t>RS36</t>
  </si>
  <si>
    <t>장기매출채권대손충당금</t>
  </si>
  <si>
    <t>0001211100</t>
  </si>
  <si>
    <t>다.장기성매출채권현재가치할차금</t>
  </si>
  <si>
    <t>RS79</t>
  </si>
  <si>
    <t>현재가치할인차금(미수금)</t>
  </si>
  <si>
    <t>0001211200</t>
  </si>
  <si>
    <t>02. 장기대여금</t>
  </si>
  <si>
    <t>RS8C</t>
  </si>
  <si>
    <t>가.장기대여금</t>
  </si>
  <si>
    <t>RS41</t>
  </si>
  <si>
    <t>장기대여금-전세자금</t>
  </si>
  <si>
    <t>0001212502</t>
  </si>
  <si>
    <t>장기대여금-일반</t>
  </si>
  <si>
    <t>0001212503</t>
  </si>
  <si>
    <t>장기대여금-주택자금</t>
  </si>
  <si>
    <t>0001212504</t>
  </si>
  <si>
    <t xml:space="preserve">장기대여금-관계사/타법인등 </t>
  </si>
  <si>
    <t>0001210505</t>
  </si>
  <si>
    <t>나.장기대여금대손충당금</t>
  </si>
  <si>
    <t>RS42</t>
  </si>
  <si>
    <t>0001212600</t>
  </si>
  <si>
    <t xml:space="preserve">다.장기대여금현재가치할인차금 </t>
  </si>
  <si>
    <t>RS43</t>
  </si>
  <si>
    <t>현재가치할인차금(장기대여금)</t>
  </si>
  <si>
    <t>0001212700</t>
  </si>
  <si>
    <t xml:space="preserve">03. 보증금 </t>
  </si>
  <si>
    <t>RS8D</t>
  </si>
  <si>
    <t xml:space="preserve">가.보증금 </t>
  </si>
  <si>
    <t>RS67</t>
  </si>
  <si>
    <t xml:space="preserve">보증금-영업보증금 </t>
  </si>
  <si>
    <t>0001212001</t>
  </si>
  <si>
    <t xml:space="preserve">보증금-일반임차보증금 </t>
  </si>
  <si>
    <t>0001212002</t>
  </si>
  <si>
    <t xml:space="preserve">보증금-선급임차보증금 </t>
  </si>
  <si>
    <t>0001212003</t>
  </si>
  <si>
    <t xml:space="preserve">보증금-선급임차권리금 </t>
  </si>
  <si>
    <t>0001212010</t>
  </si>
  <si>
    <t>임차보증금(충당금)</t>
  </si>
  <si>
    <t>0001212099</t>
  </si>
  <si>
    <t xml:space="preserve">나.보증금할인차금 </t>
  </si>
  <si>
    <t>RS67A</t>
  </si>
  <si>
    <t xml:space="preserve">보증금-현재가치할인차금 </t>
  </si>
  <si>
    <t>0001212081</t>
  </si>
  <si>
    <t xml:space="preserve">04. 장기금융기관예치금 </t>
  </si>
  <si>
    <t>RS34</t>
  </si>
  <si>
    <t xml:space="preserve">장기금융-정기예적금 </t>
  </si>
  <si>
    <t>0001210101</t>
  </si>
  <si>
    <t>장기금융-특정예금</t>
  </si>
  <si>
    <t>0001210102</t>
  </si>
  <si>
    <t>장기금융-금융상품</t>
  </si>
  <si>
    <t>0001210103</t>
  </si>
  <si>
    <t>05. 리스채권(비유동/IFRS16)</t>
  </si>
  <si>
    <t>RE35</t>
  </si>
  <si>
    <t>리스채권-부동산(비유동)</t>
  </si>
  <si>
    <t>0001213010</t>
  </si>
  <si>
    <t>리스채권-기타(비유동)</t>
  </si>
  <si>
    <t>0001213099</t>
  </si>
  <si>
    <t xml:space="preserve">06. 장기미수금 </t>
  </si>
  <si>
    <t>RE49</t>
  </si>
  <si>
    <t xml:space="preserve">장기미수금 </t>
  </si>
  <si>
    <t>0001211111</t>
  </si>
  <si>
    <t>대손충당금(장기미수금)</t>
  </si>
  <si>
    <t>0001211112</t>
  </si>
  <si>
    <t>07. 장기미수수익</t>
  </si>
  <si>
    <t>RE48</t>
  </si>
  <si>
    <t>장기미수수익-일반</t>
  </si>
  <si>
    <t>0001214099</t>
  </si>
  <si>
    <t xml:space="preserve">(2) 기타비유동금융자산 </t>
  </si>
  <si>
    <t>RS22A</t>
  </si>
  <si>
    <t>01.파생상품자산</t>
  </si>
  <si>
    <t>RS37A</t>
  </si>
  <si>
    <t>파생상품-자산</t>
  </si>
  <si>
    <t>0001210702</t>
  </si>
  <si>
    <t xml:space="preserve">02. 기타비유동금융자산 </t>
  </si>
  <si>
    <t>RS37</t>
  </si>
  <si>
    <t>FVOCI지분상품(비유동)</t>
  </si>
  <si>
    <t>0001210510</t>
  </si>
  <si>
    <t>FVPL채무상품(비유동)</t>
  </si>
  <si>
    <t>0001210511</t>
  </si>
  <si>
    <t>FVPL지분상품(비유동)</t>
  </si>
  <si>
    <t>0001210512</t>
  </si>
  <si>
    <t>FVPL금융상품(비유동)</t>
  </si>
  <si>
    <t>0001210513</t>
  </si>
  <si>
    <t>임시금융투자자산</t>
  </si>
  <si>
    <t>0001210599</t>
  </si>
  <si>
    <t xml:space="preserve">(3) 종속기업,조인트벤처및관계기업투자 </t>
  </si>
  <si>
    <t>RS34A</t>
  </si>
  <si>
    <t xml:space="preserve">01. 관계기업투자주식 </t>
  </si>
  <si>
    <t>RS37D</t>
  </si>
  <si>
    <t xml:space="preserve">관계기업투자주식 </t>
  </si>
  <si>
    <t>0001210601</t>
  </si>
  <si>
    <t>02. 종속회사투자주식</t>
  </si>
  <si>
    <t>RS37E</t>
  </si>
  <si>
    <t>종속기업투자주식</t>
  </si>
  <si>
    <t>0001210682</t>
  </si>
  <si>
    <t>03. 공동기업투자주식</t>
  </si>
  <si>
    <t>RS38F</t>
  </si>
  <si>
    <t>공동기업투자주식</t>
  </si>
  <si>
    <t>0001210602</t>
  </si>
  <si>
    <t>(4) 퇴직급여자산</t>
  </si>
  <si>
    <t>RS73AB</t>
  </si>
  <si>
    <t xml:space="preserve">01.순확정급여자산의 현재가치 </t>
  </si>
  <si>
    <t>RSS73AB</t>
  </si>
  <si>
    <t>확정급여채무(자산)</t>
  </si>
  <si>
    <t>0001213082</t>
  </si>
  <si>
    <t xml:space="preserve">02.사외적립자산의 공정가치 </t>
  </si>
  <si>
    <t>RSS74AB</t>
  </si>
  <si>
    <t>사외적립자산(조정)</t>
  </si>
  <si>
    <t>0001213083</t>
  </si>
  <si>
    <t>(5) 유형자산</t>
  </si>
  <si>
    <t>RS23</t>
  </si>
  <si>
    <t>01. 토지</t>
  </si>
  <si>
    <t>RS50</t>
  </si>
  <si>
    <t>토지</t>
  </si>
  <si>
    <t>0001220100</t>
  </si>
  <si>
    <t>토지-투자부동산조정</t>
  </si>
  <si>
    <t>0001233002</t>
  </si>
  <si>
    <t xml:space="preserve">02. 토지손상차손누계액 </t>
  </si>
  <si>
    <t>RE127</t>
  </si>
  <si>
    <t xml:space="preserve">토지-손상차손누계액 </t>
  </si>
  <si>
    <t>0001220280</t>
  </si>
  <si>
    <t>03. 건물</t>
  </si>
  <si>
    <t>RS55</t>
  </si>
  <si>
    <t>건물</t>
  </si>
  <si>
    <t>0001220501</t>
  </si>
  <si>
    <t>건물-투자부동산조정</t>
  </si>
  <si>
    <t>0001233003</t>
  </si>
  <si>
    <t xml:space="preserve">04. 건물감가상각누계액 </t>
  </si>
  <si>
    <t>RS56</t>
  </si>
  <si>
    <t xml:space="preserve">건물-감가상각누계액 </t>
  </si>
  <si>
    <t>0001220601</t>
  </si>
  <si>
    <t>건물감가상각누계액-투자부동산조정</t>
  </si>
  <si>
    <t>0001234005</t>
  </si>
  <si>
    <t xml:space="preserve">05. 건물손상차손누계액 </t>
  </si>
  <si>
    <t>RE126</t>
  </si>
  <si>
    <t xml:space="preserve">건물-손상차손누계액 </t>
  </si>
  <si>
    <t>0001220781</t>
  </si>
  <si>
    <t xml:space="preserve">06. 건물-부속설비 </t>
  </si>
  <si>
    <t>RS23A</t>
  </si>
  <si>
    <t xml:space="preserve">건물부속설비 </t>
  </si>
  <si>
    <t>0001220502</t>
  </si>
  <si>
    <t xml:space="preserve">07. 건물부속설비 감가상각누계액 </t>
  </si>
  <si>
    <t>RS23B</t>
  </si>
  <si>
    <t xml:space="preserve">건물부속설비-감가상각누계액 </t>
  </si>
  <si>
    <t>0001220602</t>
  </si>
  <si>
    <t xml:space="preserve">08. 건물부속설비 손상차손누계액 </t>
  </si>
  <si>
    <t>RS23C</t>
  </si>
  <si>
    <t xml:space="preserve">건물부속설비-손상차손누계액 </t>
  </si>
  <si>
    <t>0001220782</t>
  </si>
  <si>
    <t xml:space="preserve">09. 구축물 </t>
  </si>
  <si>
    <t>RS57</t>
  </si>
  <si>
    <t xml:space="preserve">구축물 </t>
  </si>
  <si>
    <t>0001221000</t>
  </si>
  <si>
    <t xml:space="preserve">10. 구축물감가상각누계액 </t>
  </si>
  <si>
    <t>RS58</t>
  </si>
  <si>
    <t xml:space="preserve">구축물-감가상각누계액 </t>
  </si>
  <si>
    <t>0001221100</t>
  </si>
  <si>
    <t>11. 구축물손상차손누계액</t>
  </si>
  <si>
    <t>RE128</t>
  </si>
  <si>
    <t xml:space="preserve">구축물-손상차손누계액 </t>
  </si>
  <si>
    <t>0001221280</t>
  </si>
  <si>
    <t>12. 임차자산설비</t>
  </si>
  <si>
    <t>RS65</t>
  </si>
  <si>
    <t>임차자산설비</t>
  </si>
  <si>
    <t>0001223500</t>
  </si>
  <si>
    <t>임차자산설비(복구)</t>
  </si>
  <si>
    <t>0001223581</t>
  </si>
  <si>
    <t>임차자산설비-리스조정</t>
  </si>
  <si>
    <t>0001223501</t>
  </si>
  <si>
    <t xml:space="preserve">13. 임차자산설비감가상각누계액 </t>
  </si>
  <si>
    <t>RS68</t>
  </si>
  <si>
    <t xml:space="preserve">임차자산설비(복구)-감가상각누계액 </t>
  </si>
  <si>
    <t>0001223681</t>
  </si>
  <si>
    <t xml:space="preserve">임차자산설비-감가상각누계액 </t>
  </si>
  <si>
    <t>0001223600</t>
  </si>
  <si>
    <t xml:space="preserve">임차자산설비(리스조정)-감가상각누계액 </t>
  </si>
  <si>
    <t>0001223601</t>
  </si>
  <si>
    <t xml:space="preserve">14. 임차자산설비손상차손누계액 </t>
  </si>
  <si>
    <t>RE133</t>
  </si>
  <si>
    <t xml:space="preserve">임차자산설비-손상차손누계액 </t>
  </si>
  <si>
    <t>0001223780</t>
  </si>
  <si>
    <t xml:space="preserve">임차자산설비(복구)-손상차손누계액 </t>
  </si>
  <si>
    <t>0001223781</t>
  </si>
  <si>
    <t>15. 기계장치</t>
  </si>
  <si>
    <t>RS59</t>
  </si>
  <si>
    <t>기계장치</t>
  </si>
  <si>
    <t>0001221500</t>
  </si>
  <si>
    <t xml:space="preserve">16. 기계장치감가상각누계액 </t>
  </si>
  <si>
    <t>RS60</t>
  </si>
  <si>
    <t xml:space="preserve">기계장치-감가상각누계액 </t>
  </si>
  <si>
    <t>0001221600</t>
  </si>
  <si>
    <t xml:space="preserve">17. 기계장치손상차손누계액 </t>
  </si>
  <si>
    <t>RE129</t>
  </si>
  <si>
    <t xml:space="preserve">기계장치-손상차손누계액 </t>
  </si>
  <si>
    <t>0001221780</t>
  </si>
  <si>
    <t xml:space="preserve">18. 차량운반구 </t>
  </si>
  <si>
    <t>RS61</t>
  </si>
  <si>
    <t xml:space="preserve">차량운반구 </t>
  </si>
  <si>
    <t>0001222000</t>
  </si>
  <si>
    <t xml:space="preserve">19. 차량운반구감가상각누계액 </t>
  </si>
  <si>
    <t>RS62</t>
  </si>
  <si>
    <t xml:space="preserve">차량운반구-감가상각누계액 </t>
  </si>
  <si>
    <t>0001222100</t>
  </si>
  <si>
    <t>20. 차량운반구손상차손누계액</t>
  </si>
  <si>
    <t>RE130</t>
  </si>
  <si>
    <t xml:space="preserve">차량운반구-손상차손누계액 </t>
  </si>
  <si>
    <t>0001222280</t>
  </si>
  <si>
    <t>21. 공구와기구</t>
  </si>
  <si>
    <t>RS38</t>
  </si>
  <si>
    <t>공구와기구</t>
  </si>
  <si>
    <t>0001222500</t>
  </si>
  <si>
    <t xml:space="preserve">22. 공구와기구감가상각누계액 </t>
  </si>
  <si>
    <t>RS39</t>
  </si>
  <si>
    <t xml:space="preserve">공구와기구-감가상각누계액 </t>
  </si>
  <si>
    <t>0001222600</t>
  </si>
  <si>
    <t xml:space="preserve">23. 공구와기구손상차손누계액 </t>
  </si>
  <si>
    <t>RE131</t>
  </si>
  <si>
    <t xml:space="preserve">공구와기구-손상차손누계액 </t>
  </si>
  <si>
    <t>0001222780</t>
  </si>
  <si>
    <t>24. 비품</t>
  </si>
  <si>
    <t>RS40</t>
  </si>
  <si>
    <t>일반비품</t>
  </si>
  <si>
    <t>0001223001</t>
  </si>
  <si>
    <t xml:space="preserve">25. 비품감가상각누계액 </t>
  </si>
  <si>
    <t>RS64</t>
  </si>
  <si>
    <t xml:space="preserve">일반비품-감가상각누계액 </t>
  </si>
  <si>
    <t>0001223101</t>
  </si>
  <si>
    <t xml:space="preserve">26. 비품손상차손누계액 </t>
  </si>
  <si>
    <t>RE132</t>
  </si>
  <si>
    <t xml:space="preserve">일반비품-손상차손누계액 </t>
  </si>
  <si>
    <t>0001223281</t>
  </si>
  <si>
    <t>27. 전산장비</t>
  </si>
  <si>
    <t>RS23D</t>
  </si>
  <si>
    <t>전산장비</t>
  </si>
  <si>
    <t>0001221701</t>
  </si>
  <si>
    <t xml:space="preserve">28. 전산장비 감가상각누계액 </t>
  </si>
  <si>
    <t>RS23E</t>
  </si>
  <si>
    <t xml:space="preserve">전산장비감가상각누계액 </t>
  </si>
  <si>
    <t>0001221702</t>
  </si>
  <si>
    <t xml:space="preserve">29. 전산장비 손상차손누계액 </t>
  </si>
  <si>
    <t>RS23F</t>
  </si>
  <si>
    <t xml:space="preserve">전산장비손상차손누계액 </t>
  </si>
  <si>
    <t>0001221703</t>
  </si>
  <si>
    <t>30. 건설중인자산</t>
  </si>
  <si>
    <t>RS63</t>
  </si>
  <si>
    <t>건설중인자산</t>
  </si>
  <si>
    <t>0001224000</t>
  </si>
  <si>
    <t xml:space="preserve">31. 건설중인자산손상차손누계액 </t>
  </si>
  <si>
    <t>RE134</t>
  </si>
  <si>
    <t xml:space="preserve">건설중인자산-손상차손누계액 </t>
  </si>
  <si>
    <t>0001224180</t>
  </si>
  <si>
    <t>32. 방송설비</t>
  </si>
  <si>
    <t>RS70</t>
  </si>
  <si>
    <t>방송설비</t>
  </si>
  <si>
    <t>0001223991</t>
  </si>
  <si>
    <t xml:space="preserve">33. 방송설비감가상각누계액 </t>
  </si>
  <si>
    <t>RS72</t>
  </si>
  <si>
    <t xml:space="preserve">방송설비-감가상각누계액 </t>
  </si>
  <si>
    <t>0001223992</t>
  </si>
  <si>
    <t xml:space="preserve">34. 방송설비손상차손누계액 </t>
  </si>
  <si>
    <t>RS72B</t>
  </si>
  <si>
    <t xml:space="preserve">방송설비-손상차손누계액 </t>
  </si>
  <si>
    <t>0001223995</t>
  </si>
  <si>
    <t>35. HD방송설비</t>
  </si>
  <si>
    <t>R272C</t>
  </si>
  <si>
    <t>HD방송설비</t>
  </si>
  <si>
    <t>0001223993</t>
  </si>
  <si>
    <t xml:space="preserve">36. HD방송설비감가상각누계액 </t>
  </si>
  <si>
    <t>R272D</t>
  </si>
  <si>
    <t xml:space="preserve">HD방송설비-감가상각누계액 </t>
  </si>
  <si>
    <t>0001223994</t>
  </si>
  <si>
    <t xml:space="preserve">37. HD방송설비손상차손누계액 </t>
  </si>
  <si>
    <t>R272E</t>
  </si>
  <si>
    <t xml:space="preserve">HD방송설비-손상차손누계액 </t>
  </si>
  <si>
    <t>0001223996</t>
  </si>
  <si>
    <t>(6) 무형자산</t>
  </si>
  <si>
    <t>RS24</t>
  </si>
  <si>
    <t xml:space="preserve">01. 소프트웨어 </t>
  </si>
  <si>
    <t>RS74B</t>
  </si>
  <si>
    <t xml:space="preserve">소프트웨어 </t>
  </si>
  <si>
    <t>0001231701</t>
  </si>
  <si>
    <t xml:space="preserve">02. 소프트웨어 감가상각누계액 </t>
  </si>
  <si>
    <t>RE138A</t>
  </si>
  <si>
    <t xml:space="preserve">소프트웨어-감가상각누계액 </t>
  </si>
  <si>
    <t>0001231801</t>
  </si>
  <si>
    <t xml:space="preserve">03. 소프트웨어 손상차손누계액 </t>
  </si>
  <si>
    <t>RE138</t>
  </si>
  <si>
    <t xml:space="preserve">소프트웨어-손상차손누계액 </t>
  </si>
  <si>
    <t>0001231981</t>
  </si>
  <si>
    <t xml:space="preserve">04. 임차권리금 </t>
  </si>
  <si>
    <t>RS73</t>
  </si>
  <si>
    <t xml:space="preserve">임차권리금 </t>
  </si>
  <si>
    <t>0001230101</t>
  </si>
  <si>
    <t>임차권리금-리스조정</t>
  </si>
  <si>
    <t>0001230181</t>
  </si>
  <si>
    <t xml:space="preserve">05. 임차권리금 감가상각누계액 </t>
  </si>
  <si>
    <t>RS73A</t>
  </si>
  <si>
    <t xml:space="preserve">임차권리금-감가상가누계액 </t>
  </si>
  <si>
    <t>0001230201</t>
  </si>
  <si>
    <t xml:space="preserve">임차권리금(리스조정)-감가상가누계액 </t>
  </si>
  <si>
    <t>0001230281</t>
  </si>
  <si>
    <t xml:space="preserve">06. 임차권리금 손상차손누계액 </t>
  </si>
  <si>
    <t>RE135</t>
  </si>
  <si>
    <t xml:space="preserve">임차권리금-손상차손누계액 </t>
  </si>
  <si>
    <t>0001230381</t>
  </si>
  <si>
    <t xml:space="preserve">07. 산업재산권-특허권 </t>
  </si>
  <si>
    <t>RS74</t>
  </si>
  <si>
    <t xml:space="preserve">특허권 </t>
  </si>
  <si>
    <t>0001230502</t>
  </si>
  <si>
    <t xml:space="preserve">08. 산업재산권-특허권 감가상각누계액 </t>
  </si>
  <si>
    <t>RS74A</t>
  </si>
  <si>
    <t xml:space="preserve">특허권-감가상각누계액 </t>
  </si>
  <si>
    <t>0001230602</t>
  </si>
  <si>
    <t xml:space="preserve">09. 산업재산권-특허권 손상차손누계액 </t>
  </si>
  <si>
    <t>RE137</t>
  </si>
  <si>
    <t xml:space="preserve">특허권-손상차손누계액 </t>
  </si>
  <si>
    <t>0001230783</t>
  </si>
  <si>
    <t xml:space="preserve">10. 산업재산권-상표권 </t>
  </si>
  <si>
    <t>RS74E</t>
  </si>
  <si>
    <t xml:space="preserve">상표권 </t>
  </si>
  <si>
    <t>0001230501</t>
  </si>
  <si>
    <t xml:space="preserve">11. 산업재산권-상표권 감가상각누계액 </t>
  </si>
  <si>
    <t>RS74F</t>
  </si>
  <si>
    <t xml:space="preserve">상표권-감가상각누계액 </t>
  </si>
  <si>
    <t>0001230601</t>
  </si>
  <si>
    <t xml:space="preserve">12. 산업재산권-상표권 손상차손누계액 </t>
  </si>
  <si>
    <t>RS74G</t>
  </si>
  <si>
    <t xml:space="preserve">상표권-손상차손누계액 </t>
  </si>
  <si>
    <t>0001230782</t>
  </si>
  <si>
    <t xml:space="preserve">13. 산업재산권-사용수익권 </t>
  </si>
  <si>
    <t>RS74P</t>
  </si>
  <si>
    <t xml:space="preserve">사용수익권 </t>
  </si>
  <si>
    <t>0001230504</t>
  </si>
  <si>
    <t xml:space="preserve">14. 산업재산권-사용수익권 감가상각누계액 </t>
  </si>
  <si>
    <t>RS75Q</t>
  </si>
  <si>
    <t xml:space="preserve">사용수익권-감가상각누계액 </t>
  </si>
  <si>
    <t>0001230604</t>
  </si>
  <si>
    <t xml:space="preserve">15. 산업재산권-사용수익권 손상차손누계액 </t>
  </si>
  <si>
    <t>RS75R</t>
  </si>
  <si>
    <t>16. 비한정내용연수의무형자산</t>
  </si>
  <si>
    <t>RS74H</t>
  </si>
  <si>
    <t xml:space="preserve">비한정내용연수무형자산-디지털자산 </t>
  </si>
  <si>
    <t>0001231001</t>
  </si>
  <si>
    <t xml:space="preserve">17. 비한정내용연수의무형자산 손상차손누계액 </t>
  </si>
  <si>
    <t>RS74I</t>
  </si>
  <si>
    <t xml:space="preserve">비한정디지털자산-손상차손누계액 </t>
  </si>
  <si>
    <t>0001231011</t>
  </si>
  <si>
    <t xml:space="preserve">18. 영업권 </t>
  </si>
  <si>
    <t>RS73D</t>
  </si>
  <si>
    <t xml:space="preserve">영업권 </t>
  </si>
  <si>
    <t>0001230103</t>
  </si>
  <si>
    <t xml:space="preserve">19. 영업권 손상차손누계액 </t>
  </si>
  <si>
    <t>RE136</t>
  </si>
  <si>
    <t>영업권손상차손누계액</t>
  </si>
  <si>
    <t>0001230383</t>
  </si>
  <si>
    <t xml:space="preserve">20. 고객관계 </t>
  </si>
  <si>
    <t>RS74J</t>
  </si>
  <si>
    <t xml:space="preserve">고객관계 </t>
  </si>
  <si>
    <t>0001230572</t>
  </si>
  <si>
    <t xml:space="preserve">21. 고객관계 감가상각누계액 </t>
  </si>
  <si>
    <t>RS128K</t>
  </si>
  <si>
    <t xml:space="preserve">고객관계-감가상각누계액 </t>
  </si>
  <si>
    <t>0001239981</t>
  </si>
  <si>
    <t xml:space="preserve">22. 고객관계 손상차손누계액 </t>
  </si>
  <si>
    <t>RS74L</t>
  </si>
  <si>
    <t xml:space="preserve">고객관계-손상차손누계액 </t>
  </si>
  <si>
    <t>0001239985</t>
  </si>
  <si>
    <t xml:space="preserve">23. 방송사업권 </t>
  </si>
  <si>
    <t>RS74M</t>
  </si>
  <si>
    <t xml:space="preserve">방송사업권 </t>
  </si>
  <si>
    <t>0001230570</t>
  </si>
  <si>
    <t xml:space="preserve">24. 방송사업권 감가상각누계액 </t>
  </si>
  <si>
    <t>RS74N</t>
  </si>
  <si>
    <t xml:space="preserve">방송사업권-감가상각누계액 </t>
  </si>
  <si>
    <t>0001239870</t>
  </si>
  <si>
    <t xml:space="preserve">25. 방송사업권 손상차손누계액 </t>
  </si>
  <si>
    <t>RS74O</t>
  </si>
  <si>
    <t xml:space="preserve">방송사업권-손상차손누계액 </t>
  </si>
  <si>
    <t>0001239986</t>
  </si>
  <si>
    <t>26. 보증금(골프회원권)</t>
  </si>
  <si>
    <t>RS74S</t>
  </si>
  <si>
    <t>보증금(골프회원권)</t>
  </si>
  <si>
    <t>0001212005</t>
  </si>
  <si>
    <t xml:space="preserve">27. 보증금(골프회원권) 손상차손누계액 </t>
  </si>
  <si>
    <t>RS74T</t>
  </si>
  <si>
    <t xml:space="preserve">보증금(골프회원권)-손상차손누계액 </t>
  </si>
  <si>
    <t>0001232081</t>
  </si>
  <si>
    <t>28. 보증금(콘도회원권)</t>
  </si>
  <si>
    <t>RS74U</t>
  </si>
  <si>
    <t>보증금(콘도회원권)</t>
  </si>
  <si>
    <t>0001212006</t>
  </si>
  <si>
    <t xml:space="preserve">29. 보증금(콘도회원권) 손상차손누계액 </t>
  </si>
  <si>
    <t>RS74V</t>
  </si>
  <si>
    <t xml:space="preserve">보증금(콘도회원권)-손상차손누계액 </t>
  </si>
  <si>
    <t>0001232082</t>
  </si>
  <si>
    <t>(7) 투자부동산</t>
  </si>
  <si>
    <t>RS25A</t>
  </si>
  <si>
    <t>01. 투자부동산(토지)</t>
  </si>
  <si>
    <t>RS25A1</t>
  </si>
  <si>
    <t>투자부동산(토지)</t>
  </si>
  <si>
    <t>0001233000</t>
  </si>
  <si>
    <t>투자부동산(토지)_조정</t>
  </si>
  <si>
    <t>0001233001</t>
  </si>
  <si>
    <t xml:space="preserve">02. 투자부동산(토지) 손상차손누계액 </t>
  </si>
  <si>
    <t>RS25A2</t>
  </si>
  <si>
    <t xml:space="preserve">투자부동산(토지)-손상차손누계액 </t>
  </si>
  <si>
    <t>0001236903</t>
  </si>
  <si>
    <t>03. 투자부동산(건물)</t>
  </si>
  <si>
    <t>RS25A3</t>
  </si>
  <si>
    <t>투자부동산(건물)</t>
  </si>
  <si>
    <t>0001234000</t>
  </si>
  <si>
    <t>투자부동산(건물)_조정</t>
  </si>
  <si>
    <t>0001234002</t>
  </si>
  <si>
    <t xml:space="preserve">04. 투자부동산(건물) 감가상각누계액 </t>
  </si>
  <si>
    <t>RS25A4</t>
  </si>
  <si>
    <t xml:space="preserve">투자부동산(건물)-감가상각누계액 </t>
  </si>
  <si>
    <t>0001234001</t>
  </si>
  <si>
    <t xml:space="preserve">투자부동산(건물)_조정-감가상각누계액 </t>
  </si>
  <si>
    <t>0001234004</t>
  </si>
  <si>
    <t xml:space="preserve">05. 투자부동산(건물) 손상차손누계액 </t>
  </si>
  <si>
    <t>RS25A5</t>
  </si>
  <si>
    <t xml:space="preserve">투자부동산(건물)-손상차손누계액 </t>
  </si>
  <si>
    <t>0001236904</t>
  </si>
  <si>
    <t>06. 투자부동산(임차자산)</t>
  </si>
  <si>
    <t>RS25A6</t>
  </si>
  <si>
    <t>투자부동산(임차자산)</t>
  </si>
  <si>
    <t>0001223503</t>
  </si>
  <si>
    <t xml:space="preserve">07. 투자부동산(임차자산) 감가상각누계액 </t>
  </si>
  <si>
    <t>RS25A7</t>
  </si>
  <si>
    <t xml:space="preserve">투자부동산(임차자산)-감가상각누계액 </t>
  </si>
  <si>
    <t>0001223700</t>
  </si>
  <si>
    <t xml:space="preserve">08. 투자부동산(임차자산) 손상차손누계액 </t>
  </si>
  <si>
    <t>RS25A8</t>
  </si>
  <si>
    <t xml:space="preserve">투자부동산(임차자산)-손상차손누계액 </t>
  </si>
  <si>
    <t>0001220640</t>
  </si>
  <si>
    <t>09. 투자부동산(사용권자산)</t>
  </si>
  <si>
    <t>RS25A9</t>
  </si>
  <si>
    <t>투자부동산(사용권)</t>
  </si>
  <si>
    <t>0001235080</t>
  </si>
  <si>
    <t>투자부동산(사용권개설)</t>
  </si>
  <si>
    <t>0001235082</t>
  </si>
  <si>
    <t xml:space="preserve">10. 투자부동산(사용권자산) 감가상각누계액 </t>
  </si>
  <si>
    <t>RS25AA</t>
  </si>
  <si>
    <t xml:space="preserve">투자부동산(사용권)-감가상각누계액 </t>
  </si>
  <si>
    <t>0001235081</t>
  </si>
  <si>
    <t xml:space="preserve">투자부동산(사용권개설)-감가상각누계액 </t>
  </si>
  <si>
    <t>0001234082</t>
  </si>
  <si>
    <t xml:space="preserve">11. 투자부동산(사용권자산) 손상차손누계액 </t>
  </si>
  <si>
    <t>RS25AB</t>
  </si>
  <si>
    <t xml:space="preserve">투자부동산(사용권)- 손상차손누계액 </t>
  </si>
  <si>
    <t>0001236902</t>
  </si>
  <si>
    <t xml:space="preserve">투자부동산(사용권개설)- 손상차손누계액 </t>
  </si>
  <si>
    <t>0001236905</t>
  </si>
  <si>
    <t xml:space="preserve">(8) 기타비유동자산 </t>
  </si>
  <si>
    <t>RS35A</t>
  </si>
  <si>
    <t>01. 장기선급비용</t>
  </si>
  <si>
    <t>RS69</t>
  </si>
  <si>
    <t xml:space="preserve">장기선급비용-임차료 </t>
  </si>
  <si>
    <t>0001211501</t>
  </si>
  <si>
    <t xml:space="preserve">장기선급비용-보험료 </t>
  </si>
  <si>
    <t>0001211502</t>
  </si>
  <si>
    <t>장기선급비용-차입이자</t>
  </si>
  <si>
    <t>0001211503</t>
  </si>
  <si>
    <t>장기선급비용-복구충당</t>
  </si>
  <si>
    <t>0001211504</t>
  </si>
  <si>
    <t>장기선급비용-용역(전산/파견)</t>
  </si>
  <si>
    <t>0001211505</t>
  </si>
  <si>
    <t>장기선급비용-임차(상각</t>
  </si>
  <si>
    <t>0001211581</t>
  </si>
  <si>
    <t>장기선급비용-기타</t>
  </si>
  <si>
    <t>0001211599</t>
  </si>
  <si>
    <t xml:space="preserve">02. 기타비유동자산 </t>
  </si>
  <si>
    <t>RS737</t>
  </si>
  <si>
    <t>기타비유동자산-수익인식</t>
  </si>
  <si>
    <t>0001211601</t>
  </si>
  <si>
    <t>기타비유동자산-계약자산</t>
  </si>
  <si>
    <t>0001211600</t>
  </si>
  <si>
    <t>비유동계약자산-대손충당금</t>
  </si>
  <si>
    <t>0001211700</t>
  </si>
  <si>
    <t>장기선급금-일반</t>
  </si>
  <si>
    <t>0001215000</t>
  </si>
  <si>
    <t xml:space="preserve">(9) 이연법인세자산 </t>
  </si>
  <si>
    <t>RS71A</t>
  </si>
  <si>
    <t xml:space="preserve">01. 이연법인세자산 </t>
  </si>
  <si>
    <t>RS71</t>
  </si>
  <si>
    <t>이연법인세자산(비유동)</t>
  </si>
  <si>
    <t>0001219000</t>
  </si>
  <si>
    <t xml:space="preserve">(10) 리스비유동자산 </t>
  </si>
  <si>
    <t>RS72A</t>
  </si>
  <si>
    <t>01. 사용권자산(IFRS16)</t>
  </si>
  <si>
    <t>RE36</t>
  </si>
  <si>
    <t>사용권자산-차량</t>
  </si>
  <si>
    <t>0001235005</t>
  </si>
  <si>
    <t>사용권자산-개설원가</t>
  </si>
  <si>
    <t>0001235004</t>
  </si>
  <si>
    <t>사용권자산-부동산</t>
  </si>
  <si>
    <t>0001235001</t>
  </si>
  <si>
    <t>사용권자산-기타</t>
  </si>
  <si>
    <t>0001235009</t>
  </si>
  <si>
    <t>사용권자산-임대</t>
  </si>
  <si>
    <t>0001236001</t>
  </si>
  <si>
    <t xml:space="preserve">02. 사용권자산감가누계액 </t>
  </si>
  <si>
    <t>RE37</t>
  </si>
  <si>
    <t>사용권자산감가누계-개설원가</t>
  </si>
  <si>
    <t>0001235020</t>
  </si>
  <si>
    <t>사용권자산감가누계-부동산</t>
  </si>
  <si>
    <t>0001235011</t>
  </si>
  <si>
    <t>사용권자산감가누계-기타</t>
  </si>
  <si>
    <t>0001235019</t>
  </si>
  <si>
    <t>사용권자산감가누계-차량</t>
  </si>
  <si>
    <t>0001235014</t>
  </si>
  <si>
    <t xml:space="preserve">03. 사용권자산손상감가누계액 </t>
  </si>
  <si>
    <t>RE39</t>
  </si>
  <si>
    <t>사용권자산손상차손누계액</t>
  </si>
  <si>
    <t>0001236901</t>
  </si>
  <si>
    <t xml:space="preserve">부 채 </t>
  </si>
  <si>
    <t>RS10</t>
  </si>
  <si>
    <t xml:space="preserve">Ⅰ. 유 동 부 채 </t>
  </si>
  <si>
    <t>RS9</t>
  </si>
  <si>
    <t>(1) 매입채무및기타채무</t>
  </si>
  <si>
    <t>RS9A</t>
  </si>
  <si>
    <t>01. 매입채무</t>
  </si>
  <si>
    <t>RS81</t>
  </si>
  <si>
    <t xml:space="preserve">가. 외상매입금 </t>
  </si>
  <si>
    <t>RS75</t>
  </si>
  <si>
    <t>외상매입금-일반</t>
  </si>
  <si>
    <t>0002100101</t>
  </si>
  <si>
    <t>외상매입금-구매카드</t>
  </si>
  <si>
    <t>0002100102</t>
  </si>
  <si>
    <t xml:space="preserve">외상매입금-장려금 </t>
  </si>
  <si>
    <t>0002100103</t>
  </si>
  <si>
    <t>외상매입금-외화</t>
  </si>
  <si>
    <t>0002100107</t>
  </si>
  <si>
    <t xml:space="preserve">외상매입금-지불확정 </t>
  </si>
  <si>
    <t>0002100120</t>
  </si>
  <si>
    <t>외상매입금-조정</t>
  </si>
  <si>
    <t>0002100121</t>
  </si>
  <si>
    <t>외상매입금-입고조정(사은품)</t>
  </si>
  <si>
    <t>0002100191</t>
  </si>
  <si>
    <t>외상매입금-입고조정(포장)</t>
  </si>
  <si>
    <t>0002100192</t>
  </si>
  <si>
    <t>외상매입금-입고조정(상품)</t>
  </si>
  <si>
    <t>0002100198</t>
  </si>
  <si>
    <t>02. 미지급금</t>
  </si>
  <si>
    <t>RS86</t>
  </si>
  <si>
    <t>미지급금-외화</t>
  </si>
  <si>
    <t>0002100519</t>
  </si>
  <si>
    <t>미지급금-일반</t>
  </si>
  <si>
    <t>0002101501</t>
  </si>
  <si>
    <t>미지급금-개발자금</t>
  </si>
  <si>
    <t>0002101502</t>
  </si>
  <si>
    <t xml:space="preserve">미지급금-임대차 </t>
  </si>
  <si>
    <t>0002101503</t>
  </si>
  <si>
    <t>미지급금-구매카드</t>
  </si>
  <si>
    <t>0002101505</t>
  </si>
  <si>
    <t>미지급금-법인카드</t>
  </si>
  <si>
    <t>0002101506</t>
  </si>
  <si>
    <t>미지급금-용기공병</t>
  </si>
  <si>
    <t>0002101507</t>
  </si>
  <si>
    <t>미지급금-직원카드</t>
  </si>
  <si>
    <t>0002101508</t>
  </si>
  <si>
    <t>미지급금-신용카드</t>
  </si>
  <si>
    <t>0002101509</t>
  </si>
  <si>
    <t>미지급금-리스</t>
  </si>
  <si>
    <t>0002101511</t>
  </si>
  <si>
    <t xml:space="preserve">미지급금-자판기 </t>
  </si>
  <si>
    <t>0002101512</t>
  </si>
  <si>
    <t>미지급금-영업</t>
  </si>
  <si>
    <t>0002101514</t>
  </si>
  <si>
    <t>미지급금-환불</t>
  </si>
  <si>
    <t>0002101515</t>
  </si>
  <si>
    <t xml:space="preserve">미지급금-유료배송비 </t>
  </si>
  <si>
    <t>0002101516</t>
  </si>
  <si>
    <t xml:space="preserve">미지급금-대금지불보류 </t>
  </si>
  <si>
    <t>0002101517</t>
  </si>
  <si>
    <t>미지급금-N채널_보류</t>
  </si>
  <si>
    <t>0002101518</t>
  </si>
  <si>
    <t>미지급금-업체환불</t>
  </si>
  <si>
    <t>0002101519</t>
  </si>
  <si>
    <t>미지급금-가압류보류</t>
  </si>
  <si>
    <t>0002101520</t>
  </si>
  <si>
    <t>미지급금-MD보류</t>
  </si>
  <si>
    <t>0002101521</t>
  </si>
  <si>
    <t>미지급금-유보금(반품)</t>
  </si>
  <si>
    <t>0002101522</t>
  </si>
  <si>
    <t>미지급금-가압류보류해제</t>
  </si>
  <si>
    <t>0002101523</t>
  </si>
  <si>
    <t>미지급금-MD보류해제</t>
  </si>
  <si>
    <t>0002101524</t>
  </si>
  <si>
    <t xml:space="preserve">미지급금-유보금해제 </t>
  </si>
  <si>
    <t>0002101525</t>
  </si>
  <si>
    <t xml:space="preserve">미지급금-지불유보 </t>
  </si>
  <si>
    <t>0002101526</t>
  </si>
  <si>
    <t>미지급금-지불유보(해제)</t>
  </si>
  <si>
    <t>0002101527</t>
  </si>
  <si>
    <t>미지급금-결산조정</t>
  </si>
  <si>
    <t>0002101590</t>
  </si>
  <si>
    <t>미지급금-기타</t>
  </si>
  <si>
    <t>0002101591</t>
  </si>
  <si>
    <t>미지급금-보험계약</t>
  </si>
  <si>
    <t>0002101592</t>
  </si>
  <si>
    <t>미지급금-TR</t>
  </si>
  <si>
    <t>0002109800</t>
  </si>
  <si>
    <t>출금예정-FB</t>
  </si>
  <si>
    <t>0007000000</t>
  </si>
  <si>
    <t>출금예정-구매카드</t>
  </si>
  <si>
    <t>0007000002</t>
  </si>
  <si>
    <t>03. 가맹정산금</t>
  </si>
  <si>
    <t>RS87</t>
  </si>
  <si>
    <t>가맹정산금(선수금-가맹)</t>
  </si>
  <si>
    <t>0002103502</t>
  </si>
  <si>
    <t xml:space="preserve">04. 미지급비용 </t>
  </si>
  <si>
    <t>RS91</t>
  </si>
  <si>
    <t xml:space="preserve">가.미지급비용 </t>
  </si>
  <si>
    <t>RS91A</t>
  </si>
  <si>
    <t>미지급비용-차입이자</t>
  </si>
  <si>
    <t>0002103001</t>
  </si>
  <si>
    <t>미지급비용-HR</t>
  </si>
  <si>
    <t>0002103003</t>
  </si>
  <si>
    <t>미지급비용-고용보험</t>
  </si>
  <si>
    <t>0002103007</t>
  </si>
  <si>
    <t>미지급비용-산재보험</t>
  </si>
  <si>
    <t>0002103008</t>
  </si>
  <si>
    <t>미지급비용-임금채권</t>
  </si>
  <si>
    <t>0002103009</t>
  </si>
  <si>
    <t>미지급비용-리스</t>
  </si>
  <si>
    <t>0002103010</t>
  </si>
  <si>
    <t xml:space="preserve">미지급비용-종합부동산세 </t>
  </si>
  <si>
    <t>0002103011</t>
  </si>
  <si>
    <t xml:space="preserve">미지급비용-수수료 </t>
  </si>
  <si>
    <t>0002103012</t>
  </si>
  <si>
    <t xml:space="preserve">미지급비용-SO송출수수료 </t>
  </si>
  <si>
    <t>0002103013</t>
  </si>
  <si>
    <t>미지급비용-방송발전기금</t>
  </si>
  <si>
    <t>0002103014</t>
  </si>
  <si>
    <t xml:space="preserve">미지급비용-재산세 </t>
  </si>
  <si>
    <t>0002103015</t>
  </si>
  <si>
    <t>미지급비용-기타</t>
  </si>
  <si>
    <t>0002103099</t>
  </si>
  <si>
    <t xml:space="preserve">나.미지급비용종업원관련 </t>
  </si>
  <si>
    <t>RS91B</t>
  </si>
  <si>
    <t>미지급비용-급여</t>
  </si>
  <si>
    <t>0002103004</t>
  </si>
  <si>
    <t>미지급비용-상여</t>
  </si>
  <si>
    <t>0002103005</t>
  </si>
  <si>
    <t xml:space="preserve">미지급비용-휴가보상비 </t>
  </si>
  <si>
    <t>0002103081</t>
  </si>
  <si>
    <t>05. 미지급배당금</t>
  </si>
  <si>
    <t>RS103</t>
  </si>
  <si>
    <t>미지급배당금-현금</t>
  </si>
  <si>
    <t>0002102001</t>
  </si>
  <si>
    <t>06. 유동성예수보증금</t>
  </si>
  <si>
    <t>RS150</t>
  </si>
  <si>
    <t>보증금현재가치(유동)</t>
  </si>
  <si>
    <t>0002104002</t>
  </si>
  <si>
    <t>시설집기보증금(유동)</t>
  </si>
  <si>
    <t>0002104003</t>
  </si>
  <si>
    <t>가맹영업보증금(유동)</t>
  </si>
  <si>
    <t>0002104004</t>
  </si>
  <si>
    <t>임대보증금(유동)</t>
  </si>
  <si>
    <t>0002104005</t>
  </si>
  <si>
    <t>단기보증금-임대(개발사업부)</t>
  </si>
  <si>
    <t>0002104006</t>
  </si>
  <si>
    <t>영업보증금현재가치할인차금(유동)</t>
  </si>
  <si>
    <t>0002104007</t>
  </si>
  <si>
    <t>(2) 차입금및사채</t>
  </si>
  <si>
    <t>RS9C</t>
  </si>
  <si>
    <t xml:space="preserve">01. 단기차입금 </t>
  </si>
  <si>
    <t>RS85</t>
  </si>
  <si>
    <t>단기차입-당좌차월</t>
  </si>
  <si>
    <t>0002101001</t>
  </si>
  <si>
    <t xml:space="preserve">단기차입-일반대출 </t>
  </si>
  <si>
    <t>0002101002</t>
  </si>
  <si>
    <t xml:space="preserve">02. 유동성사채 </t>
  </si>
  <si>
    <t>RS9C1</t>
  </si>
  <si>
    <t xml:space="preserve">가.유동성사채 </t>
  </si>
  <si>
    <t>RS108</t>
  </si>
  <si>
    <t xml:space="preserve">유동성원화사채 </t>
  </si>
  <si>
    <t>0002109000</t>
  </si>
  <si>
    <t xml:space="preserve">유동성외화사채 </t>
  </si>
  <si>
    <t>0002109010</t>
  </si>
  <si>
    <t xml:space="preserve">나.유동성사채발행차금 </t>
  </si>
  <si>
    <t>RS109</t>
  </si>
  <si>
    <t xml:space="preserve">유동성사채발행차금 </t>
  </si>
  <si>
    <t>0002109100</t>
  </si>
  <si>
    <t xml:space="preserve">(3) 기타유동금융부채 </t>
  </si>
  <si>
    <t>RS9H</t>
  </si>
  <si>
    <t xml:space="preserve">01. 유동성파생상품부채 </t>
  </si>
  <si>
    <t>RS9G1</t>
  </si>
  <si>
    <t>파생상품-부채(유동)</t>
  </si>
  <si>
    <t>0002108200</t>
  </si>
  <si>
    <t xml:space="preserve">02. 기타유동금융부채 </t>
  </si>
  <si>
    <t>RS9G2</t>
  </si>
  <si>
    <t xml:space="preserve">기타유동금융부채 </t>
  </si>
  <si>
    <t>0002108980</t>
  </si>
  <si>
    <t xml:space="preserve">유동금융보증부채 </t>
  </si>
  <si>
    <t>0002108981</t>
  </si>
  <si>
    <t xml:space="preserve">(4) 기타유동부채 </t>
  </si>
  <si>
    <t>RS9G</t>
  </si>
  <si>
    <t xml:space="preserve">01. 선수금 </t>
  </si>
  <si>
    <t>RS105</t>
  </si>
  <si>
    <t>선수금-일반</t>
  </si>
  <si>
    <t>0002103501</t>
  </si>
  <si>
    <t>선수금-주문</t>
  </si>
  <si>
    <t>0002103503</t>
  </si>
  <si>
    <t>선수금-주문(정산)</t>
  </si>
  <si>
    <t>0002103504</t>
  </si>
  <si>
    <t>선수금-물류지원금</t>
  </si>
  <si>
    <t>0002103506</t>
  </si>
  <si>
    <t xml:space="preserve">선수금-포인트 </t>
  </si>
  <si>
    <t>0002103508</t>
  </si>
  <si>
    <t>선수금-해외</t>
  </si>
  <si>
    <t>0002103509</t>
  </si>
  <si>
    <t>02. 선수수익</t>
  </si>
  <si>
    <t>RS110</t>
  </si>
  <si>
    <t xml:space="preserve">미지급비용-멤버십 </t>
  </si>
  <si>
    <t>0002103002</t>
  </si>
  <si>
    <t xml:space="preserve">미지급금-멤버십 </t>
  </si>
  <si>
    <t>0002101528</t>
  </si>
  <si>
    <t>선수수익-공통</t>
  </si>
  <si>
    <t>0002103020</t>
  </si>
  <si>
    <t>선수수익-구매</t>
  </si>
  <si>
    <t>0002103021</t>
  </si>
  <si>
    <t xml:space="preserve">선수수익-비구매 </t>
  </si>
  <si>
    <t>0002103022</t>
  </si>
  <si>
    <t>선수수익-비구매(차감)</t>
  </si>
  <si>
    <t>0002103023</t>
  </si>
  <si>
    <t>선수수익-비구매(타사)</t>
  </si>
  <si>
    <t>0002103024</t>
  </si>
  <si>
    <t>선수수익-일반</t>
  </si>
  <si>
    <t>0002104500</t>
  </si>
  <si>
    <t>선수수익-리스</t>
  </si>
  <si>
    <t>0002104502</t>
  </si>
  <si>
    <t>선수수익-정액</t>
  </si>
  <si>
    <t>0002104504</t>
  </si>
  <si>
    <t xml:space="preserve">선수수익-선수임대료 </t>
  </si>
  <si>
    <t>0002104581</t>
  </si>
  <si>
    <t xml:space="preserve">선수수익-멤버십 </t>
  </si>
  <si>
    <t>0002104582</t>
  </si>
  <si>
    <t>선수수익-멤버십(차감)</t>
  </si>
  <si>
    <t>0002104583</t>
  </si>
  <si>
    <t>선수수익-정액(유동)</t>
  </si>
  <si>
    <t>0002104503</t>
  </si>
  <si>
    <t>리워즈충당부채-사업</t>
  </si>
  <si>
    <t>0002109902</t>
  </si>
  <si>
    <t>리워즈충당부채-전사</t>
  </si>
  <si>
    <t>0002109903</t>
  </si>
  <si>
    <t>리워즈충당부채-이벤</t>
  </si>
  <si>
    <t>0002109904</t>
  </si>
  <si>
    <t>리워즈충당부채-전환</t>
  </si>
  <si>
    <t>0002109905</t>
  </si>
  <si>
    <t>회원적립충당금-고객</t>
  </si>
  <si>
    <t>0002108384</t>
  </si>
  <si>
    <t>회원적립충당금-외부</t>
  </si>
  <si>
    <t>0002108385</t>
  </si>
  <si>
    <t>리워즈충당부채-제휴</t>
  </si>
  <si>
    <t>0002109906</t>
  </si>
  <si>
    <t>이연수익-포인트(할인권)</t>
  </si>
  <si>
    <t>0002109990</t>
  </si>
  <si>
    <t xml:space="preserve">이연수익-포인트 </t>
  </si>
  <si>
    <t>0002109991</t>
  </si>
  <si>
    <t>이연수익-조정</t>
  </si>
  <si>
    <t>0002109999</t>
  </si>
  <si>
    <t xml:space="preserve">03. 선수상품권 </t>
  </si>
  <si>
    <t>RS88</t>
  </si>
  <si>
    <t xml:space="preserve">선수상품권 </t>
  </si>
  <si>
    <t>0002104000</t>
  </si>
  <si>
    <t xml:space="preserve">04. 예수금 </t>
  </si>
  <si>
    <t>RS90</t>
  </si>
  <si>
    <t xml:space="preserve">예수금-공과금 </t>
  </si>
  <si>
    <t>0002105001</t>
  </si>
  <si>
    <t xml:space="preserve">예수금-소득세 </t>
  </si>
  <si>
    <t>0002105002</t>
  </si>
  <si>
    <t xml:space="preserve">예수금-주민세 </t>
  </si>
  <si>
    <t>0002105003</t>
  </si>
  <si>
    <t xml:space="preserve">예수금-교육세 </t>
  </si>
  <si>
    <t>0002105004</t>
  </si>
  <si>
    <t xml:space="preserve">예수금-농특세 </t>
  </si>
  <si>
    <t>0002105005</t>
  </si>
  <si>
    <t xml:space="preserve">예수금-특소세 </t>
  </si>
  <si>
    <t>0002105006</t>
  </si>
  <si>
    <t>예수금-국민연금</t>
  </si>
  <si>
    <t>0002105007</t>
  </si>
  <si>
    <t xml:space="preserve">예수금-의료보험료 </t>
  </si>
  <si>
    <t>0002105008</t>
  </si>
  <si>
    <t xml:space="preserve">예수금-고용보험료 </t>
  </si>
  <si>
    <t>0002105009</t>
  </si>
  <si>
    <t>예수금-보증보험</t>
  </si>
  <si>
    <t>0002105011</t>
  </si>
  <si>
    <t>예수금-자율회비</t>
  </si>
  <si>
    <t>0002105013</t>
  </si>
  <si>
    <t>예수금-가맹준비금</t>
  </si>
  <si>
    <t>0002105014</t>
  </si>
  <si>
    <t>예수금-송금</t>
  </si>
  <si>
    <t>0002105015</t>
  </si>
  <si>
    <t>예수금-급여가압류</t>
  </si>
  <si>
    <t>0002105020</t>
  </si>
  <si>
    <t xml:space="preserve">예수금-카페테리아 </t>
  </si>
  <si>
    <t>0002105021</t>
  </si>
  <si>
    <t xml:space="preserve">예수금-콘도이용료 </t>
  </si>
  <si>
    <t>0002105022</t>
  </si>
  <si>
    <t>예수금-관리자상조</t>
  </si>
  <si>
    <t>0002105023</t>
  </si>
  <si>
    <t xml:space="preserve">예수금-우수리 </t>
  </si>
  <si>
    <t>0002105024</t>
  </si>
  <si>
    <t xml:space="preserve">예수금-은행대출이자 </t>
  </si>
  <si>
    <t>0002105025</t>
  </si>
  <si>
    <t xml:space="preserve">예수금-현금과부족 </t>
  </si>
  <si>
    <t>0002105031</t>
  </si>
  <si>
    <t>예수금-교통카드</t>
  </si>
  <si>
    <t>0002105032</t>
  </si>
  <si>
    <t>예수금-보험모집인 고용_산재보험</t>
  </si>
  <si>
    <t>0002105034</t>
  </si>
  <si>
    <t>예수금-기타급여공제</t>
  </si>
  <si>
    <t>0002105035</t>
  </si>
  <si>
    <t xml:space="preserve">예수금-경품원천세 </t>
  </si>
  <si>
    <t>0002105036</t>
  </si>
  <si>
    <t xml:space="preserve">예수금-학자금대출 </t>
  </si>
  <si>
    <t>0002105037</t>
  </si>
  <si>
    <t xml:space="preserve">예수금-법인소득세 </t>
  </si>
  <si>
    <t>0002105038</t>
  </si>
  <si>
    <t xml:space="preserve">예수금-법인주민세 </t>
  </si>
  <si>
    <t>0002105039</t>
  </si>
  <si>
    <t xml:space="preserve">예수금-주택자금대출 </t>
  </si>
  <si>
    <t>0002105040</t>
  </si>
  <si>
    <t>예수금-입금</t>
  </si>
  <si>
    <t>0002105041</t>
  </si>
  <si>
    <t xml:space="preserve">예수금-미정산매출 </t>
  </si>
  <si>
    <t>0002105090</t>
  </si>
  <si>
    <t>예수금-기타(HR)</t>
  </si>
  <si>
    <t>0002105098</t>
  </si>
  <si>
    <t>예수금-기타</t>
  </si>
  <si>
    <t>0002105099</t>
  </si>
  <si>
    <t xml:space="preserve">05. 예수금부가세 </t>
  </si>
  <si>
    <t>RS112</t>
  </si>
  <si>
    <t>부가세예수금</t>
  </si>
  <si>
    <t>0002105500</t>
  </si>
  <si>
    <t>부가세예수금조정</t>
  </si>
  <si>
    <t>0002105501</t>
  </si>
  <si>
    <t xml:space="preserve">06. 미지급부가세 </t>
  </si>
  <si>
    <t>RS112B</t>
  </si>
  <si>
    <t xml:space="preserve">미지급금-부가세 </t>
  </si>
  <si>
    <t>0002101504</t>
  </si>
  <si>
    <t xml:space="preserve">미수금-부가세 </t>
  </si>
  <si>
    <t>0001113005</t>
  </si>
  <si>
    <t>07. 특소세예수금</t>
  </si>
  <si>
    <t>RS112C</t>
  </si>
  <si>
    <t xml:space="preserve">특소세예수금-특별소비세 </t>
  </si>
  <si>
    <t>0002101601</t>
  </si>
  <si>
    <t xml:space="preserve">특소세예수금-교육세 </t>
  </si>
  <si>
    <t>0002101602</t>
  </si>
  <si>
    <t>08. 가수금</t>
  </si>
  <si>
    <t>RS102</t>
  </si>
  <si>
    <t>가. 당좌예금가수금</t>
  </si>
  <si>
    <t>RS107</t>
  </si>
  <si>
    <t>가수금-무통장(고객가수금)</t>
  </si>
  <si>
    <t>0002101701</t>
  </si>
  <si>
    <t>가수금-무통장(미확인)</t>
  </si>
  <si>
    <t>0002101702</t>
  </si>
  <si>
    <t xml:space="preserve">가수금-무통장삭제 </t>
  </si>
  <si>
    <t>0002101703</t>
  </si>
  <si>
    <t xml:space="preserve">가수금-무통장환불 </t>
  </si>
  <si>
    <t>0002101704</t>
  </si>
  <si>
    <t>가수금-예금(일반)</t>
  </si>
  <si>
    <t>0002101705</t>
  </si>
  <si>
    <t>가수금-예금(CS)</t>
  </si>
  <si>
    <t>0002101707</t>
  </si>
  <si>
    <t>가수금-예금(원천세)</t>
  </si>
  <si>
    <t>0002101708</t>
  </si>
  <si>
    <t>가수금-결산조정</t>
  </si>
  <si>
    <t>0002101709</t>
  </si>
  <si>
    <t>우리당좌가수금</t>
  </si>
  <si>
    <t>0007200012</t>
  </si>
  <si>
    <t>하나당좌가수금</t>
  </si>
  <si>
    <t>0007810012</t>
  </si>
  <si>
    <t xml:space="preserve">09. 기타의유동부채 </t>
  </si>
  <si>
    <t>RS111</t>
  </si>
  <si>
    <t xml:space="preserve">기타유동부채-계약부채 </t>
  </si>
  <si>
    <t>0002109900</t>
  </si>
  <si>
    <t xml:space="preserve">GSALL멤버십충당부채 </t>
  </si>
  <si>
    <t>0002108501</t>
  </si>
  <si>
    <t xml:space="preserve">환불부채 </t>
  </si>
  <si>
    <t>0002109901</t>
  </si>
  <si>
    <t>기타유동부채-수익인식</t>
  </si>
  <si>
    <t>0002109909</t>
  </si>
  <si>
    <t xml:space="preserve">(5) 당기법인세부채 </t>
  </si>
  <si>
    <t>RS9D</t>
  </si>
  <si>
    <t>01. 미지급법인세</t>
  </si>
  <si>
    <t>RS92</t>
  </si>
  <si>
    <t xml:space="preserve">미지급법인세-법인세 </t>
  </si>
  <si>
    <t>0002102501</t>
  </si>
  <si>
    <t xml:space="preserve">미지급법인세-주민세 </t>
  </si>
  <si>
    <t>0002102502</t>
  </si>
  <si>
    <t xml:space="preserve">미지급법인세-농특세 </t>
  </si>
  <si>
    <t>0002102503</t>
  </si>
  <si>
    <t xml:space="preserve">미지급법인세-조정법인세 </t>
  </si>
  <si>
    <t>0002102598</t>
  </si>
  <si>
    <t xml:space="preserve">(6) 유동이연법인세부채 </t>
  </si>
  <si>
    <t>RS9I</t>
  </si>
  <si>
    <t xml:space="preserve">01. 이연법인세부채 </t>
  </si>
  <si>
    <t>RS9I1</t>
  </si>
  <si>
    <t>이연법인세부채(유동)</t>
  </si>
  <si>
    <t>0002108100</t>
  </si>
  <si>
    <t xml:space="preserve">(7) 유동충당부채 </t>
  </si>
  <si>
    <t>RS9E</t>
  </si>
  <si>
    <t xml:space="preserve">가. 유동충당부채 </t>
  </si>
  <si>
    <t>RS9EA</t>
  </si>
  <si>
    <t>복구충당부채-유동</t>
  </si>
  <si>
    <t>0002108381</t>
  </si>
  <si>
    <t>기타충당부채-유동</t>
  </si>
  <si>
    <t>0002108382</t>
  </si>
  <si>
    <t xml:space="preserve">소송충당부채 </t>
  </si>
  <si>
    <t>0002104584</t>
  </si>
  <si>
    <t>나. 유동성판매보증충담금</t>
  </si>
  <si>
    <t>RS9EB</t>
  </si>
  <si>
    <t>판매보증충당금-유동</t>
  </si>
  <si>
    <t>0002108383</t>
  </si>
  <si>
    <t xml:space="preserve">다. 회원적립충당금 </t>
  </si>
  <si>
    <t>RS9EC</t>
  </si>
  <si>
    <t xml:space="preserve">(8) 리스유동부채 </t>
  </si>
  <si>
    <t>RS9J</t>
  </si>
  <si>
    <t>금융리스부채(유동)</t>
  </si>
  <si>
    <t>0002108480</t>
  </si>
  <si>
    <t>리스부채(유동-ifrs)_기타</t>
  </si>
  <si>
    <t>0002108483</t>
  </si>
  <si>
    <t xml:space="preserve">Ⅱ. 비 유 동 부 채 </t>
  </si>
  <si>
    <t>RS21</t>
  </si>
  <si>
    <t>(1) 장기매입채무및기타채무</t>
  </si>
  <si>
    <t>RS21B</t>
  </si>
  <si>
    <t xml:space="preserve">01. 장기미지급비용 </t>
  </si>
  <si>
    <t>RS123A</t>
  </si>
  <si>
    <t>장기미지급비용-일반</t>
  </si>
  <si>
    <t>0002303400</t>
  </si>
  <si>
    <t>장기미지급비용-장기근속</t>
  </si>
  <si>
    <t>0002303401</t>
  </si>
  <si>
    <t xml:space="preserve">02. 예수보증금 </t>
  </si>
  <si>
    <t>RS22B</t>
  </si>
  <si>
    <t xml:space="preserve">가.예수보증금 </t>
  </si>
  <si>
    <t>RS120</t>
  </si>
  <si>
    <t xml:space="preserve">예수보증금-임대보증금 </t>
  </si>
  <si>
    <t>0002304501</t>
  </si>
  <si>
    <t xml:space="preserve">예수보증금-유니폼 </t>
  </si>
  <si>
    <t>0002304503</t>
  </si>
  <si>
    <t>예수보증금-시설집기</t>
  </si>
  <si>
    <t>0002304550</t>
  </si>
  <si>
    <t xml:space="preserve">예수보증금-가맹영업 </t>
  </si>
  <si>
    <t>0002304551</t>
  </si>
  <si>
    <t>예수보증금-기타</t>
  </si>
  <si>
    <t>0002304599</t>
  </si>
  <si>
    <t xml:space="preserve">나.예수보증금할인차금 </t>
  </si>
  <si>
    <t>RS21B1</t>
  </si>
  <si>
    <t xml:space="preserve">예수보증금할차금-임대보증금 </t>
  </si>
  <si>
    <t>0002304680</t>
  </si>
  <si>
    <t xml:space="preserve">예수보증금할차금-영업보증금 </t>
  </si>
  <si>
    <t>0002304681</t>
  </si>
  <si>
    <t>03. 장기미지급금</t>
  </si>
  <si>
    <t>RS21J</t>
  </si>
  <si>
    <t>장기미지급금-보험계약</t>
  </si>
  <si>
    <t>0002303503</t>
  </si>
  <si>
    <t>(2) 장기차입금및사채</t>
  </si>
  <si>
    <t>RS21A</t>
  </si>
  <si>
    <t>01. 사채</t>
  </si>
  <si>
    <t>RS22C</t>
  </si>
  <si>
    <t>가.사채</t>
  </si>
  <si>
    <t>RS93</t>
  </si>
  <si>
    <t>원화사채</t>
  </si>
  <si>
    <t>0002301000</t>
  </si>
  <si>
    <t>외화사채</t>
  </si>
  <si>
    <t>0002301010</t>
  </si>
  <si>
    <t>나.사채발행차금</t>
  </si>
  <si>
    <t>RS115</t>
  </si>
  <si>
    <t>사채발행차금-일반</t>
  </si>
  <si>
    <t>0002301101</t>
  </si>
  <si>
    <t xml:space="preserve">(3) 기타비유동금융부채 </t>
  </si>
  <si>
    <t>RS21G</t>
  </si>
  <si>
    <t xml:space="preserve">01. 파생상품부채 </t>
  </si>
  <si>
    <t>RS116A</t>
  </si>
  <si>
    <t xml:space="preserve">파생상품-부채 </t>
  </si>
  <si>
    <t>0002303301</t>
  </si>
  <si>
    <t xml:space="preserve">02. 기타비유동금융부채 </t>
  </si>
  <si>
    <t>RS116B</t>
  </si>
  <si>
    <t>기타비유동금융부채-일반</t>
  </si>
  <si>
    <t>0002303980</t>
  </si>
  <si>
    <t xml:space="preserve">(4) 기타비유동부채 </t>
  </si>
  <si>
    <t>RS21F</t>
  </si>
  <si>
    <t>01. 장기선수수익</t>
  </si>
  <si>
    <t>RS21C2</t>
  </si>
  <si>
    <t xml:space="preserve">장기선수수익-임대료 </t>
  </si>
  <si>
    <t>0002306080</t>
  </si>
  <si>
    <t xml:space="preserve">장기선수수익-영업보증금 </t>
  </si>
  <si>
    <t>0002306081</t>
  </si>
  <si>
    <t>장기선수수익-일반</t>
  </si>
  <si>
    <t>0002306082</t>
  </si>
  <si>
    <t>장기선수수익-정액</t>
  </si>
  <si>
    <t>0002306083</t>
  </si>
  <si>
    <t xml:space="preserve">02. 기타의비유동부채 </t>
  </si>
  <si>
    <t>RS21C3</t>
  </si>
  <si>
    <t xml:space="preserve">기타비유동부채-계약부채 </t>
  </si>
  <si>
    <t>0002307010</t>
  </si>
  <si>
    <t xml:space="preserve">(5) 이연법인세부채 </t>
  </si>
  <si>
    <t>RS21D</t>
  </si>
  <si>
    <t>RS129</t>
  </si>
  <si>
    <t xml:space="preserve">이연법인세부채 </t>
  </si>
  <si>
    <t>0002309000</t>
  </si>
  <si>
    <t xml:space="preserve">(6) 퇴직급여부채 </t>
  </si>
  <si>
    <t>RS21C</t>
  </si>
  <si>
    <t xml:space="preserve">01. 확정급여채무의현재가치 </t>
  </si>
  <si>
    <t>RS1260</t>
  </si>
  <si>
    <t>확정급여채무</t>
  </si>
  <si>
    <t>0002305080</t>
  </si>
  <si>
    <t xml:space="preserve">02. 사외적립자산의공정가치 </t>
  </si>
  <si>
    <t>RS126A</t>
  </si>
  <si>
    <t xml:space="preserve">국민연금전환금 </t>
  </si>
  <si>
    <t>0001213100</t>
  </si>
  <si>
    <t>퇴직연금</t>
  </si>
  <si>
    <t>0001213000</t>
  </si>
  <si>
    <t>퇴직연금기대수익</t>
  </si>
  <si>
    <t>0001213081</t>
  </si>
  <si>
    <t>03. 퇴직급여부채(조정)</t>
  </si>
  <si>
    <t>RS127A</t>
  </si>
  <si>
    <t>퇴직급여부채(조정)</t>
  </si>
  <si>
    <t>0002305081</t>
  </si>
  <si>
    <t>퇴직급여자산(조정)</t>
  </si>
  <si>
    <t>0002305082</t>
  </si>
  <si>
    <t xml:space="preserve">(7) 비유동충당부채 </t>
  </si>
  <si>
    <t>RS21E</t>
  </si>
  <si>
    <t xml:space="preserve">01. 복구충당부채 </t>
  </si>
  <si>
    <t>RS21E2</t>
  </si>
  <si>
    <t>복구충당부채-일반</t>
  </si>
  <si>
    <t>0002305600</t>
  </si>
  <si>
    <t xml:space="preserve">02. 기타비유동충당부채 </t>
  </si>
  <si>
    <t>RS21E3</t>
  </si>
  <si>
    <t xml:space="preserve">기타충당부채-비유동 </t>
  </si>
  <si>
    <t>0002305700</t>
  </si>
  <si>
    <t xml:space="preserve">(8) 리스비유동부채 </t>
  </si>
  <si>
    <t>RS21Z</t>
  </si>
  <si>
    <t xml:space="preserve">01. 리스부채 </t>
  </si>
  <si>
    <t>RE40</t>
  </si>
  <si>
    <t>리스비유동부채-부동산</t>
  </si>
  <si>
    <t>0002303381</t>
  </si>
  <si>
    <t>리스비유동부채-기타</t>
  </si>
  <si>
    <t>0002303389</t>
  </si>
  <si>
    <t xml:space="preserve">(9) 본지점 </t>
  </si>
  <si>
    <t>RS21H</t>
  </si>
  <si>
    <t>01.본지점-BS</t>
  </si>
  <si>
    <t>RS21I</t>
  </si>
  <si>
    <t xml:space="preserve">본지점 </t>
  </si>
  <si>
    <t>0009800999</t>
  </si>
  <si>
    <t>02.사내거래-BS</t>
  </si>
  <si>
    <t>RS21U</t>
  </si>
  <si>
    <t>사내거래(BS)-GSFRESH</t>
  </si>
  <si>
    <t>0009801000</t>
  </si>
  <si>
    <t>사내거래(BS)-GSSHOP</t>
  </si>
  <si>
    <t>0009801001</t>
  </si>
  <si>
    <t>사내거래(BS)-WINE25</t>
  </si>
  <si>
    <t>0009801003</t>
  </si>
  <si>
    <t>사내거래(BS)-M4</t>
  </si>
  <si>
    <t>0009801004</t>
  </si>
  <si>
    <t>사내거래(BS)-기타</t>
  </si>
  <si>
    <t>0009801099</t>
  </si>
  <si>
    <t xml:space="preserve">자 본 </t>
  </si>
  <si>
    <t>RS11</t>
  </si>
  <si>
    <t xml:space="preserve">Ⅰ. 자본금 </t>
  </si>
  <si>
    <t>RS12</t>
  </si>
  <si>
    <t>01. 보통주자본금</t>
  </si>
  <si>
    <t>RS94</t>
  </si>
  <si>
    <t>0003100100</t>
  </si>
  <si>
    <t>02. 우선주자본금</t>
  </si>
  <si>
    <t>RS95</t>
  </si>
  <si>
    <t>0003100500</t>
  </si>
  <si>
    <t xml:space="preserve">03. 사내자본금 </t>
  </si>
  <si>
    <t>RS125</t>
  </si>
  <si>
    <t xml:space="preserve">사내자본금 </t>
  </si>
  <si>
    <t>0009800021</t>
  </si>
  <si>
    <t xml:space="preserve">04. 사내출자금 </t>
  </si>
  <si>
    <t>RS149</t>
  </si>
  <si>
    <t xml:space="preserve">사내출자금 </t>
  </si>
  <si>
    <t>0009800022</t>
  </si>
  <si>
    <t xml:space="preserve">Ⅱ. 자본잉여금 </t>
  </si>
  <si>
    <t>RS25</t>
  </si>
  <si>
    <t xml:space="preserve">01. 주식발행초과금 </t>
  </si>
  <si>
    <t>RS84</t>
  </si>
  <si>
    <t>주식발행초과금-일반</t>
  </si>
  <si>
    <t>0003200101</t>
  </si>
  <si>
    <t xml:space="preserve">주식발행초과금-발행비 </t>
  </si>
  <si>
    <t>0003200102</t>
  </si>
  <si>
    <t xml:space="preserve">02. 기타자본잉여금 </t>
  </si>
  <si>
    <t>RS117</t>
  </si>
  <si>
    <t xml:space="preserve">01)기타자본잉여금 </t>
  </si>
  <si>
    <t>RS117A</t>
  </si>
  <si>
    <t>감자차익</t>
  </si>
  <si>
    <t>0003200500</t>
  </si>
  <si>
    <t>기타자본잉여금-합병차익</t>
  </si>
  <si>
    <t>0003209901</t>
  </si>
  <si>
    <t>자기주식-처분이익</t>
  </si>
  <si>
    <t>0003209903</t>
  </si>
  <si>
    <t xml:space="preserve">02)연결자본잉여금 </t>
  </si>
  <si>
    <t>RS147</t>
  </si>
  <si>
    <t xml:space="preserve">사내자본잉여금 </t>
  </si>
  <si>
    <t>0009800023</t>
  </si>
  <si>
    <t>Ⅲ. 기타자본항목</t>
  </si>
  <si>
    <t>RS27</t>
  </si>
  <si>
    <t>01. 자기주식</t>
  </si>
  <si>
    <t>RS114</t>
  </si>
  <si>
    <t>자기주식-일반</t>
  </si>
  <si>
    <t>0003400501</t>
  </si>
  <si>
    <t>자기주식-처분손실</t>
  </si>
  <si>
    <t>0003400502</t>
  </si>
  <si>
    <t>02. 기타자본조정</t>
  </si>
  <si>
    <t>RS27A</t>
  </si>
  <si>
    <t>01)기타자본조정-합병차손</t>
  </si>
  <si>
    <t>RS135</t>
  </si>
  <si>
    <t>기타자본잉여금-합병차손</t>
  </si>
  <si>
    <t>0003209906</t>
  </si>
  <si>
    <t>02)주식할인발행차금</t>
  </si>
  <si>
    <t>RS101</t>
  </si>
  <si>
    <t>주식할인차금-일반</t>
  </si>
  <si>
    <t>0003400101</t>
  </si>
  <si>
    <t xml:space="preserve">주식할인차금-발행비 </t>
  </si>
  <si>
    <t>0003400102</t>
  </si>
  <si>
    <t>03)감자차손</t>
  </si>
  <si>
    <t>RS134</t>
  </si>
  <si>
    <t>감자차손</t>
  </si>
  <si>
    <t>0003403000</t>
  </si>
  <si>
    <t>03)사내자본조정</t>
  </si>
  <si>
    <t>RS83</t>
  </si>
  <si>
    <t>사내자본조정</t>
  </si>
  <si>
    <t>0009800025</t>
  </si>
  <si>
    <t xml:space="preserve">Ⅳ. 기타포괄손익누계액 </t>
  </si>
  <si>
    <t>RS11A1</t>
  </si>
  <si>
    <t xml:space="preserve">01. FVOCI평가이익누계액 </t>
  </si>
  <si>
    <t>RS136</t>
  </si>
  <si>
    <t xml:space="preserve">FVOCI평가이익누계액-지분상품 </t>
  </si>
  <si>
    <t>0003401010</t>
  </si>
  <si>
    <t>FVOCI평가이익누계액-채무상품</t>
  </si>
  <si>
    <t>0003401013</t>
  </si>
  <si>
    <t xml:space="preserve">02. FVOCI평가손실누계액 </t>
  </si>
  <si>
    <t>RS136E</t>
  </si>
  <si>
    <t xml:space="preserve">FVOCI-지분상품 평가손실 누계액 </t>
  </si>
  <si>
    <t>0003401011</t>
  </si>
  <si>
    <t xml:space="preserve">FVOCI-채무상품 평가손실 누계액 </t>
  </si>
  <si>
    <t>0003401012</t>
  </si>
  <si>
    <t xml:space="preserve">03. 파생상품평가이익누계액 </t>
  </si>
  <si>
    <t>RS136A</t>
  </si>
  <si>
    <t>OCI-파생상품평가이익</t>
  </si>
  <si>
    <t>0003403001</t>
  </si>
  <si>
    <t xml:space="preserve">04. 파생상품평가손실누계액 </t>
  </si>
  <si>
    <t>RS135B</t>
  </si>
  <si>
    <t>OCI-파생상품평가손실</t>
  </si>
  <si>
    <t>0003403002</t>
  </si>
  <si>
    <t xml:space="preserve">05. 지분법자본변동 </t>
  </si>
  <si>
    <t>RS137</t>
  </si>
  <si>
    <t xml:space="preserve">지분법자본변동 </t>
  </si>
  <si>
    <t>0003401091</t>
  </si>
  <si>
    <t xml:space="preserve">06. 부의지분법자본변동 </t>
  </si>
  <si>
    <t>RS135D</t>
  </si>
  <si>
    <t xml:space="preserve">부의지분법자본변동 </t>
  </si>
  <si>
    <t>0003401001</t>
  </si>
  <si>
    <t>07. 해외사업환산손익</t>
  </si>
  <si>
    <t>RS135E</t>
  </si>
  <si>
    <t>해외사업환산손익</t>
  </si>
  <si>
    <t>0003403091</t>
  </si>
  <si>
    <t xml:space="preserve">08. 사내잉여금 </t>
  </si>
  <si>
    <t>RS137D</t>
  </si>
  <si>
    <t xml:space="preserve">기타포괄손익-사내잉여금 </t>
  </si>
  <si>
    <t>0003404000</t>
  </si>
  <si>
    <t xml:space="preserve">Ⅴ. 이익잉여금 </t>
  </si>
  <si>
    <t>RS26</t>
  </si>
  <si>
    <t xml:space="preserve">01. 법정적립금 </t>
  </si>
  <si>
    <t>RS98</t>
  </si>
  <si>
    <t>01)이익준비금</t>
  </si>
  <si>
    <t>RS97</t>
  </si>
  <si>
    <t>이익준비금</t>
  </si>
  <si>
    <t>0003300100</t>
  </si>
  <si>
    <t xml:space="preserve">02)기업발전적립금 </t>
  </si>
  <si>
    <t>RS138</t>
  </si>
  <si>
    <t>법정적립금-발전적립</t>
  </si>
  <si>
    <t>0003301003</t>
  </si>
  <si>
    <t xml:space="preserve">03)재무구조개선적립금 </t>
  </si>
  <si>
    <t>RS139</t>
  </si>
  <si>
    <t>법정적립금-재무개선</t>
  </si>
  <si>
    <t>0003300502</t>
  </si>
  <si>
    <t xml:space="preserve">02. 임의적립금 </t>
  </si>
  <si>
    <t>RS99</t>
  </si>
  <si>
    <t xml:space="preserve">01)배당평균적립금 </t>
  </si>
  <si>
    <t>RS140</t>
  </si>
  <si>
    <t>임의적립금-배당적립</t>
  </si>
  <si>
    <t>0003301004</t>
  </si>
  <si>
    <t xml:space="preserve">02)사업확장적립금 </t>
  </si>
  <si>
    <t>RS141</t>
  </si>
  <si>
    <t>임의적립금-사업확장</t>
  </si>
  <si>
    <t>0003301005</t>
  </si>
  <si>
    <t xml:space="preserve">03)기타임의적립금 </t>
  </si>
  <si>
    <t>RS144</t>
  </si>
  <si>
    <t xml:space="preserve">임의적립금-기업합리화 </t>
  </si>
  <si>
    <t>0003300501</t>
  </si>
  <si>
    <t>임의적립금-투자손실</t>
  </si>
  <si>
    <t>0003301001</t>
  </si>
  <si>
    <t>임의적립금-별도적립</t>
  </si>
  <si>
    <t>0003301002</t>
  </si>
  <si>
    <t>임의적립금-에너지</t>
  </si>
  <si>
    <t>0003301006</t>
  </si>
  <si>
    <t>임의적립금-기타적립</t>
  </si>
  <si>
    <t>0003301099</t>
  </si>
  <si>
    <t>03. 미처분이익잉여금</t>
  </si>
  <si>
    <t>RS100</t>
  </si>
  <si>
    <t>01)전환일이익잉여금조정</t>
  </si>
  <si>
    <t>RS26C</t>
  </si>
  <si>
    <t xml:space="preserve">기타자본잉여금-재평가적립금 </t>
  </si>
  <si>
    <t>0003209904</t>
  </si>
  <si>
    <t>기타자본잉여금-기타</t>
  </si>
  <si>
    <t>0003209999</t>
  </si>
  <si>
    <t>재평가차액</t>
  </si>
  <si>
    <t>0003405000</t>
  </si>
  <si>
    <t>전환일이익잉여금-일반</t>
  </si>
  <si>
    <t>0003301590</t>
  </si>
  <si>
    <t xml:space="preserve">02)전기이월이익잉여금 </t>
  </si>
  <si>
    <t>RS145</t>
  </si>
  <si>
    <t>전기이월이익잉여금-일반</t>
  </si>
  <si>
    <t>0003301501</t>
  </si>
  <si>
    <t>전기이월이익잉여금-전기오류수정손익</t>
  </si>
  <si>
    <t>0003301502</t>
  </si>
  <si>
    <t>전기이월이익잉여금-IFRS(리스)</t>
  </si>
  <si>
    <t>0003301580</t>
  </si>
  <si>
    <t xml:space="preserve">03)보험수리적손익 </t>
  </si>
  <si>
    <t>RS26B</t>
  </si>
  <si>
    <t>보험수리적손익-사외적립자산</t>
  </si>
  <si>
    <t>0003302081</t>
  </si>
  <si>
    <t>보험수리적손익-확정급여채무</t>
  </si>
  <si>
    <t>0003302082</t>
  </si>
  <si>
    <t xml:space="preserve">보험수리손익-법인세 </t>
  </si>
  <si>
    <t>0003302085</t>
  </si>
  <si>
    <t xml:space="preserve">04)당기순이익 </t>
  </si>
  <si>
    <t>RS26A</t>
  </si>
  <si>
    <t xml:space="preserve">04. 사내이익잉여금 </t>
  </si>
  <si>
    <t>RS82</t>
  </si>
  <si>
    <t xml:space="preserve">사내이익잉여금 </t>
  </si>
  <si>
    <t>0009800024</t>
  </si>
  <si>
    <t>SAP(원)</t>
    <phoneticPr fontId="2" type="noConversion"/>
  </si>
  <si>
    <t>SAP(백만원)</t>
    <phoneticPr fontId="2" type="noConversion"/>
  </si>
  <si>
    <t>차이</t>
    <phoneticPr fontId="2" type="noConversion"/>
  </si>
  <si>
    <t>&gt; 이 금액 차이로 추정됨.</t>
    <phoneticPr fontId="2" type="noConversion"/>
  </si>
  <si>
    <t>당기법인세자산/ 당기법인세부채는 동일 과세당국의 경우 상계가 원칙이고</t>
    <phoneticPr fontId="2" type="noConversion"/>
  </si>
  <si>
    <t xml:space="preserve">SAP는 상계 전 금액이 그대로 있고 본 파일에는 상계한 후 금액을 고려해서 기입한 것으로 보이므로 </t>
    <phoneticPr fontId="2" type="noConversion"/>
  </si>
  <si>
    <t>현재 파일상 금액을 유지</t>
    <phoneticPr fontId="2" type="noConversion"/>
  </si>
  <si>
    <t>확정급여부채가 (-)인 경우, 비유동 자산의 투자자산 항목으로 분류해야 함.</t>
    <phoneticPr fontId="2" type="noConversion"/>
  </si>
  <si>
    <t>SAP는 이것을 반영해 비유동자산의 퇴직급여자산으로 대체했으나 현재 파일에서는 (-)부채로 그대로 두었음.</t>
    <phoneticPr fontId="2" type="noConversion"/>
  </si>
  <si>
    <t>II. 비유동자산</t>
    <phoneticPr fontId="2" type="noConversion"/>
  </si>
  <si>
    <t>현재 파일상 금액을 삭제하고 II. 비유동자산&gt;[4] 기타 비유동자산&gt;비유동비금융자산으로 금액을 옮김</t>
    <phoneticPr fontId="2" type="noConversion"/>
  </si>
  <si>
    <t>&gt; 원래 차이남 영업이익만 맞으면 됨</t>
    <phoneticPr fontId="2" type="noConversion"/>
  </si>
  <si>
    <t>&gt; 영업이익 일치하므로 이상 없음</t>
    <phoneticPr fontId="2" type="noConversion"/>
  </si>
  <si>
    <t>&gt; 단수차이?</t>
    <phoneticPr fontId="2" type="noConversion"/>
  </si>
  <si>
    <t>&gt; 금융수익과 금융비용이 총액으로 차이나면 이상 없음(내부대체 이자를 SAP상에서는 (-)비용으로, 본 자료에서는 수익으로 처리해서 발생하는 차이)</t>
    <phoneticPr fontId="2" type="noConversion"/>
  </si>
  <si>
    <t>&gt; 관계회사 손익이 이전 자료에서 미반영 되었으므로 해당 금액만 추가해주면 됨</t>
    <phoneticPr fontId="2" type="noConversion"/>
  </si>
  <si>
    <t>2025년 12월 전사합(개별) 손익 실적</t>
  </si>
  <si>
    <t>전사합(개별)</t>
    <phoneticPr fontId="2" type="noConversion"/>
  </si>
  <si>
    <t>SAP코드1</t>
  </si>
  <si>
    <t>SAP코드2</t>
  </si>
  <si>
    <t>년 계</t>
  </si>
  <si>
    <t>VLOOKUP INDEX</t>
  </si>
  <si>
    <t>※당기순이익 검증</t>
  </si>
  <si>
    <t>전사</t>
    <phoneticPr fontId="2" type="noConversion"/>
  </si>
  <si>
    <t>전사-홈쇼핑</t>
    <phoneticPr fontId="2" type="noConversion"/>
  </si>
  <si>
    <t>리스자산,투자부동산 감가비 포함</t>
  </si>
  <si>
    <t>전사공통비-DS,데이터</t>
  </si>
  <si>
    <t>나.전사공통비(정보부문비 제외)</t>
  </si>
  <si>
    <t>투자주식 처분이익</t>
  </si>
  <si>
    <t>유,무,투,사 손상차손, 기부금,투자주식 처분손실, 투자주식 손상차손</t>
  </si>
  <si>
    <t>금융상품 평가,처분이익 등</t>
  </si>
  <si>
    <t>이자비용, 사업부간지급이자</t>
  </si>
  <si>
    <t>금융상품 평가손실</t>
  </si>
  <si>
    <t>계속사업손익</t>
  </si>
  <si>
    <t>중단영업손익</t>
  </si>
  <si>
    <t>리스채권 대비 잔액 수준 유지 가정</t>
    <phoneticPr fontId="2" type="noConversion"/>
  </si>
  <si>
    <t>26년 사업계획 수준의 잔액 유지 가정</t>
  </si>
  <si>
    <t>점포 관련 1회성 이익 발생(매각 등), 사업계획상 금액 반영</t>
    <phoneticPr fontId="2" type="noConversion"/>
  </si>
  <si>
    <t>중간 예납 50%, 연말 미지급법인세 50% 적용</t>
    <phoneticPr fontId="2" type="noConversion"/>
  </si>
  <si>
    <t>보험 아웃바운드 사업 축소</t>
  </si>
  <si>
    <t>2026년 최종</t>
    <phoneticPr fontId="2" type="noConversion"/>
  </si>
  <si>
    <t>억원</t>
    <phoneticPr fontId="2" type="noConversion"/>
  </si>
  <si>
    <t>2026년(조정전)</t>
    <phoneticPr fontId="2" type="noConversion"/>
  </si>
  <si>
    <t xml:space="preserve">Ⅰ. 취급액 </t>
    <phoneticPr fontId="2" type="noConversion"/>
  </si>
  <si>
    <t>최근 3개년 상품매출원가율의 가중평균 반영</t>
  </si>
  <si>
    <t>법정 법인세율 반영 (개정 세법 반영 추정)</t>
    <phoneticPr fontId="2" type="noConversion"/>
  </si>
  <si>
    <t>25년 실적 수준으로 유지</t>
    <phoneticPr fontId="2" type="noConversion"/>
  </si>
  <si>
    <t>과거 3년 취급액 대비 매출채권 평균 비율 반영</t>
    <phoneticPr fontId="2" type="noConversion"/>
  </si>
  <si>
    <t>과거 3년 상품매출 대비 재고자산 평균 비율 반영</t>
    <phoneticPr fontId="2" type="noConversion"/>
  </si>
  <si>
    <t>25년 상각비 수준으로 재투자 가정</t>
    <phoneticPr fontId="2" type="noConversion"/>
  </si>
  <si>
    <t>과거 3년 취급액 대비 채무 비율 반영</t>
    <phoneticPr fontId="2" type="noConversion"/>
  </si>
  <si>
    <t>과거 3년 평균 취급액 대비 부채 비율 반영</t>
    <phoneticPr fontId="2" type="noConversion"/>
  </si>
  <si>
    <t>과거 3년 취급액 대비 충당금 비율 반영</t>
    <phoneticPr fontId="2" type="noConversion"/>
  </si>
  <si>
    <t>자본금 변동 없는 것으로 가정</t>
    <phoneticPr fontId="2" type="noConversion"/>
  </si>
  <si>
    <t>26년 사업계획 수준의 잔액 유지</t>
  </si>
  <si>
    <t>변동 없음으로 가정</t>
    <phoneticPr fontId="2" type="noConversion"/>
  </si>
  <si>
    <t xml:space="preserve">매출액 증가에 따른 증가 </t>
    <phoneticPr fontId="2" type="noConversion"/>
  </si>
  <si>
    <t>매출액 증가에 따른 증가</t>
    <phoneticPr fontId="2" type="noConversion"/>
  </si>
  <si>
    <t>편의점/슈퍼마켓 점포오픈 보증금 증가 반영</t>
    <phoneticPr fontId="2" type="noConversion"/>
  </si>
  <si>
    <t>편의점/슈퍼마켓 전대점포 비중 일부 감소 반영</t>
    <phoneticPr fontId="2" type="noConversion"/>
  </si>
  <si>
    <t>전략CM 기반 중장기 사업계획 수준 잔액 유지</t>
    <phoneticPr fontId="2" type="noConversion"/>
  </si>
  <si>
    <t>2024년 파르나스호텔 분할, 2028년 이후 잔액 유지</t>
    <phoneticPr fontId="2" type="noConversion"/>
  </si>
  <si>
    <t>임차점포 등 리스 상각 스케쥴 반영</t>
    <phoneticPr fontId="2" type="noConversion"/>
  </si>
  <si>
    <t>상각비, 재투자 반영</t>
    <phoneticPr fontId="2" type="noConversion"/>
  </si>
  <si>
    <t>25~28년 CAGR 수준 유지</t>
    <phoneticPr fontId="2" type="noConversion"/>
  </si>
  <si>
    <t>매출규모 증가에 따라 매입채무 증가</t>
    <phoneticPr fontId="2" type="noConversion"/>
  </si>
  <si>
    <t>(홈쇼핑부문의 장기매입채무및기타채무 금액)</t>
    <phoneticPr fontId="2" type="noConversion"/>
  </si>
  <si>
    <t>2024년 파르나스호텔 분할 이후 변동없음으로 가정</t>
    <phoneticPr fontId="2" type="noConversion"/>
  </si>
  <si>
    <t>완만한 증가 가정</t>
    <phoneticPr fontId="2" type="noConversion"/>
  </si>
  <si>
    <t>23년 디지털사업부 중단 이후 유지</t>
    <phoneticPr fontId="2" type="noConversion"/>
  </si>
  <si>
    <t>전체 취급액 증감률 반영</t>
  </si>
  <si>
    <t>* 총 취급액 비중</t>
  </si>
  <si>
    <t>최종기간 매출원가율 유지</t>
    <phoneticPr fontId="2" type="noConversion"/>
  </si>
  <si>
    <t>개발 사업장 배당 수익 등</t>
    <phoneticPr fontId="2" type="noConversion"/>
  </si>
  <si>
    <t xml:space="preserve"> 비유동  자  산</t>
    <phoneticPr fontId="2" type="noConversion"/>
  </si>
  <si>
    <t xml:space="preserve"> 유  동  부  채</t>
    <phoneticPr fontId="2" type="noConversion"/>
  </si>
  <si>
    <t xml:space="preserve"> 비유동 부  채</t>
    <phoneticPr fontId="2" type="noConversion"/>
  </si>
  <si>
    <t>26년 사업계획 수준의 잔액 유지 (유동성 장기보증금 포함)</t>
    <phoneticPr fontId="2" type="noConversion"/>
  </si>
  <si>
    <t>매출채권 및 기타채권</t>
    <phoneticPr fontId="2" type="noConversion"/>
  </si>
  <si>
    <t>종속기업및관계기업투자주식</t>
    <phoneticPr fontId="2" type="noConversion"/>
  </si>
  <si>
    <t>홈쇼핑부문 추정 BS</t>
    <phoneticPr fontId="2" type="noConversion"/>
  </si>
  <si>
    <t>리테일부문 추정 BS</t>
    <phoneticPr fontId="2" type="noConversion"/>
  </si>
  <si>
    <t>*본지점변동을 투자활동으로 내리면 발생하는 일은?</t>
    <phoneticPr fontId="2" type="noConversion"/>
  </si>
  <si>
    <t>본지점 변동을 재무활동으로 보내야함</t>
    <phoneticPr fontId="2" type="noConversion"/>
  </si>
  <si>
    <t>리스부채(재무활동)에 순액조정</t>
    <phoneticPr fontId="2" type="noConversion"/>
  </si>
  <si>
    <t>사용권자산(증가)감소</t>
    <phoneticPr fontId="2" type="noConversion"/>
  </si>
  <si>
    <t>임금 상승률 3.0%</t>
    <phoneticPr fontId="2" type="noConversion"/>
  </si>
  <si>
    <t>과거 실적 고려</t>
    <phoneticPr fontId="2" type="noConversion"/>
  </si>
  <si>
    <t>과거 3개년간 콜센터비용 고려</t>
    <phoneticPr fontId="2" type="noConversion"/>
  </si>
  <si>
    <t>취급액 대비 비율</t>
    <phoneticPr fontId="2" type="noConversion"/>
  </si>
  <si>
    <t>AI기술 활용한 개인화 쇼핑 등 차별화 서비스로 성장 도모</t>
    <phoneticPr fontId="2" type="noConversion"/>
  </si>
  <si>
    <t>물가 상승률 고려</t>
    <phoneticPr fontId="2" type="noConversion"/>
  </si>
  <si>
    <t>상품매출원가율</t>
    <phoneticPr fontId="2" type="noConversion"/>
  </si>
  <si>
    <t>과거 전체 취급액 대비 비중 반영</t>
    <phoneticPr fontId="2" type="noConversion"/>
  </si>
  <si>
    <t>취급액 감소 예상에 따른 소폭 하락 반영</t>
    <phoneticPr fontId="2" type="noConversion"/>
  </si>
  <si>
    <t>* 배당의 추정</t>
    <phoneticPr fontId="2" type="noConversion"/>
  </si>
  <si>
    <t>당기순이익의 40% 수준</t>
    <phoneticPr fontId="2" type="noConversion"/>
  </si>
  <si>
    <t>전사당기순이익</t>
    <phoneticPr fontId="2" type="noConversion"/>
  </si>
  <si>
    <t>배당추정액</t>
    <phoneticPr fontId="2" type="noConversion"/>
  </si>
  <si>
    <t>&gt; 배당은 차기 3월에 회계처리되고 실제 현금흐름이 발생하므로 전기 당기순이익의 40%로 추정함</t>
    <phoneticPr fontId="2" type="noConversion"/>
  </si>
  <si>
    <t>20260316</t>
  </si>
  <si>
    <t>083856</t>
  </si>
  <si>
    <t>CVS)급식(횡성희망채움)</t>
  </si>
  <si>
    <t>0007118003</t>
  </si>
  <si>
    <t xml:space="preserve">수퍼)가맹_이문파크자이점 </t>
  </si>
  <si>
    <t>0007118009</t>
  </si>
  <si>
    <t xml:space="preserve">수퍼)가맹_창원더퍼스트점 </t>
  </si>
  <si>
    <t>0007118011</t>
  </si>
  <si>
    <t>수퍼)가맹__기흥역점</t>
  </si>
  <si>
    <t>0007118012</t>
  </si>
  <si>
    <t xml:space="preserve">수퍼)가맹_수원당수점 </t>
  </si>
  <si>
    <t>0007118013</t>
  </si>
  <si>
    <t>수퍼)가맹__남양주묵현점</t>
  </si>
  <si>
    <t>0007118018</t>
  </si>
  <si>
    <t>수퍼)잠원점_송금</t>
  </si>
  <si>
    <t>0007118015</t>
  </si>
  <si>
    <t xml:space="preserve">수퍼)관악청림_가맹 </t>
  </si>
  <si>
    <t xml:space="preserve">수퍼)(가맹)아산둔포점 </t>
  </si>
  <si>
    <t xml:space="preserve">수퍼)(가맹)대전스마트점 </t>
  </si>
  <si>
    <t>수퍼)가맹)대구범물점</t>
  </si>
  <si>
    <t>Ⅰ. 유동자산</t>
  </si>
  <si>
    <t>Ⅱ. 비유동자산</t>
  </si>
  <si>
    <t>자       산       총       계</t>
  </si>
  <si>
    <t>Ⅰ. 유동부채</t>
  </si>
  <si>
    <t>Ⅱ. 비유동부채</t>
  </si>
  <si>
    <t>부       채       총       계</t>
  </si>
  <si>
    <t> 1. 자본금</t>
  </si>
  <si>
    <t>   2. 자본잉여금</t>
  </si>
  <si>
    <t>   3. 기타자본항목</t>
  </si>
  <si>
    <t>   4. 기타포괄손익누계액</t>
  </si>
  <si>
    <t>   5. 이익잉여금</t>
  </si>
  <si>
    <t>자       본       총       계</t>
  </si>
  <si>
    <t>공시</t>
    <phoneticPr fontId="2" type="noConversion"/>
  </si>
  <si>
    <t>2025년 12월 신사업부문_인도네시아 손익 실적</t>
  </si>
  <si>
    <t>GH001</t>
  </si>
  <si>
    <t>신사업부문_인도네시아</t>
    <phoneticPr fontId="2" type="noConversion"/>
  </si>
  <si>
    <t>2025년 12월 G공통 손익 실적</t>
  </si>
  <si>
    <t>기타조정</t>
    <phoneticPr fontId="2" type="noConversion"/>
  </si>
  <si>
    <t>기타의영업외이익</t>
  </si>
  <si>
    <t>조정분제거</t>
    <phoneticPr fontId="2" type="noConversion"/>
  </si>
  <si>
    <t>GSR별도</t>
    <phoneticPr fontId="2" type="noConversion"/>
  </si>
  <si>
    <t>SI본사부담</t>
    <phoneticPr fontId="2" type="noConversion"/>
  </si>
  <si>
    <t>지분법손익 연결조정분</t>
    <phoneticPr fontId="2" type="noConversion"/>
  </si>
  <si>
    <t xml:space="preserve"> 유동자산/유동부채</t>
    <phoneticPr fontId="2" type="noConversion"/>
  </si>
  <si>
    <t xml:space="preserve"> 부채총계/자본총계</t>
    <phoneticPr fontId="2" type="noConversion"/>
  </si>
  <si>
    <t xml:space="preserve"> 당기순이익/평균자본총계</t>
    <phoneticPr fontId="2" type="noConversion"/>
  </si>
  <si>
    <t xml:space="preserve"> 영업이익/매출액</t>
    <phoneticPr fontId="2" type="noConversion"/>
  </si>
  <si>
    <t xml:space="preserve"> 매출액/평균자본총계</t>
    <phoneticPr fontId="2" type="noConversion"/>
  </si>
  <si>
    <t xml:space="preserve"> 당기 매출액/전기 매출액 - 1</t>
    <phoneticPr fontId="2" type="noConversion"/>
  </si>
  <si>
    <t xml:space="preserve"> 당기 자산총계/전기 자산총계 - 1</t>
    <phoneticPr fontId="2" type="noConversion"/>
  </si>
  <si>
    <t xml:space="preserve"> 매출채권및기타채권 손상차손(환입) 금액 포함 합산표시</t>
    <phoneticPr fontId="2" type="noConversion"/>
  </si>
  <si>
    <t>(단위 : 백만원)</t>
    <phoneticPr fontId="2" type="noConversion"/>
  </si>
  <si>
    <t>`</t>
    <phoneticPr fontId="2" type="noConversion"/>
  </si>
  <si>
    <t>고객이 선호하는 패션/건강기능식품/뷰티 상품군을 강화하여
취급액 방어 예정</t>
    <phoneticPr fontId="2" type="noConversion"/>
  </si>
  <si>
    <t>카드수수료</t>
    <phoneticPr fontId="2" type="noConversion"/>
  </si>
  <si>
    <t>패션 직매입 규모 확대 예정</t>
    <phoneticPr fontId="2" type="noConversion"/>
  </si>
  <si>
    <t>TV 시청률 하락과 경쟁 심화로 취급액 감소가 예상되나, 
상품 강화와 차별화 서비스로 취급액 감소 최소화 예정</t>
  </si>
  <si>
    <t>장부상으로는 이익을 깎아 먹었지만(비용), 실제로는 돈이 나가지 않았으니 다시 더해준다(가산)</t>
  </si>
  <si>
    <t>본사와 사업부간 사내거래 채무</t>
    <phoneticPr fontId="2" type="noConversion"/>
  </si>
  <si>
    <t>`23년 자기주식 처분, `24년 파르나스호텔 분할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</si>
</sst>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76" formatCode="0.0%"/>
    <numFmt numFmtId="177" formatCode="#,##0_);[Red]\(#,##0\)"/>
    <numFmt numFmtId="178" formatCode="#,##0_);\(#,##0\)"/>
    <numFmt numFmtId="179" formatCode="0.0"/>
    <numFmt numFmtId="180" formatCode="_-* #,##0.0_-;\-* #,##0.0_-;_-* &quot;-&quot;_-;_-@_-"/>
    <numFmt numFmtId="181" formatCode="#,##0;[Red]\(#,##0\);\-"/>
    <numFmt numFmtId="182" formatCode="#,##0.0;[Red]\(#,##0.0\);\-"/>
    <numFmt numFmtId="183" formatCode="#,##0_ "/>
    <numFmt numFmtId="184" formatCode="#,##0,,\ ;[Red]\(#,##0,,\)\ ;\-\ "/>
    <numFmt numFmtId="185" formatCode="0&quot;월&quot;"/>
    <numFmt numFmtId="186" formatCode="#,##0;\-#,##0;\-"/>
    <numFmt numFmtId="187" formatCode="#,##0.00_);[Red]\(#,##0.00\)"/>
    <numFmt numFmtId="188" formatCode="0.0%\ ;\-0.0%\ ;\-\ "/>
    <numFmt numFmtId="189" formatCode="#0&quot;년&quot;"/>
  </numFmts>
  <fonts count="5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Arial"/>
      <family val="2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i/>
      <sz val="10"/>
      <color rgb="FF00B0F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b/>
      <i/>
      <sz val="10"/>
      <color rgb="FF0070C0"/>
      <name val="맑은 고딕"/>
      <family val="3"/>
      <charset val="129"/>
      <scheme val="minor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b/>
      <sz val="11"/>
      <color theme="0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i/>
      <sz val="10"/>
      <color theme="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0" tint="-0.499984740745262"/>
      <name val="맑은 고딕"/>
      <family val="2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10"/>
      <color rgb="FF339933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70C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8D4F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6E6E6"/>
        <bgColor indexed="64"/>
      </patternFill>
    </fill>
  </fills>
  <borders count="20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thin">
        <color rgb="FF4F4D47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4F4D47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4F4D47"/>
      </right>
      <top/>
      <bottom style="thin">
        <color rgb="FF000000"/>
      </bottom>
      <diagonal/>
    </border>
    <border>
      <left/>
      <right style="thin">
        <color rgb="FF4F4D47"/>
      </right>
      <top/>
      <bottom style="thin">
        <color rgb="FF4F4D47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/>
      <right style="thin">
        <color rgb="FF4F4D47"/>
      </right>
      <top style="thin">
        <color rgb="FF4F4D47"/>
      </top>
      <bottom style="thin">
        <color rgb="FF4F4D47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4F4D47"/>
      </right>
      <top style="thin">
        <color rgb="FF4F4D47"/>
      </top>
      <bottom/>
      <diagonal/>
    </border>
    <border>
      <left/>
      <right style="thin">
        <color rgb="FF4F4D47"/>
      </right>
      <top style="dotted">
        <color rgb="FF4F4D47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4F4D47"/>
      </right>
      <top/>
      <bottom/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4F4D47"/>
      </right>
      <top style="thin">
        <color rgb="FF4F4D47"/>
      </top>
      <bottom style="thin">
        <color rgb="FF000000"/>
      </bottom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4F4D47"/>
      </right>
      <top style="thin">
        <color rgb="FF000000"/>
      </top>
      <bottom style="thin">
        <color rgb="FF000000"/>
      </bottom>
      <diagonal/>
    </border>
    <border>
      <left/>
      <right style="thin">
        <color rgb="FF4F4D47"/>
      </right>
      <top style="thin">
        <color rgb="FF000000"/>
      </top>
      <bottom style="thin">
        <color rgb="FF4F4D47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4F4D47"/>
      </left>
      <right style="thin">
        <color rgb="FF4F4D47"/>
      </right>
      <top style="thin">
        <color rgb="FF4F4D47"/>
      </top>
      <bottom style="thin">
        <color rgb="FF000000"/>
      </bottom>
      <diagonal/>
    </border>
    <border>
      <left style="thin">
        <color rgb="FF4F4D47"/>
      </left>
      <right/>
      <top style="thin">
        <color rgb="FF000000"/>
      </top>
      <bottom style="thin">
        <color rgb="FF000000"/>
      </bottom>
      <diagonal/>
    </border>
    <border>
      <left style="thin">
        <color rgb="FF4F4D47"/>
      </left>
      <right style="thin">
        <color rgb="FF4F4D47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4F4D47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/>
      <diagonal/>
    </border>
    <border>
      <left style="hair">
        <color rgb="FF000000"/>
      </left>
      <right style="thin">
        <color indexed="64"/>
      </right>
      <top/>
      <bottom/>
      <diagonal/>
    </border>
    <border>
      <left style="hair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indexed="64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rgb="FF4F4D47"/>
      </right>
      <top style="hair">
        <color rgb="FF000000"/>
      </top>
      <bottom/>
      <diagonal/>
    </border>
    <border>
      <left/>
      <right style="thin">
        <color indexed="64"/>
      </right>
      <top style="hair">
        <color rgb="FF000000"/>
      </top>
      <bottom/>
      <diagonal/>
    </border>
    <border>
      <left style="dotted">
        <color rgb="FF000000"/>
      </left>
      <right style="thin">
        <color indexed="64"/>
      </right>
      <top style="hair">
        <color rgb="FF000000"/>
      </top>
      <bottom/>
      <diagonal/>
    </border>
    <border>
      <left/>
      <right style="thin">
        <color rgb="FF4F4D47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4F4D47"/>
      </bottom>
      <diagonal/>
    </border>
    <border>
      <left/>
      <right style="thin">
        <color indexed="64"/>
      </right>
      <top style="thin">
        <color rgb="FF4F4D47"/>
      </top>
      <bottom/>
      <diagonal/>
    </border>
    <border>
      <left/>
      <right style="thin">
        <color indexed="64"/>
      </right>
      <top style="dotted">
        <color rgb="FF4F4D47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7F7F7F"/>
      </left>
      <right style="thin">
        <color rgb="FFA6A6A6"/>
      </right>
      <top style="thin">
        <color rgb="FF7F7F7F"/>
      </top>
      <bottom style="thin">
        <color rgb="FF7F7F7F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7F7F7F"/>
      </right>
      <top style="thin">
        <color rgb="FF7F7F7F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6A6A6"/>
      </bottom>
      <diagonal/>
    </border>
    <border>
      <left/>
      <right style="thin">
        <color rgb="FF4F4D47"/>
      </right>
      <top style="double">
        <color rgb="FF000000"/>
      </top>
      <bottom/>
      <diagonal/>
    </border>
    <border>
      <left style="thin">
        <color indexed="64"/>
      </left>
      <right style="thin">
        <color rgb="FF4F4D47"/>
      </right>
      <top style="thin">
        <color rgb="FF000000"/>
      </top>
      <bottom/>
      <diagonal/>
    </border>
    <border>
      <left style="thin">
        <color indexed="64"/>
      </left>
      <right style="thin">
        <color rgb="FF4F4D47"/>
      </right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/>
      <top/>
      <bottom/>
      <diagonal/>
    </border>
    <border>
      <left style="hair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hair">
        <color theme="0" tint="-0.499984740745262"/>
      </left>
      <right style="double">
        <color theme="0" tint="-0.499984740745262"/>
      </right>
      <top/>
      <bottom/>
      <diagonal/>
    </border>
    <border>
      <left style="double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double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double">
        <color theme="0" tint="-0.499984740745262"/>
      </left>
      <right style="hair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double">
        <color theme="0" tint="-0.499984740745262"/>
      </left>
      <right/>
      <top/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/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/>
      <bottom style="thin">
        <color rgb="FF4F4D47"/>
      </bottom>
      <diagonal/>
    </border>
  </borders>
  <cellStyleXfs count="1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24" fillId="0" borderId="0"/>
    <xf numFmtId="0" fontId="25" fillId="0" borderId="0"/>
    <xf numFmtId="0" fontId="1" fillId="0" borderId="0">
      <alignment vertical="center"/>
    </xf>
  </cellStyleXfs>
  <cellXfs count="1167">
    <xf numFmtId="0" fontId="0" fillId="0" borderId="0" xfId="0">
      <alignment vertical="center"/>
    </xf>
    <xf numFmtId="177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12" fillId="6" borderId="0" xfId="0" applyFont="1" applyFill="1">
      <alignment vertical="center"/>
    </xf>
    <xf numFmtId="0" fontId="12" fillId="0" borderId="0" xfId="0" applyFont="1" applyAlignment="1">
      <alignment horizontal="right" vertical="center"/>
    </xf>
    <xf numFmtId="177" fontId="12" fillId="7" borderId="18" xfId="0" applyNumberFormat="1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177" fontId="13" fillId="0" borderId="30" xfId="0" applyNumberFormat="1" applyFont="1" applyBorder="1" applyAlignment="1">
      <alignment horizontal="right" vertical="center" wrapText="1"/>
    </xf>
    <xf numFmtId="176" fontId="13" fillId="7" borderId="30" xfId="0" applyNumberFormat="1" applyFont="1" applyFill="1" applyBorder="1" applyAlignment="1">
      <alignment horizontal="right" vertical="center" wrapText="1"/>
    </xf>
    <xf numFmtId="0" fontId="12" fillId="0" borderId="2" xfId="0" applyFont="1" applyBorder="1">
      <alignment vertical="center"/>
    </xf>
    <xf numFmtId="41" fontId="12" fillId="4" borderId="0" xfId="1" applyFont="1" applyFill="1">
      <alignment vertical="center"/>
    </xf>
    <xf numFmtId="179" fontId="12" fillId="0" borderId="0" xfId="0" applyNumberFormat="1" applyFont="1">
      <alignment vertical="center"/>
    </xf>
    <xf numFmtId="180" fontId="12" fillId="0" borderId="0" xfId="1" applyNumberFormat="1" applyFont="1">
      <alignment vertical="center"/>
    </xf>
    <xf numFmtId="43" fontId="12" fillId="4" borderId="0" xfId="0" applyNumberFormat="1" applyFont="1" applyFill="1">
      <alignment vertical="center"/>
    </xf>
    <xf numFmtId="0" fontId="12" fillId="0" borderId="38" xfId="0" applyFont="1" applyBorder="1" applyAlignment="1">
      <alignment horizontal="center" vertical="center" wrapText="1"/>
    </xf>
    <xf numFmtId="177" fontId="12" fillId="0" borderId="39" xfId="0" applyNumberFormat="1" applyFont="1" applyBorder="1" applyAlignment="1">
      <alignment horizontal="right" vertical="center" wrapText="1"/>
    </xf>
    <xf numFmtId="176" fontId="12" fillId="7" borderId="39" xfId="0" applyNumberFormat="1" applyFont="1" applyFill="1" applyBorder="1" applyAlignment="1">
      <alignment horizontal="right" vertical="center" wrapText="1"/>
    </xf>
    <xf numFmtId="0" fontId="12" fillId="0" borderId="47" xfId="0" applyFont="1" applyBorder="1" applyAlignment="1">
      <alignment horizontal="center" vertical="center" wrapText="1"/>
    </xf>
    <xf numFmtId="177" fontId="12" fillId="0" borderId="50" xfId="0" applyNumberFormat="1" applyFont="1" applyBorder="1" applyAlignment="1">
      <alignment horizontal="right" vertical="center" wrapText="1"/>
    </xf>
    <xf numFmtId="176" fontId="12" fillId="7" borderId="50" xfId="0" applyNumberFormat="1" applyFont="1" applyFill="1" applyBorder="1" applyAlignment="1">
      <alignment horizontal="right" vertical="center" wrapText="1"/>
    </xf>
    <xf numFmtId="177" fontId="13" fillId="0" borderId="56" xfId="0" applyNumberFormat="1" applyFont="1" applyBorder="1" applyAlignment="1">
      <alignment horizontal="right" vertical="center" wrapText="1"/>
    </xf>
    <xf numFmtId="176" fontId="13" fillId="7" borderId="56" xfId="0" applyNumberFormat="1" applyFont="1" applyFill="1" applyBorder="1" applyAlignment="1">
      <alignment horizontal="right" vertical="center" wrapText="1"/>
    </xf>
    <xf numFmtId="177" fontId="12" fillId="0" borderId="60" xfId="0" applyNumberFormat="1" applyFont="1" applyBorder="1" applyAlignment="1">
      <alignment horizontal="right" vertical="center" wrapText="1"/>
    </xf>
    <xf numFmtId="176" fontId="12" fillId="7" borderId="60" xfId="0" applyNumberFormat="1" applyFont="1" applyFill="1" applyBorder="1" applyAlignment="1">
      <alignment horizontal="right" vertical="center" wrapText="1"/>
    </xf>
    <xf numFmtId="177" fontId="12" fillId="0" borderId="61" xfId="0" applyNumberFormat="1" applyFont="1" applyBorder="1" applyAlignment="1">
      <alignment horizontal="right" vertical="center" wrapText="1"/>
    </xf>
    <xf numFmtId="176" fontId="12" fillId="7" borderId="61" xfId="0" applyNumberFormat="1" applyFont="1" applyFill="1" applyBorder="1" applyAlignment="1">
      <alignment horizontal="right" vertical="center" wrapText="1"/>
    </xf>
    <xf numFmtId="177" fontId="12" fillId="0" borderId="64" xfId="0" applyNumberFormat="1" applyFont="1" applyBorder="1" applyAlignment="1">
      <alignment horizontal="right" vertical="center" wrapText="1"/>
    </xf>
    <xf numFmtId="176" fontId="12" fillId="7" borderId="64" xfId="0" applyNumberFormat="1" applyFont="1" applyFill="1" applyBorder="1" applyAlignment="1">
      <alignment horizontal="right" vertical="center" wrapText="1"/>
    </xf>
    <xf numFmtId="9" fontId="12" fillId="0" borderId="2" xfId="2" applyFont="1" applyBorder="1">
      <alignment vertical="center"/>
    </xf>
    <xf numFmtId="177" fontId="14" fillId="0" borderId="72" xfId="0" applyNumberFormat="1" applyFont="1" applyBorder="1" applyAlignment="1">
      <alignment horizontal="right" vertical="center" wrapText="1"/>
    </xf>
    <xf numFmtId="176" fontId="14" fillId="7" borderId="72" xfId="0" applyNumberFormat="1" applyFont="1" applyFill="1" applyBorder="1" applyAlignment="1">
      <alignment horizontal="right" vertical="center" wrapText="1"/>
    </xf>
    <xf numFmtId="3" fontId="12" fillId="0" borderId="2" xfId="0" applyNumberFormat="1" applyFont="1" applyBorder="1">
      <alignment vertical="center"/>
    </xf>
    <xf numFmtId="176" fontId="13" fillId="7" borderId="39" xfId="0" applyNumberFormat="1" applyFont="1" applyFill="1" applyBorder="1" applyAlignment="1">
      <alignment horizontal="right" vertical="center" wrapText="1"/>
    </xf>
    <xf numFmtId="177" fontId="14" fillId="0" borderId="39" xfId="0" applyNumberFormat="1" applyFont="1" applyBorder="1" applyAlignment="1">
      <alignment horizontal="right" vertical="center" wrapText="1"/>
    </xf>
    <xf numFmtId="41" fontId="12" fillId="0" borderId="2" xfId="1" applyFont="1" applyBorder="1">
      <alignment vertical="center"/>
    </xf>
    <xf numFmtId="177" fontId="13" fillId="0" borderId="64" xfId="0" applyNumberFormat="1" applyFont="1" applyBorder="1" applyAlignment="1">
      <alignment horizontal="right" vertical="center" wrapText="1"/>
    </xf>
    <xf numFmtId="176" fontId="13" fillId="7" borderId="64" xfId="0" applyNumberFormat="1" applyFont="1" applyFill="1" applyBorder="1" applyAlignment="1">
      <alignment horizontal="right" vertical="center" wrapText="1"/>
    </xf>
    <xf numFmtId="177" fontId="14" fillId="0" borderId="64" xfId="0" applyNumberFormat="1" applyFont="1" applyBorder="1" applyAlignment="1">
      <alignment horizontal="right" vertical="center" wrapText="1"/>
    </xf>
    <xf numFmtId="176" fontId="12" fillId="0" borderId="0" xfId="2" applyNumberFormat="1" applyFont="1">
      <alignment vertical="center"/>
    </xf>
    <xf numFmtId="41" fontId="12" fillId="0" borderId="2" xfId="0" applyNumberFormat="1" applyFont="1" applyBorder="1">
      <alignment vertical="center"/>
    </xf>
    <xf numFmtId="177" fontId="15" fillId="0" borderId="64" xfId="0" applyNumberFormat="1" applyFont="1" applyBorder="1" applyAlignment="1">
      <alignment horizontal="right" vertical="center" wrapText="1"/>
    </xf>
    <xf numFmtId="176" fontId="12" fillId="7" borderId="49" xfId="0" applyNumberFormat="1" applyFont="1" applyFill="1" applyBorder="1" applyAlignment="1">
      <alignment horizontal="right" vertical="center" wrapText="1"/>
    </xf>
    <xf numFmtId="177" fontId="15" fillId="0" borderId="49" xfId="0" applyNumberFormat="1" applyFont="1" applyBorder="1" applyAlignment="1">
      <alignment horizontal="right" vertical="center" wrapText="1"/>
    </xf>
    <xf numFmtId="177" fontId="12" fillId="0" borderId="82" xfId="0" applyNumberFormat="1" applyFont="1" applyBorder="1" applyAlignment="1">
      <alignment horizontal="right" vertical="center" wrapText="1"/>
    </xf>
    <xf numFmtId="176" fontId="12" fillId="7" borderId="82" xfId="0" applyNumberFormat="1" applyFont="1" applyFill="1" applyBorder="1" applyAlignment="1">
      <alignment horizontal="right" vertical="center" wrapText="1"/>
    </xf>
    <xf numFmtId="177" fontId="12" fillId="0" borderId="81" xfId="0" applyNumberFormat="1" applyFont="1" applyBorder="1" applyAlignment="1">
      <alignment horizontal="right" vertical="center" wrapText="1"/>
    </xf>
    <xf numFmtId="176" fontId="12" fillId="7" borderId="81" xfId="0" applyNumberFormat="1" applyFont="1" applyFill="1" applyBorder="1" applyAlignment="1">
      <alignment horizontal="right" vertical="center" wrapText="1"/>
    </xf>
    <xf numFmtId="177" fontId="13" fillId="0" borderId="82" xfId="0" applyNumberFormat="1" applyFont="1" applyBorder="1" applyAlignment="1">
      <alignment horizontal="right" vertical="center" wrapText="1"/>
    </xf>
    <xf numFmtId="176" fontId="13" fillId="7" borderId="82" xfId="0" applyNumberFormat="1" applyFont="1" applyFill="1" applyBorder="1" applyAlignment="1">
      <alignment horizontal="right" vertical="center" wrapText="1"/>
    </xf>
    <xf numFmtId="176" fontId="12" fillId="0" borderId="87" xfId="2" applyNumberFormat="1" applyFont="1" applyFill="1" applyBorder="1" applyAlignment="1">
      <alignment horizontal="right" vertical="center" wrapText="1"/>
    </xf>
    <xf numFmtId="176" fontId="12" fillId="0" borderId="89" xfId="2" applyNumberFormat="1" applyFont="1" applyFill="1" applyBorder="1" applyAlignment="1">
      <alignment horizontal="right" vertical="center" wrapText="1"/>
    </xf>
    <xf numFmtId="176" fontId="12" fillId="0" borderId="91" xfId="2" applyNumberFormat="1" applyFont="1" applyFill="1" applyBorder="1" applyAlignment="1">
      <alignment horizontal="right" vertical="center" wrapText="1"/>
    </xf>
    <xf numFmtId="176" fontId="12" fillId="0" borderId="79" xfId="2" applyNumberFormat="1" applyFont="1" applyFill="1" applyBorder="1" applyAlignment="1">
      <alignment horizontal="right" wrapText="1"/>
    </xf>
    <xf numFmtId="176" fontId="12" fillId="0" borderId="92" xfId="2" applyNumberFormat="1" applyFont="1" applyFill="1" applyBorder="1" applyAlignment="1">
      <alignment horizontal="right" vertical="center" wrapText="1"/>
    </xf>
    <xf numFmtId="0" fontId="15" fillId="0" borderId="0" xfId="0" applyFont="1">
      <alignment vertical="center"/>
    </xf>
    <xf numFmtId="0" fontId="12" fillId="0" borderId="0" xfId="0" applyFont="1" applyAlignment="1">
      <alignment horizontal="center" vertical="center" wrapText="1"/>
    </xf>
    <xf numFmtId="0" fontId="15" fillId="6" borderId="0" xfId="0" applyFont="1" applyFill="1">
      <alignment vertical="center"/>
    </xf>
    <xf numFmtId="177" fontId="15" fillId="0" borderId="0" xfId="0" applyNumberFormat="1" applyFont="1">
      <alignment vertical="center"/>
    </xf>
    <xf numFmtId="177" fontId="17" fillId="0" borderId="0" xfId="0" applyNumberFormat="1" applyFont="1">
      <alignment vertical="center"/>
    </xf>
    <xf numFmtId="0" fontId="17" fillId="0" borderId="0" xfId="0" applyFont="1">
      <alignment vertical="center"/>
    </xf>
    <xf numFmtId="41" fontId="15" fillId="0" borderId="0" xfId="1" applyFont="1">
      <alignment vertical="center"/>
    </xf>
    <xf numFmtId="176" fontId="15" fillId="0" borderId="0" xfId="2" applyNumberFormat="1" applyFont="1">
      <alignment vertical="center"/>
    </xf>
    <xf numFmtId="0" fontId="18" fillId="0" borderId="0" xfId="0" applyFont="1">
      <alignment vertical="center"/>
    </xf>
    <xf numFmtId="0" fontId="15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177" fontId="15" fillId="7" borderId="102" xfId="0" applyNumberFormat="1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 wrapText="1"/>
    </xf>
    <xf numFmtId="177" fontId="14" fillId="0" borderId="30" xfId="0" applyNumberFormat="1" applyFont="1" applyBorder="1" applyAlignment="1">
      <alignment horizontal="right" vertical="center" wrapText="1"/>
    </xf>
    <xf numFmtId="176" fontId="19" fillId="7" borderId="30" xfId="0" applyNumberFormat="1" applyFont="1" applyFill="1" applyBorder="1" applyAlignment="1">
      <alignment horizontal="right" vertical="center" wrapText="1"/>
    </xf>
    <xf numFmtId="3" fontId="15" fillId="0" borderId="2" xfId="0" applyNumberFormat="1" applyFont="1" applyBorder="1">
      <alignment vertical="center"/>
    </xf>
    <xf numFmtId="3" fontId="15" fillId="0" borderId="0" xfId="0" applyNumberFormat="1" applyFont="1">
      <alignment vertical="center"/>
    </xf>
    <xf numFmtId="10" fontId="15" fillId="0" borderId="0" xfId="0" applyNumberFormat="1" applyFont="1">
      <alignment vertical="center"/>
    </xf>
    <xf numFmtId="0" fontId="16" fillId="0" borderId="38" xfId="0" applyFont="1" applyBorder="1" applyAlignment="1">
      <alignment horizontal="center" vertical="center" wrapText="1"/>
    </xf>
    <xf numFmtId="177" fontId="15" fillId="0" borderId="39" xfId="0" applyNumberFormat="1" applyFont="1" applyBorder="1" applyAlignment="1">
      <alignment horizontal="right" vertical="center" wrapText="1"/>
    </xf>
    <xf numFmtId="176" fontId="15" fillId="7" borderId="39" xfId="0" applyNumberFormat="1" applyFont="1" applyFill="1" applyBorder="1" applyAlignment="1">
      <alignment horizontal="right" vertical="center" wrapText="1"/>
    </xf>
    <xf numFmtId="176" fontId="16" fillId="7" borderId="39" xfId="0" applyNumberFormat="1" applyFont="1" applyFill="1" applyBorder="1" applyAlignment="1">
      <alignment horizontal="right" vertical="center" wrapText="1"/>
    </xf>
    <xf numFmtId="0" fontId="15" fillId="0" borderId="2" xfId="0" applyFont="1" applyBorder="1">
      <alignment vertical="center"/>
    </xf>
    <xf numFmtId="0" fontId="16" fillId="0" borderId="47" xfId="0" applyFont="1" applyBorder="1" applyAlignment="1">
      <alignment horizontal="center" vertical="center" wrapText="1"/>
    </xf>
    <xf numFmtId="177" fontId="15" fillId="0" borderId="50" xfId="0" applyNumberFormat="1" applyFont="1" applyBorder="1" applyAlignment="1">
      <alignment horizontal="right" vertical="center" wrapText="1"/>
    </xf>
    <xf numFmtId="176" fontId="15" fillId="7" borderId="50" xfId="0" applyNumberFormat="1" applyFont="1" applyFill="1" applyBorder="1" applyAlignment="1">
      <alignment horizontal="right" vertical="center" wrapText="1"/>
    </xf>
    <xf numFmtId="176" fontId="16" fillId="7" borderId="50" xfId="0" applyNumberFormat="1" applyFont="1" applyFill="1" applyBorder="1" applyAlignment="1">
      <alignment horizontal="right" vertical="center" wrapText="1"/>
    </xf>
    <xf numFmtId="177" fontId="14" fillId="0" borderId="56" xfId="0" applyNumberFormat="1" applyFont="1" applyBorder="1" applyAlignment="1">
      <alignment horizontal="right" vertical="center" wrapText="1"/>
    </xf>
    <xf numFmtId="176" fontId="19" fillId="7" borderId="56" xfId="0" applyNumberFormat="1" applyFont="1" applyFill="1" applyBorder="1" applyAlignment="1">
      <alignment horizontal="right" vertical="center" wrapText="1"/>
    </xf>
    <xf numFmtId="176" fontId="16" fillId="7" borderId="60" xfId="0" applyNumberFormat="1" applyFont="1" applyFill="1" applyBorder="1" applyAlignment="1">
      <alignment horizontal="right" vertical="center" wrapText="1"/>
    </xf>
    <xf numFmtId="176" fontId="15" fillId="7" borderId="64" xfId="0" applyNumberFormat="1" applyFont="1" applyFill="1" applyBorder="1" applyAlignment="1">
      <alignment horizontal="right" vertical="center" wrapText="1"/>
    </xf>
    <xf numFmtId="176" fontId="14" fillId="7" borderId="64" xfId="0" applyNumberFormat="1" applyFont="1" applyFill="1" applyBorder="1" applyAlignment="1">
      <alignment horizontal="right" vertical="center" wrapText="1"/>
    </xf>
    <xf numFmtId="176" fontId="14" fillId="7" borderId="39" xfId="0" applyNumberFormat="1" applyFont="1" applyFill="1" applyBorder="1" applyAlignment="1">
      <alignment horizontal="right" vertical="center" wrapText="1"/>
    </xf>
    <xf numFmtId="177" fontId="14" fillId="0" borderId="2" xfId="0" applyNumberFormat="1" applyFont="1" applyBorder="1" applyAlignment="1">
      <alignment horizontal="right" vertical="center" wrapText="1"/>
    </xf>
    <xf numFmtId="176" fontId="14" fillId="7" borderId="2" xfId="0" applyNumberFormat="1" applyFont="1" applyFill="1" applyBorder="1" applyAlignment="1">
      <alignment horizontal="right" vertical="center" wrapText="1"/>
    </xf>
    <xf numFmtId="0" fontId="14" fillId="0" borderId="2" xfId="0" applyFont="1" applyBorder="1">
      <alignment vertical="center"/>
    </xf>
    <xf numFmtId="177" fontId="15" fillId="0" borderId="82" xfId="0" applyNumberFormat="1" applyFont="1" applyBorder="1" applyAlignment="1">
      <alignment horizontal="right" vertical="center" wrapText="1"/>
    </xf>
    <xf numFmtId="176" fontId="15" fillId="7" borderId="82" xfId="0" applyNumberFormat="1" applyFont="1" applyFill="1" applyBorder="1" applyAlignment="1">
      <alignment horizontal="right" vertical="center" wrapText="1"/>
    </xf>
    <xf numFmtId="177" fontId="15" fillId="0" borderId="81" xfId="0" applyNumberFormat="1" applyFont="1" applyBorder="1" applyAlignment="1">
      <alignment horizontal="right" vertical="center" wrapText="1"/>
    </xf>
    <xf numFmtId="177" fontId="14" fillId="0" borderId="82" xfId="0" applyNumberFormat="1" applyFont="1" applyBorder="1" applyAlignment="1">
      <alignment horizontal="right" vertical="center" wrapText="1"/>
    </xf>
    <xf numFmtId="176" fontId="14" fillId="7" borderId="82" xfId="0" applyNumberFormat="1" applyFont="1" applyFill="1" applyBorder="1" applyAlignment="1">
      <alignment horizontal="right" vertical="center" wrapText="1"/>
    </xf>
    <xf numFmtId="176" fontId="16" fillId="0" borderId="91" xfId="2" applyNumberFormat="1" applyFont="1" applyFill="1" applyBorder="1" applyAlignment="1">
      <alignment horizontal="right" vertical="center" wrapText="1"/>
    </xf>
    <xf numFmtId="176" fontId="20" fillId="0" borderId="79" xfId="2" applyNumberFormat="1" applyFont="1" applyFill="1" applyBorder="1" applyAlignment="1">
      <alignment horizontal="right" wrapText="1"/>
    </xf>
    <xf numFmtId="176" fontId="16" fillId="0" borderId="92" xfId="2" applyNumberFormat="1" applyFont="1" applyFill="1" applyBorder="1" applyAlignment="1">
      <alignment horizontal="right" vertical="center" wrapText="1"/>
    </xf>
    <xf numFmtId="176" fontId="12" fillId="0" borderId="106" xfId="2" applyNumberFormat="1" applyFont="1" applyFill="1" applyBorder="1" applyAlignment="1">
      <alignment horizontal="right" wrapText="1"/>
    </xf>
    <xf numFmtId="0" fontId="15" fillId="0" borderId="0" xfId="0" applyFont="1" applyAlignment="1">
      <alignment horizontal="center" vertical="center" wrapText="1"/>
    </xf>
    <xf numFmtId="177" fontId="16" fillId="0" borderId="0" xfId="2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horizontal="right" wrapText="1"/>
    </xf>
    <xf numFmtId="0" fontId="15" fillId="7" borderId="2" xfId="0" applyFont="1" applyFill="1" applyBorder="1" applyAlignment="1">
      <alignment horizontal="center" vertical="center"/>
    </xf>
    <xf numFmtId="178" fontId="17" fillId="7" borderId="2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3" fontId="12" fillId="0" borderId="2" xfId="0" applyNumberFormat="1" applyFont="1" applyBorder="1" applyAlignment="1">
      <alignment horizontal="right" vertical="center" wrapText="1"/>
    </xf>
    <xf numFmtId="41" fontId="12" fillId="0" borderId="2" xfId="1" applyFont="1" applyFill="1" applyBorder="1" applyAlignment="1">
      <alignment horizontal="right" vertical="center" wrapText="1"/>
    </xf>
    <xf numFmtId="41" fontId="15" fillId="0" borderId="2" xfId="1" applyFont="1" applyBorder="1">
      <alignment vertical="center"/>
    </xf>
    <xf numFmtId="0" fontId="14" fillId="0" borderId="2" xfId="0" applyFont="1" applyBorder="1" applyAlignment="1">
      <alignment horizontal="center" vertical="center"/>
    </xf>
    <xf numFmtId="41" fontId="14" fillId="0" borderId="2" xfId="0" applyNumberFormat="1" applyFont="1" applyBorder="1">
      <alignment vertical="center"/>
    </xf>
    <xf numFmtId="41" fontId="15" fillId="0" borderId="0" xfId="0" applyNumberFormat="1" applyFont="1">
      <alignment vertical="center"/>
    </xf>
    <xf numFmtId="0" fontId="15" fillId="0" borderId="2" xfId="0" applyFont="1" applyBorder="1" applyAlignment="1">
      <alignment horizontal="left" vertical="center"/>
    </xf>
    <xf numFmtId="177" fontId="12" fillId="0" borderId="2" xfId="0" applyNumberFormat="1" applyFont="1" applyBorder="1" applyAlignment="1">
      <alignment horizontal="right" vertical="center" wrapText="1"/>
    </xf>
    <xf numFmtId="177" fontId="15" fillId="0" borderId="2" xfId="0" applyNumberFormat="1" applyFont="1" applyBorder="1">
      <alignment vertical="center"/>
    </xf>
    <xf numFmtId="0" fontId="15" fillId="0" borderId="2" xfId="0" applyFont="1" applyBorder="1" applyAlignment="1">
      <alignment horizontal="left" vertical="center" indent="1"/>
    </xf>
    <xf numFmtId="177" fontId="14" fillId="0" borderId="2" xfId="0" applyNumberFormat="1" applyFont="1" applyBorder="1">
      <alignment vertical="center"/>
    </xf>
    <xf numFmtId="0" fontId="15" fillId="0" borderId="0" xfId="0" applyFont="1" applyAlignment="1">
      <alignment horizontal="center" vertical="center"/>
    </xf>
    <xf numFmtId="177" fontId="9" fillId="0" borderId="0" xfId="0" applyNumberFormat="1" applyFont="1">
      <alignment vertical="center"/>
    </xf>
    <xf numFmtId="0" fontId="15" fillId="7" borderId="2" xfId="0" quotePrefix="1" applyFont="1" applyFill="1" applyBorder="1" applyAlignment="1">
      <alignment horizontal="centerContinuous" vertical="center"/>
    </xf>
    <xf numFmtId="0" fontId="15" fillId="7" borderId="2" xfId="0" quotePrefix="1" applyFont="1" applyFill="1" applyBorder="1" applyAlignment="1">
      <alignment horizontal="center" vertical="center"/>
    </xf>
    <xf numFmtId="178" fontId="14" fillId="0" borderId="2" xfId="1" applyNumberFormat="1" applyFont="1" applyFill="1" applyBorder="1" applyAlignment="1">
      <alignment horizontal="right" vertical="center" wrapText="1"/>
    </xf>
    <xf numFmtId="178" fontId="15" fillId="0" borderId="2" xfId="1" applyNumberFormat="1" applyFont="1" applyFill="1" applyBorder="1" applyAlignment="1">
      <alignment horizontal="right" vertical="center" wrapText="1"/>
    </xf>
    <xf numFmtId="178" fontId="14" fillId="0" borderId="2" xfId="1" applyNumberFormat="1" applyFont="1" applyFill="1" applyBorder="1" applyAlignment="1">
      <alignment horizontal="right" vertical="center"/>
    </xf>
    <xf numFmtId="178" fontId="22" fillId="0" borderId="0" xfId="1" applyNumberFormat="1" applyFont="1" applyFill="1" applyBorder="1" applyAlignment="1">
      <alignment horizontal="right" vertical="center"/>
    </xf>
    <xf numFmtId="178" fontId="23" fillId="0" borderId="0" xfId="1" applyNumberFormat="1" applyFont="1" applyFill="1" applyBorder="1" applyAlignment="1">
      <alignment horizontal="right" vertical="center"/>
    </xf>
    <xf numFmtId="178" fontId="15" fillId="0" borderId="118" xfId="1" applyNumberFormat="1" applyFont="1" applyFill="1" applyBorder="1" applyAlignment="1">
      <alignment horizontal="right" vertical="center"/>
    </xf>
    <xf numFmtId="178" fontId="22" fillId="0" borderId="0" xfId="0" applyNumberFormat="1" applyFont="1">
      <alignment vertical="center"/>
    </xf>
    <xf numFmtId="0" fontId="22" fillId="0" borderId="0" xfId="0" applyFont="1">
      <alignment vertical="center"/>
    </xf>
    <xf numFmtId="0" fontId="12" fillId="7" borderId="3" xfId="10" applyFont="1" applyFill="1" applyBorder="1" applyAlignment="1">
      <alignment horizontal="centerContinuous" vertical="center"/>
    </xf>
    <xf numFmtId="0" fontId="12" fillId="7" borderId="4" xfId="10" applyFont="1" applyFill="1" applyBorder="1" applyAlignment="1">
      <alignment horizontal="centerContinuous" vertical="center"/>
    </xf>
    <xf numFmtId="0" fontId="12" fillId="7" borderId="5" xfId="10" applyFont="1" applyFill="1" applyBorder="1" applyAlignment="1">
      <alignment horizontal="centerContinuous" vertical="center"/>
    </xf>
    <xf numFmtId="178" fontId="22" fillId="6" borderId="0" xfId="0" applyNumberFormat="1" applyFont="1" applyFill="1">
      <alignment vertical="center"/>
    </xf>
    <xf numFmtId="0" fontId="22" fillId="6" borderId="0" xfId="0" applyFont="1" applyFill="1">
      <alignment vertical="center"/>
    </xf>
    <xf numFmtId="0" fontId="13" fillId="12" borderId="1" xfId="10" applyFont="1" applyFill="1" applyBorder="1" applyAlignment="1">
      <alignment horizontal="centerContinuous" vertical="center"/>
    </xf>
    <xf numFmtId="0" fontId="13" fillId="12" borderId="107" xfId="10" applyFont="1" applyFill="1" applyBorder="1" applyAlignment="1">
      <alignment horizontal="centerContinuous" vertical="center"/>
    </xf>
    <xf numFmtId="0" fontId="13" fillId="12" borderId="119" xfId="10" applyFont="1" applyFill="1" applyBorder="1" applyAlignment="1">
      <alignment horizontal="centerContinuous" vertical="center"/>
    </xf>
    <xf numFmtId="178" fontId="13" fillId="12" borderId="2" xfId="1" applyNumberFormat="1" applyFont="1" applyFill="1" applyBorder="1" applyAlignment="1">
      <alignment vertical="center"/>
    </xf>
    <xf numFmtId="0" fontId="13" fillId="12" borderId="1" xfId="10" applyFont="1" applyFill="1" applyBorder="1" applyAlignment="1">
      <alignment horizontal="left" vertical="center"/>
    </xf>
    <xf numFmtId="0" fontId="13" fillId="12" borderId="120" xfId="10" applyFont="1" applyFill="1" applyBorder="1" applyAlignment="1">
      <alignment horizontal="left" vertical="center"/>
    </xf>
    <xf numFmtId="0" fontId="13" fillId="12" borderId="121" xfId="10" applyFont="1" applyFill="1" applyBorder="1" applyAlignment="1">
      <alignment horizontal="left" vertical="center"/>
    </xf>
    <xf numFmtId="0" fontId="13" fillId="12" borderId="119" xfId="10" applyFont="1" applyFill="1" applyBorder="1" applyAlignment="1">
      <alignment horizontal="left" vertical="center"/>
    </xf>
    <xf numFmtId="0" fontId="13" fillId="12" borderId="1" xfId="10" applyFont="1" applyFill="1" applyBorder="1" applyAlignment="1">
      <alignment horizontal="centerContinuous"/>
    </xf>
    <xf numFmtId="0" fontId="13" fillId="12" borderId="1" xfId="10" applyFont="1" applyFill="1" applyBorder="1" applyAlignment="1">
      <alignment horizontal="center" vertical="center" wrapText="1"/>
    </xf>
    <xf numFmtId="0" fontId="13" fillId="12" borderId="5" xfId="10" applyFont="1" applyFill="1" applyBorder="1" applyAlignment="1">
      <alignment horizontal="centerContinuous" vertical="center"/>
    </xf>
    <xf numFmtId="41" fontId="13" fillId="12" borderId="2" xfId="1" applyFont="1" applyFill="1" applyBorder="1" applyAlignment="1">
      <alignment vertical="center"/>
    </xf>
    <xf numFmtId="0" fontId="13" fillId="12" borderId="3" xfId="10" applyFont="1" applyFill="1" applyBorder="1" applyAlignment="1">
      <alignment horizontal="centerContinuous" vertical="center"/>
    </xf>
    <xf numFmtId="0" fontId="13" fillId="12" borderId="4" xfId="10" applyFont="1" applyFill="1" applyBorder="1" applyAlignment="1">
      <alignment horizontal="centerContinuous" vertical="center"/>
    </xf>
    <xf numFmtId="178" fontId="15" fillId="0" borderId="0" xfId="0" applyNumberFormat="1" applyFont="1">
      <alignment vertical="center"/>
    </xf>
    <xf numFmtId="177" fontId="27" fillId="14" borderId="2" xfId="0" applyNumberFormat="1" applyFont="1" applyFill="1" applyBorder="1">
      <alignment vertical="center"/>
    </xf>
    <xf numFmtId="178" fontId="29" fillId="5" borderId="2" xfId="0" applyNumberFormat="1" applyFont="1" applyFill="1" applyBorder="1">
      <alignment vertical="center"/>
    </xf>
    <xf numFmtId="0" fontId="14" fillId="0" borderId="0" xfId="0" applyFont="1" applyAlignment="1">
      <alignment horizontal="left" vertical="center"/>
    </xf>
    <xf numFmtId="178" fontId="14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left" vertical="center"/>
    </xf>
    <xf numFmtId="0" fontId="12" fillId="0" borderId="122" xfId="0" applyFont="1" applyBorder="1" applyAlignment="1">
      <alignment horizontal="center" vertical="center" wrapText="1"/>
    </xf>
    <xf numFmtId="0" fontId="12" fillId="0" borderId="130" xfId="0" applyFont="1" applyBorder="1" applyAlignment="1">
      <alignment horizontal="left" vertical="center"/>
    </xf>
    <xf numFmtId="0" fontId="12" fillId="0" borderId="131" xfId="0" applyFont="1" applyBorder="1" applyAlignment="1">
      <alignment horizontal="center" vertical="center" wrapText="1"/>
    </xf>
    <xf numFmtId="0" fontId="12" fillId="0" borderId="1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34" xfId="0" applyFont="1" applyBorder="1" applyAlignment="1">
      <alignment horizontal="center" vertical="center" wrapText="1"/>
    </xf>
    <xf numFmtId="0" fontId="12" fillId="0" borderId="135" xfId="0" applyFont="1" applyBorder="1" applyAlignment="1">
      <alignment horizontal="center" vertical="center" wrapText="1"/>
    </xf>
    <xf numFmtId="0" fontId="12" fillId="0" borderId="136" xfId="0" applyFont="1" applyBorder="1" applyAlignment="1">
      <alignment horizontal="center" vertical="center" wrapText="1"/>
    </xf>
    <xf numFmtId="0" fontId="12" fillId="0" borderId="137" xfId="0" applyFont="1" applyBorder="1" applyAlignment="1">
      <alignment horizontal="center" vertical="center" wrapText="1"/>
    </xf>
    <xf numFmtId="0" fontId="12" fillId="0" borderId="138" xfId="0" applyFont="1" applyBorder="1" applyAlignment="1">
      <alignment horizontal="center" vertical="center" wrapText="1"/>
    </xf>
    <xf numFmtId="0" fontId="12" fillId="0" borderId="139" xfId="0" applyFont="1" applyBorder="1" applyAlignment="1">
      <alignment horizontal="center" vertical="center" wrapText="1"/>
    </xf>
    <xf numFmtId="0" fontId="12" fillId="0" borderId="140" xfId="0" applyFont="1" applyBorder="1" applyAlignment="1">
      <alignment horizontal="center" vertical="center" wrapText="1"/>
    </xf>
    <xf numFmtId="0" fontId="12" fillId="0" borderId="141" xfId="0" applyFont="1" applyBorder="1" applyAlignment="1">
      <alignment horizontal="center" vertical="center" wrapText="1"/>
    </xf>
    <xf numFmtId="0" fontId="13" fillId="0" borderId="118" xfId="0" applyFont="1" applyBorder="1" applyAlignment="1">
      <alignment horizontal="center" vertical="center" wrapText="1"/>
    </xf>
    <xf numFmtId="0" fontId="13" fillId="0" borderId="142" xfId="0" applyFont="1" applyBorder="1" applyAlignment="1">
      <alignment horizontal="center" vertical="center" wrapText="1"/>
    </xf>
    <xf numFmtId="177" fontId="7" fillId="0" borderId="0" xfId="0" applyNumberFormat="1" applyFont="1">
      <alignment vertical="center"/>
    </xf>
    <xf numFmtId="177" fontId="14" fillId="0" borderId="0" xfId="0" applyNumberFormat="1" applyFont="1">
      <alignment vertical="center"/>
    </xf>
    <xf numFmtId="177" fontId="6" fillId="0" borderId="0" xfId="0" applyNumberFormat="1" applyFont="1">
      <alignment vertical="center"/>
    </xf>
    <xf numFmtId="176" fontId="12" fillId="7" borderId="146" xfId="0" applyNumberFormat="1" applyFont="1" applyFill="1" applyBorder="1" applyAlignment="1">
      <alignment horizontal="right" vertical="center" wrapText="1"/>
    </xf>
    <xf numFmtId="0" fontId="12" fillId="0" borderId="148" xfId="0" applyFont="1" applyBorder="1" applyAlignment="1">
      <alignment horizontal="center" vertical="center" wrapText="1"/>
    </xf>
    <xf numFmtId="176" fontId="14" fillId="7" borderId="133" xfId="0" applyNumberFormat="1" applyFont="1" applyFill="1" applyBorder="1" applyAlignment="1">
      <alignment horizontal="right" vertical="center" wrapText="1"/>
    </xf>
    <xf numFmtId="176" fontId="14" fillId="7" borderId="120" xfId="0" applyNumberFormat="1" applyFont="1" applyFill="1" applyBorder="1" applyAlignment="1">
      <alignment horizontal="right" vertical="center" wrapText="1"/>
    </xf>
    <xf numFmtId="176" fontId="15" fillId="7" borderId="120" xfId="0" applyNumberFormat="1" applyFont="1" applyFill="1" applyBorder="1" applyAlignment="1">
      <alignment horizontal="right" vertical="center" wrapText="1"/>
    </xf>
    <xf numFmtId="176" fontId="15" fillId="7" borderId="149" xfId="0" applyNumberFormat="1" applyFont="1" applyFill="1" applyBorder="1" applyAlignment="1">
      <alignment horizontal="right" vertical="center" wrapText="1"/>
    </xf>
    <xf numFmtId="177" fontId="15" fillId="0" borderId="149" xfId="0" applyNumberFormat="1" applyFont="1" applyBorder="1" applyAlignment="1">
      <alignment horizontal="right" vertical="center" wrapText="1"/>
    </xf>
    <xf numFmtId="176" fontId="15" fillId="7" borderId="119" xfId="0" applyNumberFormat="1" applyFont="1" applyFill="1" applyBorder="1" applyAlignment="1">
      <alignment horizontal="right" vertical="center" wrapText="1"/>
    </xf>
    <xf numFmtId="176" fontId="16" fillId="7" borderId="133" xfId="0" applyNumberFormat="1" applyFont="1" applyFill="1" applyBorder="1" applyAlignment="1">
      <alignment horizontal="right" vertical="center" wrapText="1"/>
    </xf>
    <xf numFmtId="176" fontId="16" fillId="7" borderId="150" xfId="0" applyNumberFormat="1" applyFont="1" applyFill="1" applyBorder="1" applyAlignment="1">
      <alignment horizontal="right" vertical="center" wrapText="1"/>
    </xf>
    <xf numFmtId="176" fontId="16" fillId="7" borderId="151" xfId="0" applyNumberFormat="1" applyFont="1" applyFill="1" applyBorder="1" applyAlignment="1">
      <alignment horizontal="right" vertical="center" wrapText="1"/>
    </xf>
    <xf numFmtId="176" fontId="12" fillId="7" borderId="152" xfId="0" applyNumberFormat="1" applyFont="1" applyFill="1" applyBorder="1" applyAlignment="1">
      <alignment horizontal="right" vertical="center" wrapText="1"/>
    </xf>
    <xf numFmtId="176" fontId="12" fillId="7" borderId="120" xfId="0" applyNumberFormat="1" applyFont="1" applyFill="1" applyBorder="1" applyAlignment="1">
      <alignment horizontal="right" vertical="center" wrapText="1"/>
    </xf>
    <xf numFmtId="176" fontId="12" fillId="7" borderId="150" xfId="0" applyNumberFormat="1" applyFont="1" applyFill="1" applyBorder="1" applyAlignment="1">
      <alignment horizontal="right" vertical="center" wrapText="1"/>
    </xf>
    <xf numFmtId="0" fontId="13" fillId="0" borderId="100" xfId="0" applyFont="1" applyBorder="1" applyAlignment="1">
      <alignment horizontal="left" vertical="center"/>
    </xf>
    <xf numFmtId="0" fontId="13" fillId="0" borderId="122" xfId="0" applyFont="1" applyBorder="1" applyAlignment="1">
      <alignment horizontal="center" vertical="center" wrapText="1"/>
    </xf>
    <xf numFmtId="0" fontId="15" fillId="13" borderId="0" xfId="0" applyFont="1" applyFill="1">
      <alignment vertical="center"/>
    </xf>
    <xf numFmtId="41" fontId="15" fillId="13" borderId="0" xfId="1" applyFont="1" applyFill="1">
      <alignment vertical="center"/>
    </xf>
    <xf numFmtId="176" fontId="15" fillId="13" borderId="0" xfId="2" applyNumberFormat="1" applyFont="1" applyFill="1">
      <alignment vertical="center"/>
    </xf>
    <xf numFmtId="181" fontId="12" fillId="0" borderId="0" xfId="0" applyNumberFormat="1" applyFont="1">
      <alignment vertical="center"/>
    </xf>
    <xf numFmtId="10" fontId="12" fillId="0" borderId="0" xfId="0" applyNumberFormat="1" applyFont="1">
      <alignment vertical="center"/>
    </xf>
    <xf numFmtId="177" fontId="20" fillId="0" borderId="0" xfId="0" applyNumberFormat="1" applyFont="1">
      <alignment vertical="center"/>
    </xf>
    <xf numFmtId="181" fontId="15" fillId="0" borderId="0" xfId="0" applyNumberFormat="1" applyFont="1">
      <alignment vertical="center"/>
    </xf>
    <xf numFmtId="176" fontId="16" fillId="0" borderId="87" xfId="2" applyNumberFormat="1" applyFont="1" applyFill="1" applyBorder="1" applyAlignment="1">
      <alignment horizontal="right" vertical="center" wrapText="1"/>
    </xf>
    <xf numFmtId="176" fontId="20" fillId="0" borderId="88" xfId="2" applyNumberFormat="1" applyFont="1" applyFill="1" applyBorder="1" applyAlignment="1">
      <alignment horizontal="right" wrapText="1"/>
    </xf>
    <xf numFmtId="176" fontId="16" fillId="0" borderId="89" xfId="2" applyNumberFormat="1" applyFont="1" applyFill="1" applyBorder="1" applyAlignment="1">
      <alignment horizontal="right" vertical="center" wrapText="1"/>
    </xf>
    <xf numFmtId="178" fontId="17" fillId="7" borderId="0" xfId="0" applyNumberFormat="1" applyFont="1" applyFill="1" applyAlignment="1">
      <alignment horizontal="center" vertical="center"/>
    </xf>
    <xf numFmtId="10" fontId="14" fillId="0" borderId="0" xfId="0" applyNumberFormat="1" applyFont="1" applyAlignment="1">
      <alignment horizontal="right" vertical="center"/>
    </xf>
    <xf numFmtId="0" fontId="15" fillId="0" borderId="105" xfId="0" applyFont="1" applyBorder="1" applyAlignment="1">
      <alignment horizontal="center" vertical="center" wrapText="1"/>
    </xf>
    <xf numFmtId="0" fontId="15" fillId="0" borderId="100" xfId="0" applyFont="1" applyBorder="1" applyAlignment="1">
      <alignment horizontal="left" vertical="center"/>
    </xf>
    <xf numFmtId="0" fontId="15" fillId="0" borderId="132" xfId="0" applyFont="1" applyBorder="1" applyAlignment="1">
      <alignment horizontal="center" vertical="center" wrapText="1"/>
    </xf>
    <xf numFmtId="0" fontId="15" fillId="0" borderId="130" xfId="0" applyFont="1" applyBorder="1" applyAlignment="1">
      <alignment horizontal="left" vertical="center"/>
    </xf>
    <xf numFmtId="0" fontId="15" fillId="0" borderId="131" xfId="0" applyFont="1" applyBorder="1" applyAlignment="1">
      <alignment horizontal="center" vertical="center" wrapText="1"/>
    </xf>
    <xf numFmtId="0" fontId="15" fillId="0" borderId="122" xfId="0" applyFont="1" applyBorder="1" applyAlignment="1">
      <alignment horizontal="center" vertical="center" wrapText="1"/>
    </xf>
    <xf numFmtId="176" fontId="15" fillId="7" borderId="133" xfId="0" applyNumberFormat="1" applyFont="1" applyFill="1" applyBorder="1" applyAlignment="1">
      <alignment horizontal="right" vertical="center" wrapText="1"/>
    </xf>
    <xf numFmtId="176" fontId="15" fillId="7" borderId="49" xfId="0" applyNumberFormat="1" applyFont="1" applyFill="1" applyBorder="1" applyAlignment="1">
      <alignment horizontal="right" vertical="center" wrapText="1"/>
    </xf>
    <xf numFmtId="176" fontId="15" fillId="7" borderId="153" xfId="0" applyNumberFormat="1" applyFont="1" applyFill="1" applyBorder="1" applyAlignment="1">
      <alignment horizontal="right" vertical="center" wrapText="1"/>
    </xf>
    <xf numFmtId="0" fontId="15" fillId="0" borderId="118" xfId="0" applyFont="1" applyBorder="1" applyAlignment="1">
      <alignment horizontal="center" vertical="center" wrapText="1"/>
    </xf>
    <xf numFmtId="0" fontId="15" fillId="0" borderId="142" xfId="0" applyFont="1" applyBorder="1" applyAlignment="1">
      <alignment horizontal="center" vertical="center" wrapText="1"/>
    </xf>
    <xf numFmtId="0" fontId="13" fillId="12" borderId="1" xfId="10" applyFont="1" applyFill="1" applyBorder="1" applyAlignment="1">
      <alignment horizontal="center" vertical="center"/>
    </xf>
    <xf numFmtId="0" fontId="13" fillId="12" borderId="121" xfId="10" applyFont="1" applyFill="1" applyBorder="1" applyAlignment="1">
      <alignment horizontal="center" vertical="center"/>
    </xf>
    <xf numFmtId="0" fontId="13" fillId="12" borderId="2" xfId="10" applyFont="1" applyFill="1" applyBorder="1" applyAlignment="1">
      <alignment horizontal="left" vertical="center"/>
    </xf>
    <xf numFmtId="0" fontId="13" fillId="12" borderId="2" xfId="10" applyFont="1" applyFill="1" applyBorder="1" applyAlignment="1">
      <alignment horizontal="centerContinuous" vertical="center"/>
    </xf>
    <xf numFmtId="177" fontId="13" fillId="0" borderId="72" xfId="0" applyNumberFormat="1" applyFont="1" applyBorder="1" applyAlignment="1">
      <alignment horizontal="right" vertical="center" wrapText="1"/>
    </xf>
    <xf numFmtId="176" fontId="13" fillId="7" borderId="72" xfId="0" applyNumberFormat="1" applyFont="1" applyFill="1" applyBorder="1" applyAlignment="1">
      <alignment horizontal="right" vertical="center" wrapText="1"/>
    </xf>
    <xf numFmtId="177" fontId="12" fillId="0" borderId="146" xfId="0" applyNumberFormat="1" applyFont="1" applyBorder="1" applyAlignment="1">
      <alignment horizontal="right" vertical="center" wrapText="1"/>
    </xf>
    <xf numFmtId="177" fontId="12" fillId="0" borderId="49" xfId="0" applyNumberFormat="1" applyFont="1" applyBorder="1" applyAlignment="1">
      <alignment horizontal="right" vertical="center" wrapText="1"/>
    </xf>
    <xf numFmtId="177" fontId="12" fillId="6" borderId="0" xfId="0" applyNumberFormat="1" applyFont="1" applyFill="1">
      <alignment vertical="center"/>
    </xf>
    <xf numFmtId="177" fontId="20" fillId="6" borderId="0" xfId="0" applyNumberFormat="1" applyFont="1" applyFill="1">
      <alignment vertical="center"/>
    </xf>
    <xf numFmtId="0" fontId="15" fillId="6" borderId="0" xfId="0" applyFont="1" applyFill="1" applyAlignment="1">
      <alignment horizontal="right" vertical="center"/>
    </xf>
    <xf numFmtId="0" fontId="13" fillId="0" borderId="0" xfId="10" applyFont="1" applyAlignment="1">
      <alignment horizontal="centerContinuous" vertical="center"/>
    </xf>
    <xf numFmtId="178" fontId="13" fillId="0" borderId="0" xfId="1" applyNumberFormat="1" applyFont="1" applyFill="1" applyBorder="1" applyAlignment="1">
      <alignment vertical="center"/>
    </xf>
    <xf numFmtId="41" fontId="15" fillId="0" borderId="0" xfId="1" applyFont="1" applyFill="1">
      <alignment vertical="center"/>
    </xf>
    <xf numFmtId="177" fontId="14" fillId="0" borderId="168" xfId="0" applyNumberFormat="1" applyFont="1" applyBorder="1" applyAlignment="1">
      <alignment horizontal="right" vertical="center" wrapText="1"/>
    </xf>
    <xf numFmtId="176" fontId="19" fillId="7" borderId="168" xfId="0" applyNumberFormat="1" applyFont="1" applyFill="1" applyBorder="1" applyAlignment="1">
      <alignment horizontal="right" vertical="center" wrapText="1"/>
    </xf>
    <xf numFmtId="177" fontId="4" fillId="15" borderId="3" xfId="3" applyNumberFormat="1" applyFont="1" applyFill="1" applyBorder="1">
      <alignment vertical="center"/>
    </xf>
    <xf numFmtId="177" fontId="4" fillId="15" borderId="5" xfId="3" applyNumberFormat="1" applyFont="1" applyFill="1" applyBorder="1">
      <alignment vertical="center"/>
    </xf>
    <xf numFmtId="177" fontId="4" fillId="15" borderId="5" xfId="3" applyNumberFormat="1" applyFont="1" applyFill="1" applyBorder="1" applyAlignment="1">
      <alignment horizontal="left" vertical="center" indent="1"/>
    </xf>
    <xf numFmtId="177" fontId="4" fillId="17" borderId="3" xfId="0" applyNumberFormat="1" applyFont="1" applyFill="1" applyBorder="1" applyAlignment="1">
      <alignment horizontal="left" vertical="center" indent="1"/>
    </xf>
    <xf numFmtId="177" fontId="4" fillId="17" borderId="5" xfId="0" applyNumberFormat="1" applyFont="1" applyFill="1" applyBorder="1">
      <alignment vertical="center"/>
    </xf>
    <xf numFmtId="177" fontId="4" fillId="15" borderId="3" xfId="0" applyNumberFormat="1" applyFont="1" applyFill="1" applyBorder="1" applyAlignment="1">
      <alignment horizontal="left" vertical="center" indent="2"/>
    </xf>
    <xf numFmtId="177" fontId="4" fillId="21" borderId="5" xfId="3" applyNumberFormat="1" applyFont="1" applyFill="1" applyBorder="1">
      <alignment vertical="center"/>
    </xf>
    <xf numFmtId="177" fontId="4" fillId="21" borderId="3" xfId="3" applyNumberFormat="1" applyFont="1" applyFill="1" applyBorder="1">
      <alignment vertical="center"/>
    </xf>
    <xf numFmtId="176" fontId="12" fillId="7" borderId="133" xfId="0" applyNumberFormat="1" applyFont="1" applyFill="1" applyBorder="1" applyAlignment="1">
      <alignment horizontal="right" vertical="center" wrapText="1"/>
    </xf>
    <xf numFmtId="176" fontId="12" fillId="7" borderId="147" xfId="0" applyNumberFormat="1" applyFont="1" applyFill="1" applyBorder="1" applyAlignment="1">
      <alignment horizontal="right" vertical="center" wrapText="1"/>
    </xf>
    <xf numFmtId="183" fontId="14" fillId="0" borderId="2" xfId="0" applyNumberFormat="1" applyFont="1" applyBorder="1">
      <alignment vertical="center"/>
    </xf>
    <xf numFmtId="183" fontId="12" fillId="0" borderId="0" xfId="0" applyNumberFormat="1" applyFont="1">
      <alignment vertical="center"/>
    </xf>
    <xf numFmtId="183" fontId="12" fillId="6" borderId="0" xfId="0" applyNumberFormat="1" applyFont="1" applyFill="1">
      <alignment vertical="center"/>
    </xf>
    <xf numFmtId="177" fontId="13" fillId="0" borderId="169" xfId="0" applyNumberFormat="1" applyFont="1" applyBorder="1" applyAlignment="1">
      <alignment horizontal="right" vertical="center" wrapText="1"/>
    </xf>
    <xf numFmtId="177" fontId="13" fillId="0" borderId="170" xfId="0" applyNumberFormat="1" applyFont="1" applyBorder="1" applyAlignment="1">
      <alignment horizontal="right" vertical="center" wrapText="1"/>
    </xf>
    <xf numFmtId="177" fontId="26" fillId="14" borderId="3" xfId="8" applyNumberFormat="1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32" fillId="0" borderId="0" xfId="0" applyFont="1">
      <alignment vertical="center"/>
    </xf>
    <xf numFmtId="0" fontId="33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2" fillId="0" borderId="0" xfId="0" applyFont="1" applyAlignment="1">
      <alignment horizontal="centerContinuous" vertical="center"/>
    </xf>
    <xf numFmtId="0" fontId="3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7" borderId="171" xfId="0" applyFill="1" applyBorder="1" applyAlignment="1">
      <alignment horizontal="centerContinuous" vertical="center"/>
    </xf>
    <xf numFmtId="0" fontId="32" fillId="7" borderId="171" xfId="0" applyFont="1" applyFill="1" applyBorder="1" applyAlignment="1">
      <alignment horizontal="centerContinuous" vertical="center"/>
    </xf>
    <xf numFmtId="0" fontId="0" fillId="7" borderId="172" xfId="0" applyFill="1" applyBorder="1" applyAlignment="1">
      <alignment horizontal="center" vertical="center"/>
    </xf>
    <xf numFmtId="0" fontId="0" fillId="7" borderId="173" xfId="0" applyFill="1" applyBorder="1" applyAlignment="1">
      <alignment horizontal="center" vertical="center"/>
    </xf>
    <xf numFmtId="0" fontId="0" fillId="7" borderId="174" xfId="0" applyFill="1" applyBorder="1" applyAlignment="1">
      <alignment horizontal="center" vertical="center"/>
    </xf>
    <xf numFmtId="0" fontId="0" fillId="7" borderId="175" xfId="0" applyFill="1" applyBorder="1" applyAlignment="1">
      <alignment horizontal="center" vertical="center"/>
    </xf>
    <xf numFmtId="185" fontId="3" fillId="7" borderId="176" xfId="0" applyNumberFormat="1" applyFont="1" applyFill="1" applyBorder="1" applyAlignment="1">
      <alignment horizontal="center" vertical="center"/>
    </xf>
    <xf numFmtId="185" fontId="3" fillId="7" borderId="177" xfId="0" applyNumberFormat="1" applyFont="1" applyFill="1" applyBorder="1" applyAlignment="1">
      <alignment horizontal="center" vertical="center"/>
    </xf>
    <xf numFmtId="185" fontId="3" fillId="7" borderId="178" xfId="0" applyNumberFormat="1" applyFont="1" applyFill="1" applyBorder="1" applyAlignment="1">
      <alignment horizontal="center" vertical="center"/>
    </xf>
    <xf numFmtId="0" fontId="3" fillId="7" borderId="172" xfId="0" applyFont="1" applyFill="1" applyBorder="1" applyAlignment="1">
      <alignment horizontal="center" vertical="center"/>
    </xf>
    <xf numFmtId="0" fontId="0" fillId="7" borderId="179" xfId="0" applyFill="1" applyBorder="1" applyAlignment="1">
      <alignment horizontal="center" vertical="center"/>
    </xf>
    <xf numFmtId="0" fontId="3" fillId="23" borderId="0" xfId="0" applyFont="1" applyFill="1">
      <alignment vertical="center"/>
    </xf>
    <xf numFmtId="0" fontId="34" fillId="23" borderId="0" xfId="0" applyFont="1" applyFill="1">
      <alignment vertical="center"/>
    </xf>
    <xf numFmtId="0" fontId="3" fillId="23" borderId="180" xfId="0" applyFont="1" applyFill="1" applyBorder="1">
      <alignment vertical="center"/>
    </xf>
    <xf numFmtId="0" fontId="3" fillId="23" borderId="181" xfId="0" applyFont="1" applyFill="1" applyBorder="1">
      <alignment vertical="center"/>
    </xf>
    <xf numFmtId="0" fontId="3" fillId="23" borderId="182" xfId="0" applyFont="1" applyFill="1" applyBorder="1">
      <alignment vertical="center"/>
    </xf>
    <xf numFmtId="0" fontId="3" fillId="23" borderId="183" xfId="0" applyFont="1" applyFill="1" applyBorder="1">
      <alignment vertical="center"/>
    </xf>
    <xf numFmtId="186" fontId="3" fillId="23" borderId="184" xfId="0" applyNumberFormat="1" applyFont="1" applyFill="1" applyBorder="1">
      <alignment vertical="center"/>
    </xf>
    <xf numFmtId="186" fontId="3" fillId="23" borderId="185" xfId="0" applyNumberFormat="1" applyFont="1" applyFill="1" applyBorder="1">
      <alignment vertical="center"/>
    </xf>
    <xf numFmtId="186" fontId="3" fillId="23" borderId="186" xfId="0" applyNumberFormat="1" applyFont="1" applyFill="1" applyBorder="1">
      <alignment vertical="center"/>
    </xf>
    <xf numFmtId="186" fontId="3" fillId="23" borderId="180" xfId="0" applyNumberFormat="1" applyFont="1" applyFill="1" applyBorder="1">
      <alignment vertical="center"/>
    </xf>
    <xf numFmtId="186" fontId="3" fillId="0" borderId="0" xfId="0" applyNumberFormat="1" applyFont="1">
      <alignment vertical="center"/>
    </xf>
    <xf numFmtId="186" fontId="3" fillId="23" borderId="187" xfId="0" applyNumberFormat="1" applyFont="1" applyFill="1" applyBorder="1">
      <alignment vertical="center"/>
    </xf>
    <xf numFmtId="186" fontId="3" fillId="23" borderId="182" xfId="0" applyNumberFormat="1" applyFont="1" applyFill="1" applyBorder="1">
      <alignment vertical="center"/>
    </xf>
    <xf numFmtId="0" fontId="35" fillId="24" borderId="0" xfId="0" applyFont="1" applyFill="1">
      <alignment vertical="center"/>
    </xf>
    <xf numFmtId="0" fontId="3" fillId="24" borderId="0" xfId="0" applyFont="1" applyFill="1">
      <alignment vertical="center"/>
    </xf>
    <xf numFmtId="0" fontId="34" fillId="24" borderId="0" xfId="0" applyFont="1" applyFill="1">
      <alignment vertical="center"/>
    </xf>
    <xf numFmtId="0" fontId="3" fillId="24" borderId="180" xfId="0" applyFont="1" applyFill="1" applyBorder="1">
      <alignment vertical="center"/>
    </xf>
    <xf numFmtId="0" fontId="3" fillId="24" borderId="181" xfId="0" applyFont="1" applyFill="1" applyBorder="1">
      <alignment vertical="center"/>
    </xf>
    <xf numFmtId="0" fontId="3" fillId="24" borderId="182" xfId="0" applyFont="1" applyFill="1" applyBorder="1">
      <alignment vertical="center"/>
    </xf>
    <xf numFmtId="0" fontId="3" fillId="24" borderId="183" xfId="0" applyFont="1" applyFill="1" applyBorder="1">
      <alignment vertical="center"/>
    </xf>
    <xf numFmtId="186" fontId="3" fillId="24" borderId="184" xfId="0" applyNumberFormat="1" applyFont="1" applyFill="1" applyBorder="1">
      <alignment vertical="center"/>
    </xf>
    <xf numFmtId="186" fontId="3" fillId="24" borderId="185" xfId="0" applyNumberFormat="1" applyFont="1" applyFill="1" applyBorder="1">
      <alignment vertical="center"/>
    </xf>
    <xf numFmtId="186" fontId="3" fillId="24" borderId="186" xfId="0" applyNumberFormat="1" applyFont="1" applyFill="1" applyBorder="1">
      <alignment vertical="center"/>
    </xf>
    <xf numFmtId="186" fontId="3" fillId="24" borderId="180" xfId="0" applyNumberFormat="1" applyFont="1" applyFill="1" applyBorder="1">
      <alignment vertical="center"/>
    </xf>
    <xf numFmtId="186" fontId="3" fillId="24" borderId="187" xfId="0" applyNumberFormat="1" applyFont="1" applyFill="1" applyBorder="1">
      <alignment vertical="center"/>
    </xf>
    <xf numFmtId="186" fontId="3" fillId="24" borderId="182" xfId="0" applyNumberFormat="1" applyFont="1" applyFill="1" applyBorder="1">
      <alignment vertical="center"/>
    </xf>
    <xf numFmtId="0" fontId="0" fillId="25" borderId="0" xfId="0" applyFill="1">
      <alignment vertical="center"/>
    </xf>
    <xf numFmtId="0" fontId="32" fillId="25" borderId="0" xfId="0" applyFont="1" applyFill="1">
      <alignment vertical="center"/>
    </xf>
    <xf numFmtId="0" fontId="0" fillId="25" borderId="180" xfId="0" applyFill="1" applyBorder="1">
      <alignment vertical="center"/>
    </xf>
    <xf numFmtId="0" fontId="0" fillId="25" borderId="181" xfId="0" applyFill="1" applyBorder="1">
      <alignment vertical="center"/>
    </xf>
    <xf numFmtId="0" fontId="0" fillId="25" borderId="182" xfId="0" applyFill="1" applyBorder="1">
      <alignment vertical="center"/>
    </xf>
    <xf numFmtId="0" fontId="0" fillId="25" borderId="183" xfId="0" applyFill="1" applyBorder="1">
      <alignment vertical="center"/>
    </xf>
    <xf numFmtId="186" fontId="0" fillId="25" borderId="184" xfId="0" applyNumberFormat="1" applyFill="1" applyBorder="1">
      <alignment vertical="center"/>
    </xf>
    <xf numFmtId="186" fontId="0" fillId="25" borderId="185" xfId="0" applyNumberFormat="1" applyFill="1" applyBorder="1">
      <alignment vertical="center"/>
    </xf>
    <xf numFmtId="186" fontId="0" fillId="25" borderId="186" xfId="0" applyNumberFormat="1" applyFill="1" applyBorder="1">
      <alignment vertical="center"/>
    </xf>
    <xf numFmtId="186" fontId="0" fillId="25" borderId="180" xfId="0" applyNumberFormat="1" applyFill="1" applyBorder="1">
      <alignment vertical="center"/>
    </xf>
    <xf numFmtId="186" fontId="0" fillId="0" borderId="0" xfId="0" applyNumberFormat="1">
      <alignment vertical="center"/>
    </xf>
    <xf numFmtId="186" fontId="0" fillId="25" borderId="187" xfId="0" applyNumberFormat="1" applyFill="1" applyBorder="1">
      <alignment vertical="center"/>
    </xf>
    <xf numFmtId="186" fontId="0" fillId="25" borderId="182" xfId="0" applyNumberFormat="1" applyFill="1" applyBorder="1">
      <alignment vertical="center"/>
    </xf>
    <xf numFmtId="0" fontId="6" fillId="0" borderId="180" xfId="0" applyFont="1" applyBorder="1">
      <alignment vertical="center"/>
    </xf>
    <xf numFmtId="0" fontId="6" fillId="0" borderId="181" xfId="0" applyFont="1" applyBorder="1">
      <alignment vertical="center"/>
    </xf>
    <xf numFmtId="0" fontId="6" fillId="0" borderId="182" xfId="0" applyFont="1" applyBorder="1">
      <alignment vertical="center"/>
    </xf>
    <xf numFmtId="0" fontId="6" fillId="0" borderId="183" xfId="0" applyFont="1" applyBorder="1">
      <alignment vertical="center"/>
    </xf>
    <xf numFmtId="186" fontId="6" fillId="0" borderId="184" xfId="0" applyNumberFormat="1" applyFont="1" applyBorder="1">
      <alignment vertical="center"/>
    </xf>
    <xf numFmtId="186" fontId="6" fillId="0" borderId="185" xfId="0" applyNumberFormat="1" applyFont="1" applyBorder="1">
      <alignment vertical="center"/>
    </xf>
    <xf numFmtId="186" fontId="6" fillId="0" borderId="186" xfId="0" applyNumberFormat="1" applyFont="1" applyBorder="1">
      <alignment vertical="center"/>
    </xf>
    <xf numFmtId="186" fontId="6" fillId="0" borderId="180" xfId="0" applyNumberFormat="1" applyFont="1" applyBorder="1">
      <alignment vertical="center"/>
    </xf>
    <xf numFmtId="186" fontId="6" fillId="0" borderId="0" xfId="0" applyNumberFormat="1" applyFont="1">
      <alignment vertical="center"/>
    </xf>
    <xf numFmtId="186" fontId="6" fillId="0" borderId="187" xfId="0" applyNumberFormat="1" applyFont="1" applyBorder="1">
      <alignment vertical="center"/>
    </xf>
    <xf numFmtId="186" fontId="6" fillId="0" borderId="182" xfId="0" applyNumberFormat="1" applyFont="1" applyBorder="1">
      <alignment vertical="center"/>
    </xf>
    <xf numFmtId="0" fontId="0" fillId="0" borderId="180" xfId="0" applyBorder="1">
      <alignment vertical="center"/>
    </xf>
    <xf numFmtId="0" fontId="0" fillId="0" borderId="181" xfId="0" applyBorder="1">
      <alignment vertical="center"/>
    </xf>
    <xf numFmtId="0" fontId="0" fillId="0" borderId="182" xfId="0" applyBorder="1">
      <alignment vertical="center"/>
    </xf>
    <xf numFmtId="0" fontId="0" fillId="0" borderId="183" xfId="0" applyBorder="1">
      <alignment vertical="center"/>
    </xf>
    <xf numFmtId="186" fontId="0" fillId="0" borderId="185" xfId="0" applyNumberFormat="1" applyBorder="1">
      <alignment vertical="center"/>
    </xf>
    <xf numFmtId="186" fontId="0" fillId="0" borderId="186" xfId="0" applyNumberFormat="1" applyBorder="1">
      <alignment vertical="center"/>
    </xf>
    <xf numFmtId="186" fontId="0" fillId="0" borderId="180" xfId="0" applyNumberFormat="1" applyBorder="1">
      <alignment vertical="center"/>
    </xf>
    <xf numFmtId="186" fontId="0" fillId="0" borderId="187" xfId="0" applyNumberFormat="1" applyBorder="1">
      <alignment vertical="center"/>
    </xf>
    <xf numFmtId="186" fontId="0" fillId="0" borderId="182" xfId="0" applyNumberFormat="1" applyBorder="1">
      <alignment vertical="center"/>
    </xf>
    <xf numFmtId="0" fontId="36" fillId="0" borderId="0" xfId="0" applyFont="1">
      <alignment vertical="center"/>
    </xf>
    <xf numFmtId="0" fontId="36" fillId="0" borderId="181" xfId="0" applyFont="1" applyBorder="1">
      <alignment vertical="center"/>
    </xf>
    <xf numFmtId="0" fontId="36" fillId="0" borderId="182" xfId="0" applyFont="1" applyBorder="1">
      <alignment vertical="center"/>
    </xf>
    <xf numFmtId="0" fontId="36" fillId="0" borderId="183" xfId="0" applyFont="1" applyBorder="1">
      <alignment vertical="center"/>
    </xf>
    <xf numFmtId="186" fontId="36" fillId="0" borderId="185" xfId="0" applyNumberFormat="1" applyFont="1" applyBorder="1">
      <alignment vertical="center"/>
    </xf>
    <xf numFmtId="186" fontId="36" fillId="0" borderId="186" xfId="0" applyNumberFormat="1" applyFont="1" applyBorder="1">
      <alignment vertical="center"/>
    </xf>
    <xf numFmtId="186" fontId="36" fillId="0" borderId="180" xfId="0" applyNumberFormat="1" applyFont="1" applyBorder="1">
      <alignment vertical="center"/>
    </xf>
    <xf numFmtId="186" fontId="36" fillId="0" borderId="0" xfId="0" applyNumberFormat="1" applyFont="1">
      <alignment vertical="center"/>
    </xf>
    <xf numFmtId="186" fontId="36" fillId="0" borderId="187" xfId="0" applyNumberFormat="1" applyFont="1" applyBorder="1">
      <alignment vertical="center"/>
    </xf>
    <xf numFmtId="186" fontId="36" fillId="0" borderId="182" xfId="0" applyNumberFormat="1" applyFont="1" applyBorder="1">
      <alignment vertical="center"/>
    </xf>
    <xf numFmtId="0" fontId="36" fillId="0" borderId="180" xfId="0" applyFont="1" applyBorder="1">
      <alignment vertical="center"/>
    </xf>
    <xf numFmtId="186" fontId="0" fillId="0" borderId="184" xfId="0" applyNumberFormat="1" applyBorder="1">
      <alignment vertical="center"/>
    </xf>
    <xf numFmtId="186" fontId="36" fillId="0" borderId="184" xfId="0" applyNumberFormat="1" applyFont="1" applyBorder="1">
      <alignment vertical="center"/>
    </xf>
    <xf numFmtId="0" fontId="32" fillId="26" borderId="0" xfId="0" applyFont="1" applyFill="1">
      <alignment vertical="center"/>
    </xf>
    <xf numFmtId="0" fontId="0" fillId="26" borderId="180" xfId="0" applyFill="1" applyBorder="1">
      <alignment vertical="center"/>
    </xf>
    <xf numFmtId="0" fontId="0" fillId="26" borderId="181" xfId="0" applyFill="1" applyBorder="1">
      <alignment vertical="center"/>
    </xf>
    <xf numFmtId="0" fontId="0" fillId="26" borderId="182" xfId="0" applyFill="1" applyBorder="1">
      <alignment vertical="center"/>
    </xf>
    <xf numFmtId="0" fontId="0" fillId="26" borderId="183" xfId="0" applyFill="1" applyBorder="1">
      <alignment vertical="center"/>
    </xf>
    <xf numFmtId="186" fontId="0" fillId="26" borderId="184" xfId="0" applyNumberFormat="1" applyFill="1" applyBorder="1">
      <alignment vertical="center"/>
    </xf>
    <xf numFmtId="186" fontId="0" fillId="26" borderId="185" xfId="0" applyNumberFormat="1" applyFill="1" applyBorder="1">
      <alignment vertical="center"/>
    </xf>
    <xf numFmtId="186" fontId="0" fillId="26" borderId="186" xfId="0" applyNumberFormat="1" applyFill="1" applyBorder="1">
      <alignment vertical="center"/>
    </xf>
    <xf numFmtId="186" fontId="0" fillId="26" borderId="180" xfId="0" applyNumberFormat="1" applyFill="1" applyBorder="1">
      <alignment vertical="center"/>
    </xf>
    <xf numFmtId="186" fontId="0" fillId="26" borderId="187" xfId="0" applyNumberFormat="1" applyFill="1" applyBorder="1">
      <alignment vertical="center"/>
    </xf>
    <xf numFmtId="186" fontId="0" fillId="26" borderId="182" xfId="0" applyNumberFormat="1" applyFill="1" applyBorder="1">
      <alignment vertical="center"/>
    </xf>
    <xf numFmtId="0" fontId="6" fillId="0" borderId="0" xfId="0" applyFont="1">
      <alignment vertical="center"/>
    </xf>
    <xf numFmtId="0" fontId="37" fillId="0" borderId="180" xfId="0" applyFont="1" applyBorder="1">
      <alignment vertical="center"/>
    </xf>
    <xf numFmtId="0" fontId="37" fillId="0" borderId="181" xfId="0" applyFont="1" applyBorder="1">
      <alignment vertical="center"/>
    </xf>
    <xf numFmtId="0" fontId="37" fillId="0" borderId="182" xfId="0" applyFont="1" applyBorder="1">
      <alignment vertical="center"/>
    </xf>
    <xf numFmtId="0" fontId="37" fillId="0" borderId="183" xfId="0" applyFont="1" applyBorder="1">
      <alignment vertical="center"/>
    </xf>
    <xf numFmtId="186" fontId="37" fillId="0" borderId="185" xfId="0" applyNumberFormat="1" applyFont="1" applyBorder="1">
      <alignment vertical="center"/>
    </xf>
    <xf numFmtId="186" fontId="37" fillId="0" borderId="186" xfId="0" applyNumberFormat="1" applyFont="1" applyBorder="1">
      <alignment vertical="center"/>
    </xf>
    <xf numFmtId="186" fontId="37" fillId="0" borderId="180" xfId="0" applyNumberFormat="1" applyFont="1" applyBorder="1">
      <alignment vertical="center"/>
    </xf>
    <xf numFmtId="186" fontId="37" fillId="0" borderId="0" xfId="0" applyNumberFormat="1" applyFont="1">
      <alignment vertical="center"/>
    </xf>
    <xf numFmtId="186" fontId="37" fillId="0" borderId="187" xfId="0" applyNumberFormat="1" applyFont="1" applyBorder="1">
      <alignment vertical="center"/>
    </xf>
    <xf numFmtId="186" fontId="37" fillId="0" borderId="182" xfId="0" applyNumberFormat="1" applyFont="1" applyBorder="1">
      <alignment vertical="center"/>
    </xf>
    <xf numFmtId="0" fontId="37" fillId="0" borderId="0" xfId="0" applyFont="1">
      <alignment vertical="center"/>
    </xf>
    <xf numFmtId="186" fontId="37" fillId="0" borderId="184" xfId="0" applyNumberFormat="1" applyFont="1" applyBorder="1">
      <alignment vertical="center"/>
    </xf>
    <xf numFmtId="0" fontId="3" fillId="27" borderId="0" xfId="0" applyFont="1" applyFill="1">
      <alignment vertical="center"/>
    </xf>
    <xf numFmtId="0" fontId="34" fillId="27" borderId="0" xfId="0" applyFont="1" applyFill="1">
      <alignment vertical="center"/>
    </xf>
    <xf numFmtId="0" fontId="3" fillId="27" borderId="180" xfId="0" applyFont="1" applyFill="1" applyBorder="1">
      <alignment vertical="center"/>
    </xf>
    <xf numFmtId="0" fontId="3" fillId="27" borderId="181" xfId="0" applyFont="1" applyFill="1" applyBorder="1">
      <alignment vertical="center"/>
    </xf>
    <xf numFmtId="0" fontId="3" fillId="27" borderId="182" xfId="0" applyFont="1" applyFill="1" applyBorder="1">
      <alignment vertical="center"/>
    </xf>
    <xf numFmtId="0" fontId="3" fillId="27" borderId="183" xfId="0" applyFont="1" applyFill="1" applyBorder="1">
      <alignment vertical="center"/>
    </xf>
    <xf numFmtId="186" fontId="3" fillId="27" borderId="184" xfId="0" applyNumberFormat="1" applyFont="1" applyFill="1" applyBorder="1">
      <alignment vertical="center"/>
    </xf>
    <xf numFmtId="186" fontId="3" fillId="27" borderId="185" xfId="0" applyNumberFormat="1" applyFont="1" applyFill="1" applyBorder="1">
      <alignment vertical="center"/>
    </xf>
    <xf numFmtId="186" fontId="3" fillId="27" borderId="186" xfId="0" applyNumberFormat="1" applyFont="1" applyFill="1" applyBorder="1">
      <alignment vertical="center"/>
    </xf>
    <xf numFmtId="186" fontId="3" fillId="27" borderId="180" xfId="0" applyNumberFormat="1" applyFont="1" applyFill="1" applyBorder="1">
      <alignment vertical="center"/>
    </xf>
    <xf numFmtId="186" fontId="3" fillId="27" borderId="187" xfId="0" applyNumberFormat="1" applyFont="1" applyFill="1" applyBorder="1">
      <alignment vertical="center"/>
    </xf>
    <xf numFmtId="186" fontId="3" fillId="27" borderId="182" xfId="0" applyNumberFormat="1" applyFont="1" applyFill="1" applyBorder="1">
      <alignment vertical="center"/>
    </xf>
    <xf numFmtId="0" fontId="1" fillId="0" borderId="188" xfId="3" applyBorder="1" applyAlignment="1">
      <alignment vertical="top"/>
    </xf>
    <xf numFmtId="0" fontId="32" fillId="0" borderId="180" xfId="0" applyFont="1" applyBorder="1">
      <alignment vertical="center"/>
    </xf>
    <xf numFmtId="0" fontId="32" fillId="0" borderId="181" xfId="0" applyFont="1" applyBorder="1">
      <alignment vertical="center"/>
    </xf>
    <xf numFmtId="0" fontId="32" fillId="0" borderId="182" xfId="0" applyFont="1" applyBorder="1">
      <alignment vertical="center"/>
    </xf>
    <xf numFmtId="0" fontId="32" fillId="0" borderId="183" xfId="0" applyFont="1" applyBorder="1">
      <alignment vertical="center"/>
    </xf>
    <xf numFmtId="0" fontId="4" fillId="0" borderId="180" xfId="0" applyFont="1" applyBorder="1">
      <alignment vertical="center"/>
    </xf>
    <xf numFmtId="0" fontId="4" fillId="0" borderId="181" xfId="0" applyFont="1" applyBorder="1">
      <alignment vertical="center"/>
    </xf>
    <xf numFmtId="0" fontId="4" fillId="0" borderId="182" xfId="0" applyFont="1" applyBorder="1">
      <alignment vertical="center"/>
    </xf>
    <xf numFmtId="0" fontId="4" fillId="0" borderId="183" xfId="0" applyFont="1" applyBorder="1">
      <alignment vertical="center"/>
    </xf>
    <xf numFmtId="186" fontId="4" fillId="0" borderId="184" xfId="0" applyNumberFormat="1" applyFont="1" applyBorder="1">
      <alignment vertical="center"/>
    </xf>
    <xf numFmtId="186" fontId="4" fillId="0" borderId="185" xfId="0" applyNumberFormat="1" applyFont="1" applyBorder="1">
      <alignment vertical="center"/>
    </xf>
    <xf numFmtId="186" fontId="4" fillId="0" borderId="186" xfId="0" applyNumberFormat="1" applyFont="1" applyBorder="1">
      <alignment vertical="center"/>
    </xf>
    <xf numFmtId="186" fontId="4" fillId="0" borderId="180" xfId="0" applyNumberFormat="1" applyFont="1" applyBorder="1">
      <alignment vertical="center"/>
    </xf>
    <xf numFmtId="186" fontId="4" fillId="0" borderId="0" xfId="0" applyNumberFormat="1" applyFont="1">
      <alignment vertical="center"/>
    </xf>
    <xf numFmtId="186" fontId="4" fillId="0" borderId="187" xfId="0" applyNumberFormat="1" applyFont="1" applyBorder="1">
      <alignment vertical="center"/>
    </xf>
    <xf numFmtId="186" fontId="4" fillId="0" borderId="182" xfId="0" applyNumberFormat="1" applyFont="1" applyBorder="1">
      <alignment vertical="center"/>
    </xf>
    <xf numFmtId="186" fontId="32" fillId="0" borderId="184" xfId="0" applyNumberFormat="1" applyFont="1" applyBorder="1">
      <alignment vertical="center"/>
    </xf>
    <xf numFmtId="186" fontId="32" fillId="0" borderId="185" xfId="0" applyNumberFormat="1" applyFont="1" applyBorder="1">
      <alignment vertical="center"/>
    </xf>
    <xf numFmtId="186" fontId="32" fillId="0" borderId="186" xfId="0" applyNumberFormat="1" applyFont="1" applyBorder="1">
      <alignment vertical="center"/>
    </xf>
    <xf numFmtId="186" fontId="32" fillId="0" borderId="180" xfId="0" applyNumberFormat="1" applyFont="1" applyBorder="1">
      <alignment vertical="center"/>
    </xf>
    <xf numFmtId="186" fontId="32" fillId="0" borderId="0" xfId="0" applyNumberFormat="1" applyFont="1">
      <alignment vertical="center"/>
    </xf>
    <xf numFmtId="186" fontId="32" fillId="0" borderId="187" xfId="0" applyNumberFormat="1" applyFont="1" applyBorder="1">
      <alignment vertical="center"/>
    </xf>
    <xf numFmtId="186" fontId="32" fillId="0" borderId="182" xfId="0" applyNumberFormat="1" applyFont="1" applyBorder="1">
      <alignment vertical="center"/>
    </xf>
    <xf numFmtId="0" fontId="3" fillId="23" borderId="189" xfId="0" applyFont="1" applyFill="1" applyBorder="1">
      <alignment vertical="center"/>
    </xf>
    <xf numFmtId="0" fontId="34" fillId="23" borderId="189" xfId="0" applyFont="1" applyFill="1" applyBorder="1">
      <alignment vertical="center"/>
    </xf>
    <xf numFmtId="0" fontId="3" fillId="23" borderId="190" xfId="0" applyFont="1" applyFill="1" applyBorder="1">
      <alignment vertical="center"/>
    </xf>
    <xf numFmtId="0" fontId="3" fillId="23" borderId="191" xfId="0" applyFont="1" applyFill="1" applyBorder="1">
      <alignment vertical="center"/>
    </xf>
    <xf numFmtId="0" fontId="3" fillId="23" borderId="192" xfId="0" applyFont="1" applyFill="1" applyBorder="1">
      <alignment vertical="center"/>
    </xf>
    <xf numFmtId="0" fontId="3" fillId="23" borderId="193" xfId="0" applyFont="1" applyFill="1" applyBorder="1">
      <alignment vertical="center"/>
    </xf>
    <xf numFmtId="186" fontId="3" fillId="23" borderId="194" xfId="0" applyNumberFormat="1" applyFont="1" applyFill="1" applyBorder="1">
      <alignment vertical="center"/>
    </xf>
    <xf numFmtId="186" fontId="3" fillId="23" borderId="195" xfId="0" applyNumberFormat="1" applyFont="1" applyFill="1" applyBorder="1">
      <alignment vertical="center"/>
    </xf>
    <xf numFmtId="186" fontId="3" fillId="23" borderId="196" xfId="0" applyNumberFormat="1" applyFont="1" applyFill="1" applyBorder="1">
      <alignment vertical="center"/>
    </xf>
    <xf numFmtId="186" fontId="3" fillId="23" borderId="190" xfId="0" applyNumberFormat="1" applyFont="1" applyFill="1" applyBorder="1">
      <alignment vertical="center"/>
    </xf>
    <xf numFmtId="186" fontId="3" fillId="23" borderId="197" xfId="0" applyNumberFormat="1" applyFont="1" applyFill="1" applyBorder="1">
      <alignment vertical="center"/>
    </xf>
    <xf numFmtId="186" fontId="3" fillId="23" borderId="192" xfId="0" applyNumberFormat="1" applyFont="1" applyFill="1" applyBorder="1">
      <alignment vertical="center"/>
    </xf>
    <xf numFmtId="186" fontId="4" fillId="7" borderId="176" xfId="0" applyNumberFormat="1" applyFont="1" applyFill="1" applyBorder="1" applyAlignment="1">
      <alignment horizontal="center" vertical="center"/>
    </xf>
    <xf numFmtId="186" fontId="4" fillId="7" borderId="177" xfId="0" applyNumberFormat="1" applyFont="1" applyFill="1" applyBorder="1" applyAlignment="1">
      <alignment horizontal="center" vertical="center"/>
    </xf>
    <xf numFmtId="0" fontId="0" fillId="7" borderId="172" xfId="0" applyFill="1" applyBorder="1">
      <alignment vertical="center"/>
    </xf>
    <xf numFmtId="186" fontId="4" fillId="7" borderId="176" xfId="0" applyNumberFormat="1" applyFont="1" applyFill="1" applyBorder="1">
      <alignment vertical="center"/>
    </xf>
    <xf numFmtId="186" fontId="4" fillId="7" borderId="177" xfId="0" applyNumberFormat="1" applyFont="1" applyFill="1" applyBorder="1">
      <alignment vertical="center"/>
    </xf>
    <xf numFmtId="186" fontId="4" fillId="7" borderId="174" xfId="0" applyNumberFormat="1" applyFont="1" applyFill="1" applyBorder="1">
      <alignment vertical="center"/>
    </xf>
    <xf numFmtId="0" fontId="0" fillId="0" borderId="171" xfId="0" applyBorder="1" applyAlignment="1">
      <alignment horizontal="centerContinuous" vertical="center"/>
    </xf>
    <xf numFmtId="0" fontId="32" fillId="0" borderId="171" xfId="0" applyFont="1" applyBorder="1" applyAlignment="1">
      <alignment horizontal="centerContinuous" vertical="center"/>
    </xf>
    <xf numFmtId="0" fontId="0" fillId="0" borderId="172" xfId="0" applyBorder="1" applyAlignment="1">
      <alignment horizontal="center" vertical="center"/>
    </xf>
    <xf numFmtId="0" fontId="0" fillId="0" borderId="173" xfId="0" applyBorder="1" applyAlignment="1">
      <alignment horizontal="center" vertical="center"/>
    </xf>
    <xf numFmtId="0" fontId="0" fillId="0" borderId="174" xfId="0" applyBorder="1" applyAlignment="1">
      <alignment horizontal="center" vertical="center"/>
    </xf>
    <xf numFmtId="0" fontId="0" fillId="0" borderId="175" xfId="0" applyBorder="1" applyAlignment="1">
      <alignment horizontal="center" vertical="center"/>
    </xf>
    <xf numFmtId="186" fontId="4" fillId="0" borderId="176" xfId="0" applyNumberFormat="1" applyFont="1" applyBorder="1">
      <alignment vertical="center"/>
    </xf>
    <xf numFmtId="186" fontId="4" fillId="0" borderId="177" xfId="0" applyNumberFormat="1" applyFont="1" applyBorder="1">
      <alignment vertical="center"/>
    </xf>
    <xf numFmtId="186" fontId="4" fillId="0" borderId="174" xfId="0" applyNumberFormat="1" applyFont="1" applyBorder="1">
      <alignment vertical="center"/>
    </xf>
    <xf numFmtId="41" fontId="0" fillId="0" borderId="0" xfId="1" applyFont="1">
      <alignment vertical="center"/>
    </xf>
    <xf numFmtId="177" fontId="4" fillId="15" borderId="0" xfId="3" applyNumberFormat="1" applyFont="1" applyFill="1">
      <alignment vertical="center"/>
    </xf>
    <xf numFmtId="181" fontId="14" fillId="0" borderId="64" xfId="0" applyNumberFormat="1" applyFont="1" applyBorder="1" applyAlignment="1">
      <alignment horizontal="right" vertical="center" wrapText="1"/>
    </xf>
    <xf numFmtId="181" fontId="12" fillId="0" borderId="87" xfId="2" applyNumberFormat="1" applyFont="1" applyFill="1" applyBorder="1" applyAlignment="1">
      <alignment horizontal="right" vertical="center" wrapText="1"/>
    </xf>
    <xf numFmtId="14" fontId="4" fillId="0" borderId="0" xfId="0" applyNumberFormat="1" applyFont="1">
      <alignment vertical="center"/>
    </xf>
    <xf numFmtId="181" fontId="9" fillId="0" borderId="0" xfId="0" applyNumberFormat="1" applyFont="1">
      <alignment vertical="center"/>
    </xf>
    <xf numFmtId="181" fontId="15" fillId="15" borderId="2" xfId="1" applyNumberFormat="1" applyFont="1" applyFill="1" applyBorder="1">
      <alignment vertical="center"/>
    </xf>
    <xf numFmtId="41" fontId="14" fillId="15" borderId="2" xfId="0" applyNumberFormat="1" applyFont="1" applyFill="1" applyBorder="1">
      <alignment vertical="center"/>
    </xf>
    <xf numFmtId="177" fontId="17" fillId="6" borderId="0" xfId="0" applyNumberFormat="1" applyFont="1" applyFill="1">
      <alignment vertical="center"/>
    </xf>
    <xf numFmtId="0" fontId="17" fillId="6" borderId="0" xfId="0" applyFont="1" applyFill="1">
      <alignment vertical="center"/>
    </xf>
    <xf numFmtId="41" fontId="15" fillId="6" borderId="0" xfId="1" applyFont="1" applyFill="1">
      <alignment vertical="center"/>
    </xf>
    <xf numFmtId="176" fontId="15" fillId="6" borderId="0" xfId="2" applyNumberFormat="1" applyFont="1" applyFill="1">
      <alignment vertical="center"/>
    </xf>
    <xf numFmtId="0" fontId="12" fillId="15" borderId="0" xfId="0" applyFont="1" applyFill="1">
      <alignment vertical="center"/>
    </xf>
    <xf numFmtId="0" fontId="15" fillId="15" borderId="0" xfId="0" applyFont="1" applyFill="1">
      <alignment vertical="center"/>
    </xf>
    <xf numFmtId="0" fontId="15" fillId="15" borderId="0" xfId="0" applyFont="1" applyFill="1" applyAlignment="1">
      <alignment horizontal="center" vertical="center" wrapText="1"/>
    </xf>
    <xf numFmtId="181" fontId="16" fillId="15" borderId="0" xfId="2" applyNumberFormat="1" applyFont="1" applyFill="1" applyBorder="1" applyAlignment="1">
      <alignment horizontal="right" vertical="center" wrapText="1"/>
    </xf>
    <xf numFmtId="0" fontId="20" fillId="15" borderId="0" xfId="0" applyFont="1" applyFill="1" applyAlignment="1">
      <alignment horizontal="right" wrapText="1"/>
    </xf>
    <xf numFmtId="177" fontId="17" fillId="15" borderId="0" xfId="0" applyNumberFormat="1" applyFont="1" applyFill="1">
      <alignment vertical="center"/>
    </xf>
    <xf numFmtId="0" fontId="17" fillId="15" borderId="0" xfId="0" applyFont="1" applyFill="1">
      <alignment vertical="center"/>
    </xf>
    <xf numFmtId="41" fontId="15" fillId="15" borderId="0" xfId="1" applyFont="1" applyFill="1">
      <alignment vertical="center"/>
    </xf>
    <xf numFmtId="176" fontId="15" fillId="15" borderId="0" xfId="2" applyNumberFormat="1" applyFont="1" applyFill="1">
      <alignment vertical="center"/>
    </xf>
    <xf numFmtId="178" fontId="28" fillId="15" borderId="2" xfId="0" applyNumberFormat="1" applyFont="1" applyFill="1" applyBorder="1">
      <alignment vertical="center"/>
    </xf>
    <xf numFmtId="181" fontId="28" fillId="15" borderId="2" xfId="0" applyNumberFormat="1" applyFont="1" applyFill="1" applyBorder="1">
      <alignment vertical="center"/>
    </xf>
    <xf numFmtId="177" fontId="15" fillId="15" borderId="0" xfId="0" applyNumberFormat="1" applyFont="1" applyFill="1">
      <alignment vertical="center"/>
    </xf>
    <xf numFmtId="177" fontId="12" fillId="15" borderId="0" xfId="0" applyNumberFormat="1" applyFont="1" applyFill="1">
      <alignment vertical="center"/>
    </xf>
    <xf numFmtId="183" fontId="12" fillId="15" borderId="0" xfId="0" applyNumberFormat="1" applyFont="1" applyFill="1">
      <alignment vertical="center"/>
    </xf>
    <xf numFmtId="0" fontId="14" fillId="15" borderId="2" xfId="11" applyFont="1" applyFill="1" applyBorder="1" applyAlignment="1">
      <alignment horizontal="center" vertical="center"/>
    </xf>
    <xf numFmtId="178" fontId="22" fillId="15" borderId="0" xfId="0" applyNumberFormat="1" applyFont="1" applyFill="1">
      <alignment vertical="center"/>
    </xf>
    <xf numFmtId="0" fontId="22" fillId="15" borderId="0" xfId="0" applyFont="1" applyFill="1">
      <alignment vertical="center"/>
    </xf>
    <xf numFmtId="0" fontId="16" fillId="10" borderId="24" xfId="0" applyFont="1" applyFill="1" applyBorder="1" applyAlignment="1">
      <alignment horizontal="center" vertical="center" wrapText="1"/>
    </xf>
    <xf numFmtId="0" fontId="16" fillId="10" borderId="25" xfId="0" applyFont="1" applyFill="1" applyBorder="1" applyAlignment="1">
      <alignment horizontal="center" vertical="center" wrapText="1"/>
    </xf>
    <xf numFmtId="0" fontId="16" fillId="16" borderId="155" xfId="0" applyFont="1" applyFill="1" applyBorder="1" applyAlignment="1">
      <alignment horizontal="center" vertical="center" wrapText="1"/>
    </xf>
    <xf numFmtId="0" fontId="16" fillId="16" borderId="157" xfId="0" applyFont="1" applyFill="1" applyBorder="1" applyAlignment="1">
      <alignment horizontal="center" vertical="center" wrapText="1"/>
    </xf>
    <xf numFmtId="0" fontId="16" fillId="16" borderId="156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3" fontId="16" fillId="0" borderId="35" xfId="0" applyNumberFormat="1" applyFont="1" applyBorder="1" applyAlignment="1">
      <alignment horizontal="right" vertical="center" wrapText="1"/>
    </xf>
    <xf numFmtId="0" fontId="16" fillId="0" borderId="36" xfId="0" applyFont="1" applyBorder="1" applyAlignment="1">
      <alignment horizontal="center" vertical="center" wrapText="1"/>
    </xf>
    <xf numFmtId="3" fontId="16" fillId="0" borderId="36" xfId="0" applyNumberFormat="1" applyFont="1" applyBorder="1" applyAlignment="1">
      <alignment horizontal="right" vertical="center" wrapText="1"/>
    </xf>
    <xf numFmtId="3" fontId="38" fillId="0" borderId="36" xfId="0" applyNumberFormat="1" applyFont="1" applyBorder="1" applyAlignment="1">
      <alignment horizontal="right" vertical="center" wrapText="1"/>
    </xf>
    <xf numFmtId="0" fontId="38" fillId="0" borderId="37" xfId="0" applyFont="1" applyBorder="1" applyAlignment="1">
      <alignment horizontal="center" vertical="center" wrapText="1"/>
    </xf>
    <xf numFmtId="0" fontId="16" fillId="0" borderId="158" xfId="0" applyFont="1" applyBorder="1" applyAlignment="1">
      <alignment vertical="center" wrapText="1"/>
    </xf>
    <xf numFmtId="181" fontId="16" fillId="0" borderId="159" xfId="0" applyNumberFormat="1" applyFont="1" applyBorder="1" applyAlignment="1">
      <alignment horizontal="right" vertical="center" wrapText="1"/>
    </xf>
    <xf numFmtId="181" fontId="16" fillId="0" borderId="154" xfId="0" applyNumberFormat="1" applyFont="1" applyBorder="1" applyAlignment="1">
      <alignment horizontal="right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3" fontId="16" fillId="0" borderId="44" xfId="0" applyNumberFormat="1" applyFont="1" applyBorder="1" applyAlignment="1">
      <alignment horizontal="right" vertical="center" wrapText="1"/>
    </xf>
    <xf numFmtId="0" fontId="16" fillId="0" borderId="45" xfId="0" applyFont="1" applyBorder="1" applyAlignment="1">
      <alignment horizontal="center" vertical="center" wrapText="1"/>
    </xf>
    <xf numFmtId="3" fontId="16" fillId="0" borderId="45" xfId="0" applyNumberFormat="1" applyFont="1" applyBorder="1" applyAlignment="1">
      <alignment horizontal="right" vertical="center" wrapText="1"/>
    </xf>
    <xf numFmtId="3" fontId="38" fillId="0" borderId="45" xfId="0" applyNumberFormat="1" applyFont="1" applyBorder="1" applyAlignment="1">
      <alignment horizontal="right" vertical="center" wrapText="1"/>
    </xf>
    <xf numFmtId="0" fontId="38" fillId="0" borderId="46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3" fontId="16" fillId="0" borderId="53" xfId="0" applyNumberFormat="1" applyFont="1" applyBorder="1" applyAlignment="1">
      <alignment horizontal="right" vertical="center" wrapText="1"/>
    </xf>
    <xf numFmtId="0" fontId="16" fillId="0" borderId="54" xfId="0" applyFont="1" applyBorder="1" applyAlignment="1">
      <alignment horizontal="center" vertical="center" wrapText="1"/>
    </xf>
    <xf numFmtId="3" fontId="16" fillId="0" borderId="54" xfId="0" applyNumberFormat="1" applyFont="1" applyBorder="1" applyAlignment="1">
      <alignment horizontal="right" vertical="center" wrapText="1"/>
    </xf>
    <xf numFmtId="3" fontId="38" fillId="0" borderId="54" xfId="0" applyNumberFormat="1" applyFont="1" applyBorder="1" applyAlignment="1">
      <alignment horizontal="right" vertical="center" wrapText="1"/>
    </xf>
    <xf numFmtId="0" fontId="38" fillId="0" borderId="55" xfId="0" applyFont="1" applyBorder="1" applyAlignment="1">
      <alignment horizontal="center" vertical="center" wrapText="1"/>
    </xf>
    <xf numFmtId="0" fontId="15" fillId="0" borderId="40" xfId="0" applyFont="1" applyBorder="1" applyAlignment="1">
      <alignment vertical="center" wrapText="1"/>
    </xf>
    <xf numFmtId="3" fontId="16" fillId="0" borderId="57" xfId="0" applyNumberFormat="1" applyFont="1" applyBorder="1" applyAlignment="1">
      <alignment horizontal="right" vertical="center" wrapText="1"/>
    </xf>
    <xf numFmtId="0" fontId="16" fillId="0" borderId="58" xfId="0" applyFont="1" applyBorder="1" applyAlignment="1">
      <alignment horizontal="center" vertical="center" wrapText="1"/>
    </xf>
    <xf numFmtId="3" fontId="16" fillId="0" borderId="58" xfId="0" applyNumberFormat="1" applyFont="1" applyBorder="1" applyAlignment="1">
      <alignment horizontal="right" vertical="center" wrapText="1"/>
    </xf>
    <xf numFmtId="3" fontId="38" fillId="0" borderId="58" xfId="0" applyNumberFormat="1" applyFont="1" applyBorder="1" applyAlignment="1">
      <alignment horizontal="right" vertical="center" wrapText="1"/>
    </xf>
    <xf numFmtId="0" fontId="38" fillId="0" borderId="59" xfId="0" applyFont="1" applyBorder="1" applyAlignment="1">
      <alignment horizontal="center" vertical="center" wrapText="1"/>
    </xf>
    <xf numFmtId="3" fontId="16" fillId="0" borderId="67" xfId="0" applyNumberFormat="1" applyFont="1" applyBorder="1" applyAlignment="1">
      <alignment horizontal="right" vertical="center" wrapText="1"/>
    </xf>
    <xf numFmtId="0" fontId="16" fillId="0" borderId="68" xfId="0" applyFont="1" applyBorder="1" applyAlignment="1">
      <alignment horizontal="center" vertical="center" wrapText="1"/>
    </xf>
    <xf numFmtId="3" fontId="16" fillId="0" borderId="68" xfId="0" applyNumberFormat="1" applyFont="1" applyBorder="1" applyAlignment="1">
      <alignment horizontal="right" vertical="center" wrapText="1"/>
    </xf>
    <xf numFmtId="3" fontId="38" fillId="0" borderId="68" xfId="0" applyNumberFormat="1" applyFont="1" applyBorder="1" applyAlignment="1">
      <alignment horizontal="right" vertical="center" wrapText="1"/>
    </xf>
    <xf numFmtId="0" fontId="38" fillId="0" borderId="69" xfId="0" applyFont="1" applyBorder="1" applyAlignment="1">
      <alignment horizontal="center" vertical="center" wrapText="1"/>
    </xf>
    <xf numFmtId="0" fontId="16" fillId="0" borderId="68" xfId="0" applyFont="1" applyBorder="1" applyAlignment="1">
      <alignment horizontal="right" vertical="center" wrapText="1"/>
    </xf>
    <xf numFmtId="4" fontId="38" fillId="0" borderId="69" xfId="0" applyNumberFormat="1" applyFont="1" applyBorder="1" applyAlignment="1">
      <alignment horizontal="center" vertical="center" wrapText="1"/>
    </xf>
    <xf numFmtId="0" fontId="15" fillId="0" borderId="70" xfId="0" applyFont="1" applyBorder="1" applyAlignment="1">
      <alignment vertical="center" wrapText="1"/>
    </xf>
    <xf numFmtId="183" fontId="16" fillId="0" borderId="0" xfId="0" applyNumberFormat="1" applyFont="1" applyAlignment="1">
      <alignment horizontal="right" wrapText="1"/>
    </xf>
    <xf numFmtId="183" fontId="15" fillId="0" borderId="0" xfId="0" applyNumberFormat="1" applyFont="1">
      <alignment vertical="center"/>
    </xf>
    <xf numFmtId="3" fontId="16" fillId="0" borderId="159" xfId="0" applyNumberFormat="1" applyFont="1" applyBorder="1" applyAlignment="1">
      <alignment horizontal="right" vertical="center" wrapText="1"/>
    </xf>
    <xf numFmtId="3" fontId="16" fillId="0" borderId="154" xfId="0" applyNumberFormat="1" applyFont="1" applyBorder="1" applyAlignment="1">
      <alignment horizontal="right" vertical="center" wrapText="1"/>
    </xf>
    <xf numFmtId="183" fontId="16" fillId="16" borderId="155" xfId="0" applyNumberFormat="1" applyFont="1" applyFill="1" applyBorder="1" applyAlignment="1">
      <alignment horizontal="center" vertical="center" wrapText="1"/>
    </xf>
    <xf numFmtId="183" fontId="16" fillId="16" borderId="156" xfId="0" applyNumberFormat="1" applyFont="1" applyFill="1" applyBorder="1" applyAlignment="1">
      <alignment horizontal="center" vertical="center" wrapText="1"/>
    </xf>
    <xf numFmtId="0" fontId="16" fillId="0" borderId="123" xfId="0" applyFont="1" applyBorder="1" applyAlignment="1">
      <alignment horizontal="center" vertical="center" wrapText="1"/>
    </xf>
    <xf numFmtId="3" fontId="16" fillId="0" borderId="31" xfId="0" applyNumberFormat="1" applyFont="1" applyBorder="1" applyAlignment="1">
      <alignment horizontal="right" vertical="center" wrapText="1"/>
    </xf>
    <xf numFmtId="0" fontId="16" fillId="0" borderId="124" xfId="0" applyFont="1" applyBorder="1" applyAlignment="1">
      <alignment horizontal="center" vertical="center" wrapText="1"/>
    </xf>
    <xf numFmtId="3" fontId="16" fillId="0" borderId="124" xfId="0" applyNumberFormat="1" applyFont="1" applyBorder="1" applyAlignment="1">
      <alignment horizontal="right" vertical="center" wrapText="1"/>
    </xf>
    <xf numFmtId="3" fontId="38" fillId="0" borderId="124" xfId="0" applyNumberFormat="1" applyFont="1" applyBorder="1" applyAlignment="1">
      <alignment horizontal="right" vertical="center" wrapText="1"/>
    </xf>
    <xf numFmtId="0" fontId="38" fillId="0" borderId="125" xfId="0" applyFont="1" applyBorder="1" applyAlignment="1">
      <alignment horizontal="center" vertical="center" wrapText="1"/>
    </xf>
    <xf numFmtId="183" fontId="16" fillId="0" borderId="158" xfId="0" applyNumberFormat="1" applyFont="1" applyBorder="1" applyAlignment="1">
      <alignment vertical="top" wrapText="1"/>
    </xf>
    <xf numFmtId="183" fontId="16" fillId="0" borderId="154" xfId="0" applyNumberFormat="1" applyFont="1" applyBorder="1" applyAlignment="1">
      <alignment horizontal="center" vertical="top" wrapText="1"/>
    </xf>
    <xf numFmtId="183" fontId="16" fillId="0" borderId="154" xfId="0" applyNumberFormat="1" applyFont="1" applyBorder="1" applyAlignment="1">
      <alignment horizontal="right" vertical="center" wrapText="1"/>
    </xf>
    <xf numFmtId="0" fontId="16" fillId="0" borderId="75" xfId="0" applyFont="1" applyBorder="1" applyAlignment="1">
      <alignment horizontal="center" vertical="center" wrapText="1"/>
    </xf>
    <xf numFmtId="0" fontId="16" fillId="0" borderId="76" xfId="0" applyFont="1" applyBorder="1" applyAlignment="1">
      <alignment horizontal="center" vertical="center" wrapText="1"/>
    </xf>
    <xf numFmtId="0" fontId="38" fillId="0" borderId="68" xfId="0" applyFont="1" applyBorder="1" applyAlignment="1">
      <alignment horizontal="right" vertical="center" wrapText="1"/>
    </xf>
    <xf numFmtId="0" fontId="16" fillId="0" borderId="77" xfId="0" applyFont="1" applyBorder="1" applyAlignment="1">
      <alignment horizontal="center" vertical="center" wrapText="1"/>
    </xf>
    <xf numFmtId="0" fontId="16" fillId="0" borderId="78" xfId="0" applyFont="1" applyBorder="1" applyAlignment="1">
      <alignment horizontal="center" vertical="center" wrapText="1"/>
    </xf>
    <xf numFmtId="0" fontId="16" fillId="0" borderId="126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3" fontId="16" fillId="0" borderId="70" xfId="0" applyNumberFormat="1" applyFont="1" applyBorder="1" applyAlignment="1">
      <alignment horizontal="right" vertical="center" wrapText="1"/>
    </xf>
    <xf numFmtId="3" fontId="16" fillId="0" borderId="24" xfId="0" applyNumberFormat="1" applyFont="1" applyBorder="1" applyAlignment="1">
      <alignment horizontal="right" vertical="center" wrapText="1"/>
    </xf>
    <xf numFmtId="3" fontId="38" fillId="0" borderId="24" xfId="0" applyNumberFormat="1" applyFont="1" applyBorder="1" applyAlignment="1">
      <alignment horizontal="right" vertical="center" wrapText="1"/>
    </xf>
    <xf numFmtId="0" fontId="38" fillId="0" borderId="25" xfId="0" applyFont="1" applyBorder="1" applyAlignment="1">
      <alignment horizontal="center" vertical="center" wrapText="1"/>
    </xf>
    <xf numFmtId="0" fontId="16" fillId="0" borderId="83" xfId="0" applyFont="1" applyBorder="1" applyAlignment="1">
      <alignment horizontal="center" vertical="center" wrapText="1"/>
    </xf>
    <xf numFmtId="0" fontId="16" fillId="0" borderId="84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04" xfId="0" applyFont="1" applyBorder="1" applyAlignment="1">
      <alignment horizontal="center" vertical="center" wrapText="1"/>
    </xf>
    <xf numFmtId="3" fontId="16" fillId="0" borderId="40" xfId="0" applyNumberFormat="1" applyFont="1" applyBorder="1" applyAlignment="1">
      <alignment horizontal="right" vertical="center" wrapText="1"/>
    </xf>
    <xf numFmtId="3" fontId="16" fillId="0" borderId="41" xfId="0" applyNumberFormat="1" applyFont="1" applyBorder="1" applyAlignment="1">
      <alignment horizontal="right" vertical="center" wrapText="1"/>
    </xf>
    <xf numFmtId="3" fontId="38" fillId="0" borderId="41" xfId="0" applyNumberFormat="1" applyFont="1" applyBorder="1" applyAlignment="1">
      <alignment horizontal="right" vertical="center" wrapText="1"/>
    </xf>
    <xf numFmtId="0" fontId="38" fillId="0" borderId="127" xfId="0" applyFont="1" applyBorder="1" applyAlignment="1">
      <alignment horizontal="center" vertical="center" wrapText="1"/>
    </xf>
    <xf numFmtId="3" fontId="16" fillId="0" borderId="57" xfId="0" applyNumberFormat="1" applyFont="1" applyBorder="1" applyAlignment="1">
      <alignment horizontal="right" wrapText="1"/>
    </xf>
    <xf numFmtId="3" fontId="16" fillId="0" borderId="58" xfId="0" applyNumberFormat="1" applyFont="1" applyBorder="1" applyAlignment="1">
      <alignment horizontal="right" wrapText="1"/>
    </xf>
    <xf numFmtId="3" fontId="38" fillId="0" borderId="58" xfId="0" applyNumberFormat="1" applyFont="1" applyBorder="1" applyAlignment="1">
      <alignment horizontal="right" wrapText="1"/>
    </xf>
    <xf numFmtId="183" fontId="16" fillId="0" borderId="162" xfId="0" applyNumberFormat="1" applyFont="1" applyBorder="1" applyAlignment="1">
      <alignment vertical="center" wrapText="1"/>
    </xf>
    <xf numFmtId="183" fontId="16" fillId="0" borderId="161" xfId="0" applyNumberFormat="1" applyFont="1" applyBorder="1" applyAlignment="1">
      <alignment vertical="center" wrapText="1"/>
    </xf>
    <xf numFmtId="183" fontId="16" fillId="0" borderId="160" xfId="0" applyNumberFormat="1" applyFont="1" applyBorder="1" applyAlignment="1">
      <alignment vertical="top" wrapText="1"/>
    </xf>
    <xf numFmtId="183" fontId="16" fillId="0" borderId="163" xfId="0" applyNumberFormat="1" applyFont="1" applyBorder="1" applyAlignment="1">
      <alignment horizontal="center" vertical="top" wrapText="1"/>
    </xf>
    <xf numFmtId="183" fontId="16" fillId="0" borderId="163" xfId="0" applyNumberFormat="1" applyFont="1" applyBorder="1" applyAlignment="1">
      <alignment horizontal="right" vertical="center" wrapText="1"/>
    </xf>
    <xf numFmtId="181" fontId="15" fillId="0" borderId="0" xfId="0" applyNumberFormat="1" applyFont="1" applyAlignment="1">
      <alignment horizontal="right" vertical="center"/>
    </xf>
    <xf numFmtId="49" fontId="16" fillId="10" borderId="24" xfId="0" applyNumberFormat="1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3" fontId="15" fillId="0" borderId="35" xfId="0" applyNumberFormat="1" applyFont="1" applyBorder="1" applyAlignment="1">
      <alignment horizontal="center" vertical="center" wrapText="1"/>
    </xf>
    <xf numFmtId="10" fontId="15" fillId="0" borderId="36" xfId="0" applyNumberFormat="1" applyFont="1" applyBorder="1" applyAlignment="1">
      <alignment horizontal="right" vertical="center" wrapText="1"/>
    </xf>
    <xf numFmtId="3" fontId="15" fillId="0" borderId="36" xfId="0" applyNumberFormat="1" applyFont="1" applyBorder="1" applyAlignment="1">
      <alignment horizontal="center" vertical="center" wrapText="1"/>
    </xf>
    <xf numFmtId="10" fontId="15" fillId="0" borderId="37" xfId="0" applyNumberFormat="1" applyFont="1" applyBorder="1" applyAlignment="1">
      <alignment horizontal="right" vertical="center" wrapText="1"/>
    </xf>
    <xf numFmtId="0" fontId="19" fillId="0" borderId="40" xfId="0" applyFont="1" applyBorder="1" applyAlignment="1">
      <alignment horizontal="center" vertical="center" wrapText="1"/>
    </xf>
    <xf numFmtId="3" fontId="15" fillId="0" borderId="44" xfId="0" applyNumberFormat="1" applyFont="1" applyBorder="1" applyAlignment="1">
      <alignment horizontal="right" vertical="center" wrapText="1"/>
    </xf>
    <xf numFmtId="10" fontId="15" fillId="0" borderId="45" xfId="0" applyNumberFormat="1" applyFont="1" applyBorder="1" applyAlignment="1">
      <alignment horizontal="right" vertical="center" wrapText="1"/>
    </xf>
    <xf numFmtId="3" fontId="15" fillId="0" borderId="45" xfId="0" applyNumberFormat="1" applyFont="1" applyBorder="1" applyAlignment="1">
      <alignment horizontal="right" vertical="center" wrapText="1"/>
    </xf>
    <xf numFmtId="10" fontId="15" fillId="0" borderId="46" xfId="0" applyNumberFormat="1" applyFont="1" applyBorder="1" applyAlignment="1">
      <alignment horizontal="right" vertical="center" wrapText="1"/>
    </xf>
    <xf numFmtId="3" fontId="15" fillId="0" borderId="53" xfId="0" applyNumberFormat="1" applyFont="1" applyBorder="1" applyAlignment="1">
      <alignment horizontal="right" vertical="center" wrapText="1"/>
    </xf>
    <xf numFmtId="10" fontId="15" fillId="0" borderId="54" xfId="0" applyNumberFormat="1" applyFont="1" applyBorder="1" applyAlignment="1">
      <alignment horizontal="right" vertical="center" wrapText="1"/>
    </xf>
    <xf numFmtId="3" fontId="15" fillId="0" borderId="54" xfId="0" applyNumberFormat="1" applyFont="1" applyBorder="1" applyAlignment="1">
      <alignment horizontal="right" vertical="center" wrapText="1"/>
    </xf>
    <xf numFmtId="10" fontId="15" fillId="0" borderId="55" xfId="0" applyNumberFormat="1" applyFont="1" applyBorder="1" applyAlignment="1">
      <alignment horizontal="right" vertical="center" wrapText="1"/>
    </xf>
    <xf numFmtId="3" fontId="15" fillId="0" borderId="57" xfId="0" applyNumberFormat="1" applyFont="1" applyBorder="1" applyAlignment="1">
      <alignment horizontal="center" vertical="center" wrapText="1"/>
    </xf>
    <xf numFmtId="10" fontId="15" fillId="0" borderId="58" xfId="0" applyNumberFormat="1" applyFont="1" applyBorder="1" applyAlignment="1">
      <alignment horizontal="center" vertical="center" wrapText="1"/>
    </xf>
    <xf numFmtId="3" fontId="15" fillId="0" borderId="58" xfId="0" applyNumberFormat="1" applyFont="1" applyBorder="1" applyAlignment="1">
      <alignment horizontal="center" vertical="center" wrapText="1"/>
    </xf>
    <xf numFmtId="10" fontId="15" fillId="0" borderId="59" xfId="0" applyNumberFormat="1" applyFont="1" applyBorder="1" applyAlignment="1">
      <alignment horizontal="center" vertical="center" wrapText="1"/>
    </xf>
    <xf numFmtId="3" fontId="15" fillId="0" borderId="44" xfId="0" applyNumberFormat="1" applyFont="1" applyBorder="1" applyAlignment="1">
      <alignment horizontal="right" wrapText="1"/>
    </xf>
    <xf numFmtId="3" fontId="15" fillId="0" borderId="45" xfId="0" applyNumberFormat="1" applyFont="1" applyBorder="1" applyAlignment="1">
      <alignment horizontal="right" wrapText="1"/>
    </xf>
    <xf numFmtId="3" fontId="15" fillId="0" borderId="67" xfId="0" applyNumberFormat="1" applyFont="1" applyBorder="1" applyAlignment="1">
      <alignment horizontal="right" vertical="center" wrapText="1"/>
    </xf>
    <xf numFmtId="10" fontId="15" fillId="0" borderId="68" xfId="0" applyNumberFormat="1" applyFont="1" applyBorder="1" applyAlignment="1">
      <alignment horizontal="right" vertical="center" wrapText="1"/>
    </xf>
    <xf numFmtId="3" fontId="15" fillId="0" borderId="68" xfId="0" applyNumberFormat="1" applyFont="1" applyBorder="1" applyAlignment="1">
      <alignment horizontal="right" vertical="center" wrapText="1"/>
    </xf>
    <xf numFmtId="10" fontId="15" fillId="0" borderId="69" xfId="0" applyNumberFormat="1" applyFont="1" applyBorder="1" applyAlignment="1">
      <alignment horizontal="right" vertical="center" wrapText="1"/>
    </xf>
    <xf numFmtId="3" fontId="15" fillId="0" borderId="57" xfId="0" applyNumberFormat="1" applyFont="1" applyBorder="1" applyAlignment="1">
      <alignment horizontal="right" vertical="center" wrapText="1"/>
    </xf>
    <xf numFmtId="10" fontId="15" fillId="0" borderId="58" xfId="0" applyNumberFormat="1" applyFont="1" applyBorder="1" applyAlignment="1">
      <alignment horizontal="right" vertical="center" wrapText="1"/>
    </xf>
    <xf numFmtId="3" fontId="15" fillId="0" borderId="58" xfId="0" applyNumberFormat="1" applyFont="1" applyBorder="1" applyAlignment="1">
      <alignment horizontal="right" vertical="center" wrapText="1"/>
    </xf>
    <xf numFmtId="10" fontId="15" fillId="0" borderId="59" xfId="0" applyNumberFormat="1" applyFont="1" applyBorder="1" applyAlignment="1">
      <alignment horizontal="right" vertical="center" wrapText="1"/>
    </xf>
    <xf numFmtId="0" fontId="15" fillId="0" borderId="67" xfId="0" applyFont="1" applyBorder="1" applyAlignment="1">
      <alignment horizontal="right" vertical="center" wrapText="1"/>
    </xf>
    <xf numFmtId="0" fontId="15" fillId="0" borderId="68" xfId="0" applyFont="1" applyBorder="1" applyAlignment="1">
      <alignment horizontal="center" vertical="center" wrapText="1"/>
    </xf>
    <xf numFmtId="0" fontId="15" fillId="0" borderId="68" xfId="0" applyFont="1" applyBorder="1" applyAlignment="1">
      <alignment horizontal="right" vertical="center" wrapText="1"/>
    </xf>
    <xf numFmtId="0" fontId="15" fillId="0" borderId="69" xfId="0" applyFont="1" applyBorder="1" applyAlignment="1">
      <alignment horizontal="center" vertical="center" wrapText="1"/>
    </xf>
    <xf numFmtId="10" fontId="15" fillId="0" borderId="68" xfId="0" applyNumberFormat="1" applyFont="1" applyBorder="1" applyAlignment="1">
      <alignment horizontal="center" vertical="center" wrapText="1"/>
    </xf>
    <xf numFmtId="10" fontId="15" fillId="0" borderId="69" xfId="0" applyNumberFormat="1" applyFont="1" applyBorder="1" applyAlignment="1">
      <alignment horizontal="center" vertical="center" wrapText="1"/>
    </xf>
    <xf numFmtId="10" fontId="15" fillId="0" borderId="54" xfId="0" applyNumberFormat="1" applyFont="1" applyBorder="1" applyAlignment="1">
      <alignment horizontal="center" vertical="center" wrapText="1"/>
    </xf>
    <xf numFmtId="10" fontId="15" fillId="0" borderId="55" xfId="0" applyNumberFormat="1" applyFont="1" applyBorder="1" applyAlignment="1">
      <alignment horizontal="center" vertical="center" wrapText="1"/>
    </xf>
    <xf numFmtId="0" fontId="15" fillId="0" borderId="58" xfId="0" applyFont="1" applyBorder="1" applyAlignment="1">
      <alignment horizontal="right" vertical="center" wrapText="1"/>
    </xf>
    <xf numFmtId="10" fontId="15" fillId="11" borderId="58" xfId="0" applyNumberFormat="1" applyFont="1" applyFill="1" applyBorder="1" applyAlignment="1">
      <alignment horizontal="center" vertical="center" wrapText="1"/>
    </xf>
    <xf numFmtId="0" fontId="15" fillId="11" borderId="58" xfId="0" applyFont="1" applyFill="1" applyBorder="1" applyAlignment="1">
      <alignment horizontal="center" vertical="center" wrapText="1"/>
    </xf>
    <xf numFmtId="3" fontId="14" fillId="0" borderId="57" xfId="0" applyNumberFormat="1" applyFont="1" applyBorder="1" applyAlignment="1">
      <alignment horizontal="right" vertical="center" wrapText="1"/>
    </xf>
    <xf numFmtId="3" fontId="14" fillId="0" borderId="58" xfId="0" applyNumberFormat="1" applyFont="1" applyBorder="1" applyAlignment="1">
      <alignment horizontal="right" vertical="center" wrapText="1"/>
    </xf>
    <xf numFmtId="10" fontId="15" fillId="0" borderId="57" xfId="0" applyNumberFormat="1" applyFont="1" applyBorder="1" applyAlignment="1">
      <alignment horizontal="right" vertical="center" wrapText="1"/>
    </xf>
    <xf numFmtId="0" fontId="15" fillId="13" borderId="58" xfId="0" applyFont="1" applyFill="1" applyBorder="1" applyAlignment="1">
      <alignment horizontal="right" vertical="center" wrapText="1"/>
    </xf>
    <xf numFmtId="10" fontId="15" fillId="13" borderId="58" xfId="0" applyNumberFormat="1" applyFont="1" applyFill="1" applyBorder="1" applyAlignment="1">
      <alignment horizontal="right" vertical="center" wrapText="1"/>
    </xf>
    <xf numFmtId="0" fontId="15" fillId="13" borderId="59" xfId="0" applyFont="1" applyFill="1" applyBorder="1" applyAlignment="1">
      <alignment horizontal="right" vertical="center" wrapText="1"/>
    </xf>
    <xf numFmtId="0" fontId="15" fillId="0" borderId="59" xfId="0" applyFont="1" applyBorder="1" applyAlignment="1">
      <alignment horizontal="right" vertical="center" wrapText="1"/>
    </xf>
    <xf numFmtId="0" fontId="15" fillId="0" borderId="58" xfId="0" applyFont="1" applyBorder="1" applyAlignment="1">
      <alignment horizontal="center" vertical="center" wrapText="1"/>
    </xf>
    <xf numFmtId="0" fontId="15" fillId="0" borderId="93" xfId="0" applyFont="1" applyBorder="1" applyAlignment="1">
      <alignment vertical="center" wrapText="1"/>
    </xf>
    <xf numFmtId="10" fontId="15" fillId="0" borderId="97" xfId="0" applyNumberFormat="1" applyFont="1" applyBorder="1" applyAlignment="1">
      <alignment horizontal="right" vertical="center" wrapText="1"/>
    </xf>
    <xf numFmtId="0" fontId="15" fillId="0" borderId="98" xfId="0" applyFont="1" applyBorder="1" applyAlignment="1">
      <alignment horizontal="center" vertical="center" wrapText="1"/>
    </xf>
    <xf numFmtId="10" fontId="15" fillId="0" borderId="98" xfId="0" applyNumberFormat="1" applyFont="1" applyBorder="1" applyAlignment="1">
      <alignment horizontal="right" vertical="center" wrapText="1"/>
    </xf>
    <xf numFmtId="0" fontId="15" fillId="0" borderId="98" xfId="0" applyFont="1" applyBorder="1" applyAlignment="1">
      <alignment horizontal="right" vertical="center" wrapText="1"/>
    </xf>
    <xf numFmtId="0" fontId="15" fillId="0" borderId="99" xfId="0" applyFont="1" applyBorder="1" applyAlignment="1">
      <alignment horizontal="right" vertical="center" wrapText="1"/>
    </xf>
    <xf numFmtId="178" fontId="17" fillId="6" borderId="0" xfId="0" applyNumberFormat="1" applyFont="1" applyFill="1">
      <alignment vertical="center"/>
    </xf>
    <xf numFmtId="178" fontId="17" fillId="0" borderId="0" xfId="0" applyNumberFormat="1" applyFont="1">
      <alignment vertical="center"/>
    </xf>
    <xf numFmtId="178" fontId="17" fillId="0" borderId="2" xfId="0" applyNumberFormat="1" applyFont="1" applyBorder="1">
      <alignment vertical="center"/>
    </xf>
    <xf numFmtId="43" fontId="15" fillId="0" borderId="0" xfId="0" applyNumberFormat="1" applyFont="1">
      <alignment vertical="center"/>
    </xf>
    <xf numFmtId="0" fontId="20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77" fontId="39" fillId="0" borderId="0" xfId="0" applyNumberFormat="1" applyFont="1">
      <alignment vertical="center"/>
    </xf>
    <xf numFmtId="181" fontId="29" fillId="5" borderId="2" xfId="0" applyNumberFormat="1" applyFont="1" applyFill="1" applyBorder="1">
      <alignment vertical="center"/>
    </xf>
    <xf numFmtId="0" fontId="14" fillId="10" borderId="92" xfId="0" applyFont="1" applyFill="1" applyBorder="1" applyAlignment="1">
      <alignment horizontal="center" vertical="center" wrapText="1"/>
    </xf>
    <xf numFmtId="0" fontId="14" fillId="0" borderId="92" xfId="0" applyFont="1" applyBorder="1" applyAlignment="1">
      <alignment horizontal="center" vertical="center" wrapText="1"/>
    </xf>
    <xf numFmtId="3" fontId="15" fillId="0" borderId="92" xfId="0" applyNumberFormat="1" applyFont="1" applyBorder="1" applyAlignment="1">
      <alignment horizontal="right" vertical="center" wrapText="1"/>
    </xf>
    <xf numFmtId="0" fontId="14" fillId="0" borderId="71" xfId="0" applyFont="1" applyBorder="1" applyAlignment="1">
      <alignment horizontal="center" vertical="center" wrapText="1"/>
    </xf>
    <xf numFmtId="0" fontId="15" fillId="0" borderId="71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92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0" fontId="15" fillId="6" borderId="0" xfId="0" applyFont="1" applyFill="1" applyAlignment="1">
      <alignment horizontal="center" vertical="center"/>
    </xf>
    <xf numFmtId="178" fontId="28" fillId="5" borderId="2" xfId="0" applyNumberFormat="1" applyFont="1" applyFill="1" applyBorder="1">
      <alignment vertical="center"/>
    </xf>
    <xf numFmtId="178" fontId="15" fillId="6" borderId="0" xfId="0" applyNumberFormat="1" applyFont="1" applyFill="1">
      <alignment vertical="center"/>
    </xf>
    <xf numFmtId="176" fontId="15" fillId="6" borderId="0" xfId="2" applyNumberFormat="1" applyFont="1" applyFill="1" applyAlignment="1">
      <alignment horizontal="right" vertical="center"/>
    </xf>
    <xf numFmtId="176" fontId="15" fillId="0" borderId="0" xfId="2" applyNumberFormat="1" applyFont="1" applyAlignment="1">
      <alignment horizontal="right" vertical="center"/>
    </xf>
    <xf numFmtId="0" fontId="14" fillId="0" borderId="108" xfId="0" applyFont="1" applyBorder="1" applyAlignment="1">
      <alignment horizontal="center" vertical="center"/>
    </xf>
    <xf numFmtId="0" fontId="15" fillId="0" borderId="109" xfId="0" applyFont="1" applyBorder="1">
      <alignment vertical="center"/>
    </xf>
    <xf numFmtId="178" fontId="14" fillId="0" borderId="110" xfId="1" applyNumberFormat="1" applyFont="1" applyBorder="1">
      <alignment vertical="center"/>
    </xf>
    <xf numFmtId="176" fontId="14" fillId="7" borderId="111" xfId="2" applyNumberFormat="1" applyFont="1" applyFill="1" applyBorder="1">
      <alignment vertical="center"/>
    </xf>
    <xf numFmtId="0" fontId="15" fillId="0" borderId="112" xfId="0" applyFont="1" applyBorder="1" applyAlignment="1">
      <alignment horizontal="center" vertical="center"/>
    </xf>
    <xf numFmtId="0" fontId="14" fillId="0" borderId="113" xfId="0" applyFont="1" applyBorder="1" applyAlignment="1">
      <alignment horizontal="left" vertical="center"/>
    </xf>
    <xf numFmtId="178" fontId="14" fillId="0" borderId="114" xfId="1" applyNumberFormat="1" applyFont="1" applyBorder="1">
      <alignment vertical="center"/>
    </xf>
    <xf numFmtId="176" fontId="14" fillId="7" borderId="115" xfId="2" applyNumberFormat="1" applyFont="1" applyFill="1" applyBorder="1">
      <alignment vertical="center"/>
    </xf>
    <xf numFmtId="0" fontId="15" fillId="0" borderId="113" xfId="0" applyFont="1" applyBorder="1">
      <alignment vertical="center"/>
    </xf>
    <xf numFmtId="178" fontId="15" fillId="0" borderId="114" xfId="1" applyNumberFormat="1" applyFont="1" applyBorder="1">
      <alignment vertical="center"/>
    </xf>
    <xf numFmtId="176" fontId="15" fillId="7" borderId="115" xfId="2" applyNumberFormat="1" applyFont="1" applyFill="1" applyBorder="1">
      <alignment vertical="center"/>
    </xf>
    <xf numFmtId="0" fontId="14" fillId="0" borderId="109" xfId="0" applyFont="1" applyBorder="1">
      <alignment vertical="center"/>
    </xf>
    <xf numFmtId="0" fontId="14" fillId="0" borderId="112" xfId="0" applyFont="1" applyBorder="1" applyAlignment="1">
      <alignment horizontal="center" vertical="center"/>
    </xf>
    <xf numFmtId="0" fontId="15" fillId="0" borderId="143" xfId="0" applyFont="1" applyBorder="1">
      <alignment vertical="center"/>
    </xf>
    <xf numFmtId="178" fontId="15" fillId="0" borderId="144" xfId="1" applyNumberFormat="1" applyFont="1" applyBorder="1">
      <alignment vertical="center"/>
    </xf>
    <xf numFmtId="176" fontId="15" fillId="7" borderId="145" xfId="2" applyNumberFormat="1" applyFont="1" applyFill="1" applyBorder="1">
      <alignment vertical="center"/>
    </xf>
    <xf numFmtId="178" fontId="15" fillId="15" borderId="114" xfId="1" applyNumberFormat="1" applyFont="1" applyFill="1" applyBorder="1">
      <alignment vertical="center"/>
    </xf>
    <xf numFmtId="0" fontId="15" fillId="0" borderId="116" xfId="0" applyFont="1" applyBorder="1" applyAlignment="1">
      <alignment horizontal="center" vertical="center"/>
    </xf>
    <xf numFmtId="0" fontId="15" fillId="0" borderId="117" xfId="0" applyFont="1" applyBorder="1">
      <alignment vertical="center"/>
    </xf>
    <xf numFmtId="178" fontId="15" fillId="0" borderId="128" xfId="1" applyNumberFormat="1" applyFont="1" applyBorder="1">
      <alignment vertical="center"/>
    </xf>
    <xf numFmtId="176" fontId="15" fillId="7" borderId="129" xfId="2" applyNumberFormat="1" applyFont="1" applyFill="1" applyBorder="1">
      <alignment vertical="center"/>
    </xf>
    <xf numFmtId="178" fontId="15" fillId="0" borderId="0" xfId="1" applyNumberFormat="1" applyFont="1" applyFill="1" applyBorder="1">
      <alignment vertical="center"/>
    </xf>
    <xf numFmtId="176" fontId="15" fillId="0" borderId="0" xfId="2" applyNumberFormat="1" applyFont="1" applyFill="1" applyBorder="1">
      <alignment vertical="center"/>
    </xf>
    <xf numFmtId="176" fontId="22" fillId="0" borderId="0" xfId="2" applyNumberFormat="1" applyFont="1" applyFill="1">
      <alignment vertical="center"/>
    </xf>
    <xf numFmtId="178" fontId="39" fillId="0" borderId="0" xfId="0" applyNumberFormat="1" applyFont="1">
      <alignment vertical="center"/>
    </xf>
    <xf numFmtId="176" fontId="39" fillId="0" borderId="0" xfId="2" applyNumberFormat="1" applyFont="1" applyFill="1">
      <alignment vertical="center"/>
    </xf>
    <xf numFmtId="178" fontId="39" fillId="6" borderId="0" xfId="0" applyNumberFormat="1" applyFont="1" applyFill="1">
      <alignment vertical="center"/>
    </xf>
    <xf numFmtId="178" fontId="39" fillId="15" borderId="0" xfId="0" applyNumberFormat="1" applyFont="1" applyFill="1">
      <alignment vertical="center"/>
    </xf>
    <xf numFmtId="0" fontId="40" fillId="0" borderId="0" xfId="0" applyFont="1" applyAlignment="1">
      <alignment horizontal="center" vertical="center"/>
    </xf>
    <xf numFmtId="0" fontId="40" fillId="6" borderId="0" xfId="0" applyFont="1" applyFill="1" applyAlignment="1">
      <alignment horizontal="center" vertical="center"/>
    </xf>
    <xf numFmtId="176" fontId="15" fillId="0" borderId="0" xfId="2" applyNumberFormat="1" applyFont="1" applyFill="1">
      <alignment vertical="center"/>
    </xf>
    <xf numFmtId="0" fontId="20" fillId="6" borderId="0" xfId="0" applyFont="1" applyFill="1" applyAlignment="1">
      <alignment horizontal="center" vertical="center"/>
    </xf>
    <xf numFmtId="0" fontId="20" fillId="15" borderId="0" xfId="0" applyFont="1" applyFill="1">
      <alignment vertical="center"/>
    </xf>
    <xf numFmtId="176" fontId="20" fillId="0" borderId="0" xfId="2" applyNumberFormat="1" applyFont="1">
      <alignment vertical="center"/>
    </xf>
    <xf numFmtId="0" fontId="39" fillId="0" borderId="0" xfId="0" applyFont="1">
      <alignment vertical="center"/>
    </xf>
    <xf numFmtId="178" fontId="28" fillId="5" borderId="2" xfId="2" applyNumberFormat="1" applyFont="1" applyFill="1" applyBorder="1">
      <alignment vertical="center"/>
    </xf>
    <xf numFmtId="178" fontId="28" fillId="5" borderId="0" xfId="2" applyNumberFormat="1" applyFont="1" applyFill="1" applyBorder="1">
      <alignment vertical="center"/>
    </xf>
    <xf numFmtId="178" fontId="15" fillId="7" borderId="198" xfId="0" applyNumberFormat="1" applyFont="1" applyFill="1" applyBorder="1" applyAlignment="1">
      <alignment horizontal="center" vertical="center"/>
    </xf>
    <xf numFmtId="176" fontId="15" fillId="7" borderId="199" xfId="2" applyNumberFormat="1" applyFont="1" applyFill="1" applyBorder="1" applyAlignment="1">
      <alignment horizontal="center" vertical="center"/>
    </xf>
    <xf numFmtId="178" fontId="22" fillId="6" borderId="0" xfId="0" applyNumberFormat="1" applyFont="1" applyFill="1" applyAlignment="1">
      <alignment horizontal="right" vertical="center"/>
    </xf>
    <xf numFmtId="178" fontId="22" fillId="15" borderId="0" xfId="0" applyNumberFormat="1" applyFont="1" applyFill="1" applyAlignment="1">
      <alignment horizontal="right" vertical="center"/>
    </xf>
    <xf numFmtId="178" fontId="22" fillId="0" borderId="0" xfId="0" applyNumberFormat="1" applyFont="1" applyAlignment="1">
      <alignment horizontal="right" vertical="center"/>
    </xf>
    <xf numFmtId="9" fontId="22" fillId="0" borderId="0" xfId="2" applyFont="1" applyBorder="1" applyAlignment="1">
      <alignment horizontal="right" vertical="center"/>
    </xf>
    <xf numFmtId="0" fontId="14" fillId="6" borderId="0" xfId="0" applyFont="1" applyFill="1">
      <alignment vertical="center"/>
    </xf>
    <xf numFmtId="178" fontId="23" fillId="0" borderId="0" xfId="0" applyNumberFormat="1" applyFont="1" applyAlignment="1">
      <alignment horizontal="right" vertical="center"/>
    </xf>
    <xf numFmtId="176" fontId="15" fillId="4" borderId="0" xfId="2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0" fontId="15" fillId="0" borderId="0" xfId="2" applyNumberFormat="1" applyFont="1">
      <alignment vertical="center"/>
    </xf>
    <xf numFmtId="9" fontId="22" fillId="6" borderId="0" xfId="2" applyFont="1" applyFill="1" applyBorder="1" applyAlignment="1">
      <alignment horizontal="right" vertical="center"/>
    </xf>
    <xf numFmtId="176" fontId="15" fillId="4" borderId="0" xfId="2" applyNumberFormat="1" applyFont="1" applyFill="1">
      <alignment vertical="center"/>
    </xf>
    <xf numFmtId="10" fontId="15" fillId="4" borderId="0" xfId="0" applyNumberFormat="1" applyFont="1" applyFill="1">
      <alignment vertical="center"/>
    </xf>
    <xf numFmtId="178" fontId="28" fillId="5" borderId="2" xfId="1" applyNumberFormat="1" applyFont="1" applyFill="1" applyBorder="1">
      <alignment vertical="center"/>
    </xf>
    <xf numFmtId="177" fontId="9" fillId="6" borderId="0" xfId="0" applyNumberFormat="1" applyFont="1" applyFill="1">
      <alignment vertical="center"/>
    </xf>
    <xf numFmtId="177" fontId="9" fillId="0" borderId="0" xfId="0" applyNumberFormat="1" applyFont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84" fontId="9" fillId="0" borderId="2" xfId="0" applyNumberFormat="1" applyFont="1" applyBorder="1">
      <alignment vertical="center"/>
    </xf>
    <xf numFmtId="0" fontId="10" fillId="0" borderId="2" xfId="0" applyFont="1" applyBorder="1">
      <alignment vertical="center"/>
    </xf>
    <xf numFmtId="177" fontId="9" fillId="0" borderId="2" xfId="0" applyNumberFormat="1" applyFont="1" applyBorder="1">
      <alignment vertical="center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horizontal="left" vertical="center" indent="3"/>
    </xf>
    <xf numFmtId="0" fontId="10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9" fillId="0" borderId="2" xfId="1" applyNumberFormat="1" applyFont="1" applyFill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177" fontId="10" fillId="0" borderId="2" xfId="0" applyNumberFormat="1" applyFont="1" applyBorder="1">
      <alignment vertical="center"/>
    </xf>
    <xf numFmtId="184" fontId="9" fillId="0" borderId="0" xfId="0" applyNumberFormat="1" applyFont="1">
      <alignment vertical="center"/>
    </xf>
    <xf numFmtId="177" fontId="9" fillId="0" borderId="2" xfId="0" applyNumberFormat="1" applyFont="1" applyBorder="1" applyAlignment="1">
      <alignment horizontal="left" vertical="center" indent="1"/>
    </xf>
    <xf numFmtId="177" fontId="9" fillId="0" borderId="2" xfId="0" applyNumberFormat="1" applyFont="1" applyBorder="1" applyAlignment="1">
      <alignment horizontal="left" vertical="center" indent="2"/>
    </xf>
    <xf numFmtId="177" fontId="15" fillId="6" borderId="0" xfId="0" applyNumberFormat="1" applyFont="1" applyFill="1">
      <alignment vertical="center"/>
    </xf>
    <xf numFmtId="183" fontId="15" fillId="0" borderId="0" xfId="0" applyNumberFormat="1" applyFont="1" applyAlignment="1">
      <alignment horizontal="center" vertical="center"/>
    </xf>
    <xf numFmtId="0" fontId="41" fillId="9" borderId="2" xfId="7" applyNumberFormat="1" applyFont="1" applyFill="1" applyBorder="1" applyAlignment="1">
      <alignment horizontal="center" vertical="center" wrapText="1"/>
    </xf>
    <xf numFmtId="177" fontId="41" fillId="14" borderId="2" xfId="0" applyNumberFormat="1" applyFont="1" applyFill="1" applyBorder="1">
      <alignment vertical="center"/>
    </xf>
    <xf numFmtId="177" fontId="15" fillId="0" borderId="2" xfId="0" applyNumberFormat="1" applyFont="1" applyBorder="1" applyAlignment="1">
      <alignment horizontal="left" vertical="center" indent="2"/>
    </xf>
    <xf numFmtId="177" fontId="15" fillId="15" borderId="2" xfId="0" applyNumberFormat="1" applyFont="1" applyFill="1" applyBorder="1">
      <alignment vertical="center"/>
    </xf>
    <xf numFmtId="177" fontId="15" fillId="17" borderId="2" xfId="0" applyNumberFormat="1" applyFont="1" applyFill="1" applyBorder="1">
      <alignment vertical="center"/>
    </xf>
    <xf numFmtId="0" fontId="19" fillId="19" borderId="164" xfId="0" applyFont="1" applyFill="1" applyBorder="1" applyAlignment="1">
      <alignment horizontal="center" vertical="center" wrapText="1" readingOrder="1"/>
    </xf>
    <xf numFmtId="0" fontId="19" fillId="19" borderId="165" xfId="0" applyFont="1" applyFill="1" applyBorder="1" applyAlignment="1">
      <alignment horizontal="center" vertical="center" wrapText="1" readingOrder="1"/>
    </xf>
    <xf numFmtId="0" fontId="19" fillId="20" borderId="166" xfId="0" applyFont="1" applyFill="1" applyBorder="1" applyAlignment="1">
      <alignment horizontal="center" vertical="center" wrapText="1" readingOrder="1"/>
    </xf>
    <xf numFmtId="0" fontId="19" fillId="20" borderId="167" xfId="0" applyFont="1" applyFill="1" applyBorder="1" applyAlignment="1">
      <alignment horizontal="center" vertical="center" wrapText="1" readingOrder="1"/>
    </xf>
    <xf numFmtId="0" fontId="19" fillId="0" borderId="164" xfId="0" applyFont="1" applyBorder="1" applyAlignment="1">
      <alignment horizontal="center" vertical="center" wrapText="1" readingOrder="1"/>
    </xf>
    <xf numFmtId="0" fontId="16" fillId="0" borderId="165" xfId="0" applyFont="1" applyBorder="1" applyAlignment="1">
      <alignment horizontal="center" vertical="center" wrapText="1" readingOrder="1"/>
    </xf>
    <xf numFmtId="0" fontId="42" fillId="0" borderId="165" xfId="0" applyFont="1" applyBorder="1" applyAlignment="1">
      <alignment horizontal="center" vertical="center" wrapText="1" readingOrder="1"/>
    </xf>
    <xf numFmtId="0" fontId="12" fillId="0" borderId="2" xfId="8" applyFont="1" applyBorder="1" applyAlignment="1">
      <alignment horizontal="left" vertical="center" wrapText="1"/>
    </xf>
    <xf numFmtId="0" fontId="20" fillId="0" borderId="0" xfId="8" applyFont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12" fillId="0" borderId="0" xfId="8" applyFont="1" applyAlignment="1">
      <alignment horizontal="left" vertical="center"/>
    </xf>
    <xf numFmtId="177" fontId="15" fillId="0" borderId="2" xfId="0" applyNumberFormat="1" applyFont="1" applyBorder="1" applyAlignment="1">
      <alignment horizontal="left" vertical="center" indent="1"/>
    </xf>
    <xf numFmtId="41" fontId="15" fillId="4" borderId="2" xfId="1" applyFont="1" applyFill="1" applyBorder="1" applyAlignment="1">
      <alignment vertical="center"/>
    </xf>
    <xf numFmtId="41" fontId="15" fillId="0" borderId="2" xfId="1" applyFont="1" applyFill="1" applyBorder="1" applyAlignment="1">
      <alignment vertical="center"/>
    </xf>
    <xf numFmtId="41" fontId="15" fillId="0" borderId="2" xfId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41" fontId="15" fillId="0" borderId="2" xfId="1" applyFont="1" applyFill="1" applyBorder="1" applyAlignment="1">
      <alignment horizontal="right" vertical="center"/>
    </xf>
    <xf numFmtId="177" fontId="15" fillId="0" borderId="2" xfId="0" applyNumberFormat="1" applyFont="1" applyBorder="1" applyAlignment="1">
      <alignment horizontal="right" vertical="center"/>
    </xf>
    <xf numFmtId="41" fontId="12" fillId="0" borderId="2" xfId="1" applyFont="1" applyFill="1" applyBorder="1" applyAlignment="1">
      <alignment horizontal="right" vertical="center"/>
    </xf>
    <xf numFmtId="177" fontId="15" fillId="0" borderId="2" xfId="1" applyNumberFormat="1" applyFont="1" applyFill="1" applyBorder="1" applyAlignment="1">
      <alignment horizontal="right" vertical="center"/>
    </xf>
    <xf numFmtId="0" fontId="15" fillId="8" borderId="2" xfId="0" applyFont="1" applyFill="1" applyBorder="1" applyAlignment="1">
      <alignment horizontal="center" vertical="center"/>
    </xf>
    <xf numFmtId="177" fontId="15" fillId="8" borderId="2" xfId="0" applyNumberFormat="1" applyFont="1" applyFill="1" applyBorder="1">
      <alignment vertical="center"/>
    </xf>
    <xf numFmtId="0" fontId="13" fillId="0" borderId="0" xfId="0" applyFont="1" applyAlignment="1">
      <alignment horizontal="right" vertical="center"/>
    </xf>
    <xf numFmtId="177" fontId="13" fillId="0" borderId="0" xfId="0" applyNumberFormat="1" applyFont="1">
      <alignment vertic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>
      <alignment vertical="center"/>
    </xf>
    <xf numFmtId="0" fontId="12" fillId="0" borderId="0" xfId="0" applyFont="1" applyAlignment="1">
      <alignment horizontal="center" vertical="center"/>
    </xf>
    <xf numFmtId="0" fontId="14" fillId="2" borderId="2" xfId="3" applyFont="1" applyFill="1" applyBorder="1" applyAlignment="1">
      <alignment horizontal="center" vertical="center"/>
    </xf>
    <xf numFmtId="178" fontId="28" fillId="5" borderId="2" xfId="3" applyNumberFormat="1" applyFont="1" applyFill="1" applyBorder="1">
      <alignment vertical="center"/>
    </xf>
    <xf numFmtId="181" fontId="28" fillId="5" borderId="2" xfId="3" applyNumberFormat="1" applyFont="1" applyFill="1" applyBorder="1">
      <alignment vertical="center"/>
    </xf>
    <xf numFmtId="177" fontId="15" fillId="0" borderId="0" xfId="3" applyNumberFormat="1" applyFont="1">
      <alignment vertical="center"/>
    </xf>
    <xf numFmtId="177" fontId="15" fillId="6" borderId="0" xfId="3" applyNumberFormat="1" applyFont="1" applyFill="1">
      <alignment vertical="center"/>
    </xf>
    <xf numFmtId="177" fontId="15" fillId="0" borderId="0" xfId="3" applyNumberFormat="1" applyFont="1" applyAlignment="1">
      <alignment horizontal="center" vertical="center" wrapText="1"/>
    </xf>
    <xf numFmtId="177" fontId="14" fillId="0" borderId="0" xfId="3" applyNumberFormat="1" applyFont="1">
      <alignment vertical="center"/>
    </xf>
    <xf numFmtId="177" fontId="15" fillId="0" borderId="0" xfId="3" applyNumberFormat="1" applyFont="1" applyAlignment="1">
      <alignment horizontal="center" vertical="center"/>
    </xf>
    <xf numFmtId="177" fontId="15" fillId="0" borderId="2" xfId="3" applyNumberFormat="1" applyFont="1" applyBorder="1">
      <alignment vertical="center"/>
    </xf>
    <xf numFmtId="177" fontId="15" fillId="0" borderId="2" xfId="3" applyNumberFormat="1" applyFont="1" applyBorder="1" applyAlignment="1">
      <alignment horizontal="center" vertical="center"/>
    </xf>
    <xf numFmtId="177" fontId="12" fillId="0" borderId="2" xfId="3" applyNumberFormat="1" applyFont="1" applyBorder="1" applyAlignment="1">
      <alignment horizontal="left" vertical="center" wrapText="1"/>
    </xf>
    <xf numFmtId="181" fontId="15" fillId="0" borderId="0" xfId="3" applyNumberFormat="1" applyFont="1">
      <alignment vertical="center"/>
    </xf>
    <xf numFmtId="177" fontId="15" fillId="4" borderId="2" xfId="3" applyNumberFormat="1" applyFont="1" applyFill="1" applyBorder="1">
      <alignment vertical="center"/>
    </xf>
    <xf numFmtId="177" fontId="15" fillId="8" borderId="2" xfId="3" applyNumberFormat="1" applyFont="1" applyFill="1" applyBorder="1" applyAlignment="1">
      <alignment horizontal="center" vertical="center"/>
    </xf>
    <xf numFmtId="177" fontId="15" fillId="8" borderId="2" xfId="3" applyNumberFormat="1" applyFont="1" applyFill="1" applyBorder="1">
      <alignment vertical="center"/>
    </xf>
    <xf numFmtId="177" fontId="14" fillId="8" borderId="2" xfId="3" applyNumberFormat="1" applyFont="1" applyFill="1" applyBorder="1" applyAlignment="1">
      <alignment horizontal="center" vertical="center"/>
    </xf>
    <xf numFmtId="177" fontId="15" fillId="17" borderId="3" xfId="0" applyNumberFormat="1" applyFont="1" applyFill="1" applyBorder="1" applyAlignment="1">
      <alignment horizontal="left" vertical="center" indent="1"/>
    </xf>
    <xf numFmtId="177" fontId="15" fillId="17" borderId="5" xfId="0" applyNumberFormat="1" applyFont="1" applyFill="1" applyBorder="1">
      <alignment vertical="center"/>
    </xf>
    <xf numFmtId="177" fontId="15" fillId="15" borderId="3" xfId="0" applyNumberFormat="1" applyFont="1" applyFill="1" applyBorder="1" applyAlignment="1">
      <alignment horizontal="left" vertical="center" indent="2"/>
    </xf>
    <xf numFmtId="177" fontId="15" fillId="15" borderId="5" xfId="0" applyNumberFormat="1" applyFont="1" applyFill="1" applyBorder="1">
      <alignment vertical="center"/>
    </xf>
    <xf numFmtId="177" fontId="15" fillId="15" borderId="2" xfId="3" applyNumberFormat="1" applyFont="1" applyFill="1" applyBorder="1">
      <alignment vertical="center"/>
    </xf>
    <xf numFmtId="177" fontId="15" fillId="15" borderId="3" xfId="3" applyNumberFormat="1" applyFont="1" applyFill="1" applyBorder="1">
      <alignment vertical="center"/>
    </xf>
    <xf numFmtId="177" fontId="15" fillId="15" borderId="5" xfId="3" applyNumberFormat="1" applyFont="1" applyFill="1" applyBorder="1" applyAlignment="1">
      <alignment horizontal="left" vertical="center" indent="1"/>
    </xf>
    <xf numFmtId="176" fontId="15" fillId="0" borderId="0" xfId="3" applyNumberFormat="1" applyFont="1">
      <alignment vertical="center"/>
    </xf>
    <xf numFmtId="177" fontId="15" fillId="21" borderId="3" xfId="3" applyNumberFormat="1" applyFont="1" applyFill="1" applyBorder="1">
      <alignment vertical="center"/>
    </xf>
    <xf numFmtId="177" fontId="15" fillId="21" borderId="5" xfId="3" applyNumberFormat="1" applyFont="1" applyFill="1" applyBorder="1">
      <alignment vertical="center"/>
    </xf>
    <xf numFmtId="177" fontId="15" fillId="21" borderId="2" xfId="3" applyNumberFormat="1" applyFont="1" applyFill="1" applyBorder="1">
      <alignment vertical="center"/>
    </xf>
    <xf numFmtId="177" fontId="15" fillId="15" borderId="5" xfId="3" applyNumberFormat="1" applyFont="1" applyFill="1" applyBorder="1">
      <alignment vertical="center"/>
    </xf>
    <xf numFmtId="177" fontId="28" fillId="6" borderId="2" xfId="3" applyNumberFormat="1" applyFont="1" applyFill="1" applyBorder="1">
      <alignment vertical="center"/>
    </xf>
    <xf numFmtId="177" fontId="15" fillId="0" borderId="2" xfId="3" applyNumberFormat="1" applyFont="1" applyBorder="1" applyAlignment="1">
      <alignment horizontal="left" vertical="center" indent="1"/>
    </xf>
    <xf numFmtId="9" fontId="15" fillId="0" borderId="0" xfId="3" applyNumberFormat="1" applyFont="1">
      <alignment vertical="center"/>
    </xf>
    <xf numFmtId="10" fontId="15" fillId="0" borderId="0" xfId="3" applyNumberFormat="1" applyFont="1">
      <alignment vertical="center"/>
    </xf>
    <xf numFmtId="177" fontId="15" fillId="15" borderId="5" xfId="3" applyNumberFormat="1" applyFont="1" applyFill="1" applyBorder="1" applyAlignment="1">
      <alignment horizontal="left" vertical="center" indent="2"/>
    </xf>
    <xf numFmtId="177" fontId="15" fillId="15" borderId="2" xfId="3" applyNumberFormat="1" applyFont="1" applyFill="1" applyBorder="1" applyAlignment="1">
      <alignment horizontal="center" vertical="center"/>
    </xf>
    <xf numFmtId="178" fontId="12" fillId="15" borderId="2" xfId="3" applyNumberFormat="1" applyFont="1" applyFill="1" applyBorder="1">
      <alignment vertical="center"/>
    </xf>
    <xf numFmtId="178" fontId="28" fillId="0" borderId="2" xfId="3" applyNumberFormat="1" applyFont="1" applyBorder="1">
      <alignment vertical="center"/>
    </xf>
    <xf numFmtId="181" fontId="28" fillId="13" borderId="2" xfId="3" applyNumberFormat="1" applyFont="1" applyFill="1" applyBorder="1">
      <alignment vertical="center"/>
    </xf>
    <xf numFmtId="178" fontId="12" fillId="4" borderId="2" xfId="3" applyNumberFormat="1" applyFont="1" applyFill="1" applyBorder="1">
      <alignment vertical="center"/>
    </xf>
    <xf numFmtId="181" fontId="12" fillId="4" borderId="2" xfId="3" applyNumberFormat="1" applyFont="1" applyFill="1" applyBorder="1">
      <alignment vertical="center"/>
    </xf>
    <xf numFmtId="10" fontId="15" fillId="0" borderId="0" xfId="2" applyNumberFormat="1" applyFont="1" applyFill="1">
      <alignment vertical="center"/>
    </xf>
    <xf numFmtId="181" fontId="15" fillId="0" borderId="0" xfId="2" applyNumberFormat="1" applyFont="1">
      <alignment vertical="center"/>
    </xf>
    <xf numFmtId="177" fontId="15" fillId="0" borderId="0" xfId="3" applyNumberFormat="1" applyFont="1" applyAlignment="1">
      <alignment horizontal="left" vertical="center"/>
    </xf>
    <xf numFmtId="177" fontId="41" fillId="0" borderId="0" xfId="3" applyNumberFormat="1" applyFont="1" applyAlignment="1">
      <alignment horizontal="center" vertical="center"/>
    </xf>
    <xf numFmtId="10" fontId="44" fillId="0" borderId="0" xfId="3" applyNumberFormat="1" applyFont="1" applyAlignment="1">
      <alignment horizontal="center" vertical="center"/>
    </xf>
    <xf numFmtId="14" fontId="44" fillId="0" borderId="0" xfId="3" applyNumberFormat="1" applyFont="1" applyAlignment="1">
      <alignment horizontal="center" vertical="center"/>
    </xf>
    <xf numFmtId="181" fontId="44" fillId="0" borderId="0" xfId="3" applyNumberFormat="1" applyFont="1" applyAlignment="1">
      <alignment horizontal="center" vertical="center"/>
    </xf>
    <xf numFmtId="176" fontId="41" fillId="0" borderId="0" xfId="3" applyNumberFormat="1" applyFont="1" applyAlignment="1">
      <alignment horizontal="center" vertical="center"/>
    </xf>
    <xf numFmtId="177" fontId="44" fillId="0" borderId="0" xfId="3" applyNumberFormat="1" applyFont="1" applyAlignment="1">
      <alignment horizontal="center" vertical="center"/>
    </xf>
    <xf numFmtId="9" fontId="13" fillId="0" borderId="0" xfId="3" applyNumberFormat="1" applyFont="1" applyAlignment="1">
      <alignment horizontal="center" vertical="center"/>
    </xf>
    <xf numFmtId="176" fontId="14" fillId="0" borderId="0" xfId="3" applyNumberFormat="1" applyFont="1" applyAlignment="1">
      <alignment horizontal="center" vertical="center"/>
    </xf>
    <xf numFmtId="177" fontId="15" fillId="6" borderId="0" xfId="3" applyNumberFormat="1" applyFont="1" applyFill="1" applyAlignment="1">
      <alignment horizontal="center" vertical="center"/>
    </xf>
    <xf numFmtId="0" fontId="41" fillId="22" borderId="2" xfId="3" applyFont="1" applyFill="1" applyBorder="1" applyAlignment="1">
      <alignment horizontal="center" vertical="center"/>
    </xf>
    <xf numFmtId="177" fontId="12" fillId="15" borderId="2" xfId="3" applyNumberFormat="1" applyFont="1" applyFill="1" applyBorder="1" applyAlignment="1">
      <alignment horizontal="left" vertical="center"/>
    </xf>
    <xf numFmtId="176" fontId="15" fillId="15" borderId="2" xfId="2" applyNumberFormat="1" applyFont="1" applyFill="1" applyBorder="1" applyAlignment="1">
      <alignment horizontal="center" vertical="center"/>
    </xf>
    <xf numFmtId="177" fontId="12" fillId="15" borderId="2" xfId="3" applyNumberFormat="1" applyFont="1" applyFill="1" applyBorder="1" applyAlignment="1">
      <alignment horizontal="left" vertical="center" wrapText="1"/>
    </xf>
    <xf numFmtId="176" fontId="12" fillId="15" borderId="2" xfId="2" applyNumberFormat="1" applyFont="1" applyFill="1" applyBorder="1" applyAlignment="1">
      <alignment horizontal="left" vertical="center"/>
    </xf>
    <xf numFmtId="176" fontId="15" fillId="0" borderId="0" xfId="2" applyNumberFormat="1" applyFont="1" applyAlignment="1">
      <alignment horizontal="center" vertical="center"/>
    </xf>
    <xf numFmtId="176" fontId="15" fillId="0" borderId="2" xfId="2" applyNumberFormat="1" applyFont="1" applyBorder="1" applyAlignment="1">
      <alignment horizontal="center" vertical="center"/>
    </xf>
    <xf numFmtId="177" fontId="12" fillId="15" borderId="2" xfId="3" quotePrefix="1" applyNumberFormat="1" applyFont="1" applyFill="1" applyBorder="1" applyAlignment="1">
      <alignment horizontal="left" vertical="center"/>
    </xf>
    <xf numFmtId="177" fontId="15" fillId="0" borderId="2" xfId="0" applyNumberFormat="1" applyFont="1" applyBorder="1" applyAlignment="1">
      <alignment horizontal="left" vertical="center"/>
    </xf>
    <xf numFmtId="177" fontId="15" fillId="0" borderId="2" xfId="0" applyNumberFormat="1" applyFont="1" applyBorder="1" applyAlignment="1">
      <alignment vertical="center" wrapText="1"/>
    </xf>
    <xf numFmtId="9" fontId="15" fillId="0" borderId="0" xfId="0" applyNumberFormat="1" applyFont="1">
      <alignment vertical="center"/>
    </xf>
    <xf numFmtId="177" fontId="15" fillId="0" borderId="0" xfId="0" quotePrefix="1" applyNumberFormat="1" applyFont="1">
      <alignment vertical="center"/>
    </xf>
    <xf numFmtId="178" fontId="28" fillId="6" borderId="2" xfId="0" applyNumberFormat="1" applyFont="1" applyFill="1" applyBorder="1">
      <alignment vertical="center"/>
    </xf>
    <xf numFmtId="0" fontId="45" fillId="0" borderId="0" xfId="0" applyFont="1">
      <alignment vertical="center"/>
    </xf>
    <xf numFmtId="0" fontId="45" fillId="6" borderId="0" xfId="0" applyFont="1" applyFill="1">
      <alignment vertical="center"/>
    </xf>
    <xf numFmtId="0" fontId="45" fillId="6" borderId="0" xfId="0" applyFont="1" applyFill="1" applyAlignment="1">
      <alignment horizontal="center" vertical="center"/>
    </xf>
    <xf numFmtId="0" fontId="46" fillId="0" borderId="0" xfId="0" applyFont="1" applyAlignment="1">
      <alignment horizontal="right" vertical="center"/>
    </xf>
    <xf numFmtId="0" fontId="47" fillId="0" borderId="0" xfId="0" applyFont="1" applyAlignment="1">
      <alignment horizontal="right" vertical="center"/>
    </xf>
    <xf numFmtId="183" fontId="15" fillId="6" borderId="0" xfId="0" applyNumberFormat="1" applyFont="1" applyFill="1">
      <alignment vertical="center"/>
    </xf>
    <xf numFmtId="10" fontId="15" fillId="4" borderId="2" xfId="2" applyNumberFormat="1" applyFont="1" applyFill="1" applyBorder="1" applyAlignment="1">
      <alignment vertical="center"/>
    </xf>
    <xf numFmtId="181" fontId="15" fillId="0" borderId="2" xfId="0" applyNumberFormat="1" applyFont="1" applyBorder="1">
      <alignment vertical="center"/>
    </xf>
    <xf numFmtId="183" fontId="28" fillId="5" borderId="2" xfId="0" applyNumberFormat="1" applyFont="1" applyFill="1" applyBorder="1">
      <alignment vertical="center"/>
    </xf>
    <xf numFmtId="183" fontId="28" fillId="6" borderId="2" xfId="0" applyNumberFormat="1" applyFont="1" applyFill="1" applyBorder="1">
      <alignment vertical="center"/>
    </xf>
    <xf numFmtId="177" fontId="15" fillId="0" borderId="0" xfId="8" applyNumberFormat="1" applyFont="1">
      <alignment vertical="center"/>
    </xf>
    <xf numFmtId="177" fontId="12" fillId="15" borderId="0" xfId="8" applyNumberFormat="1" applyFont="1" applyFill="1">
      <alignment vertical="center"/>
    </xf>
    <xf numFmtId="177" fontId="15" fillId="6" borderId="0" xfId="8" applyNumberFormat="1" applyFont="1" applyFill="1">
      <alignment vertical="center"/>
    </xf>
    <xf numFmtId="180" fontId="15" fillId="6" borderId="0" xfId="1" applyNumberFormat="1" applyFont="1" applyFill="1" applyAlignment="1">
      <alignment vertical="center"/>
    </xf>
    <xf numFmtId="177" fontId="15" fillId="0" borderId="0" xfId="7" applyNumberFormat="1" applyFont="1" applyAlignment="1">
      <alignment vertical="center"/>
    </xf>
    <xf numFmtId="177" fontId="15" fillId="6" borderId="0" xfId="7" applyNumberFormat="1" applyFont="1" applyFill="1" applyAlignment="1">
      <alignment vertical="center"/>
    </xf>
    <xf numFmtId="176" fontId="15" fillId="6" borderId="0" xfId="2" applyNumberFormat="1" applyFont="1" applyFill="1" applyAlignment="1">
      <alignment vertical="center"/>
    </xf>
    <xf numFmtId="176" fontId="15" fillId="0" borderId="0" xfId="2" applyNumberFormat="1" applyFont="1" applyFill="1" applyAlignment="1">
      <alignment vertical="center"/>
    </xf>
    <xf numFmtId="177" fontId="12" fillId="0" borderId="0" xfId="8" applyNumberFormat="1" applyFont="1">
      <alignment vertical="center"/>
    </xf>
    <xf numFmtId="180" fontId="15" fillId="0" borderId="0" xfId="1" applyNumberFormat="1" applyFont="1" applyAlignment="1">
      <alignment vertical="center"/>
    </xf>
    <xf numFmtId="0" fontId="15" fillId="0" borderId="0" xfId="8" applyFont="1">
      <alignment vertical="center"/>
    </xf>
    <xf numFmtId="0" fontId="12" fillId="0" borderId="0" xfId="8" applyFont="1">
      <alignment vertical="center"/>
    </xf>
    <xf numFmtId="181" fontId="12" fillId="0" borderId="0" xfId="8" applyNumberFormat="1" applyFont="1">
      <alignment vertical="center"/>
    </xf>
    <xf numFmtId="181" fontId="12" fillId="18" borderId="0" xfId="8" applyNumberFormat="1" applyFont="1" applyFill="1">
      <alignment vertical="center"/>
    </xf>
    <xf numFmtId="177" fontId="41" fillId="14" borderId="2" xfId="7" applyNumberFormat="1" applyFont="1" applyFill="1" applyBorder="1" applyAlignment="1">
      <alignment horizontal="right" vertical="center" wrapText="1"/>
    </xf>
    <xf numFmtId="181" fontId="15" fillId="0" borderId="0" xfId="8" applyNumberFormat="1" applyFont="1">
      <alignment vertical="center"/>
    </xf>
    <xf numFmtId="10" fontId="17" fillId="0" borderId="2" xfId="9" applyNumberFormat="1" applyFont="1" applyFill="1" applyBorder="1" applyAlignment="1">
      <alignment horizontal="right" vertical="center" wrapText="1"/>
    </xf>
    <xf numFmtId="177" fontId="12" fillId="0" borderId="2" xfId="7" applyNumberFormat="1" applyFont="1" applyFill="1" applyBorder="1" applyAlignment="1">
      <alignment horizontal="right" vertical="center" wrapText="1"/>
    </xf>
    <xf numFmtId="177" fontId="15" fillId="0" borderId="2" xfId="8" applyNumberFormat="1" applyFont="1" applyBorder="1">
      <alignment vertical="center"/>
    </xf>
    <xf numFmtId="177" fontId="14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9" fontId="15" fillId="0" borderId="0" xfId="8" applyNumberFormat="1" applyFont="1">
      <alignment vertical="center"/>
    </xf>
    <xf numFmtId="177" fontId="16" fillId="15" borderId="2" xfId="7" applyNumberFormat="1" applyFont="1" applyFill="1" applyBorder="1" applyAlignment="1">
      <alignment horizontal="right" vertical="center" wrapText="1"/>
    </xf>
    <xf numFmtId="10" fontId="15" fillId="0" borderId="0" xfId="8" applyNumberFormat="1" applyFont="1">
      <alignment vertical="center"/>
    </xf>
    <xf numFmtId="10" fontId="15" fillId="0" borderId="0" xfId="9" applyNumberFormat="1" applyFont="1" applyAlignment="1">
      <alignment vertical="center"/>
    </xf>
    <xf numFmtId="10" fontId="12" fillId="0" borderId="0" xfId="9" applyNumberFormat="1" applyFont="1" applyFill="1" applyAlignment="1">
      <alignment vertical="center"/>
    </xf>
    <xf numFmtId="177" fontId="15" fillId="4" borderId="0" xfId="8" applyNumberFormat="1" applyFont="1" applyFill="1">
      <alignment vertical="center"/>
    </xf>
    <xf numFmtId="177" fontId="14" fillId="4" borderId="0" xfId="8" applyNumberFormat="1" applyFont="1" applyFill="1">
      <alignment vertical="center"/>
    </xf>
    <xf numFmtId="181" fontId="14" fillId="4" borderId="0" xfId="8" applyNumberFormat="1" applyFont="1" applyFill="1">
      <alignment vertical="center"/>
    </xf>
    <xf numFmtId="177" fontId="20" fillId="0" borderId="0" xfId="7" applyNumberFormat="1" applyFont="1" applyFill="1" applyAlignment="1">
      <alignment vertical="center"/>
    </xf>
    <xf numFmtId="177" fontId="14" fillId="0" borderId="0" xfId="7" applyNumberFormat="1" applyFont="1" applyAlignment="1">
      <alignment vertical="center"/>
    </xf>
    <xf numFmtId="41" fontId="15" fillId="0" borderId="2" xfId="0" applyNumberFormat="1" applyFont="1" applyBorder="1">
      <alignment vertical="center"/>
    </xf>
    <xf numFmtId="43" fontId="15" fillId="0" borderId="2" xfId="0" applyNumberFormat="1" applyFont="1" applyBorder="1">
      <alignment vertical="center"/>
    </xf>
    <xf numFmtId="182" fontId="15" fillId="0" borderId="0" xfId="0" applyNumberFormat="1" applyFont="1">
      <alignment vertical="center"/>
    </xf>
    <xf numFmtId="176" fontId="15" fillId="0" borderId="0" xfId="0" applyNumberFormat="1" applyFont="1">
      <alignment vertical="center"/>
    </xf>
    <xf numFmtId="177" fontId="20" fillId="0" borderId="2" xfId="7" applyNumberFormat="1" applyFont="1" applyFill="1" applyBorder="1" applyAlignment="1">
      <alignment vertical="center"/>
    </xf>
    <xf numFmtId="177" fontId="20" fillId="0" borderId="0" xfId="7" applyNumberFormat="1" applyFont="1" applyFill="1" applyBorder="1" applyAlignment="1">
      <alignment vertical="center"/>
    </xf>
    <xf numFmtId="10" fontId="28" fillId="0" borderId="0" xfId="0" applyNumberFormat="1" applyFont="1">
      <alignment vertical="center"/>
    </xf>
    <xf numFmtId="9" fontId="28" fillId="0" borderId="0" xfId="0" applyNumberFormat="1" applyFont="1">
      <alignment vertical="center"/>
    </xf>
    <xf numFmtId="177" fontId="12" fillId="0" borderId="2" xfId="7" applyNumberFormat="1" applyFont="1" applyBorder="1" applyAlignment="1">
      <alignment vertical="center"/>
    </xf>
    <xf numFmtId="10" fontId="12" fillId="0" borderId="2" xfId="9" applyNumberFormat="1" applyFont="1" applyBorder="1" applyAlignment="1">
      <alignment vertical="center"/>
    </xf>
    <xf numFmtId="177" fontId="28" fillId="0" borderId="0" xfId="7" applyNumberFormat="1" applyFont="1" applyFill="1" applyAlignment="1">
      <alignment vertical="center"/>
    </xf>
    <xf numFmtId="177" fontId="43" fillId="0" borderId="2" xfId="7" applyNumberFormat="1" applyFont="1" applyBorder="1" applyAlignment="1">
      <alignment vertical="center"/>
    </xf>
    <xf numFmtId="10" fontId="43" fillId="0" borderId="2" xfId="9" applyNumberFormat="1" applyFont="1" applyBorder="1" applyAlignment="1">
      <alignment vertical="center"/>
    </xf>
    <xf numFmtId="177" fontId="43" fillId="0" borderId="2" xfId="2" applyNumberFormat="1" applyFont="1" applyBorder="1" applyAlignment="1">
      <alignment vertical="center"/>
    </xf>
    <xf numFmtId="177" fontId="28" fillId="0" borderId="0" xfId="7" applyNumberFormat="1" applyFont="1" applyAlignment="1">
      <alignment vertical="center"/>
    </xf>
    <xf numFmtId="177" fontId="28" fillId="0" borderId="0" xfId="8" applyNumberFormat="1" applyFont="1">
      <alignment vertical="center"/>
    </xf>
    <xf numFmtId="9" fontId="28" fillId="0" borderId="0" xfId="7" applyNumberFormat="1" applyFont="1" applyFill="1" applyAlignment="1">
      <alignment vertical="center"/>
    </xf>
    <xf numFmtId="177" fontId="20" fillId="6" borderId="0" xfId="8" applyNumberFormat="1" applyFont="1" applyFill="1">
      <alignment vertical="center"/>
    </xf>
    <xf numFmtId="177" fontId="20" fillId="0" borderId="0" xfId="7" applyNumberFormat="1" applyFont="1" applyAlignment="1">
      <alignment vertical="center"/>
    </xf>
    <xf numFmtId="177" fontId="14" fillId="0" borderId="0" xfId="7" applyNumberFormat="1" applyFont="1" applyFill="1" applyAlignment="1">
      <alignment vertical="center"/>
    </xf>
    <xf numFmtId="177" fontId="15" fillId="0" borderId="0" xfId="7" applyNumberFormat="1" applyFont="1" applyFill="1" applyAlignment="1">
      <alignment vertical="center"/>
    </xf>
    <xf numFmtId="180" fontId="15" fillId="0" borderId="0" xfId="1" applyNumberFormat="1" applyFont="1" applyFill="1" applyAlignment="1">
      <alignment vertical="center"/>
    </xf>
    <xf numFmtId="176" fontId="12" fillId="0" borderId="0" xfId="7" applyNumberFormat="1" applyFont="1" applyAlignment="1">
      <alignment vertical="center"/>
    </xf>
    <xf numFmtId="177" fontId="12" fillId="6" borderId="0" xfId="8" applyNumberFormat="1" applyFont="1" applyFill="1">
      <alignment vertical="center"/>
    </xf>
    <xf numFmtId="177" fontId="12" fillId="0" borderId="0" xfId="7" applyNumberFormat="1" applyFont="1" applyAlignment="1">
      <alignment vertical="center"/>
    </xf>
    <xf numFmtId="180" fontId="12" fillId="0" borderId="0" xfId="1" applyNumberFormat="1" applyFont="1" applyAlignment="1">
      <alignment vertical="center"/>
    </xf>
    <xf numFmtId="9" fontId="12" fillId="0" borderId="0" xfId="8" applyNumberFormat="1" applyFont="1">
      <alignment vertical="center"/>
    </xf>
    <xf numFmtId="10" fontId="12" fillId="0" borderId="0" xfId="8" applyNumberFormat="1" applyFont="1">
      <alignment vertical="center"/>
    </xf>
    <xf numFmtId="177" fontId="41" fillId="6" borderId="0" xfId="3" applyNumberFormat="1" applyFont="1" applyFill="1" applyAlignment="1">
      <alignment horizontal="center" vertical="center"/>
    </xf>
    <xf numFmtId="176" fontId="14" fillId="6" borderId="0" xfId="3" applyNumberFormat="1" applyFont="1" applyFill="1" applyAlignment="1">
      <alignment horizontal="center" vertical="center"/>
    </xf>
    <xf numFmtId="10" fontId="17" fillId="15" borderId="3" xfId="2" applyNumberFormat="1" applyFont="1" applyFill="1" applyBorder="1" applyAlignment="1">
      <alignment horizontal="left" vertical="center"/>
    </xf>
    <xf numFmtId="177" fontId="17" fillId="15" borderId="5" xfId="8" applyNumberFormat="1" applyFont="1" applyFill="1" applyBorder="1" applyAlignment="1">
      <alignment vertical="center" wrapText="1"/>
    </xf>
    <xf numFmtId="10" fontId="17" fillId="15" borderId="2" xfId="2" applyNumberFormat="1" applyFont="1" applyFill="1" applyBorder="1" applyAlignment="1">
      <alignment vertical="center"/>
    </xf>
    <xf numFmtId="177" fontId="15" fillId="15" borderId="3" xfId="7" applyNumberFormat="1" applyFont="1" applyFill="1" applyBorder="1" applyAlignment="1">
      <alignment horizontal="left" vertical="center"/>
    </xf>
    <xf numFmtId="177" fontId="12" fillId="15" borderId="5" xfId="7" applyNumberFormat="1" applyFont="1" applyFill="1" applyBorder="1" applyAlignment="1">
      <alignment vertical="center" wrapText="1"/>
    </xf>
    <xf numFmtId="176" fontId="15" fillId="0" borderId="0" xfId="2" applyNumberFormat="1" applyFont="1" applyAlignment="1">
      <alignment vertical="center"/>
    </xf>
    <xf numFmtId="177" fontId="15" fillId="0" borderId="2" xfId="3" applyNumberFormat="1" applyFont="1" applyBorder="1" applyAlignment="1">
      <alignment horizontal="left" vertical="center"/>
    </xf>
    <xf numFmtId="10" fontId="17" fillId="15" borderId="5" xfId="2" applyNumberFormat="1" applyFont="1" applyFill="1" applyBorder="1" applyAlignment="1">
      <alignment vertical="center"/>
    </xf>
    <xf numFmtId="177" fontId="17" fillId="15" borderId="3" xfId="3" applyNumberFormat="1" applyFont="1" applyFill="1" applyBorder="1" applyAlignment="1">
      <alignment horizontal="left" vertical="center"/>
    </xf>
    <xf numFmtId="177" fontId="17" fillId="15" borderId="5" xfId="3" applyNumberFormat="1" applyFont="1" applyFill="1" applyBorder="1">
      <alignment vertical="center"/>
    </xf>
    <xf numFmtId="41" fontId="15" fillId="0" borderId="2" xfId="1" applyFont="1" applyBorder="1" applyAlignment="1">
      <alignment vertical="center"/>
    </xf>
    <xf numFmtId="177" fontId="15" fillId="0" borderId="2" xfId="1" applyNumberFormat="1" applyFont="1" applyBorder="1" applyAlignment="1">
      <alignment vertical="center"/>
    </xf>
    <xf numFmtId="176" fontId="15" fillId="0" borderId="2" xfId="2" applyNumberFormat="1" applyFont="1" applyBorder="1" applyAlignment="1">
      <alignment vertical="center"/>
    </xf>
    <xf numFmtId="177" fontId="15" fillId="15" borderId="2" xfId="1" applyNumberFormat="1" applyFont="1" applyFill="1" applyBorder="1" applyAlignment="1">
      <alignment vertical="center"/>
    </xf>
    <xf numFmtId="177" fontId="15" fillId="0" borderId="0" xfId="1" applyNumberFormat="1" applyFont="1" applyBorder="1" applyAlignment="1">
      <alignment vertical="center"/>
    </xf>
    <xf numFmtId="10" fontId="15" fillId="15" borderId="2" xfId="3" applyNumberFormat="1" applyFont="1" applyFill="1" applyBorder="1">
      <alignment vertical="center"/>
    </xf>
    <xf numFmtId="178" fontId="28" fillId="5" borderId="0" xfId="3" applyNumberFormat="1" applyFont="1" applyFill="1">
      <alignment vertical="center"/>
    </xf>
    <xf numFmtId="10" fontId="15" fillId="0" borderId="0" xfId="2" applyNumberFormat="1" applyFont="1" applyFill="1" applyAlignment="1">
      <alignment vertical="center"/>
    </xf>
    <xf numFmtId="181" fontId="15" fillId="0" borderId="0" xfId="2" applyNumberFormat="1" applyFont="1" applyFill="1" applyAlignment="1">
      <alignment vertical="center"/>
    </xf>
    <xf numFmtId="177" fontId="15" fillId="0" borderId="0" xfId="3" quotePrefix="1" applyNumberFormat="1" applyFont="1">
      <alignment vertical="center"/>
    </xf>
    <xf numFmtId="10" fontId="41" fillId="0" borderId="0" xfId="3" applyNumberFormat="1" applyFont="1" applyAlignment="1">
      <alignment horizontal="center" vertical="center"/>
    </xf>
    <xf numFmtId="181" fontId="15" fillId="0" borderId="2" xfId="1" applyNumberFormat="1" applyFont="1" applyFill="1" applyBorder="1">
      <alignment vertical="center"/>
    </xf>
    <xf numFmtId="14" fontId="15" fillId="0" borderId="0" xfId="0" applyNumberFormat="1" applyFont="1">
      <alignment vertical="center"/>
    </xf>
    <xf numFmtId="14" fontId="6" fillId="0" borderId="0" xfId="0" applyNumberFormat="1" applyFont="1">
      <alignment vertical="center"/>
    </xf>
    <xf numFmtId="14" fontId="7" fillId="0" borderId="0" xfId="0" applyNumberFormat="1" applyFont="1">
      <alignment vertical="center"/>
    </xf>
    <xf numFmtId="14" fontId="14" fillId="0" borderId="0" xfId="0" applyNumberFormat="1" applyFont="1">
      <alignment vertical="center"/>
    </xf>
    <xf numFmtId="0" fontId="13" fillId="0" borderId="2" xfId="10" applyFont="1" applyBorder="1" applyAlignment="1">
      <alignment horizontal="left" vertical="center"/>
    </xf>
    <xf numFmtId="0" fontId="13" fillId="0" borderId="2" xfId="10" applyFont="1" applyBorder="1" applyAlignment="1">
      <alignment horizontal="centerContinuous"/>
    </xf>
    <xf numFmtId="178" fontId="13" fillId="0" borderId="2" xfId="1" applyNumberFormat="1" applyFont="1" applyFill="1" applyBorder="1" applyAlignment="1">
      <alignment vertical="center"/>
    </xf>
    <xf numFmtId="176" fontId="22" fillId="0" borderId="0" xfId="2" applyNumberFormat="1" applyFont="1" applyBorder="1" applyAlignment="1">
      <alignment horizontal="right" vertical="center"/>
    </xf>
    <xf numFmtId="10" fontId="22" fillId="0" borderId="0" xfId="2" applyNumberFormat="1" applyFont="1" applyBorder="1" applyAlignment="1">
      <alignment horizontal="right" vertical="center"/>
    </xf>
    <xf numFmtId="181" fontId="12" fillId="0" borderId="2" xfId="0" applyNumberFormat="1" applyFont="1" applyBorder="1" applyAlignment="1">
      <alignment vertical="center" wrapText="1"/>
    </xf>
    <xf numFmtId="182" fontId="29" fillId="5" borderId="2" xfId="0" applyNumberFormat="1" applyFont="1" applyFill="1" applyBorder="1">
      <alignment vertical="center"/>
    </xf>
    <xf numFmtId="187" fontId="15" fillId="0" borderId="0" xfId="8" applyNumberFormat="1" applyFont="1">
      <alignment vertical="center"/>
    </xf>
    <xf numFmtId="41" fontId="15" fillId="0" borderId="2" xfId="1" applyFont="1" applyFill="1" applyBorder="1">
      <alignment vertical="center"/>
    </xf>
    <xf numFmtId="181" fontId="14" fillId="0" borderId="2" xfId="0" applyNumberFormat="1" applyFont="1" applyBorder="1">
      <alignment vertical="center"/>
    </xf>
    <xf numFmtId="0" fontId="14" fillId="0" borderId="113" xfId="0" applyFont="1" applyBorder="1">
      <alignment vertical="center"/>
    </xf>
    <xf numFmtId="0" fontId="14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/>
    </xf>
    <xf numFmtId="178" fontId="14" fillId="0" borderId="2" xfId="0" applyNumberFormat="1" applyFont="1" applyBorder="1" applyAlignment="1">
      <alignment horizontal="right" vertical="center"/>
    </xf>
    <xf numFmtId="178" fontId="14" fillId="0" borderId="6" xfId="0" applyNumberFormat="1" applyFont="1" applyBorder="1" applyAlignment="1">
      <alignment horizontal="right" vertical="center"/>
    </xf>
    <xf numFmtId="0" fontId="15" fillId="0" borderId="6" xfId="0" applyFont="1" applyBorder="1">
      <alignment vertical="center"/>
    </xf>
    <xf numFmtId="178" fontId="15" fillId="0" borderId="6" xfId="0" applyNumberFormat="1" applyFont="1" applyBorder="1" applyAlignment="1">
      <alignment horizontal="right" vertical="center"/>
    </xf>
    <xf numFmtId="0" fontId="15" fillId="0" borderId="118" xfId="0" applyFont="1" applyBorder="1">
      <alignment vertical="center"/>
    </xf>
    <xf numFmtId="0" fontId="15" fillId="0" borderId="118" xfId="1" applyNumberFormat="1" applyFont="1" applyFill="1" applyBorder="1" applyAlignment="1">
      <alignment vertical="center"/>
    </xf>
    <xf numFmtId="41" fontId="14" fillId="0" borderId="0" xfId="1" applyFont="1" applyFill="1">
      <alignment vertical="center"/>
    </xf>
    <xf numFmtId="0" fontId="13" fillId="0" borderId="2" xfId="10" applyFont="1" applyBorder="1" applyAlignment="1">
      <alignment vertical="center"/>
    </xf>
    <xf numFmtId="0" fontId="14" fillId="0" borderId="2" xfId="10" applyFont="1" applyBorder="1" applyAlignment="1">
      <alignment horizontal="left" vertical="center"/>
    </xf>
    <xf numFmtId="0" fontId="14" fillId="0" borderId="2" xfId="10" applyFont="1" applyBorder="1" applyAlignment="1">
      <alignment horizontal="centerContinuous" vertical="center"/>
    </xf>
    <xf numFmtId="41" fontId="13" fillId="0" borderId="2" xfId="1" applyFont="1" applyFill="1" applyBorder="1" applyAlignment="1">
      <alignment vertical="center"/>
    </xf>
    <xf numFmtId="0" fontId="14" fillId="0" borderId="2" xfId="11" applyFont="1" applyBorder="1" applyAlignment="1">
      <alignment horizontal="center" vertical="center"/>
    </xf>
    <xf numFmtId="0" fontId="12" fillId="6" borderId="0" xfId="8" applyFont="1" applyFill="1">
      <alignment vertical="center"/>
    </xf>
    <xf numFmtId="178" fontId="17" fillId="4" borderId="2" xfId="0" applyNumberFormat="1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0" fontId="34" fillId="0" borderId="0" xfId="0" applyFont="1" applyAlignment="1">
      <alignment horizontal="centerContinuous" vertical="center"/>
    </xf>
    <xf numFmtId="3" fontId="48" fillId="0" borderId="154" xfId="0" applyNumberFormat="1" applyFont="1" applyBorder="1" applyAlignment="1">
      <alignment horizontal="right" vertical="center" wrapText="1"/>
    </xf>
    <xf numFmtId="0" fontId="48" fillId="0" borderId="200" xfId="0" applyFont="1" applyBorder="1" applyAlignment="1">
      <alignment vertical="center" wrapText="1"/>
    </xf>
    <xf numFmtId="3" fontId="48" fillId="0" borderId="201" xfId="0" applyNumberFormat="1" applyFont="1" applyBorder="1" applyAlignment="1">
      <alignment horizontal="right" vertical="center" wrapText="1"/>
    </xf>
    <xf numFmtId="0" fontId="48" fillId="0" borderId="202" xfId="0" applyFont="1" applyBorder="1" applyAlignment="1">
      <alignment horizontal="right" vertical="center" wrapText="1"/>
    </xf>
    <xf numFmtId="0" fontId="48" fillId="0" borderId="200" xfId="0" applyFont="1" applyBorder="1" applyAlignment="1">
      <alignment horizontal="center" vertical="center" wrapText="1"/>
    </xf>
    <xf numFmtId="3" fontId="48" fillId="0" borderId="202" xfId="0" applyNumberFormat="1" applyFont="1" applyBorder="1" applyAlignment="1">
      <alignment horizontal="right" vertical="center" wrapText="1"/>
    </xf>
    <xf numFmtId="0" fontId="48" fillId="0" borderId="155" xfId="0" applyFont="1" applyBorder="1" applyAlignment="1">
      <alignment vertical="center" wrapText="1"/>
    </xf>
    <xf numFmtId="3" fontId="48" fillId="0" borderId="156" xfId="0" applyNumberFormat="1" applyFont="1" applyBorder="1" applyAlignment="1">
      <alignment horizontal="right" vertical="center" wrapText="1"/>
    </xf>
    <xf numFmtId="0" fontId="48" fillId="0" borderId="158" xfId="0" applyFont="1" applyBorder="1" applyAlignment="1">
      <alignment vertical="center" wrapText="1"/>
    </xf>
    <xf numFmtId="0" fontId="48" fillId="0" borderId="158" xfId="0" applyFont="1" applyBorder="1" applyAlignment="1">
      <alignment horizontal="center" vertical="center" wrapText="1"/>
    </xf>
    <xf numFmtId="3" fontId="48" fillId="0" borderId="200" xfId="0" applyNumberFormat="1" applyFont="1" applyBorder="1" applyAlignment="1">
      <alignment horizontal="right" vertical="center" wrapText="1"/>
    </xf>
    <xf numFmtId="3" fontId="49" fillId="0" borderId="0" xfId="0" applyNumberFormat="1" applyFont="1">
      <alignment vertical="center"/>
    </xf>
    <xf numFmtId="177" fontId="4" fillId="0" borderId="0" xfId="3" applyNumberFormat="1" applyFont="1">
      <alignment vertical="center"/>
    </xf>
    <xf numFmtId="177" fontId="4" fillId="28" borderId="0" xfId="3" applyNumberFormat="1" applyFont="1" applyFill="1">
      <alignment vertical="center"/>
    </xf>
    <xf numFmtId="177" fontId="26" fillId="14" borderId="3" xfId="8" applyNumberFormat="1" applyFont="1" applyFill="1" applyBorder="1" applyAlignment="1">
      <alignment vertical="top"/>
    </xf>
    <xf numFmtId="181" fontId="0" fillId="0" borderId="0" xfId="0" applyNumberFormat="1">
      <alignment vertical="center"/>
    </xf>
    <xf numFmtId="181" fontId="28" fillId="5" borderId="2" xfId="0" applyNumberFormat="1" applyFont="1" applyFill="1" applyBorder="1">
      <alignment vertical="center"/>
    </xf>
    <xf numFmtId="181" fontId="28" fillId="6" borderId="2" xfId="0" applyNumberFormat="1" applyFont="1" applyFill="1" applyBorder="1">
      <alignment vertical="center"/>
    </xf>
    <xf numFmtId="3" fontId="12" fillId="0" borderId="0" xfId="0" applyNumberFormat="1" applyFont="1">
      <alignment vertical="center"/>
    </xf>
    <xf numFmtId="0" fontId="13" fillId="0" borderId="2" xfId="7" applyNumberFormat="1" applyFont="1" applyFill="1" applyBorder="1" applyAlignment="1">
      <alignment horizontal="center" vertical="center" wrapText="1"/>
    </xf>
    <xf numFmtId="177" fontId="13" fillId="0" borderId="2" xfId="0" applyNumberFormat="1" applyFont="1" applyBorder="1">
      <alignment vertical="center"/>
    </xf>
    <xf numFmtId="177" fontId="12" fillId="0" borderId="2" xfId="0" applyNumberFormat="1" applyFont="1" applyBorder="1">
      <alignment vertical="center"/>
    </xf>
    <xf numFmtId="10" fontId="12" fillId="0" borderId="2" xfId="2" applyNumberFormat="1" applyFont="1" applyFill="1" applyBorder="1" applyAlignment="1">
      <alignment vertical="center"/>
    </xf>
    <xf numFmtId="0" fontId="12" fillId="0" borderId="5" xfId="8" applyFont="1" applyBorder="1">
      <alignment vertical="center"/>
    </xf>
    <xf numFmtId="0" fontId="12" fillId="0" borderId="2" xfId="8" applyFont="1" applyBorder="1">
      <alignment vertical="center"/>
    </xf>
    <xf numFmtId="180" fontId="12" fillId="0" borderId="2" xfId="1" applyNumberFormat="1" applyFont="1" applyFill="1" applyBorder="1" applyAlignment="1">
      <alignment vertical="center"/>
    </xf>
    <xf numFmtId="177" fontId="12" fillId="0" borderId="2" xfId="8" applyNumberFormat="1" applyFont="1" applyBorder="1">
      <alignment vertical="center"/>
    </xf>
    <xf numFmtId="176" fontId="13" fillId="0" borderId="2" xfId="2" applyNumberFormat="1" applyFont="1" applyFill="1" applyBorder="1" applyAlignment="1">
      <alignment vertical="center"/>
    </xf>
    <xf numFmtId="10" fontId="13" fillId="0" borderId="2" xfId="8" applyNumberFormat="1" applyFont="1" applyBorder="1">
      <alignment vertical="center"/>
    </xf>
    <xf numFmtId="177" fontId="13" fillId="0" borderId="2" xfId="8" applyNumberFormat="1" applyFont="1" applyBorder="1">
      <alignment vertical="center"/>
    </xf>
    <xf numFmtId="10" fontId="12" fillId="0" borderId="2" xfId="9" applyNumberFormat="1" applyFont="1" applyFill="1" applyBorder="1" applyAlignment="1">
      <alignment vertical="center"/>
    </xf>
    <xf numFmtId="0" fontId="12" fillId="6" borderId="0" xfId="0" applyFont="1" applyFill="1" applyAlignment="1">
      <alignment horizontal="right" vertical="center"/>
    </xf>
    <xf numFmtId="178" fontId="12" fillId="5" borderId="2" xfId="3" applyNumberFormat="1" applyFont="1" applyFill="1" applyBorder="1">
      <alignment vertical="center"/>
    </xf>
    <xf numFmtId="181" fontId="12" fillId="5" borderId="2" xfId="3" applyNumberFormat="1" applyFont="1" applyFill="1" applyBorder="1">
      <alignment vertical="center"/>
    </xf>
    <xf numFmtId="0" fontId="41" fillId="29" borderId="203" xfId="7" applyNumberFormat="1" applyFont="1" applyFill="1" applyBorder="1" applyAlignment="1">
      <alignment horizontal="center" vertical="center" wrapText="1"/>
    </xf>
    <xf numFmtId="177" fontId="12" fillId="0" borderId="203" xfId="0" applyNumberFormat="1" applyFont="1" applyBorder="1">
      <alignment vertical="center"/>
    </xf>
    <xf numFmtId="177" fontId="12" fillId="32" borderId="203" xfId="0" applyNumberFormat="1" applyFont="1" applyFill="1" applyBorder="1">
      <alignment vertical="center"/>
    </xf>
    <xf numFmtId="177" fontId="12" fillId="31" borderId="203" xfId="0" applyNumberFormat="1" applyFont="1" applyFill="1" applyBorder="1">
      <alignment vertical="center"/>
    </xf>
    <xf numFmtId="178" fontId="41" fillId="29" borderId="203" xfId="7" applyNumberFormat="1" applyFont="1" applyFill="1" applyBorder="1" applyAlignment="1">
      <alignment horizontal="center" vertical="center" wrapText="1"/>
    </xf>
    <xf numFmtId="178" fontId="13" fillId="31" borderId="203" xfId="0" applyNumberFormat="1" applyFont="1" applyFill="1" applyBorder="1">
      <alignment vertical="center"/>
    </xf>
    <xf numFmtId="178" fontId="12" fillId="32" borderId="203" xfId="0" applyNumberFormat="1" applyFont="1" applyFill="1" applyBorder="1" applyAlignment="1">
      <alignment horizontal="left" vertical="center"/>
    </xf>
    <xf numFmtId="178" fontId="12" fillId="32" borderId="203" xfId="0" applyNumberFormat="1" applyFont="1" applyFill="1" applyBorder="1">
      <alignment vertical="center"/>
    </xf>
    <xf numFmtId="178" fontId="12" fillId="0" borderId="203" xfId="0" applyNumberFormat="1" applyFont="1" applyBorder="1" applyAlignment="1">
      <alignment horizontal="left" vertical="center"/>
    </xf>
    <xf numFmtId="178" fontId="12" fillId="0" borderId="203" xfId="0" applyNumberFormat="1" applyFont="1" applyBorder="1">
      <alignment vertical="center"/>
    </xf>
    <xf numFmtId="178" fontId="12" fillId="0" borderId="203" xfId="7" applyNumberFormat="1" applyFont="1" applyFill="1" applyBorder="1" applyAlignment="1">
      <alignment horizontal="right" vertical="center" wrapText="1"/>
    </xf>
    <xf numFmtId="178" fontId="12" fillId="32" borderId="203" xfId="7" applyNumberFormat="1" applyFont="1" applyFill="1" applyBorder="1" applyAlignment="1">
      <alignment horizontal="right" vertical="center" wrapText="1"/>
    </xf>
    <xf numFmtId="178" fontId="41" fillId="30" borderId="203" xfId="0" applyNumberFormat="1" applyFont="1" applyFill="1" applyBorder="1">
      <alignment vertical="center"/>
    </xf>
    <xf numFmtId="178" fontId="12" fillId="31" borderId="203" xfId="0" applyNumberFormat="1" applyFont="1" applyFill="1" applyBorder="1">
      <alignment vertical="center"/>
    </xf>
    <xf numFmtId="178" fontId="12" fillId="31" borderId="203" xfId="7" applyNumberFormat="1" applyFont="1" applyFill="1" applyBorder="1" applyAlignment="1">
      <alignment vertical="center" wrapText="1"/>
    </xf>
    <xf numFmtId="178" fontId="12" fillId="0" borderId="203" xfId="7" applyNumberFormat="1" applyFont="1" applyFill="1" applyBorder="1" applyAlignment="1">
      <alignment vertical="center" wrapText="1"/>
    </xf>
    <xf numFmtId="178" fontId="41" fillId="29" borderId="203" xfId="0" applyNumberFormat="1" applyFont="1" applyFill="1" applyBorder="1">
      <alignment vertical="center"/>
    </xf>
    <xf numFmtId="177" fontId="28" fillId="30" borderId="203" xfId="0" applyNumberFormat="1" applyFont="1" applyFill="1" applyBorder="1">
      <alignment vertical="center"/>
    </xf>
    <xf numFmtId="177" fontId="28" fillId="29" borderId="203" xfId="0" applyNumberFormat="1" applyFont="1" applyFill="1" applyBorder="1">
      <alignment vertical="center"/>
    </xf>
    <xf numFmtId="188" fontId="50" fillId="0" borderId="203" xfId="2" applyNumberFormat="1" applyFont="1" applyFill="1" applyBorder="1" applyAlignment="1">
      <alignment vertical="center"/>
    </xf>
    <xf numFmtId="188" fontId="50" fillId="0" borderId="203" xfId="8" applyNumberFormat="1" applyFont="1" applyBorder="1">
      <alignment vertical="center"/>
    </xf>
    <xf numFmtId="188" fontId="50" fillId="0" borderId="203" xfId="7" applyNumberFormat="1" applyFont="1" applyFill="1" applyBorder="1" applyAlignment="1">
      <alignment vertical="center"/>
    </xf>
    <xf numFmtId="178" fontId="12" fillId="0" borderId="203" xfId="2" applyNumberFormat="1" applyFont="1" applyFill="1" applyBorder="1" applyAlignment="1">
      <alignment vertical="center"/>
    </xf>
    <xf numFmtId="178" fontId="12" fillId="0" borderId="203" xfId="8" applyNumberFormat="1" applyFont="1" applyBorder="1" applyAlignment="1">
      <alignment vertical="center" wrapText="1"/>
    </xf>
    <xf numFmtId="178" fontId="12" fillId="0" borderId="203" xfId="8" applyNumberFormat="1" applyFont="1" applyBorder="1">
      <alignment vertical="center"/>
    </xf>
    <xf numFmtId="178" fontId="12" fillId="0" borderId="0" xfId="8" applyNumberFormat="1" applyFont="1">
      <alignment vertical="center"/>
    </xf>
    <xf numFmtId="178" fontId="13" fillId="31" borderId="203" xfId="8" applyNumberFormat="1" applyFont="1" applyFill="1" applyBorder="1" applyAlignment="1">
      <alignment vertical="center" wrapText="1"/>
    </xf>
    <xf numFmtId="178" fontId="13" fillId="31" borderId="203" xfId="7" applyNumberFormat="1" applyFont="1" applyFill="1" applyBorder="1" applyAlignment="1">
      <alignment vertical="center" wrapText="1"/>
    </xf>
    <xf numFmtId="178" fontId="12" fillId="31" borderId="203" xfId="8" applyNumberFormat="1" applyFont="1" applyFill="1" applyBorder="1" applyAlignment="1">
      <alignment vertical="center" wrapText="1"/>
    </xf>
    <xf numFmtId="178" fontId="12" fillId="32" borderId="203" xfId="7" applyNumberFormat="1" applyFont="1" applyFill="1" applyBorder="1" applyAlignment="1">
      <alignment vertical="center"/>
    </xf>
    <xf numFmtId="178" fontId="12" fillId="32" borderId="203" xfId="7" applyNumberFormat="1" applyFont="1" applyFill="1" applyBorder="1" applyAlignment="1">
      <alignment vertical="center" wrapText="1"/>
    </xf>
    <xf numFmtId="178" fontId="12" fillId="0" borderId="0" xfId="2" applyNumberFormat="1" applyFont="1" applyFill="1" applyAlignment="1">
      <alignment vertical="center"/>
    </xf>
    <xf numFmtId="178" fontId="12" fillId="32" borderId="203" xfId="8" applyNumberFormat="1" applyFont="1" applyFill="1" applyBorder="1">
      <alignment vertical="center"/>
    </xf>
    <xf numFmtId="178" fontId="13" fillId="0" borderId="0" xfId="8" applyNumberFormat="1" applyFont="1">
      <alignment vertical="center"/>
    </xf>
    <xf numFmtId="178" fontId="12" fillId="32" borderId="203" xfId="8" applyNumberFormat="1" applyFont="1" applyFill="1" applyBorder="1" applyAlignment="1">
      <alignment vertical="center" wrapText="1"/>
    </xf>
    <xf numFmtId="178" fontId="12" fillId="0" borderId="203" xfId="7" applyNumberFormat="1" applyFont="1" applyFill="1" applyBorder="1" applyAlignment="1">
      <alignment vertical="center"/>
    </xf>
    <xf numFmtId="0" fontId="28" fillId="0" borderId="0" xfId="8" applyFont="1">
      <alignment vertical="center"/>
    </xf>
    <xf numFmtId="178" fontId="41" fillId="29" borderId="203" xfId="3" applyNumberFormat="1" applyFont="1" applyFill="1" applyBorder="1" applyAlignment="1">
      <alignment horizontal="center" vertical="center"/>
    </xf>
    <xf numFmtId="177" fontId="43" fillId="0" borderId="0" xfId="8" applyNumberFormat="1" applyFont="1">
      <alignment vertical="center"/>
    </xf>
    <xf numFmtId="188" fontId="50" fillId="0" borderId="203" xfId="9" applyNumberFormat="1" applyFont="1" applyFill="1" applyBorder="1" applyAlignment="1">
      <alignment vertical="center"/>
    </xf>
    <xf numFmtId="10" fontId="12" fillId="0" borderId="2" xfId="2" applyNumberFormat="1" applyFont="1" applyFill="1" applyBorder="1" applyAlignment="1">
      <alignment horizontal="right" vertical="center" wrapText="1"/>
    </xf>
    <xf numFmtId="10" fontId="12" fillId="0" borderId="2" xfId="9" applyNumberFormat="1" applyFont="1" applyFill="1" applyBorder="1" applyAlignment="1">
      <alignment horizontal="right" vertical="center" wrapText="1"/>
    </xf>
    <xf numFmtId="178" fontId="12" fillId="0" borderId="203" xfId="2" applyNumberFormat="1" applyFont="1" applyFill="1" applyBorder="1" applyAlignment="1">
      <alignment vertical="center" wrapText="1"/>
    </xf>
    <xf numFmtId="188" fontId="53" fillId="0" borderId="203" xfId="8" applyNumberFormat="1" applyFont="1" applyBorder="1">
      <alignment vertical="center"/>
    </xf>
    <xf numFmtId="176" fontId="12" fillId="0" borderId="2" xfId="2" applyNumberFormat="1" applyFont="1" applyFill="1" applyBorder="1" applyAlignment="1">
      <alignment vertical="center"/>
    </xf>
    <xf numFmtId="10" fontId="43" fillId="4" borderId="2" xfId="2" applyNumberFormat="1" applyFont="1" applyFill="1" applyBorder="1" applyAlignment="1">
      <alignment horizontal="right" vertical="center" wrapText="1"/>
    </xf>
    <xf numFmtId="14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9" fontId="41" fillId="29" borderId="203" xfId="7" applyNumberFormat="1" applyFont="1" applyFill="1" applyBorder="1" applyAlignment="1">
      <alignment horizontal="center" vertical="center" wrapText="1"/>
    </xf>
    <xf numFmtId="189" fontId="41" fillId="9" borderId="2" xfId="7" applyNumberFormat="1" applyFont="1" applyFill="1" applyBorder="1" applyAlignment="1">
      <alignment horizontal="center" vertical="center" wrapText="1"/>
    </xf>
    <xf numFmtId="189" fontId="14" fillId="2" borderId="2" xfId="3" applyNumberFormat="1" applyFont="1" applyFill="1" applyBorder="1" applyAlignment="1">
      <alignment horizontal="center" vertical="center"/>
    </xf>
    <xf numFmtId="188" fontId="12" fillId="0" borderId="203" xfId="8" applyNumberFormat="1" applyFont="1" applyBorder="1">
      <alignment vertical="center"/>
    </xf>
    <xf numFmtId="178" fontId="15" fillId="0" borderId="204" xfId="1" applyNumberFormat="1" applyFont="1" applyBorder="1">
      <alignment vertical="center"/>
    </xf>
    <xf numFmtId="178" fontId="14" fillId="0" borderId="204" xfId="1" applyNumberFormat="1" applyFont="1" applyBorder="1">
      <alignment vertical="center"/>
    </xf>
    <xf numFmtId="177" fontId="13" fillId="0" borderId="50" xfId="0" applyNumberFormat="1" applyFont="1" applyBorder="1" applyAlignment="1">
      <alignment horizontal="right" vertical="center" wrapText="1"/>
    </xf>
    <xf numFmtId="177" fontId="5" fillId="14" borderId="0" xfId="3" applyNumberFormat="1" applyFont="1" applyFill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13" fillId="0" borderId="100" xfId="0" applyFont="1" applyBorder="1" applyAlignment="1">
      <alignment horizontal="left" vertical="center" wrapText="1"/>
    </xf>
    <xf numFmtId="0" fontId="13" fillId="0" borderId="122" xfId="0" applyFont="1" applyBorder="1" applyAlignment="1">
      <alignment horizontal="left" vertical="center" wrapText="1"/>
    </xf>
    <xf numFmtId="0" fontId="13" fillId="0" borderId="130" xfId="0" applyFont="1" applyBorder="1" applyAlignment="1">
      <alignment horizontal="left" vertical="center" wrapText="1"/>
    </xf>
    <xf numFmtId="0" fontId="13" fillId="0" borderId="131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1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20" xfId="0" applyFont="1" applyBorder="1" applyAlignment="1">
      <alignment horizontal="center" vertical="center" wrapText="1"/>
    </xf>
    <xf numFmtId="0" fontId="12" fillId="0" borderId="138" xfId="0" applyFont="1" applyBorder="1" applyAlignment="1">
      <alignment horizontal="center" vertical="center" wrapText="1"/>
    </xf>
    <xf numFmtId="0" fontId="12" fillId="0" borderId="153" xfId="0" applyFont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/>
    </xf>
    <xf numFmtId="0" fontId="19" fillId="10" borderId="8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center" vertical="center" wrapText="1"/>
    </xf>
    <xf numFmtId="0" fontId="19" fillId="10" borderId="11" xfId="0" applyFont="1" applyFill="1" applyBorder="1" applyAlignment="1">
      <alignment horizontal="center" vertical="center" wrapText="1"/>
    </xf>
    <xf numFmtId="0" fontId="19" fillId="10" borderId="21" xfId="0" applyFont="1" applyFill="1" applyBorder="1" applyAlignment="1">
      <alignment horizontal="center" vertical="center" wrapText="1"/>
    </xf>
    <xf numFmtId="0" fontId="19" fillId="10" borderId="22" xfId="0" applyFont="1" applyFill="1" applyBorder="1" applyAlignment="1">
      <alignment horizontal="center" vertical="center" wrapText="1"/>
    </xf>
    <xf numFmtId="0" fontId="19" fillId="10" borderId="23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6" fillId="0" borderId="65" xfId="0" applyFont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6" fillId="0" borderId="73" xfId="0" applyFont="1" applyBorder="1" applyAlignment="1">
      <alignment horizontal="center" vertical="center" wrapText="1"/>
    </xf>
    <xf numFmtId="0" fontId="16" fillId="0" borderId="7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83" xfId="0" applyFont="1" applyBorder="1" applyAlignment="1">
      <alignment horizontal="center" vertical="center" wrapText="1"/>
    </xf>
    <xf numFmtId="0" fontId="16" fillId="0" borderId="84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6" fillId="0" borderId="86" xfId="0" applyFont="1" applyBorder="1" applyAlignment="1">
      <alignment horizontal="center" vertical="center" wrapText="1"/>
    </xf>
    <xf numFmtId="0" fontId="13" fillId="0" borderId="105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0" fontId="13" fillId="0" borderId="80" xfId="0" applyFont="1" applyBorder="1" applyAlignment="1">
      <alignment horizontal="center" vertical="center" wrapText="1"/>
    </xf>
    <xf numFmtId="0" fontId="13" fillId="0" borderId="81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3" fillId="0" borderId="79" xfId="0" applyFont="1" applyBorder="1" applyAlignment="1">
      <alignment horizontal="center" vertical="center" wrapText="1"/>
    </xf>
    <xf numFmtId="0" fontId="13" fillId="0" borderId="90" xfId="0" applyFont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6" fillId="7" borderId="15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15" fillId="7" borderId="100" xfId="0" applyFont="1" applyFill="1" applyBorder="1" applyAlignment="1">
      <alignment horizontal="center" vertical="center" wrapText="1"/>
    </xf>
    <xf numFmtId="0" fontId="15" fillId="7" borderId="101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 wrapText="1"/>
    </xf>
    <xf numFmtId="0" fontId="16" fillId="0" borderId="83" xfId="0" applyFont="1" applyBorder="1" applyAlignment="1">
      <alignment horizontal="justify" vertical="center" wrapText="1"/>
    </xf>
    <xf numFmtId="0" fontId="16" fillId="0" borderId="85" xfId="0" applyFont="1" applyBorder="1" applyAlignment="1">
      <alignment horizontal="justify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4" fillId="0" borderId="130" xfId="0" applyFont="1" applyBorder="1" applyAlignment="1">
      <alignment horizontal="left" vertical="center" wrapText="1"/>
    </xf>
    <xf numFmtId="0" fontId="14" fillId="0" borderId="131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01" xfId="0" applyFont="1" applyBorder="1" applyAlignment="1">
      <alignment horizontal="center" vertical="center" wrapText="1"/>
    </xf>
    <xf numFmtId="0" fontId="14" fillId="0" borderId="79" xfId="0" applyFont="1" applyBorder="1" applyAlignment="1">
      <alignment horizontal="center" vertical="center" wrapText="1"/>
    </xf>
    <xf numFmtId="0" fontId="14" fillId="0" borderId="80" xfId="0" applyFont="1" applyBorder="1" applyAlignment="1">
      <alignment horizontal="center" vertical="center" wrapText="1"/>
    </xf>
    <xf numFmtId="0" fontId="14" fillId="0" borderId="90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justify" vertical="center" wrapText="1"/>
    </xf>
    <xf numFmtId="0" fontId="16" fillId="0" borderId="34" xfId="0" applyFont="1" applyBorder="1" applyAlignment="1">
      <alignment horizontal="justify" vertical="center" wrapText="1"/>
    </xf>
    <xf numFmtId="0" fontId="15" fillId="0" borderId="138" xfId="0" applyFont="1" applyBorder="1" applyAlignment="1">
      <alignment horizontal="center" vertical="center" wrapText="1"/>
    </xf>
    <xf numFmtId="0" fontId="15" fillId="0" borderId="153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1" xfId="0" applyFont="1" applyBorder="1" applyAlignment="1">
      <alignment horizontal="center" vertical="center" wrapText="1"/>
    </xf>
    <xf numFmtId="0" fontId="19" fillId="0" borderId="80" xfId="0" applyFont="1" applyBorder="1" applyAlignment="1">
      <alignment horizontal="center" vertical="center" wrapText="1"/>
    </xf>
    <xf numFmtId="0" fontId="19" fillId="0" borderId="81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79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11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6" fillId="0" borderId="94" xfId="0" applyFont="1" applyBorder="1" applyAlignment="1">
      <alignment horizontal="center" vertical="center" wrapText="1"/>
    </xf>
    <xf numFmtId="0" fontId="16" fillId="0" borderId="95" xfId="0" applyFont="1" applyBorder="1" applyAlignment="1">
      <alignment horizontal="center" vertical="center" wrapText="1"/>
    </xf>
    <xf numFmtId="0" fontId="16" fillId="0" borderId="96" xfId="0" applyFont="1" applyBorder="1" applyAlignment="1">
      <alignment horizontal="center" vertical="center" wrapText="1"/>
    </xf>
    <xf numFmtId="3" fontId="15" fillId="0" borderId="71" xfId="0" applyNumberFormat="1" applyFont="1" applyBorder="1" applyAlignment="1">
      <alignment horizontal="right" vertical="center" wrapText="1"/>
    </xf>
    <xf numFmtId="3" fontId="15" fillId="0" borderId="47" xfId="0" applyNumberFormat="1" applyFont="1" applyBorder="1" applyAlignment="1">
      <alignment horizontal="right" vertical="center" wrapText="1"/>
    </xf>
    <xf numFmtId="0" fontId="15" fillId="0" borderId="71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3" fillId="12" borderId="100" xfId="10" applyFont="1" applyFill="1" applyBorder="1" applyAlignment="1">
      <alignment horizontal="center" vertical="center"/>
    </xf>
    <xf numFmtId="0" fontId="13" fillId="12" borderId="101" xfId="10" applyFont="1" applyFill="1" applyBorder="1" applyAlignment="1">
      <alignment horizontal="center" vertical="center"/>
    </xf>
    <xf numFmtId="0" fontId="13" fillId="12" borderId="122" xfId="1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177" fontId="10" fillId="2" borderId="2" xfId="0" applyNumberFormat="1" applyFont="1" applyFill="1" applyBorder="1" applyAlignment="1">
      <alignment horizontal="center" vertical="center"/>
    </xf>
    <xf numFmtId="177" fontId="10" fillId="2" borderId="3" xfId="0" applyNumberFormat="1" applyFont="1" applyFill="1" applyBorder="1" applyAlignment="1">
      <alignment horizontal="center" vertical="center"/>
    </xf>
    <xf numFmtId="177" fontId="10" fillId="2" borderId="4" xfId="0" applyNumberFormat="1" applyFont="1" applyFill="1" applyBorder="1" applyAlignment="1">
      <alignment horizontal="center" vertical="center"/>
    </xf>
    <xf numFmtId="177" fontId="10" fillId="2" borderId="5" xfId="0" applyNumberFormat="1" applyFont="1" applyFill="1" applyBorder="1" applyAlignment="1">
      <alignment horizontal="center" vertical="center"/>
    </xf>
    <xf numFmtId="177" fontId="5" fillId="3" borderId="1" xfId="3" applyNumberFormat="1" applyFont="1" applyFill="1" applyBorder="1" applyAlignment="1">
      <alignment horizontal="center" vertical="center"/>
    </xf>
    <xf numFmtId="177" fontId="5" fillId="3" borderId="0" xfId="3" applyNumberFormat="1" applyFont="1" applyFill="1" applyAlignment="1">
      <alignment horizontal="center" vertical="center"/>
    </xf>
    <xf numFmtId="177" fontId="5" fillId="14" borderId="1" xfId="3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41" fillId="22" borderId="3" xfId="7" applyNumberFormat="1" applyFont="1" applyFill="1" applyBorder="1" applyAlignment="1">
      <alignment horizontal="center" vertical="center" wrapText="1"/>
    </xf>
    <xf numFmtId="0" fontId="41" fillId="22" borderId="5" xfId="7" applyNumberFormat="1" applyFont="1" applyFill="1" applyBorder="1" applyAlignment="1">
      <alignment horizontal="center" vertical="center" wrapText="1"/>
    </xf>
    <xf numFmtId="0" fontId="41" fillId="9" borderId="2" xfId="7" applyNumberFormat="1" applyFont="1" applyFill="1" applyBorder="1" applyAlignment="1">
      <alignment horizontal="center" vertical="center" wrapText="1"/>
    </xf>
    <xf numFmtId="177" fontId="41" fillId="14" borderId="3" xfId="8" applyNumberFormat="1" applyFont="1" applyFill="1" applyBorder="1" applyAlignment="1">
      <alignment vertical="center" wrapText="1"/>
    </xf>
    <xf numFmtId="177" fontId="41" fillId="14" borderId="5" xfId="8" applyNumberFormat="1" applyFont="1" applyFill="1" applyBorder="1" applyAlignment="1">
      <alignment vertical="center" wrapText="1"/>
    </xf>
  </cellXfs>
  <cellStyles count="13">
    <cellStyle name="백분율" xfId="2" builtinId="5"/>
    <cellStyle name="백분율 10" xfId="9" xr:uid="{788FDEFA-A646-4534-B722-E813B90753D9}"/>
    <cellStyle name="백분율 2" xfId="5" xr:uid="{FCB53CA9-AE73-43FD-9760-798499833321}"/>
    <cellStyle name="쉼표 [0]" xfId="1" builtinId="6"/>
    <cellStyle name="쉼표 [0] 10" xfId="7" xr:uid="{469480FB-E16F-4BC9-967B-CCC21E6757F6}"/>
    <cellStyle name="쉼표 [0] 11" xfId="6" xr:uid="{32F5444F-97ED-4E15-9E65-11655945D1EB}"/>
    <cellStyle name="표준" xfId="0" builtinId="0"/>
    <cellStyle name="표준 2" xfId="3" xr:uid="{468F92CA-5770-44B6-A18F-B186F38D32F7}"/>
    <cellStyle name="표준 2 2" xfId="12" xr:uid="{2E90EB58-7176-470E-B64D-2B19AE4AABB6}"/>
    <cellStyle name="표준 3" xfId="4" xr:uid="{A649F625-6710-4F91-B458-7DAD5E5F60F6}"/>
    <cellStyle name="표준 366" xfId="8" xr:uid="{E196A9C7-D614-4EC5-98D6-B5CE5FCC20B1}"/>
    <cellStyle name="표준_cf-s" xfId="10" xr:uid="{202962CB-3E33-4D26-A8E6-CE2AF376C319}"/>
    <cellStyle name="표준_투자" xfId="11" xr:uid="{DC7F5B13-CA23-408A-802A-7B385F13A874}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E6E6E6"/>
      <color rgb="FFBFBFBF"/>
      <color rgb="FF1F1F1F"/>
      <color rgb="FFD9D9D9"/>
      <color rgb="FF0070C0"/>
      <color rgb="FF595959"/>
      <color rgb="FFD6DCE4"/>
      <color rgb="FF808080"/>
      <color rgb="FF778BA5"/>
      <color rgb="FF9BD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2121353</xdr:colOff>
      <xdr:row>12</xdr:row>
      <xdr:rowOff>0</xdr:rowOff>
    </xdr:from>
    <xdr:ext cx="210827" cy="204671"/>
    <xdr:sp macro="" textlink="">
      <xdr:nvSpPr>
        <xdr:cNvPr id="2" name="텍스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3150053" y="412432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2</xdr:col>
      <xdr:colOff>2121353</xdr:colOff>
      <xdr:row>12</xdr:row>
      <xdr:rowOff>0</xdr:rowOff>
    </xdr:from>
    <xdr:ext cx="56939" cy="204671"/>
    <xdr:sp macro="" textlink="">
      <xdr:nvSpPr>
        <xdr:cNvPr id="3" name="텍스트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3150053" y="41243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172355" cy="204671"/>
    <xdr:sp macro="" textlink="">
      <xdr:nvSpPr>
        <xdr:cNvPr id="4" name="텍스트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56939" cy="204671"/>
    <xdr:sp macro="" textlink="">
      <xdr:nvSpPr>
        <xdr:cNvPr id="5" name="텍스트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249299" cy="204671"/>
    <xdr:sp macro="" textlink="">
      <xdr:nvSpPr>
        <xdr:cNvPr id="6" name="텍스트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56939" cy="204671"/>
    <xdr:sp macro="" textlink="">
      <xdr:nvSpPr>
        <xdr:cNvPr id="7" name="텍스트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249299" cy="204671"/>
    <xdr:sp macro="" textlink="">
      <xdr:nvSpPr>
        <xdr:cNvPr id="8" name="텍스트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56939" cy="204671"/>
    <xdr:sp macro="" textlink="">
      <xdr:nvSpPr>
        <xdr:cNvPr id="9" name="텍스트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287771" cy="204671"/>
    <xdr:sp macro="" textlink="">
      <xdr:nvSpPr>
        <xdr:cNvPr id="10" name="텍스트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11" name="텍스트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326243" cy="204671"/>
    <xdr:sp macro="" textlink="">
      <xdr:nvSpPr>
        <xdr:cNvPr id="12" name="텍스트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13" name="텍스트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249299" cy="204671"/>
    <xdr:sp macro="" textlink="">
      <xdr:nvSpPr>
        <xdr:cNvPr id="14" name="텍스트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15" name="텍스트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326243" cy="204671"/>
    <xdr:sp macro="" textlink="">
      <xdr:nvSpPr>
        <xdr:cNvPr id="16" name="텍스트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17" name="텍스트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249299" cy="204671"/>
    <xdr:sp macro="" textlink="">
      <xdr:nvSpPr>
        <xdr:cNvPr id="18" name="텍스트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56939" cy="204671"/>
    <xdr:sp macro="" textlink="">
      <xdr:nvSpPr>
        <xdr:cNvPr id="19" name="텍스트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56939" cy="204671"/>
    <xdr:sp macro="" textlink="">
      <xdr:nvSpPr>
        <xdr:cNvPr id="20" name="텍스트 20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56939" cy="204671"/>
    <xdr:sp macro="" textlink="">
      <xdr:nvSpPr>
        <xdr:cNvPr id="21" name="텍스트 22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18</xdr:row>
      <xdr:rowOff>0</xdr:rowOff>
    </xdr:from>
    <xdr:ext cx="210827" cy="204671"/>
    <xdr:sp macro="" textlink="">
      <xdr:nvSpPr>
        <xdr:cNvPr id="22" name="텍스트 23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3150053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287771" cy="204671"/>
    <xdr:sp macro="" textlink="">
      <xdr:nvSpPr>
        <xdr:cNvPr id="23" name="텍스트 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24" name="텍스트 10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326243" cy="204671"/>
    <xdr:sp macro="" textlink="">
      <xdr:nvSpPr>
        <xdr:cNvPr id="25" name="텍스트 11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26" name="텍스트 12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249299" cy="204671"/>
    <xdr:sp macro="" textlink="">
      <xdr:nvSpPr>
        <xdr:cNvPr id="27" name="텍스트 13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28" name="텍스트 14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326243" cy="204671"/>
    <xdr:sp macro="" textlink="">
      <xdr:nvSpPr>
        <xdr:cNvPr id="29" name="텍스트 15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30" name="텍스트 16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16</xdr:row>
      <xdr:rowOff>0</xdr:rowOff>
    </xdr:from>
    <xdr:ext cx="287771" cy="204671"/>
    <xdr:sp macro="" textlink="">
      <xdr:nvSpPr>
        <xdr:cNvPr id="31" name="텍스트 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3973286" y="5762625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3</xdr:col>
      <xdr:colOff>820511</xdr:colOff>
      <xdr:row>16</xdr:row>
      <xdr:rowOff>0</xdr:rowOff>
    </xdr:from>
    <xdr:ext cx="56939" cy="204671"/>
    <xdr:sp macro="" textlink="">
      <xdr:nvSpPr>
        <xdr:cNvPr id="32" name="텍스트 10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 txBox="1">
          <a:spLocks noChangeArrowheads="1"/>
        </xdr:cNvSpPr>
      </xdr:nvSpPr>
      <xdr:spPr bwMode="auto">
        <a:xfrm>
          <a:off x="3973286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16</xdr:row>
      <xdr:rowOff>0</xdr:rowOff>
    </xdr:from>
    <xdr:ext cx="326243" cy="204671"/>
    <xdr:sp macro="" textlink="">
      <xdr:nvSpPr>
        <xdr:cNvPr id="33" name="텍스트 11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 txBox="1">
          <a:spLocks noChangeArrowheads="1"/>
        </xdr:cNvSpPr>
      </xdr:nvSpPr>
      <xdr:spPr bwMode="auto">
        <a:xfrm>
          <a:off x="3973286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3</xdr:col>
      <xdr:colOff>820511</xdr:colOff>
      <xdr:row>16</xdr:row>
      <xdr:rowOff>0</xdr:rowOff>
    </xdr:from>
    <xdr:ext cx="56939" cy="204671"/>
    <xdr:sp macro="" textlink="">
      <xdr:nvSpPr>
        <xdr:cNvPr id="34" name="텍스트 12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>
          <a:spLocks noChangeArrowheads="1"/>
        </xdr:cNvSpPr>
      </xdr:nvSpPr>
      <xdr:spPr bwMode="auto">
        <a:xfrm>
          <a:off x="3973286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16</xdr:row>
      <xdr:rowOff>0</xdr:rowOff>
    </xdr:from>
    <xdr:ext cx="249299" cy="204671"/>
    <xdr:sp macro="" textlink="">
      <xdr:nvSpPr>
        <xdr:cNvPr id="35" name="텍스트 13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>
          <a:spLocks noChangeArrowheads="1"/>
        </xdr:cNvSpPr>
      </xdr:nvSpPr>
      <xdr:spPr bwMode="auto">
        <a:xfrm>
          <a:off x="3973286" y="5762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820511</xdr:colOff>
      <xdr:row>16</xdr:row>
      <xdr:rowOff>0</xdr:rowOff>
    </xdr:from>
    <xdr:ext cx="56939" cy="204671"/>
    <xdr:sp macro="" textlink="">
      <xdr:nvSpPr>
        <xdr:cNvPr id="36" name="텍스트 14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>
          <a:spLocks noChangeArrowheads="1"/>
        </xdr:cNvSpPr>
      </xdr:nvSpPr>
      <xdr:spPr bwMode="auto">
        <a:xfrm>
          <a:off x="3973286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16</xdr:row>
      <xdr:rowOff>0</xdr:rowOff>
    </xdr:from>
    <xdr:ext cx="326243" cy="204671"/>
    <xdr:sp macro="" textlink="">
      <xdr:nvSpPr>
        <xdr:cNvPr id="37" name="텍스트 15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 txBox="1">
          <a:spLocks noChangeArrowheads="1"/>
        </xdr:cNvSpPr>
      </xdr:nvSpPr>
      <xdr:spPr bwMode="auto">
        <a:xfrm>
          <a:off x="3973286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287771" cy="204671"/>
    <xdr:sp macro="" textlink="">
      <xdr:nvSpPr>
        <xdr:cNvPr id="38" name="텍스트 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56939" cy="204671"/>
    <xdr:sp macro="" textlink="">
      <xdr:nvSpPr>
        <xdr:cNvPr id="39" name="텍스트 10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326243" cy="204671"/>
    <xdr:sp macro="" textlink="">
      <xdr:nvSpPr>
        <xdr:cNvPr id="40" name="텍스트 11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56939" cy="204671"/>
    <xdr:sp macro="" textlink="">
      <xdr:nvSpPr>
        <xdr:cNvPr id="41" name="텍스트 12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249299" cy="204671"/>
    <xdr:sp macro="" textlink="">
      <xdr:nvSpPr>
        <xdr:cNvPr id="42" name="텍스트 13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56939" cy="204671"/>
    <xdr:sp macro="" textlink="">
      <xdr:nvSpPr>
        <xdr:cNvPr id="43" name="텍스트 14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326243" cy="204671"/>
    <xdr:sp macro="" textlink="">
      <xdr:nvSpPr>
        <xdr:cNvPr id="44" name="텍스트 15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56939" cy="204671"/>
    <xdr:sp macro="" textlink="">
      <xdr:nvSpPr>
        <xdr:cNvPr id="45" name="텍스트 16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287771" cy="204671"/>
    <xdr:sp macro="" textlink="">
      <xdr:nvSpPr>
        <xdr:cNvPr id="46" name="텍스트 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56939" cy="204671"/>
    <xdr:sp macro="" textlink="">
      <xdr:nvSpPr>
        <xdr:cNvPr id="47" name="텍스트 10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326243" cy="204671"/>
    <xdr:sp macro="" textlink="">
      <xdr:nvSpPr>
        <xdr:cNvPr id="48" name="텍스트 11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56939" cy="204671"/>
    <xdr:sp macro="" textlink="">
      <xdr:nvSpPr>
        <xdr:cNvPr id="49" name="텍스트 12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249299" cy="204671"/>
    <xdr:sp macro="" textlink="">
      <xdr:nvSpPr>
        <xdr:cNvPr id="50" name="텍스트 13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56939" cy="204671"/>
    <xdr:sp macro="" textlink="">
      <xdr:nvSpPr>
        <xdr:cNvPr id="51" name="텍스트 14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326243" cy="204671"/>
    <xdr:sp macro="" textlink="">
      <xdr:nvSpPr>
        <xdr:cNvPr id="52" name="텍스트 15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56939" cy="204671"/>
    <xdr:sp macro="" textlink="">
      <xdr:nvSpPr>
        <xdr:cNvPr id="53" name="텍스트 16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287771" cy="204671"/>
    <xdr:sp macro="" textlink="">
      <xdr:nvSpPr>
        <xdr:cNvPr id="54" name="텍스트 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56939" cy="204671"/>
    <xdr:sp macro="" textlink="">
      <xdr:nvSpPr>
        <xdr:cNvPr id="55" name="텍스트 10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326243" cy="204671"/>
    <xdr:sp macro="" textlink="">
      <xdr:nvSpPr>
        <xdr:cNvPr id="56" name="텍스트 11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56939" cy="204671"/>
    <xdr:sp macro="" textlink="">
      <xdr:nvSpPr>
        <xdr:cNvPr id="57" name="텍스트 12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249299" cy="204671"/>
    <xdr:sp macro="" textlink="">
      <xdr:nvSpPr>
        <xdr:cNvPr id="58" name="텍스트 13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56939" cy="204671"/>
    <xdr:sp macro="" textlink="">
      <xdr:nvSpPr>
        <xdr:cNvPr id="59" name="텍스트 14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326243" cy="204671"/>
    <xdr:sp macro="" textlink="">
      <xdr:nvSpPr>
        <xdr:cNvPr id="60" name="텍스트 15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56939" cy="204671"/>
    <xdr:sp macro="" textlink="">
      <xdr:nvSpPr>
        <xdr:cNvPr id="61" name="텍스트 16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172355" cy="204671"/>
    <xdr:sp macro="" textlink="">
      <xdr:nvSpPr>
        <xdr:cNvPr id="62" name="텍스트 3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56939" cy="204671"/>
    <xdr:sp macro="" textlink="">
      <xdr:nvSpPr>
        <xdr:cNvPr id="63" name="텍스트 4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249299" cy="204671"/>
    <xdr:sp macro="" textlink="">
      <xdr:nvSpPr>
        <xdr:cNvPr id="64" name="텍스트 5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56939" cy="204671"/>
    <xdr:sp macro="" textlink="">
      <xdr:nvSpPr>
        <xdr:cNvPr id="65" name="텍스트 6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249299" cy="204671"/>
    <xdr:sp macro="" textlink="">
      <xdr:nvSpPr>
        <xdr:cNvPr id="66" name="텍스트 7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56939" cy="204671"/>
    <xdr:sp macro="" textlink="">
      <xdr:nvSpPr>
        <xdr:cNvPr id="67" name="텍스트 8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249299" cy="204671"/>
    <xdr:sp macro="" textlink="">
      <xdr:nvSpPr>
        <xdr:cNvPr id="68" name="텍스트 17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56939" cy="204671"/>
    <xdr:sp macro="" textlink="">
      <xdr:nvSpPr>
        <xdr:cNvPr id="69" name="텍스트 18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441659" cy="204671"/>
    <xdr:sp macro="" textlink="">
      <xdr:nvSpPr>
        <xdr:cNvPr id="70" name="텍스트 1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56939" cy="204671"/>
    <xdr:sp macro="" textlink="">
      <xdr:nvSpPr>
        <xdr:cNvPr id="71" name="텍스트 20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326243" cy="204671"/>
    <xdr:sp macro="" textlink="">
      <xdr:nvSpPr>
        <xdr:cNvPr id="72" name="텍스트 21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56939" cy="204671"/>
    <xdr:sp macro="" textlink="">
      <xdr:nvSpPr>
        <xdr:cNvPr id="73" name="텍스트 22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172355" cy="204671"/>
    <xdr:sp macro="" textlink="">
      <xdr:nvSpPr>
        <xdr:cNvPr id="74" name="텍스트 3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75" name="텍스트 4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249299" cy="204671"/>
    <xdr:sp macro="" textlink="">
      <xdr:nvSpPr>
        <xdr:cNvPr id="76" name="텍스트 5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77" name="텍스트 6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249299" cy="204671"/>
    <xdr:sp macro="" textlink="">
      <xdr:nvSpPr>
        <xdr:cNvPr id="78" name="텍스트 7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79" name="텍스트 8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249299" cy="204671"/>
    <xdr:sp macro="" textlink="">
      <xdr:nvSpPr>
        <xdr:cNvPr id="80" name="텍스트 17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81" name="텍스트 18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441659" cy="204671"/>
    <xdr:sp macro="" textlink="">
      <xdr:nvSpPr>
        <xdr:cNvPr id="82" name="텍스트 1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83" name="텍스트 20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326243" cy="204671"/>
    <xdr:sp macro="" textlink="">
      <xdr:nvSpPr>
        <xdr:cNvPr id="84" name="텍스트 21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85" name="텍스트 22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172355" cy="204671"/>
    <xdr:sp macro="" textlink="">
      <xdr:nvSpPr>
        <xdr:cNvPr id="86" name="텍스트 3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87" name="텍스트 4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249299" cy="204671"/>
    <xdr:sp macro="" textlink="">
      <xdr:nvSpPr>
        <xdr:cNvPr id="88" name="텍스트 5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89" name="텍스트 6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249299" cy="204671"/>
    <xdr:sp macro="" textlink="">
      <xdr:nvSpPr>
        <xdr:cNvPr id="90" name="텍스트 7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91" name="텍스트 8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249299" cy="204671"/>
    <xdr:sp macro="" textlink="">
      <xdr:nvSpPr>
        <xdr:cNvPr id="92" name="텍스트 17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93" name="텍스트 18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441659" cy="204671"/>
    <xdr:sp macro="" textlink="">
      <xdr:nvSpPr>
        <xdr:cNvPr id="94" name="텍스트 1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95" name="텍스트 20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326243" cy="204671"/>
    <xdr:sp macro="" textlink="">
      <xdr:nvSpPr>
        <xdr:cNvPr id="96" name="텍스트 21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172355" cy="204671"/>
    <xdr:sp macro="" textlink="">
      <xdr:nvSpPr>
        <xdr:cNvPr id="97" name="텍스트 3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56939" cy="204671"/>
    <xdr:sp macro="" textlink="">
      <xdr:nvSpPr>
        <xdr:cNvPr id="98" name="텍스트 4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249299" cy="204671"/>
    <xdr:sp macro="" textlink="">
      <xdr:nvSpPr>
        <xdr:cNvPr id="99" name="텍스트 5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56939" cy="204671"/>
    <xdr:sp macro="" textlink="">
      <xdr:nvSpPr>
        <xdr:cNvPr id="100" name="텍스트 6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249299" cy="204671"/>
    <xdr:sp macro="" textlink="">
      <xdr:nvSpPr>
        <xdr:cNvPr id="101" name="텍스트 7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56939" cy="204671"/>
    <xdr:sp macro="" textlink="">
      <xdr:nvSpPr>
        <xdr:cNvPr id="102" name="텍스트 8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249299" cy="204671"/>
    <xdr:sp macro="" textlink="">
      <xdr:nvSpPr>
        <xdr:cNvPr id="103" name="텍스트 17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56939" cy="204671"/>
    <xdr:sp macro="" textlink="">
      <xdr:nvSpPr>
        <xdr:cNvPr id="104" name="텍스트 18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441659" cy="204671"/>
    <xdr:sp macro="" textlink="">
      <xdr:nvSpPr>
        <xdr:cNvPr id="105" name="텍스트 1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56939" cy="204671"/>
    <xdr:sp macro="" textlink="">
      <xdr:nvSpPr>
        <xdr:cNvPr id="106" name="텍스트 20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326243" cy="204671"/>
    <xdr:sp macro="" textlink="">
      <xdr:nvSpPr>
        <xdr:cNvPr id="107" name="텍스트 21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56939" cy="204671"/>
    <xdr:sp macro="" textlink="">
      <xdr:nvSpPr>
        <xdr:cNvPr id="108" name="텍스트 22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172355" cy="204671"/>
    <xdr:sp macro="" textlink="">
      <xdr:nvSpPr>
        <xdr:cNvPr id="109" name="텍스트 3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110" name="텍스트 4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249299" cy="204671"/>
    <xdr:sp macro="" textlink="">
      <xdr:nvSpPr>
        <xdr:cNvPr id="111" name="텍스트 5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112" name="텍스트 6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249299" cy="204671"/>
    <xdr:sp macro="" textlink="">
      <xdr:nvSpPr>
        <xdr:cNvPr id="113" name="텍스트 7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114" name="텍스트 8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249299" cy="204671"/>
    <xdr:sp macro="" textlink="">
      <xdr:nvSpPr>
        <xdr:cNvPr id="115" name="텍스트 17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116" name="텍스트 18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441659" cy="204671"/>
    <xdr:sp macro="" textlink="">
      <xdr:nvSpPr>
        <xdr:cNvPr id="117" name="텍스트 19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118" name="텍스트 20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326243" cy="204671"/>
    <xdr:sp macro="" textlink="">
      <xdr:nvSpPr>
        <xdr:cNvPr id="119" name="텍스트 21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120" name="텍스트 22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172355" cy="204671"/>
    <xdr:sp macro="" textlink="">
      <xdr:nvSpPr>
        <xdr:cNvPr id="121" name="텍스트 3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56939" cy="204671"/>
    <xdr:sp macro="" textlink="">
      <xdr:nvSpPr>
        <xdr:cNvPr id="122" name="텍스트 4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249299" cy="204671"/>
    <xdr:sp macro="" textlink="">
      <xdr:nvSpPr>
        <xdr:cNvPr id="123" name="텍스트 5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56939" cy="204671"/>
    <xdr:sp macro="" textlink="">
      <xdr:nvSpPr>
        <xdr:cNvPr id="124" name="텍스트 6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249299" cy="204671"/>
    <xdr:sp macro="" textlink="">
      <xdr:nvSpPr>
        <xdr:cNvPr id="125" name="텍스트 7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56939" cy="204671"/>
    <xdr:sp macro="" textlink="">
      <xdr:nvSpPr>
        <xdr:cNvPr id="126" name="텍스트 8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249299" cy="204671"/>
    <xdr:sp macro="" textlink="">
      <xdr:nvSpPr>
        <xdr:cNvPr id="127" name="텍스트 17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56939" cy="204671"/>
    <xdr:sp macro="" textlink="">
      <xdr:nvSpPr>
        <xdr:cNvPr id="128" name="텍스트 18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56939" cy="204671"/>
    <xdr:sp macro="" textlink="">
      <xdr:nvSpPr>
        <xdr:cNvPr id="129" name="텍스트 20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15</xdr:row>
      <xdr:rowOff>0</xdr:rowOff>
    </xdr:from>
    <xdr:ext cx="56939" cy="204671"/>
    <xdr:sp macro="" textlink="">
      <xdr:nvSpPr>
        <xdr:cNvPr id="130" name="텍스트 22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SpPr txBox="1">
          <a:spLocks noChangeArrowheads="1"/>
        </xdr:cNvSpPr>
      </xdr:nvSpPr>
      <xdr:spPr bwMode="auto">
        <a:xfrm>
          <a:off x="3150053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172355" cy="204671"/>
    <xdr:sp macro="" textlink="">
      <xdr:nvSpPr>
        <xdr:cNvPr id="131" name="텍스트 3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56939" cy="204671"/>
    <xdr:sp macro="" textlink="">
      <xdr:nvSpPr>
        <xdr:cNvPr id="132" name="텍스트 4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249299" cy="204671"/>
    <xdr:sp macro="" textlink="">
      <xdr:nvSpPr>
        <xdr:cNvPr id="133" name="텍스트 5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56939" cy="204671"/>
    <xdr:sp macro="" textlink="">
      <xdr:nvSpPr>
        <xdr:cNvPr id="134" name="텍스트 6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249299" cy="204671"/>
    <xdr:sp macro="" textlink="">
      <xdr:nvSpPr>
        <xdr:cNvPr id="135" name="텍스트 7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56939" cy="204671"/>
    <xdr:sp macro="" textlink="">
      <xdr:nvSpPr>
        <xdr:cNvPr id="136" name="텍스트 8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249299" cy="204671"/>
    <xdr:sp macro="" textlink="">
      <xdr:nvSpPr>
        <xdr:cNvPr id="137" name="텍스트 17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56939" cy="204671"/>
    <xdr:sp macro="" textlink="">
      <xdr:nvSpPr>
        <xdr:cNvPr id="138" name="텍스트 18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441659" cy="204671"/>
    <xdr:sp macro="" textlink="">
      <xdr:nvSpPr>
        <xdr:cNvPr id="139" name="텍스트 1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56939" cy="204671"/>
    <xdr:sp macro="" textlink="">
      <xdr:nvSpPr>
        <xdr:cNvPr id="140" name="텍스트 20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15</xdr:row>
      <xdr:rowOff>0</xdr:rowOff>
    </xdr:from>
    <xdr:ext cx="326243" cy="204671"/>
    <xdr:sp macro="" textlink="">
      <xdr:nvSpPr>
        <xdr:cNvPr id="141" name="텍스트 21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SpPr txBox="1">
          <a:spLocks noChangeArrowheads="1"/>
        </xdr:cNvSpPr>
      </xdr:nvSpPr>
      <xdr:spPr bwMode="auto">
        <a:xfrm>
          <a:off x="3973286" y="53530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172355" cy="204671"/>
    <xdr:sp macro="" textlink="">
      <xdr:nvSpPr>
        <xdr:cNvPr id="142" name="텍스트 3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143" name="텍스트 4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249299" cy="204671"/>
    <xdr:sp macro="" textlink="">
      <xdr:nvSpPr>
        <xdr:cNvPr id="144" name="텍스트 5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145" name="텍스트 6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249299" cy="204671"/>
    <xdr:sp macro="" textlink="">
      <xdr:nvSpPr>
        <xdr:cNvPr id="146" name="텍스트 7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147" name="텍스트 8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249299" cy="204671"/>
    <xdr:sp macro="" textlink="">
      <xdr:nvSpPr>
        <xdr:cNvPr id="148" name="텍스트 17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149" name="텍스트 18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441659" cy="204671"/>
    <xdr:sp macro="" textlink="">
      <xdr:nvSpPr>
        <xdr:cNvPr id="150" name="텍스트 1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151" name="텍스트 20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326243" cy="204671"/>
    <xdr:sp macro="" textlink="">
      <xdr:nvSpPr>
        <xdr:cNvPr id="152" name="텍스트 21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SpPr txBox="1">
          <a:spLocks noChangeArrowheads="1"/>
        </xdr:cNvSpPr>
      </xdr:nvSpPr>
      <xdr:spPr bwMode="auto">
        <a:xfrm>
          <a:off x="5030561" y="53530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172355" cy="204671"/>
    <xdr:sp macro="" textlink="">
      <xdr:nvSpPr>
        <xdr:cNvPr id="153" name="텍스트 3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154" name="텍스트 4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249299" cy="204671"/>
    <xdr:sp macro="" textlink="">
      <xdr:nvSpPr>
        <xdr:cNvPr id="155" name="텍스트 5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156" name="텍스트 6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249299" cy="204671"/>
    <xdr:sp macro="" textlink="">
      <xdr:nvSpPr>
        <xdr:cNvPr id="157" name="텍스트 7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158" name="텍스트 8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249299" cy="204671"/>
    <xdr:sp macro="" textlink="">
      <xdr:nvSpPr>
        <xdr:cNvPr id="159" name="텍스트 17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160" name="텍스트 18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441659" cy="204671"/>
    <xdr:sp macro="" textlink="">
      <xdr:nvSpPr>
        <xdr:cNvPr id="161" name="텍스트 1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162" name="텍스트 20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326243" cy="204671"/>
    <xdr:sp macro="" textlink="">
      <xdr:nvSpPr>
        <xdr:cNvPr id="163" name="텍스트 21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SpPr txBox="1">
          <a:spLocks noChangeArrowheads="1"/>
        </xdr:cNvSpPr>
      </xdr:nvSpPr>
      <xdr:spPr bwMode="auto">
        <a:xfrm>
          <a:off x="6087836" y="53530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172355" cy="204671"/>
    <xdr:sp macro="" textlink="">
      <xdr:nvSpPr>
        <xdr:cNvPr id="164" name="텍스트 3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56939" cy="204671"/>
    <xdr:sp macro="" textlink="">
      <xdr:nvSpPr>
        <xdr:cNvPr id="165" name="텍스트 4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249299" cy="204671"/>
    <xdr:sp macro="" textlink="">
      <xdr:nvSpPr>
        <xdr:cNvPr id="166" name="텍스트 5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56939" cy="204671"/>
    <xdr:sp macro="" textlink="">
      <xdr:nvSpPr>
        <xdr:cNvPr id="167" name="텍스트 6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249299" cy="204671"/>
    <xdr:sp macro="" textlink="">
      <xdr:nvSpPr>
        <xdr:cNvPr id="168" name="텍스트 7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56939" cy="204671"/>
    <xdr:sp macro="" textlink="">
      <xdr:nvSpPr>
        <xdr:cNvPr id="169" name="텍스트 8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249299" cy="204671"/>
    <xdr:sp macro="" textlink="">
      <xdr:nvSpPr>
        <xdr:cNvPr id="170" name="텍스트 17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56939" cy="204671"/>
    <xdr:sp macro="" textlink="">
      <xdr:nvSpPr>
        <xdr:cNvPr id="171" name="텍스트 18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441659" cy="204671"/>
    <xdr:sp macro="" textlink="">
      <xdr:nvSpPr>
        <xdr:cNvPr id="172" name="텍스트 1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56939" cy="204671"/>
    <xdr:sp macro="" textlink="">
      <xdr:nvSpPr>
        <xdr:cNvPr id="173" name="텍스트 20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326243" cy="204671"/>
    <xdr:sp macro="" textlink="">
      <xdr:nvSpPr>
        <xdr:cNvPr id="174" name="텍스트 21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820510</xdr:colOff>
      <xdr:row>15</xdr:row>
      <xdr:rowOff>0</xdr:rowOff>
    </xdr:from>
    <xdr:ext cx="56939" cy="204671"/>
    <xdr:sp macro="" textlink="">
      <xdr:nvSpPr>
        <xdr:cNvPr id="175" name="텍스트 22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SpPr txBox="1">
          <a:spLocks noChangeArrowheads="1"/>
        </xdr:cNvSpPr>
      </xdr:nvSpPr>
      <xdr:spPr bwMode="auto">
        <a:xfrm>
          <a:off x="7145110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172355" cy="204671"/>
    <xdr:sp macro="" textlink="">
      <xdr:nvSpPr>
        <xdr:cNvPr id="176" name="텍스트 3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177" name="텍스트 4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249299" cy="204671"/>
    <xdr:sp macro="" textlink="">
      <xdr:nvSpPr>
        <xdr:cNvPr id="178" name="텍스트 5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179" name="텍스트 6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249299" cy="204671"/>
    <xdr:sp macro="" textlink="">
      <xdr:nvSpPr>
        <xdr:cNvPr id="180" name="텍스트 7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181" name="텍스트 8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249299" cy="204671"/>
    <xdr:sp macro="" textlink="">
      <xdr:nvSpPr>
        <xdr:cNvPr id="182" name="텍스트 17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183" name="텍스트 18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441659" cy="204671"/>
    <xdr:sp macro="" textlink="">
      <xdr:nvSpPr>
        <xdr:cNvPr id="184" name="텍스트 1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185" name="텍스트 20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326243" cy="204671"/>
    <xdr:sp macro="" textlink="">
      <xdr:nvSpPr>
        <xdr:cNvPr id="186" name="텍스트 21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187" name="텍스트 22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SpPr txBox="1">
          <a:spLocks noChangeArrowheads="1"/>
        </xdr:cNvSpPr>
      </xdr:nvSpPr>
      <xdr:spPr bwMode="auto">
        <a:xfrm>
          <a:off x="8202386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287771" cy="204671"/>
    <xdr:sp macro="" textlink="">
      <xdr:nvSpPr>
        <xdr:cNvPr id="188" name="텍스트 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189" name="텍스트 10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326243" cy="204671"/>
    <xdr:sp macro="" textlink="">
      <xdr:nvSpPr>
        <xdr:cNvPr id="190" name="텍스트 11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191" name="텍스트 12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249299" cy="204671"/>
    <xdr:sp macro="" textlink="">
      <xdr:nvSpPr>
        <xdr:cNvPr id="192" name="텍스트 13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193" name="텍스트 14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326243" cy="204671"/>
    <xdr:sp macro="" textlink="">
      <xdr:nvSpPr>
        <xdr:cNvPr id="194" name="텍스트 15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195" name="텍스트 16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287771" cy="204671"/>
    <xdr:sp macro="" textlink="">
      <xdr:nvSpPr>
        <xdr:cNvPr id="196" name="텍스트 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197" name="텍스트 10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326243" cy="204671"/>
    <xdr:sp macro="" textlink="">
      <xdr:nvSpPr>
        <xdr:cNvPr id="198" name="텍스트 11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199" name="텍스트 12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249299" cy="204671"/>
    <xdr:sp macro="" textlink="">
      <xdr:nvSpPr>
        <xdr:cNvPr id="200" name="텍스트 13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201" name="텍스트 14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326243" cy="204671"/>
    <xdr:sp macro="" textlink="">
      <xdr:nvSpPr>
        <xdr:cNvPr id="202" name="텍스트 15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2</xdr:col>
      <xdr:colOff>2121353</xdr:colOff>
      <xdr:row>16</xdr:row>
      <xdr:rowOff>0</xdr:rowOff>
    </xdr:from>
    <xdr:ext cx="56939" cy="204671"/>
    <xdr:sp macro="" textlink="">
      <xdr:nvSpPr>
        <xdr:cNvPr id="203" name="텍스트 16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SpPr txBox="1">
          <a:spLocks noChangeArrowheads="1"/>
        </xdr:cNvSpPr>
      </xdr:nvSpPr>
      <xdr:spPr bwMode="auto">
        <a:xfrm>
          <a:off x="3150053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16</xdr:row>
      <xdr:rowOff>0</xdr:rowOff>
    </xdr:from>
    <xdr:ext cx="287771" cy="204671"/>
    <xdr:sp macro="" textlink="">
      <xdr:nvSpPr>
        <xdr:cNvPr id="204" name="텍스트 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SpPr txBox="1">
          <a:spLocks noChangeArrowheads="1"/>
        </xdr:cNvSpPr>
      </xdr:nvSpPr>
      <xdr:spPr bwMode="auto">
        <a:xfrm>
          <a:off x="3973286" y="5762625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3</xdr:col>
      <xdr:colOff>820511</xdr:colOff>
      <xdr:row>16</xdr:row>
      <xdr:rowOff>0</xdr:rowOff>
    </xdr:from>
    <xdr:ext cx="56939" cy="204671"/>
    <xdr:sp macro="" textlink="">
      <xdr:nvSpPr>
        <xdr:cNvPr id="205" name="텍스트 10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SpPr txBox="1">
          <a:spLocks noChangeArrowheads="1"/>
        </xdr:cNvSpPr>
      </xdr:nvSpPr>
      <xdr:spPr bwMode="auto">
        <a:xfrm>
          <a:off x="3973286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16</xdr:row>
      <xdr:rowOff>0</xdr:rowOff>
    </xdr:from>
    <xdr:ext cx="326243" cy="204671"/>
    <xdr:sp macro="" textlink="">
      <xdr:nvSpPr>
        <xdr:cNvPr id="206" name="텍스트 11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SpPr txBox="1">
          <a:spLocks noChangeArrowheads="1"/>
        </xdr:cNvSpPr>
      </xdr:nvSpPr>
      <xdr:spPr bwMode="auto">
        <a:xfrm>
          <a:off x="3973286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3</xdr:col>
      <xdr:colOff>820511</xdr:colOff>
      <xdr:row>16</xdr:row>
      <xdr:rowOff>0</xdr:rowOff>
    </xdr:from>
    <xdr:ext cx="56939" cy="204671"/>
    <xdr:sp macro="" textlink="">
      <xdr:nvSpPr>
        <xdr:cNvPr id="207" name="텍스트 12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SpPr txBox="1">
          <a:spLocks noChangeArrowheads="1"/>
        </xdr:cNvSpPr>
      </xdr:nvSpPr>
      <xdr:spPr bwMode="auto">
        <a:xfrm>
          <a:off x="3973286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16</xdr:row>
      <xdr:rowOff>0</xdr:rowOff>
    </xdr:from>
    <xdr:ext cx="249299" cy="204671"/>
    <xdr:sp macro="" textlink="">
      <xdr:nvSpPr>
        <xdr:cNvPr id="208" name="텍스트 13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SpPr txBox="1">
          <a:spLocks noChangeArrowheads="1"/>
        </xdr:cNvSpPr>
      </xdr:nvSpPr>
      <xdr:spPr bwMode="auto">
        <a:xfrm>
          <a:off x="3973286" y="5762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820511</xdr:colOff>
      <xdr:row>16</xdr:row>
      <xdr:rowOff>0</xdr:rowOff>
    </xdr:from>
    <xdr:ext cx="56939" cy="204671"/>
    <xdr:sp macro="" textlink="">
      <xdr:nvSpPr>
        <xdr:cNvPr id="209" name="텍스트 14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SpPr txBox="1">
          <a:spLocks noChangeArrowheads="1"/>
        </xdr:cNvSpPr>
      </xdr:nvSpPr>
      <xdr:spPr bwMode="auto">
        <a:xfrm>
          <a:off x="3973286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820511</xdr:colOff>
      <xdr:row>16</xdr:row>
      <xdr:rowOff>0</xdr:rowOff>
    </xdr:from>
    <xdr:ext cx="326243" cy="204671"/>
    <xdr:sp macro="" textlink="">
      <xdr:nvSpPr>
        <xdr:cNvPr id="210" name="텍스트 15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SpPr txBox="1">
          <a:spLocks noChangeArrowheads="1"/>
        </xdr:cNvSpPr>
      </xdr:nvSpPr>
      <xdr:spPr bwMode="auto">
        <a:xfrm>
          <a:off x="3973286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287771" cy="204671"/>
    <xdr:sp macro="" textlink="">
      <xdr:nvSpPr>
        <xdr:cNvPr id="211" name="텍스트 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56939" cy="204671"/>
    <xdr:sp macro="" textlink="">
      <xdr:nvSpPr>
        <xdr:cNvPr id="212" name="텍스트 10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326243" cy="204671"/>
    <xdr:sp macro="" textlink="">
      <xdr:nvSpPr>
        <xdr:cNvPr id="213" name="텍스트 11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56939" cy="204671"/>
    <xdr:sp macro="" textlink="">
      <xdr:nvSpPr>
        <xdr:cNvPr id="214" name="텍스트 12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249299" cy="204671"/>
    <xdr:sp macro="" textlink="">
      <xdr:nvSpPr>
        <xdr:cNvPr id="215" name="텍스트 13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56939" cy="204671"/>
    <xdr:sp macro="" textlink="">
      <xdr:nvSpPr>
        <xdr:cNvPr id="216" name="텍스트 14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326243" cy="204671"/>
    <xdr:sp macro="" textlink="">
      <xdr:nvSpPr>
        <xdr:cNvPr id="217" name="텍스트 15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56939" cy="204671"/>
    <xdr:sp macro="" textlink="">
      <xdr:nvSpPr>
        <xdr:cNvPr id="218" name="텍스트 16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SpPr txBox="1">
          <a:spLocks noChangeArrowheads="1"/>
        </xdr:cNvSpPr>
      </xdr:nvSpPr>
      <xdr:spPr bwMode="auto">
        <a:xfrm>
          <a:off x="5030561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287771" cy="204671"/>
    <xdr:sp macro="" textlink="">
      <xdr:nvSpPr>
        <xdr:cNvPr id="219" name="텍스트 9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56939" cy="204671"/>
    <xdr:sp macro="" textlink="">
      <xdr:nvSpPr>
        <xdr:cNvPr id="220" name="텍스트 10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326243" cy="204671"/>
    <xdr:sp macro="" textlink="">
      <xdr:nvSpPr>
        <xdr:cNvPr id="221" name="텍스트 11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56939" cy="204671"/>
    <xdr:sp macro="" textlink="">
      <xdr:nvSpPr>
        <xdr:cNvPr id="222" name="텍스트 12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249299" cy="204671"/>
    <xdr:sp macro="" textlink="">
      <xdr:nvSpPr>
        <xdr:cNvPr id="223" name="텍스트 13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56939" cy="204671"/>
    <xdr:sp macro="" textlink="">
      <xdr:nvSpPr>
        <xdr:cNvPr id="224" name="텍스트 14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326243" cy="204671"/>
    <xdr:sp macro="" textlink="">
      <xdr:nvSpPr>
        <xdr:cNvPr id="225" name="텍스트 15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56939" cy="204671"/>
    <xdr:sp macro="" textlink="">
      <xdr:nvSpPr>
        <xdr:cNvPr id="226" name="텍스트 16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 txBox="1">
          <a:spLocks noChangeArrowheads="1"/>
        </xdr:cNvSpPr>
      </xdr:nvSpPr>
      <xdr:spPr bwMode="auto">
        <a:xfrm>
          <a:off x="6087836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287771" cy="204671"/>
    <xdr:sp macro="" textlink="">
      <xdr:nvSpPr>
        <xdr:cNvPr id="227" name="텍스트 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56939" cy="204671"/>
    <xdr:sp macro="" textlink="">
      <xdr:nvSpPr>
        <xdr:cNvPr id="228" name="텍스트 10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326243" cy="204671"/>
    <xdr:sp macro="" textlink="">
      <xdr:nvSpPr>
        <xdr:cNvPr id="229" name="텍스트 11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56939" cy="204671"/>
    <xdr:sp macro="" textlink="">
      <xdr:nvSpPr>
        <xdr:cNvPr id="230" name="텍스트 12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249299" cy="204671"/>
    <xdr:sp macro="" textlink="">
      <xdr:nvSpPr>
        <xdr:cNvPr id="231" name="텍스트 13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56939" cy="204671"/>
    <xdr:sp macro="" textlink="">
      <xdr:nvSpPr>
        <xdr:cNvPr id="232" name="텍스트 14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326243" cy="204671"/>
    <xdr:sp macro="" textlink="">
      <xdr:nvSpPr>
        <xdr:cNvPr id="233" name="텍스트 15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820510</xdr:colOff>
      <xdr:row>16</xdr:row>
      <xdr:rowOff>0</xdr:rowOff>
    </xdr:from>
    <xdr:ext cx="56939" cy="204671"/>
    <xdr:sp macro="" textlink="">
      <xdr:nvSpPr>
        <xdr:cNvPr id="234" name="텍스트 16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SpPr txBox="1">
          <a:spLocks noChangeArrowheads="1"/>
        </xdr:cNvSpPr>
      </xdr:nvSpPr>
      <xdr:spPr bwMode="auto">
        <a:xfrm>
          <a:off x="7145110" y="5762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820510</xdr:colOff>
      <xdr:row>16</xdr:row>
      <xdr:rowOff>0</xdr:rowOff>
    </xdr:from>
    <xdr:ext cx="287771" cy="204671"/>
    <xdr:sp macro="" textlink="">
      <xdr:nvSpPr>
        <xdr:cNvPr id="235" name="텍스트 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SpPr txBox="1">
          <a:spLocks noChangeArrowheads="1"/>
        </xdr:cNvSpPr>
      </xdr:nvSpPr>
      <xdr:spPr bwMode="auto">
        <a:xfrm>
          <a:off x="8202385" y="5762625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7</xdr:col>
      <xdr:colOff>820510</xdr:colOff>
      <xdr:row>16</xdr:row>
      <xdr:rowOff>0</xdr:rowOff>
    </xdr:from>
    <xdr:ext cx="326243" cy="204671"/>
    <xdr:sp macro="" textlink="">
      <xdr:nvSpPr>
        <xdr:cNvPr id="236" name="텍스트 11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SpPr txBox="1">
          <a:spLocks noChangeArrowheads="1"/>
        </xdr:cNvSpPr>
      </xdr:nvSpPr>
      <xdr:spPr bwMode="auto">
        <a:xfrm>
          <a:off x="8202385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820510</xdr:colOff>
      <xdr:row>16</xdr:row>
      <xdr:rowOff>0</xdr:rowOff>
    </xdr:from>
    <xdr:ext cx="249299" cy="204671"/>
    <xdr:sp macro="" textlink="">
      <xdr:nvSpPr>
        <xdr:cNvPr id="237" name="텍스트 13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SpPr txBox="1">
          <a:spLocks noChangeArrowheads="1"/>
        </xdr:cNvSpPr>
      </xdr:nvSpPr>
      <xdr:spPr bwMode="auto">
        <a:xfrm>
          <a:off x="8202385" y="5762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820510</xdr:colOff>
      <xdr:row>16</xdr:row>
      <xdr:rowOff>0</xdr:rowOff>
    </xdr:from>
    <xdr:ext cx="326243" cy="204671"/>
    <xdr:sp macro="" textlink="">
      <xdr:nvSpPr>
        <xdr:cNvPr id="238" name="텍스트 15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SpPr txBox="1">
          <a:spLocks noChangeArrowheads="1"/>
        </xdr:cNvSpPr>
      </xdr:nvSpPr>
      <xdr:spPr bwMode="auto">
        <a:xfrm>
          <a:off x="8202385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820510</xdr:colOff>
      <xdr:row>15</xdr:row>
      <xdr:rowOff>0</xdr:rowOff>
    </xdr:from>
    <xdr:ext cx="249299" cy="204671"/>
    <xdr:sp macro="" textlink="">
      <xdr:nvSpPr>
        <xdr:cNvPr id="239" name="텍스트 5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SpPr txBox="1">
          <a:spLocks noChangeArrowheads="1"/>
        </xdr:cNvSpPr>
      </xdr:nvSpPr>
      <xdr:spPr bwMode="auto">
        <a:xfrm>
          <a:off x="8202385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820510</xdr:colOff>
      <xdr:row>15</xdr:row>
      <xdr:rowOff>0</xdr:rowOff>
    </xdr:from>
    <xdr:ext cx="249299" cy="204671"/>
    <xdr:sp macro="" textlink="">
      <xdr:nvSpPr>
        <xdr:cNvPr id="240" name="텍스트 7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SpPr txBox="1">
          <a:spLocks noChangeArrowheads="1"/>
        </xdr:cNvSpPr>
      </xdr:nvSpPr>
      <xdr:spPr bwMode="auto">
        <a:xfrm>
          <a:off x="8202385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820510</xdr:colOff>
      <xdr:row>15</xdr:row>
      <xdr:rowOff>0</xdr:rowOff>
    </xdr:from>
    <xdr:ext cx="249299" cy="204671"/>
    <xdr:sp macro="" textlink="">
      <xdr:nvSpPr>
        <xdr:cNvPr id="241" name="텍스트 17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SpPr txBox="1">
          <a:spLocks noChangeArrowheads="1"/>
        </xdr:cNvSpPr>
      </xdr:nvSpPr>
      <xdr:spPr bwMode="auto">
        <a:xfrm>
          <a:off x="8202385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820510</xdr:colOff>
      <xdr:row>15</xdr:row>
      <xdr:rowOff>0</xdr:rowOff>
    </xdr:from>
    <xdr:ext cx="441659" cy="204671"/>
    <xdr:sp macro="" textlink="">
      <xdr:nvSpPr>
        <xdr:cNvPr id="242" name="텍스트 1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SpPr txBox="1">
          <a:spLocks noChangeArrowheads="1"/>
        </xdr:cNvSpPr>
      </xdr:nvSpPr>
      <xdr:spPr bwMode="auto">
        <a:xfrm>
          <a:off x="8202385" y="53530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7</xdr:col>
      <xdr:colOff>820510</xdr:colOff>
      <xdr:row>15</xdr:row>
      <xdr:rowOff>0</xdr:rowOff>
    </xdr:from>
    <xdr:ext cx="326243" cy="204671"/>
    <xdr:sp macro="" textlink="">
      <xdr:nvSpPr>
        <xdr:cNvPr id="243" name="텍스트 21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SpPr txBox="1">
          <a:spLocks noChangeArrowheads="1"/>
        </xdr:cNvSpPr>
      </xdr:nvSpPr>
      <xdr:spPr bwMode="auto">
        <a:xfrm>
          <a:off x="8202385" y="53530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172355" cy="204671"/>
    <xdr:sp macro="" textlink="">
      <xdr:nvSpPr>
        <xdr:cNvPr id="244" name="텍스트 3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245" name="텍스트 4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246" name="텍스트 5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247" name="텍스트 6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248" name="텍스트 7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249" name="텍스트 8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250" name="텍스트 17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251" name="텍스트 18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441659" cy="204671"/>
    <xdr:sp macro="" textlink="">
      <xdr:nvSpPr>
        <xdr:cNvPr id="252" name="텍스트 1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253" name="텍스트 20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326243" cy="204671"/>
    <xdr:sp macro="" textlink="">
      <xdr:nvSpPr>
        <xdr:cNvPr id="254" name="텍스트 21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255" name="텍스트 22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820510</xdr:colOff>
      <xdr:row>15</xdr:row>
      <xdr:rowOff>0</xdr:rowOff>
    </xdr:from>
    <xdr:ext cx="249299" cy="204671"/>
    <xdr:sp macro="" textlink="">
      <xdr:nvSpPr>
        <xdr:cNvPr id="256" name="텍스트 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SpPr txBox="1">
          <a:spLocks noChangeArrowheads="1"/>
        </xdr:cNvSpPr>
      </xdr:nvSpPr>
      <xdr:spPr bwMode="auto">
        <a:xfrm>
          <a:off x="8202385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820510</xdr:colOff>
      <xdr:row>15</xdr:row>
      <xdr:rowOff>0</xdr:rowOff>
    </xdr:from>
    <xdr:ext cx="249299" cy="204671"/>
    <xdr:sp macro="" textlink="">
      <xdr:nvSpPr>
        <xdr:cNvPr id="257" name="텍스트 7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SpPr txBox="1">
          <a:spLocks noChangeArrowheads="1"/>
        </xdr:cNvSpPr>
      </xdr:nvSpPr>
      <xdr:spPr bwMode="auto">
        <a:xfrm>
          <a:off x="8202385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820510</xdr:colOff>
      <xdr:row>15</xdr:row>
      <xdr:rowOff>0</xdr:rowOff>
    </xdr:from>
    <xdr:ext cx="249299" cy="204671"/>
    <xdr:sp macro="" textlink="">
      <xdr:nvSpPr>
        <xdr:cNvPr id="258" name="텍스트 17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SpPr txBox="1">
          <a:spLocks noChangeArrowheads="1"/>
        </xdr:cNvSpPr>
      </xdr:nvSpPr>
      <xdr:spPr bwMode="auto">
        <a:xfrm>
          <a:off x="8202385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820510</xdr:colOff>
      <xdr:row>15</xdr:row>
      <xdr:rowOff>0</xdr:rowOff>
    </xdr:from>
    <xdr:ext cx="441659" cy="204671"/>
    <xdr:sp macro="" textlink="">
      <xdr:nvSpPr>
        <xdr:cNvPr id="259" name="텍스트 1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SpPr txBox="1">
          <a:spLocks noChangeArrowheads="1"/>
        </xdr:cNvSpPr>
      </xdr:nvSpPr>
      <xdr:spPr bwMode="auto">
        <a:xfrm>
          <a:off x="8202385" y="53530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7</xdr:col>
      <xdr:colOff>820510</xdr:colOff>
      <xdr:row>15</xdr:row>
      <xdr:rowOff>0</xdr:rowOff>
    </xdr:from>
    <xdr:ext cx="326243" cy="204671"/>
    <xdr:sp macro="" textlink="">
      <xdr:nvSpPr>
        <xdr:cNvPr id="260" name="텍스트 21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SpPr txBox="1">
          <a:spLocks noChangeArrowheads="1"/>
        </xdr:cNvSpPr>
      </xdr:nvSpPr>
      <xdr:spPr bwMode="auto">
        <a:xfrm>
          <a:off x="8202385" y="53530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172355" cy="204671"/>
    <xdr:sp macro="" textlink="">
      <xdr:nvSpPr>
        <xdr:cNvPr id="261" name="텍스트 3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262" name="텍스트 4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263" name="텍스트 5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264" name="텍스트 6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265" name="텍스트 7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266" name="텍스트 8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267" name="텍스트 17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268" name="텍스트 18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441659" cy="204671"/>
    <xdr:sp macro="" textlink="">
      <xdr:nvSpPr>
        <xdr:cNvPr id="269" name="텍스트 1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270" name="텍스트 20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326243" cy="204671"/>
    <xdr:sp macro="" textlink="">
      <xdr:nvSpPr>
        <xdr:cNvPr id="271" name="텍스트 21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272" name="텍스트 22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SpPr txBox="1">
          <a:spLocks noChangeArrowheads="1"/>
        </xdr:cNvSpPr>
      </xdr:nvSpPr>
      <xdr:spPr bwMode="auto">
        <a:xfrm>
          <a:off x="9259661" y="53530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820510</xdr:colOff>
      <xdr:row>16</xdr:row>
      <xdr:rowOff>0</xdr:rowOff>
    </xdr:from>
    <xdr:ext cx="287771" cy="204671"/>
    <xdr:sp macro="" textlink="">
      <xdr:nvSpPr>
        <xdr:cNvPr id="273" name="텍스트 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SpPr txBox="1">
          <a:spLocks noChangeArrowheads="1"/>
        </xdr:cNvSpPr>
      </xdr:nvSpPr>
      <xdr:spPr bwMode="auto">
        <a:xfrm>
          <a:off x="8202385" y="5762625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7</xdr:col>
      <xdr:colOff>820510</xdr:colOff>
      <xdr:row>16</xdr:row>
      <xdr:rowOff>0</xdr:rowOff>
    </xdr:from>
    <xdr:ext cx="326243" cy="204671"/>
    <xdr:sp macro="" textlink="">
      <xdr:nvSpPr>
        <xdr:cNvPr id="274" name="텍스트 11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SpPr txBox="1">
          <a:spLocks noChangeArrowheads="1"/>
        </xdr:cNvSpPr>
      </xdr:nvSpPr>
      <xdr:spPr bwMode="auto">
        <a:xfrm>
          <a:off x="8202385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820510</xdr:colOff>
      <xdr:row>16</xdr:row>
      <xdr:rowOff>0</xdr:rowOff>
    </xdr:from>
    <xdr:ext cx="249299" cy="204671"/>
    <xdr:sp macro="" textlink="">
      <xdr:nvSpPr>
        <xdr:cNvPr id="275" name="텍스트 13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SpPr txBox="1">
          <a:spLocks noChangeArrowheads="1"/>
        </xdr:cNvSpPr>
      </xdr:nvSpPr>
      <xdr:spPr bwMode="auto">
        <a:xfrm>
          <a:off x="8202385" y="5762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820510</xdr:colOff>
      <xdr:row>16</xdr:row>
      <xdr:rowOff>0</xdr:rowOff>
    </xdr:from>
    <xdr:ext cx="326243" cy="204671"/>
    <xdr:sp macro="" textlink="">
      <xdr:nvSpPr>
        <xdr:cNvPr id="276" name="텍스트 15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SpPr txBox="1">
          <a:spLocks noChangeArrowheads="1"/>
        </xdr:cNvSpPr>
      </xdr:nvSpPr>
      <xdr:spPr bwMode="auto">
        <a:xfrm>
          <a:off x="8202385" y="5762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3</xdr:col>
      <xdr:colOff>2121353</xdr:colOff>
      <xdr:row>12</xdr:row>
      <xdr:rowOff>0</xdr:rowOff>
    </xdr:from>
    <xdr:ext cx="210827" cy="204671"/>
    <xdr:sp macro="" textlink="">
      <xdr:nvSpPr>
        <xdr:cNvPr id="277" name="텍스트 1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SpPr txBox="1">
          <a:spLocks noChangeArrowheads="1"/>
        </xdr:cNvSpPr>
      </xdr:nvSpPr>
      <xdr:spPr bwMode="auto">
        <a:xfrm>
          <a:off x="4207328" y="412432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3</xdr:col>
      <xdr:colOff>2121353</xdr:colOff>
      <xdr:row>12</xdr:row>
      <xdr:rowOff>0</xdr:rowOff>
    </xdr:from>
    <xdr:ext cx="56939" cy="204671"/>
    <xdr:sp macro="" textlink="">
      <xdr:nvSpPr>
        <xdr:cNvPr id="278" name="텍스트 2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SpPr txBox="1">
          <a:spLocks noChangeArrowheads="1"/>
        </xdr:cNvSpPr>
      </xdr:nvSpPr>
      <xdr:spPr bwMode="auto">
        <a:xfrm>
          <a:off x="4207328" y="41243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12</xdr:row>
      <xdr:rowOff>0</xdr:rowOff>
    </xdr:from>
    <xdr:ext cx="210827" cy="204671"/>
    <xdr:sp macro="" textlink="">
      <xdr:nvSpPr>
        <xdr:cNvPr id="279" name="텍스트 1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SpPr txBox="1">
          <a:spLocks noChangeArrowheads="1"/>
        </xdr:cNvSpPr>
      </xdr:nvSpPr>
      <xdr:spPr bwMode="auto">
        <a:xfrm>
          <a:off x="5264603" y="412432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4</xdr:col>
      <xdr:colOff>2121353</xdr:colOff>
      <xdr:row>12</xdr:row>
      <xdr:rowOff>0</xdr:rowOff>
    </xdr:from>
    <xdr:ext cx="56939" cy="204671"/>
    <xdr:sp macro="" textlink="">
      <xdr:nvSpPr>
        <xdr:cNvPr id="280" name="텍스트 2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SpPr txBox="1">
          <a:spLocks noChangeArrowheads="1"/>
        </xdr:cNvSpPr>
      </xdr:nvSpPr>
      <xdr:spPr bwMode="auto">
        <a:xfrm>
          <a:off x="5264603" y="41243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12</xdr:row>
      <xdr:rowOff>0</xdr:rowOff>
    </xdr:from>
    <xdr:ext cx="210827" cy="204671"/>
    <xdr:sp macro="" textlink="">
      <xdr:nvSpPr>
        <xdr:cNvPr id="281" name="텍스트 1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SpPr txBox="1">
          <a:spLocks noChangeArrowheads="1"/>
        </xdr:cNvSpPr>
      </xdr:nvSpPr>
      <xdr:spPr bwMode="auto">
        <a:xfrm>
          <a:off x="6321878" y="412432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12</xdr:row>
      <xdr:rowOff>0</xdr:rowOff>
    </xdr:from>
    <xdr:ext cx="56939" cy="204671"/>
    <xdr:sp macro="" textlink="">
      <xdr:nvSpPr>
        <xdr:cNvPr id="282" name="텍스트 2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SpPr txBox="1">
          <a:spLocks noChangeArrowheads="1"/>
        </xdr:cNvSpPr>
      </xdr:nvSpPr>
      <xdr:spPr bwMode="auto">
        <a:xfrm>
          <a:off x="6321878" y="41243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12</xdr:row>
      <xdr:rowOff>0</xdr:rowOff>
    </xdr:from>
    <xdr:ext cx="210827" cy="204671"/>
    <xdr:sp macro="" textlink="">
      <xdr:nvSpPr>
        <xdr:cNvPr id="283" name="텍스트 1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SpPr txBox="1">
          <a:spLocks noChangeArrowheads="1"/>
        </xdr:cNvSpPr>
      </xdr:nvSpPr>
      <xdr:spPr bwMode="auto">
        <a:xfrm>
          <a:off x="6321878" y="412432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12</xdr:row>
      <xdr:rowOff>0</xdr:rowOff>
    </xdr:from>
    <xdr:ext cx="56939" cy="204671"/>
    <xdr:sp macro="" textlink="">
      <xdr:nvSpPr>
        <xdr:cNvPr id="284" name="텍스트 2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SpPr txBox="1">
          <a:spLocks noChangeArrowheads="1"/>
        </xdr:cNvSpPr>
      </xdr:nvSpPr>
      <xdr:spPr bwMode="auto">
        <a:xfrm>
          <a:off x="6321878" y="41243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12</xdr:row>
      <xdr:rowOff>0</xdr:rowOff>
    </xdr:from>
    <xdr:ext cx="210827" cy="204671"/>
    <xdr:sp macro="" textlink="">
      <xdr:nvSpPr>
        <xdr:cNvPr id="285" name="텍스트 1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SpPr txBox="1">
          <a:spLocks noChangeArrowheads="1"/>
        </xdr:cNvSpPr>
      </xdr:nvSpPr>
      <xdr:spPr bwMode="auto">
        <a:xfrm>
          <a:off x="7379153" y="412432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12</xdr:row>
      <xdr:rowOff>0</xdr:rowOff>
    </xdr:from>
    <xdr:ext cx="56939" cy="204671"/>
    <xdr:sp macro="" textlink="">
      <xdr:nvSpPr>
        <xdr:cNvPr id="286" name="텍스트 2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SpPr txBox="1">
          <a:spLocks noChangeArrowheads="1"/>
        </xdr:cNvSpPr>
      </xdr:nvSpPr>
      <xdr:spPr bwMode="auto">
        <a:xfrm>
          <a:off x="7379153" y="41243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12</xdr:row>
      <xdr:rowOff>0</xdr:rowOff>
    </xdr:from>
    <xdr:ext cx="210827" cy="204671"/>
    <xdr:sp macro="" textlink="">
      <xdr:nvSpPr>
        <xdr:cNvPr id="287" name="텍스트 1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SpPr txBox="1">
          <a:spLocks noChangeArrowheads="1"/>
        </xdr:cNvSpPr>
      </xdr:nvSpPr>
      <xdr:spPr bwMode="auto">
        <a:xfrm>
          <a:off x="7379153" y="412432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12</xdr:row>
      <xdr:rowOff>0</xdr:rowOff>
    </xdr:from>
    <xdr:ext cx="56939" cy="204671"/>
    <xdr:sp macro="" textlink="">
      <xdr:nvSpPr>
        <xdr:cNvPr id="288" name="텍스트 2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SpPr txBox="1">
          <a:spLocks noChangeArrowheads="1"/>
        </xdr:cNvSpPr>
      </xdr:nvSpPr>
      <xdr:spPr bwMode="auto">
        <a:xfrm>
          <a:off x="7379153" y="41243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12</xdr:row>
      <xdr:rowOff>0</xdr:rowOff>
    </xdr:from>
    <xdr:ext cx="210827" cy="204671"/>
    <xdr:sp macro="" textlink="">
      <xdr:nvSpPr>
        <xdr:cNvPr id="289" name="텍스트 1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SpPr txBox="1">
          <a:spLocks noChangeArrowheads="1"/>
        </xdr:cNvSpPr>
      </xdr:nvSpPr>
      <xdr:spPr bwMode="auto">
        <a:xfrm>
          <a:off x="8436428" y="412432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12</xdr:row>
      <xdr:rowOff>0</xdr:rowOff>
    </xdr:from>
    <xdr:ext cx="56939" cy="204671"/>
    <xdr:sp macro="" textlink="">
      <xdr:nvSpPr>
        <xdr:cNvPr id="290" name="텍스트 2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SpPr txBox="1">
          <a:spLocks noChangeArrowheads="1"/>
        </xdr:cNvSpPr>
      </xdr:nvSpPr>
      <xdr:spPr bwMode="auto">
        <a:xfrm>
          <a:off x="8436428" y="41243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12</xdr:row>
      <xdr:rowOff>0</xdr:rowOff>
    </xdr:from>
    <xdr:ext cx="210827" cy="204671"/>
    <xdr:sp macro="" textlink="">
      <xdr:nvSpPr>
        <xdr:cNvPr id="291" name="텍스트 1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SpPr txBox="1">
          <a:spLocks noChangeArrowheads="1"/>
        </xdr:cNvSpPr>
      </xdr:nvSpPr>
      <xdr:spPr bwMode="auto">
        <a:xfrm>
          <a:off x="8436428" y="412432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12</xdr:row>
      <xdr:rowOff>0</xdr:rowOff>
    </xdr:from>
    <xdr:ext cx="56939" cy="204671"/>
    <xdr:sp macro="" textlink="">
      <xdr:nvSpPr>
        <xdr:cNvPr id="292" name="텍스트 2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SpPr txBox="1">
          <a:spLocks noChangeArrowheads="1"/>
        </xdr:cNvSpPr>
      </xdr:nvSpPr>
      <xdr:spPr bwMode="auto">
        <a:xfrm>
          <a:off x="8436428" y="41243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12</xdr:row>
      <xdr:rowOff>0</xdr:rowOff>
    </xdr:from>
    <xdr:ext cx="210827" cy="204671"/>
    <xdr:sp macro="" textlink="">
      <xdr:nvSpPr>
        <xdr:cNvPr id="293" name="텍스트 1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SpPr txBox="1">
          <a:spLocks noChangeArrowheads="1"/>
        </xdr:cNvSpPr>
      </xdr:nvSpPr>
      <xdr:spPr bwMode="auto">
        <a:xfrm>
          <a:off x="9493703" y="412432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12</xdr:row>
      <xdr:rowOff>0</xdr:rowOff>
    </xdr:from>
    <xdr:ext cx="56939" cy="204671"/>
    <xdr:sp macro="" textlink="">
      <xdr:nvSpPr>
        <xdr:cNvPr id="294" name="텍스트 2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SpPr txBox="1">
          <a:spLocks noChangeArrowheads="1"/>
        </xdr:cNvSpPr>
      </xdr:nvSpPr>
      <xdr:spPr bwMode="auto">
        <a:xfrm>
          <a:off x="9493703" y="41243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18</xdr:row>
      <xdr:rowOff>0</xdr:rowOff>
    </xdr:from>
    <xdr:ext cx="210827" cy="204671"/>
    <xdr:sp macro="" textlink="">
      <xdr:nvSpPr>
        <xdr:cNvPr id="295" name="텍스트 23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SpPr txBox="1">
          <a:spLocks noChangeArrowheads="1"/>
        </xdr:cNvSpPr>
      </xdr:nvSpPr>
      <xdr:spPr bwMode="auto">
        <a:xfrm>
          <a:off x="4207328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4</xdr:col>
      <xdr:colOff>2121353</xdr:colOff>
      <xdr:row>18</xdr:row>
      <xdr:rowOff>0</xdr:rowOff>
    </xdr:from>
    <xdr:ext cx="210827" cy="204671"/>
    <xdr:sp macro="" textlink="">
      <xdr:nvSpPr>
        <xdr:cNvPr id="296" name="텍스트 23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SpPr txBox="1">
          <a:spLocks noChangeArrowheads="1"/>
        </xdr:cNvSpPr>
      </xdr:nvSpPr>
      <xdr:spPr bwMode="auto">
        <a:xfrm>
          <a:off x="5264603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297" name="텍스트 23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SpPr txBox="1">
          <a:spLocks noChangeArrowheads="1"/>
        </xdr:cNvSpPr>
      </xdr:nvSpPr>
      <xdr:spPr bwMode="auto">
        <a:xfrm>
          <a:off x="6321878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298" name="텍스트 23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SpPr txBox="1">
          <a:spLocks noChangeArrowheads="1"/>
        </xdr:cNvSpPr>
      </xdr:nvSpPr>
      <xdr:spPr bwMode="auto">
        <a:xfrm>
          <a:off x="6321878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299" name="텍스트 23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SpPr txBox="1">
          <a:spLocks noChangeArrowheads="1"/>
        </xdr:cNvSpPr>
      </xdr:nvSpPr>
      <xdr:spPr bwMode="auto">
        <a:xfrm>
          <a:off x="7379153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300" name="텍스트 23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SpPr txBox="1">
          <a:spLocks noChangeArrowheads="1"/>
        </xdr:cNvSpPr>
      </xdr:nvSpPr>
      <xdr:spPr bwMode="auto">
        <a:xfrm>
          <a:off x="7379153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301" name="텍스트 23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SpPr txBox="1">
          <a:spLocks noChangeArrowheads="1"/>
        </xdr:cNvSpPr>
      </xdr:nvSpPr>
      <xdr:spPr bwMode="auto">
        <a:xfrm>
          <a:off x="8436428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302" name="텍스트 23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SpPr txBox="1">
          <a:spLocks noChangeArrowheads="1"/>
        </xdr:cNvSpPr>
      </xdr:nvSpPr>
      <xdr:spPr bwMode="auto">
        <a:xfrm>
          <a:off x="8436428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303" name="텍스트 23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SpPr txBox="1">
          <a:spLocks noChangeArrowheads="1"/>
        </xdr:cNvSpPr>
      </xdr:nvSpPr>
      <xdr:spPr bwMode="auto">
        <a:xfrm>
          <a:off x="9493703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3</xdr:col>
      <xdr:colOff>2121353</xdr:colOff>
      <xdr:row>18</xdr:row>
      <xdr:rowOff>0</xdr:rowOff>
    </xdr:from>
    <xdr:ext cx="210827" cy="204671"/>
    <xdr:sp macro="" textlink="">
      <xdr:nvSpPr>
        <xdr:cNvPr id="304" name="텍스트 23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SpPr txBox="1">
          <a:spLocks noChangeArrowheads="1"/>
        </xdr:cNvSpPr>
      </xdr:nvSpPr>
      <xdr:spPr bwMode="auto">
        <a:xfrm>
          <a:off x="4207328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4</xdr:col>
      <xdr:colOff>2121353</xdr:colOff>
      <xdr:row>18</xdr:row>
      <xdr:rowOff>0</xdr:rowOff>
    </xdr:from>
    <xdr:ext cx="210827" cy="204671"/>
    <xdr:sp macro="" textlink="">
      <xdr:nvSpPr>
        <xdr:cNvPr id="305" name="텍스트 23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SpPr txBox="1">
          <a:spLocks noChangeArrowheads="1"/>
        </xdr:cNvSpPr>
      </xdr:nvSpPr>
      <xdr:spPr bwMode="auto">
        <a:xfrm>
          <a:off x="5264603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4</xdr:col>
      <xdr:colOff>2121353</xdr:colOff>
      <xdr:row>18</xdr:row>
      <xdr:rowOff>0</xdr:rowOff>
    </xdr:from>
    <xdr:ext cx="210827" cy="204671"/>
    <xdr:sp macro="" textlink="">
      <xdr:nvSpPr>
        <xdr:cNvPr id="306" name="텍스트 23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SpPr txBox="1">
          <a:spLocks noChangeArrowheads="1"/>
        </xdr:cNvSpPr>
      </xdr:nvSpPr>
      <xdr:spPr bwMode="auto">
        <a:xfrm>
          <a:off x="5264603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307" name="텍스트 23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SpPr txBox="1">
          <a:spLocks noChangeArrowheads="1"/>
        </xdr:cNvSpPr>
      </xdr:nvSpPr>
      <xdr:spPr bwMode="auto">
        <a:xfrm>
          <a:off x="6321878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308" name="텍스트 23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SpPr txBox="1">
          <a:spLocks noChangeArrowheads="1"/>
        </xdr:cNvSpPr>
      </xdr:nvSpPr>
      <xdr:spPr bwMode="auto">
        <a:xfrm>
          <a:off x="6321878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309" name="텍스트 23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SpPr txBox="1">
          <a:spLocks noChangeArrowheads="1"/>
        </xdr:cNvSpPr>
      </xdr:nvSpPr>
      <xdr:spPr bwMode="auto">
        <a:xfrm>
          <a:off x="6321878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310" name="텍스트 23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SpPr txBox="1">
          <a:spLocks noChangeArrowheads="1"/>
        </xdr:cNvSpPr>
      </xdr:nvSpPr>
      <xdr:spPr bwMode="auto">
        <a:xfrm>
          <a:off x="7379153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311" name="텍스트 23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SpPr txBox="1">
          <a:spLocks noChangeArrowheads="1"/>
        </xdr:cNvSpPr>
      </xdr:nvSpPr>
      <xdr:spPr bwMode="auto">
        <a:xfrm>
          <a:off x="7379153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312" name="텍스트 23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SpPr txBox="1">
          <a:spLocks noChangeArrowheads="1"/>
        </xdr:cNvSpPr>
      </xdr:nvSpPr>
      <xdr:spPr bwMode="auto">
        <a:xfrm>
          <a:off x="7379153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313" name="텍스트 23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SpPr txBox="1">
          <a:spLocks noChangeArrowheads="1"/>
        </xdr:cNvSpPr>
      </xdr:nvSpPr>
      <xdr:spPr bwMode="auto">
        <a:xfrm>
          <a:off x="8436428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314" name="텍스트 23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SpPr txBox="1">
          <a:spLocks noChangeArrowheads="1"/>
        </xdr:cNvSpPr>
      </xdr:nvSpPr>
      <xdr:spPr bwMode="auto">
        <a:xfrm>
          <a:off x="8436428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315" name="텍스트 23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SpPr txBox="1">
          <a:spLocks noChangeArrowheads="1"/>
        </xdr:cNvSpPr>
      </xdr:nvSpPr>
      <xdr:spPr bwMode="auto">
        <a:xfrm>
          <a:off x="8436428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316" name="텍스트 23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SpPr txBox="1">
          <a:spLocks noChangeArrowheads="1"/>
        </xdr:cNvSpPr>
      </xdr:nvSpPr>
      <xdr:spPr bwMode="auto">
        <a:xfrm>
          <a:off x="9493703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317" name="텍스트 23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SpPr txBox="1">
          <a:spLocks noChangeArrowheads="1"/>
        </xdr:cNvSpPr>
      </xdr:nvSpPr>
      <xdr:spPr bwMode="auto">
        <a:xfrm>
          <a:off x="9493703" y="6581775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318" name="텍스트 5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SpPr txBox="1">
          <a:spLocks noChangeArrowheads="1"/>
        </xdr:cNvSpPr>
      </xdr:nvSpPr>
      <xdr:spPr bwMode="auto">
        <a:xfrm>
          <a:off x="82023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319" name="텍스트 7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SpPr txBox="1">
          <a:spLocks noChangeArrowheads="1"/>
        </xdr:cNvSpPr>
      </xdr:nvSpPr>
      <xdr:spPr bwMode="auto">
        <a:xfrm>
          <a:off x="82023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320" name="텍스트 17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SpPr txBox="1">
          <a:spLocks noChangeArrowheads="1"/>
        </xdr:cNvSpPr>
      </xdr:nvSpPr>
      <xdr:spPr bwMode="auto">
        <a:xfrm>
          <a:off x="82023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441659" cy="204671"/>
    <xdr:sp macro="" textlink="">
      <xdr:nvSpPr>
        <xdr:cNvPr id="321" name="텍스트 19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SpPr txBox="1">
          <a:spLocks noChangeArrowheads="1"/>
        </xdr:cNvSpPr>
      </xdr:nvSpPr>
      <xdr:spPr bwMode="auto">
        <a:xfrm>
          <a:off x="8202386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326243" cy="204671"/>
    <xdr:sp macro="" textlink="">
      <xdr:nvSpPr>
        <xdr:cNvPr id="322" name="텍스트 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SpPr txBox="1">
          <a:spLocks noChangeArrowheads="1"/>
        </xdr:cNvSpPr>
      </xdr:nvSpPr>
      <xdr:spPr bwMode="auto">
        <a:xfrm>
          <a:off x="8202386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323" name="텍스트 5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SpPr txBox="1">
          <a:spLocks noChangeArrowheads="1"/>
        </xdr:cNvSpPr>
      </xdr:nvSpPr>
      <xdr:spPr bwMode="auto">
        <a:xfrm>
          <a:off x="82023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324" name="텍스트 7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SpPr txBox="1">
          <a:spLocks noChangeArrowheads="1"/>
        </xdr:cNvSpPr>
      </xdr:nvSpPr>
      <xdr:spPr bwMode="auto">
        <a:xfrm>
          <a:off x="82023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325" name="텍스트 17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SpPr txBox="1">
          <a:spLocks noChangeArrowheads="1"/>
        </xdr:cNvSpPr>
      </xdr:nvSpPr>
      <xdr:spPr bwMode="auto">
        <a:xfrm>
          <a:off x="82023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441659" cy="204671"/>
    <xdr:sp macro="" textlink="">
      <xdr:nvSpPr>
        <xdr:cNvPr id="326" name="텍스트 19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SpPr txBox="1">
          <a:spLocks noChangeArrowheads="1"/>
        </xdr:cNvSpPr>
      </xdr:nvSpPr>
      <xdr:spPr bwMode="auto">
        <a:xfrm>
          <a:off x="8202386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326243" cy="204671"/>
    <xdr:sp macro="" textlink="">
      <xdr:nvSpPr>
        <xdr:cNvPr id="327" name="텍스트 21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SpPr txBox="1">
          <a:spLocks noChangeArrowheads="1"/>
        </xdr:cNvSpPr>
      </xdr:nvSpPr>
      <xdr:spPr bwMode="auto">
        <a:xfrm>
          <a:off x="8202386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820510</xdr:colOff>
      <xdr:row>16</xdr:row>
      <xdr:rowOff>0</xdr:rowOff>
    </xdr:from>
    <xdr:ext cx="287771" cy="204671"/>
    <xdr:sp macro="" textlink="">
      <xdr:nvSpPr>
        <xdr:cNvPr id="328" name="텍스트 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SpPr txBox="1">
          <a:spLocks noChangeArrowheads="1"/>
        </xdr:cNvSpPr>
      </xdr:nvSpPr>
      <xdr:spPr bwMode="auto">
        <a:xfrm>
          <a:off x="8202385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8</xdr:col>
      <xdr:colOff>820510</xdr:colOff>
      <xdr:row>16</xdr:row>
      <xdr:rowOff>0</xdr:rowOff>
    </xdr:from>
    <xdr:ext cx="326243" cy="204671"/>
    <xdr:sp macro="" textlink="">
      <xdr:nvSpPr>
        <xdr:cNvPr id="329" name="텍스트 11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SpPr txBox="1">
          <a:spLocks noChangeArrowheads="1"/>
        </xdr:cNvSpPr>
      </xdr:nvSpPr>
      <xdr:spPr bwMode="auto">
        <a:xfrm>
          <a:off x="8202385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820510</xdr:colOff>
      <xdr:row>16</xdr:row>
      <xdr:rowOff>0</xdr:rowOff>
    </xdr:from>
    <xdr:ext cx="249299" cy="204671"/>
    <xdr:sp macro="" textlink="">
      <xdr:nvSpPr>
        <xdr:cNvPr id="330" name="텍스트 13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SpPr txBox="1">
          <a:spLocks noChangeArrowheads="1"/>
        </xdr:cNvSpPr>
      </xdr:nvSpPr>
      <xdr:spPr bwMode="auto">
        <a:xfrm>
          <a:off x="8202385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820510</xdr:colOff>
      <xdr:row>16</xdr:row>
      <xdr:rowOff>0</xdr:rowOff>
    </xdr:from>
    <xdr:ext cx="326243" cy="204671"/>
    <xdr:sp macro="" textlink="">
      <xdr:nvSpPr>
        <xdr:cNvPr id="331" name="텍스트 15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SpPr txBox="1">
          <a:spLocks noChangeArrowheads="1"/>
        </xdr:cNvSpPr>
      </xdr:nvSpPr>
      <xdr:spPr bwMode="auto">
        <a:xfrm>
          <a:off x="8202385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820510</xdr:colOff>
      <xdr:row>15</xdr:row>
      <xdr:rowOff>0</xdr:rowOff>
    </xdr:from>
    <xdr:ext cx="249299" cy="204671"/>
    <xdr:sp macro="" textlink="">
      <xdr:nvSpPr>
        <xdr:cNvPr id="332" name="텍스트 5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SpPr txBox="1">
          <a:spLocks noChangeArrowheads="1"/>
        </xdr:cNvSpPr>
      </xdr:nvSpPr>
      <xdr:spPr bwMode="auto">
        <a:xfrm>
          <a:off x="8202385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820510</xdr:colOff>
      <xdr:row>15</xdr:row>
      <xdr:rowOff>0</xdr:rowOff>
    </xdr:from>
    <xdr:ext cx="249299" cy="204671"/>
    <xdr:sp macro="" textlink="">
      <xdr:nvSpPr>
        <xdr:cNvPr id="333" name="텍스트 7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SpPr txBox="1">
          <a:spLocks noChangeArrowheads="1"/>
        </xdr:cNvSpPr>
      </xdr:nvSpPr>
      <xdr:spPr bwMode="auto">
        <a:xfrm>
          <a:off x="8202385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820510</xdr:colOff>
      <xdr:row>15</xdr:row>
      <xdr:rowOff>0</xdr:rowOff>
    </xdr:from>
    <xdr:ext cx="249299" cy="204671"/>
    <xdr:sp macro="" textlink="">
      <xdr:nvSpPr>
        <xdr:cNvPr id="334" name="텍스트 17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SpPr txBox="1">
          <a:spLocks noChangeArrowheads="1"/>
        </xdr:cNvSpPr>
      </xdr:nvSpPr>
      <xdr:spPr bwMode="auto">
        <a:xfrm>
          <a:off x="8202385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820510</xdr:colOff>
      <xdr:row>15</xdr:row>
      <xdr:rowOff>0</xdr:rowOff>
    </xdr:from>
    <xdr:ext cx="441659" cy="204671"/>
    <xdr:sp macro="" textlink="">
      <xdr:nvSpPr>
        <xdr:cNvPr id="335" name="텍스트 1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SpPr txBox="1">
          <a:spLocks noChangeArrowheads="1"/>
        </xdr:cNvSpPr>
      </xdr:nvSpPr>
      <xdr:spPr bwMode="auto">
        <a:xfrm>
          <a:off x="8202385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8</xdr:col>
      <xdr:colOff>820510</xdr:colOff>
      <xdr:row>15</xdr:row>
      <xdr:rowOff>0</xdr:rowOff>
    </xdr:from>
    <xdr:ext cx="326243" cy="204671"/>
    <xdr:sp macro="" textlink="">
      <xdr:nvSpPr>
        <xdr:cNvPr id="336" name="텍스트 21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SpPr txBox="1">
          <a:spLocks noChangeArrowheads="1"/>
        </xdr:cNvSpPr>
      </xdr:nvSpPr>
      <xdr:spPr bwMode="auto">
        <a:xfrm>
          <a:off x="8202385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172355" cy="204671"/>
    <xdr:sp macro="" textlink="">
      <xdr:nvSpPr>
        <xdr:cNvPr id="337" name="텍스트 3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338" name="텍스트 4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339" name="텍스트 5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340" name="텍스트 6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341" name="텍스트 7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342" name="텍스트 8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343" name="텍스트 17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344" name="텍스트 18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441659" cy="204671"/>
    <xdr:sp macro="" textlink="">
      <xdr:nvSpPr>
        <xdr:cNvPr id="345" name="텍스트 1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346" name="텍스트 20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326243" cy="204671"/>
    <xdr:sp macro="" textlink="">
      <xdr:nvSpPr>
        <xdr:cNvPr id="347" name="텍스트 21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348" name="텍스트 22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820510</xdr:colOff>
      <xdr:row>15</xdr:row>
      <xdr:rowOff>0</xdr:rowOff>
    </xdr:from>
    <xdr:ext cx="249299" cy="204671"/>
    <xdr:sp macro="" textlink="">
      <xdr:nvSpPr>
        <xdr:cNvPr id="349" name="텍스트 5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SpPr txBox="1">
          <a:spLocks noChangeArrowheads="1"/>
        </xdr:cNvSpPr>
      </xdr:nvSpPr>
      <xdr:spPr bwMode="auto">
        <a:xfrm>
          <a:off x="8202385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820510</xdr:colOff>
      <xdr:row>15</xdr:row>
      <xdr:rowOff>0</xdr:rowOff>
    </xdr:from>
    <xdr:ext cx="249299" cy="204671"/>
    <xdr:sp macro="" textlink="">
      <xdr:nvSpPr>
        <xdr:cNvPr id="350" name="텍스트 7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SpPr txBox="1">
          <a:spLocks noChangeArrowheads="1"/>
        </xdr:cNvSpPr>
      </xdr:nvSpPr>
      <xdr:spPr bwMode="auto">
        <a:xfrm>
          <a:off x="8202385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820510</xdr:colOff>
      <xdr:row>15</xdr:row>
      <xdr:rowOff>0</xdr:rowOff>
    </xdr:from>
    <xdr:ext cx="249299" cy="204671"/>
    <xdr:sp macro="" textlink="">
      <xdr:nvSpPr>
        <xdr:cNvPr id="351" name="텍스트 17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SpPr txBox="1">
          <a:spLocks noChangeArrowheads="1"/>
        </xdr:cNvSpPr>
      </xdr:nvSpPr>
      <xdr:spPr bwMode="auto">
        <a:xfrm>
          <a:off x="8202385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820510</xdr:colOff>
      <xdr:row>15</xdr:row>
      <xdr:rowOff>0</xdr:rowOff>
    </xdr:from>
    <xdr:ext cx="441659" cy="204671"/>
    <xdr:sp macro="" textlink="">
      <xdr:nvSpPr>
        <xdr:cNvPr id="352" name="텍스트 1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SpPr txBox="1">
          <a:spLocks noChangeArrowheads="1"/>
        </xdr:cNvSpPr>
      </xdr:nvSpPr>
      <xdr:spPr bwMode="auto">
        <a:xfrm>
          <a:off x="8202385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8</xdr:col>
      <xdr:colOff>820510</xdr:colOff>
      <xdr:row>15</xdr:row>
      <xdr:rowOff>0</xdr:rowOff>
    </xdr:from>
    <xdr:ext cx="326243" cy="204671"/>
    <xdr:sp macro="" textlink="">
      <xdr:nvSpPr>
        <xdr:cNvPr id="353" name="텍스트 21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SpPr txBox="1">
          <a:spLocks noChangeArrowheads="1"/>
        </xdr:cNvSpPr>
      </xdr:nvSpPr>
      <xdr:spPr bwMode="auto">
        <a:xfrm>
          <a:off x="8202385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172355" cy="204671"/>
    <xdr:sp macro="" textlink="">
      <xdr:nvSpPr>
        <xdr:cNvPr id="354" name="텍스트 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355" name="텍스트 4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356" name="텍스트 5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357" name="텍스트 6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358" name="텍스트 7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359" name="텍스트 8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360" name="텍스트 17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361" name="텍스트 18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441659" cy="204671"/>
    <xdr:sp macro="" textlink="">
      <xdr:nvSpPr>
        <xdr:cNvPr id="362" name="텍스트 1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363" name="텍스트 20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326243" cy="204671"/>
    <xdr:sp macro="" textlink="">
      <xdr:nvSpPr>
        <xdr:cNvPr id="364" name="텍스트 21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365" name="텍스트 22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SpPr txBox="1">
          <a:spLocks noChangeArrowheads="1"/>
        </xdr:cNvSpPr>
      </xdr:nvSpPr>
      <xdr:spPr bwMode="auto">
        <a:xfrm>
          <a:off x="9259661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820510</xdr:colOff>
      <xdr:row>16</xdr:row>
      <xdr:rowOff>0</xdr:rowOff>
    </xdr:from>
    <xdr:ext cx="287771" cy="204671"/>
    <xdr:sp macro="" textlink="">
      <xdr:nvSpPr>
        <xdr:cNvPr id="366" name="텍스트 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SpPr txBox="1">
          <a:spLocks noChangeArrowheads="1"/>
        </xdr:cNvSpPr>
      </xdr:nvSpPr>
      <xdr:spPr bwMode="auto">
        <a:xfrm>
          <a:off x="8202385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8</xdr:col>
      <xdr:colOff>820510</xdr:colOff>
      <xdr:row>16</xdr:row>
      <xdr:rowOff>0</xdr:rowOff>
    </xdr:from>
    <xdr:ext cx="326243" cy="204671"/>
    <xdr:sp macro="" textlink="">
      <xdr:nvSpPr>
        <xdr:cNvPr id="367" name="텍스트 11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SpPr txBox="1">
          <a:spLocks noChangeArrowheads="1"/>
        </xdr:cNvSpPr>
      </xdr:nvSpPr>
      <xdr:spPr bwMode="auto">
        <a:xfrm>
          <a:off x="8202385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820510</xdr:colOff>
      <xdr:row>16</xdr:row>
      <xdr:rowOff>0</xdr:rowOff>
    </xdr:from>
    <xdr:ext cx="249299" cy="204671"/>
    <xdr:sp macro="" textlink="">
      <xdr:nvSpPr>
        <xdr:cNvPr id="368" name="텍스트 13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SpPr txBox="1">
          <a:spLocks noChangeArrowheads="1"/>
        </xdr:cNvSpPr>
      </xdr:nvSpPr>
      <xdr:spPr bwMode="auto">
        <a:xfrm>
          <a:off x="8202385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820510</xdr:colOff>
      <xdr:row>16</xdr:row>
      <xdr:rowOff>0</xdr:rowOff>
    </xdr:from>
    <xdr:ext cx="326243" cy="204671"/>
    <xdr:sp macro="" textlink="">
      <xdr:nvSpPr>
        <xdr:cNvPr id="369" name="텍스트 15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SpPr txBox="1">
          <a:spLocks noChangeArrowheads="1"/>
        </xdr:cNvSpPr>
      </xdr:nvSpPr>
      <xdr:spPr bwMode="auto">
        <a:xfrm>
          <a:off x="8202385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12</xdr:row>
      <xdr:rowOff>0</xdr:rowOff>
    </xdr:from>
    <xdr:ext cx="210827" cy="204671"/>
    <xdr:sp macro="" textlink="">
      <xdr:nvSpPr>
        <xdr:cNvPr id="370" name="텍스트 1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SpPr txBox="1">
          <a:spLocks noChangeArrowheads="1"/>
        </xdr:cNvSpPr>
      </xdr:nvSpPr>
      <xdr:spPr bwMode="auto">
        <a:xfrm>
          <a:off x="8436428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12</xdr:row>
      <xdr:rowOff>0</xdr:rowOff>
    </xdr:from>
    <xdr:ext cx="56939" cy="204671"/>
    <xdr:sp macro="" textlink="">
      <xdr:nvSpPr>
        <xdr:cNvPr id="371" name="텍스트 2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SpPr txBox="1">
          <a:spLocks noChangeArrowheads="1"/>
        </xdr:cNvSpPr>
      </xdr:nvSpPr>
      <xdr:spPr bwMode="auto">
        <a:xfrm>
          <a:off x="8436428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12</xdr:row>
      <xdr:rowOff>0</xdr:rowOff>
    </xdr:from>
    <xdr:ext cx="210827" cy="204671"/>
    <xdr:sp macro="" textlink="">
      <xdr:nvSpPr>
        <xdr:cNvPr id="372" name="텍스트 1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SpPr txBox="1">
          <a:spLocks noChangeArrowheads="1"/>
        </xdr:cNvSpPr>
      </xdr:nvSpPr>
      <xdr:spPr bwMode="auto">
        <a:xfrm>
          <a:off x="8436428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12</xdr:row>
      <xdr:rowOff>0</xdr:rowOff>
    </xdr:from>
    <xdr:ext cx="56939" cy="204671"/>
    <xdr:sp macro="" textlink="">
      <xdr:nvSpPr>
        <xdr:cNvPr id="373" name="텍스트 2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SpPr txBox="1">
          <a:spLocks noChangeArrowheads="1"/>
        </xdr:cNvSpPr>
      </xdr:nvSpPr>
      <xdr:spPr bwMode="auto">
        <a:xfrm>
          <a:off x="8436428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210827" cy="204671"/>
    <xdr:sp macro="" textlink="">
      <xdr:nvSpPr>
        <xdr:cNvPr id="374" name="텍스트 1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SpPr txBox="1">
          <a:spLocks noChangeArrowheads="1"/>
        </xdr:cNvSpPr>
      </xdr:nvSpPr>
      <xdr:spPr bwMode="auto">
        <a:xfrm>
          <a:off x="9493703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56939" cy="204671"/>
    <xdr:sp macro="" textlink="">
      <xdr:nvSpPr>
        <xdr:cNvPr id="375" name="텍스트 2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SpPr txBox="1">
          <a:spLocks noChangeArrowheads="1"/>
        </xdr:cNvSpPr>
      </xdr:nvSpPr>
      <xdr:spPr bwMode="auto">
        <a:xfrm>
          <a:off x="9493703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376" name="텍스트 23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SpPr txBox="1">
          <a:spLocks noChangeArrowheads="1"/>
        </xdr:cNvSpPr>
      </xdr:nvSpPr>
      <xdr:spPr bwMode="auto">
        <a:xfrm>
          <a:off x="84364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377" name="텍스트 23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SpPr txBox="1">
          <a:spLocks noChangeArrowheads="1"/>
        </xdr:cNvSpPr>
      </xdr:nvSpPr>
      <xdr:spPr bwMode="auto">
        <a:xfrm>
          <a:off x="84364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378" name="텍스트 23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SpPr txBox="1">
          <a:spLocks noChangeArrowheads="1"/>
        </xdr:cNvSpPr>
      </xdr:nvSpPr>
      <xdr:spPr bwMode="auto">
        <a:xfrm>
          <a:off x="94937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379" name="텍스트 23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SpPr txBox="1">
          <a:spLocks noChangeArrowheads="1"/>
        </xdr:cNvSpPr>
      </xdr:nvSpPr>
      <xdr:spPr bwMode="auto">
        <a:xfrm>
          <a:off x="84364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380" name="텍스트 23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SpPr txBox="1">
          <a:spLocks noChangeArrowheads="1"/>
        </xdr:cNvSpPr>
      </xdr:nvSpPr>
      <xdr:spPr bwMode="auto">
        <a:xfrm>
          <a:off x="84364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381" name="텍스트 23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SpPr txBox="1">
          <a:spLocks noChangeArrowheads="1"/>
        </xdr:cNvSpPr>
      </xdr:nvSpPr>
      <xdr:spPr bwMode="auto">
        <a:xfrm>
          <a:off x="84364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382" name="텍스트 23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SpPr txBox="1">
          <a:spLocks noChangeArrowheads="1"/>
        </xdr:cNvSpPr>
      </xdr:nvSpPr>
      <xdr:spPr bwMode="auto">
        <a:xfrm>
          <a:off x="94937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383" name="텍스트 23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SpPr txBox="1">
          <a:spLocks noChangeArrowheads="1"/>
        </xdr:cNvSpPr>
      </xdr:nvSpPr>
      <xdr:spPr bwMode="auto">
        <a:xfrm>
          <a:off x="94937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3</xdr:col>
      <xdr:colOff>2121353</xdr:colOff>
      <xdr:row>12</xdr:row>
      <xdr:rowOff>0</xdr:rowOff>
    </xdr:from>
    <xdr:ext cx="210827" cy="204671"/>
    <xdr:sp macro="" textlink="">
      <xdr:nvSpPr>
        <xdr:cNvPr id="384" name="텍스트 1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SpPr txBox="1">
          <a:spLocks noChangeArrowheads="1"/>
        </xdr:cNvSpPr>
      </xdr:nvSpPr>
      <xdr:spPr bwMode="auto">
        <a:xfrm>
          <a:off x="3150053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3</xdr:col>
      <xdr:colOff>2121353</xdr:colOff>
      <xdr:row>12</xdr:row>
      <xdr:rowOff>0</xdr:rowOff>
    </xdr:from>
    <xdr:ext cx="56939" cy="204671"/>
    <xdr:sp macro="" textlink="">
      <xdr:nvSpPr>
        <xdr:cNvPr id="385" name="텍스트 2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SpPr txBox="1">
          <a:spLocks noChangeArrowheads="1"/>
        </xdr:cNvSpPr>
      </xdr:nvSpPr>
      <xdr:spPr bwMode="auto">
        <a:xfrm>
          <a:off x="3150053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172355" cy="204671"/>
    <xdr:sp macro="" textlink="">
      <xdr:nvSpPr>
        <xdr:cNvPr id="386" name="텍스트 3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56939" cy="204671"/>
    <xdr:sp macro="" textlink="">
      <xdr:nvSpPr>
        <xdr:cNvPr id="387" name="텍스트 4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249299" cy="204671"/>
    <xdr:sp macro="" textlink="">
      <xdr:nvSpPr>
        <xdr:cNvPr id="388" name="텍스트 5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56939" cy="204671"/>
    <xdr:sp macro="" textlink="">
      <xdr:nvSpPr>
        <xdr:cNvPr id="389" name="텍스트 6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249299" cy="204671"/>
    <xdr:sp macro="" textlink="">
      <xdr:nvSpPr>
        <xdr:cNvPr id="390" name="텍스트 7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56939" cy="204671"/>
    <xdr:sp macro="" textlink="">
      <xdr:nvSpPr>
        <xdr:cNvPr id="391" name="텍스트 8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287771" cy="204671"/>
    <xdr:sp macro="" textlink="">
      <xdr:nvSpPr>
        <xdr:cNvPr id="392" name="텍스트 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393" name="텍스트 10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326243" cy="204671"/>
    <xdr:sp macro="" textlink="">
      <xdr:nvSpPr>
        <xdr:cNvPr id="394" name="텍스트 11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395" name="텍스트 12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249299" cy="204671"/>
    <xdr:sp macro="" textlink="">
      <xdr:nvSpPr>
        <xdr:cNvPr id="396" name="텍스트 13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397" name="텍스트 14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326243" cy="204671"/>
    <xdr:sp macro="" textlink="">
      <xdr:nvSpPr>
        <xdr:cNvPr id="398" name="텍스트 15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399" name="텍스트 16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249299" cy="204671"/>
    <xdr:sp macro="" textlink="">
      <xdr:nvSpPr>
        <xdr:cNvPr id="400" name="텍스트 17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56939" cy="204671"/>
    <xdr:sp macro="" textlink="">
      <xdr:nvSpPr>
        <xdr:cNvPr id="401" name="텍스트 18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56939" cy="204671"/>
    <xdr:sp macro="" textlink="">
      <xdr:nvSpPr>
        <xdr:cNvPr id="402" name="텍스트 20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56939" cy="204671"/>
    <xdr:sp macro="" textlink="">
      <xdr:nvSpPr>
        <xdr:cNvPr id="403" name="텍스트 22">
          <a:extLst>
            <a:ext uri="{FF2B5EF4-FFF2-40B4-BE49-F238E27FC236}">
              <a16:creationId xmlns:a16="http://schemas.microsoft.com/office/drawing/2014/main" id="{00000000-0008-0000-0700-000093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18</xdr:row>
      <xdr:rowOff>0</xdr:rowOff>
    </xdr:from>
    <xdr:ext cx="210827" cy="204671"/>
    <xdr:sp macro="" textlink="">
      <xdr:nvSpPr>
        <xdr:cNvPr id="404" name="텍스트 23">
          <a:extLst>
            <a:ext uri="{FF2B5EF4-FFF2-40B4-BE49-F238E27FC236}">
              <a16:creationId xmlns:a16="http://schemas.microsoft.com/office/drawing/2014/main" id="{00000000-0008-0000-0700-000094010000}"/>
            </a:ext>
          </a:extLst>
        </xdr:cNvPr>
        <xdr:cNvSpPr txBox="1">
          <a:spLocks noChangeArrowheads="1"/>
        </xdr:cNvSpPr>
      </xdr:nvSpPr>
      <xdr:spPr bwMode="auto">
        <a:xfrm>
          <a:off x="315005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287771" cy="204671"/>
    <xdr:sp macro="" textlink="">
      <xdr:nvSpPr>
        <xdr:cNvPr id="405" name="텍스트 9">
          <a:extLst>
            <a:ext uri="{FF2B5EF4-FFF2-40B4-BE49-F238E27FC236}">
              <a16:creationId xmlns:a16="http://schemas.microsoft.com/office/drawing/2014/main" id="{00000000-0008-0000-0700-000095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406" name="텍스트 10">
          <a:extLst>
            <a:ext uri="{FF2B5EF4-FFF2-40B4-BE49-F238E27FC236}">
              <a16:creationId xmlns:a16="http://schemas.microsoft.com/office/drawing/2014/main" id="{00000000-0008-0000-0700-000096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326243" cy="204671"/>
    <xdr:sp macro="" textlink="">
      <xdr:nvSpPr>
        <xdr:cNvPr id="407" name="텍스트 11">
          <a:extLst>
            <a:ext uri="{FF2B5EF4-FFF2-40B4-BE49-F238E27FC236}">
              <a16:creationId xmlns:a16="http://schemas.microsoft.com/office/drawing/2014/main" id="{00000000-0008-0000-0700-000097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408" name="텍스트 12">
          <a:extLst>
            <a:ext uri="{FF2B5EF4-FFF2-40B4-BE49-F238E27FC236}">
              <a16:creationId xmlns:a16="http://schemas.microsoft.com/office/drawing/2014/main" id="{00000000-0008-0000-0700-000098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249299" cy="204671"/>
    <xdr:sp macro="" textlink="">
      <xdr:nvSpPr>
        <xdr:cNvPr id="409" name="텍스트 13">
          <a:extLst>
            <a:ext uri="{FF2B5EF4-FFF2-40B4-BE49-F238E27FC236}">
              <a16:creationId xmlns:a16="http://schemas.microsoft.com/office/drawing/2014/main" id="{00000000-0008-0000-0700-000099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410" name="텍스트 14">
          <a:extLst>
            <a:ext uri="{FF2B5EF4-FFF2-40B4-BE49-F238E27FC236}">
              <a16:creationId xmlns:a16="http://schemas.microsoft.com/office/drawing/2014/main" id="{00000000-0008-0000-0700-00009A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326243" cy="204671"/>
    <xdr:sp macro="" textlink="">
      <xdr:nvSpPr>
        <xdr:cNvPr id="411" name="텍스트 15">
          <a:extLst>
            <a:ext uri="{FF2B5EF4-FFF2-40B4-BE49-F238E27FC236}">
              <a16:creationId xmlns:a16="http://schemas.microsoft.com/office/drawing/2014/main" id="{00000000-0008-0000-0700-00009B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412" name="텍스트 16">
          <a:extLst>
            <a:ext uri="{FF2B5EF4-FFF2-40B4-BE49-F238E27FC236}">
              <a16:creationId xmlns:a16="http://schemas.microsoft.com/office/drawing/2014/main" id="{00000000-0008-0000-0700-00009C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287771" cy="204671"/>
    <xdr:sp macro="" textlink="">
      <xdr:nvSpPr>
        <xdr:cNvPr id="413" name="텍스트 9">
          <a:extLst>
            <a:ext uri="{FF2B5EF4-FFF2-40B4-BE49-F238E27FC236}">
              <a16:creationId xmlns:a16="http://schemas.microsoft.com/office/drawing/2014/main" id="{00000000-0008-0000-0700-00009D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56939" cy="204671"/>
    <xdr:sp macro="" textlink="">
      <xdr:nvSpPr>
        <xdr:cNvPr id="414" name="텍스트 10">
          <a:extLst>
            <a:ext uri="{FF2B5EF4-FFF2-40B4-BE49-F238E27FC236}">
              <a16:creationId xmlns:a16="http://schemas.microsoft.com/office/drawing/2014/main" id="{00000000-0008-0000-0700-00009E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326243" cy="204671"/>
    <xdr:sp macro="" textlink="">
      <xdr:nvSpPr>
        <xdr:cNvPr id="415" name="텍스트 11">
          <a:extLst>
            <a:ext uri="{FF2B5EF4-FFF2-40B4-BE49-F238E27FC236}">
              <a16:creationId xmlns:a16="http://schemas.microsoft.com/office/drawing/2014/main" id="{00000000-0008-0000-0700-00009F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56939" cy="204671"/>
    <xdr:sp macro="" textlink="">
      <xdr:nvSpPr>
        <xdr:cNvPr id="416" name="텍스트 12">
          <a:extLst>
            <a:ext uri="{FF2B5EF4-FFF2-40B4-BE49-F238E27FC236}">
              <a16:creationId xmlns:a16="http://schemas.microsoft.com/office/drawing/2014/main" id="{00000000-0008-0000-0700-0000A0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249299" cy="204671"/>
    <xdr:sp macro="" textlink="">
      <xdr:nvSpPr>
        <xdr:cNvPr id="417" name="텍스트 13">
          <a:extLst>
            <a:ext uri="{FF2B5EF4-FFF2-40B4-BE49-F238E27FC236}">
              <a16:creationId xmlns:a16="http://schemas.microsoft.com/office/drawing/2014/main" id="{00000000-0008-0000-0700-0000A1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56939" cy="204671"/>
    <xdr:sp macro="" textlink="">
      <xdr:nvSpPr>
        <xdr:cNvPr id="418" name="텍스트 14">
          <a:extLst>
            <a:ext uri="{FF2B5EF4-FFF2-40B4-BE49-F238E27FC236}">
              <a16:creationId xmlns:a16="http://schemas.microsoft.com/office/drawing/2014/main" id="{00000000-0008-0000-0700-0000A2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326243" cy="204671"/>
    <xdr:sp macro="" textlink="">
      <xdr:nvSpPr>
        <xdr:cNvPr id="419" name="텍스트 15">
          <a:extLst>
            <a:ext uri="{FF2B5EF4-FFF2-40B4-BE49-F238E27FC236}">
              <a16:creationId xmlns:a16="http://schemas.microsoft.com/office/drawing/2014/main" id="{00000000-0008-0000-0700-0000A3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172355" cy="204671"/>
    <xdr:sp macro="" textlink="">
      <xdr:nvSpPr>
        <xdr:cNvPr id="420" name="텍스트 3">
          <a:extLst>
            <a:ext uri="{FF2B5EF4-FFF2-40B4-BE49-F238E27FC236}">
              <a16:creationId xmlns:a16="http://schemas.microsoft.com/office/drawing/2014/main" id="{00000000-0008-0000-0700-0000A4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421" name="텍스트 4">
          <a:extLst>
            <a:ext uri="{FF2B5EF4-FFF2-40B4-BE49-F238E27FC236}">
              <a16:creationId xmlns:a16="http://schemas.microsoft.com/office/drawing/2014/main" id="{00000000-0008-0000-0700-0000A5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249299" cy="204671"/>
    <xdr:sp macro="" textlink="">
      <xdr:nvSpPr>
        <xdr:cNvPr id="422" name="텍스트 5">
          <a:extLst>
            <a:ext uri="{FF2B5EF4-FFF2-40B4-BE49-F238E27FC236}">
              <a16:creationId xmlns:a16="http://schemas.microsoft.com/office/drawing/2014/main" id="{00000000-0008-0000-0700-0000A6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423" name="텍스트 6">
          <a:extLst>
            <a:ext uri="{FF2B5EF4-FFF2-40B4-BE49-F238E27FC236}">
              <a16:creationId xmlns:a16="http://schemas.microsoft.com/office/drawing/2014/main" id="{00000000-0008-0000-0700-0000A7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249299" cy="204671"/>
    <xdr:sp macro="" textlink="">
      <xdr:nvSpPr>
        <xdr:cNvPr id="424" name="텍스트 7">
          <a:extLst>
            <a:ext uri="{FF2B5EF4-FFF2-40B4-BE49-F238E27FC236}">
              <a16:creationId xmlns:a16="http://schemas.microsoft.com/office/drawing/2014/main" id="{00000000-0008-0000-0700-0000A8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425" name="텍스트 8">
          <a:extLst>
            <a:ext uri="{FF2B5EF4-FFF2-40B4-BE49-F238E27FC236}">
              <a16:creationId xmlns:a16="http://schemas.microsoft.com/office/drawing/2014/main" id="{00000000-0008-0000-0700-0000A9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249299" cy="204671"/>
    <xdr:sp macro="" textlink="">
      <xdr:nvSpPr>
        <xdr:cNvPr id="426" name="텍스트 17">
          <a:extLst>
            <a:ext uri="{FF2B5EF4-FFF2-40B4-BE49-F238E27FC236}">
              <a16:creationId xmlns:a16="http://schemas.microsoft.com/office/drawing/2014/main" id="{00000000-0008-0000-0700-0000AA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427" name="텍스트 18">
          <a:extLst>
            <a:ext uri="{FF2B5EF4-FFF2-40B4-BE49-F238E27FC236}">
              <a16:creationId xmlns:a16="http://schemas.microsoft.com/office/drawing/2014/main" id="{00000000-0008-0000-0700-0000AB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441659" cy="204671"/>
    <xdr:sp macro="" textlink="">
      <xdr:nvSpPr>
        <xdr:cNvPr id="428" name="텍스트 19">
          <a:extLst>
            <a:ext uri="{FF2B5EF4-FFF2-40B4-BE49-F238E27FC236}">
              <a16:creationId xmlns:a16="http://schemas.microsoft.com/office/drawing/2014/main" id="{00000000-0008-0000-0700-0000AC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429" name="텍스트 20">
          <a:extLst>
            <a:ext uri="{FF2B5EF4-FFF2-40B4-BE49-F238E27FC236}">
              <a16:creationId xmlns:a16="http://schemas.microsoft.com/office/drawing/2014/main" id="{00000000-0008-0000-0700-0000AD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326243" cy="204671"/>
    <xdr:sp macro="" textlink="">
      <xdr:nvSpPr>
        <xdr:cNvPr id="430" name="텍스트 21">
          <a:extLst>
            <a:ext uri="{FF2B5EF4-FFF2-40B4-BE49-F238E27FC236}">
              <a16:creationId xmlns:a16="http://schemas.microsoft.com/office/drawing/2014/main" id="{00000000-0008-0000-0700-0000AE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431" name="텍스트 22">
          <a:extLst>
            <a:ext uri="{FF2B5EF4-FFF2-40B4-BE49-F238E27FC236}">
              <a16:creationId xmlns:a16="http://schemas.microsoft.com/office/drawing/2014/main" id="{00000000-0008-0000-0700-0000AF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172355" cy="204671"/>
    <xdr:sp macro="" textlink="">
      <xdr:nvSpPr>
        <xdr:cNvPr id="432" name="텍스트 3">
          <a:extLst>
            <a:ext uri="{FF2B5EF4-FFF2-40B4-BE49-F238E27FC236}">
              <a16:creationId xmlns:a16="http://schemas.microsoft.com/office/drawing/2014/main" id="{00000000-0008-0000-0700-0000B0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56939" cy="204671"/>
    <xdr:sp macro="" textlink="">
      <xdr:nvSpPr>
        <xdr:cNvPr id="433" name="텍스트 4">
          <a:extLst>
            <a:ext uri="{FF2B5EF4-FFF2-40B4-BE49-F238E27FC236}">
              <a16:creationId xmlns:a16="http://schemas.microsoft.com/office/drawing/2014/main" id="{00000000-0008-0000-0700-0000B1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249299" cy="204671"/>
    <xdr:sp macro="" textlink="">
      <xdr:nvSpPr>
        <xdr:cNvPr id="434" name="텍스트 5">
          <a:extLst>
            <a:ext uri="{FF2B5EF4-FFF2-40B4-BE49-F238E27FC236}">
              <a16:creationId xmlns:a16="http://schemas.microsoft.com/office/drawing/2014/main" id="{00000000-0008-0000-0700-0000B2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56939" cy="204671"/>
    <xdr:sp macro="" textlink="">
      <xdr:nvSpPr>
        <xdr:cNvPr id="435" name="텍스트 6">
          <a:extLst>
            <a:ext uri="{FF2B5EF4-FFF2-40B4-BE49-F238E27FC236}">
              <a16:creationId xmlns:a16="http://schemas.microsoft.com/office/drawing/2014/main" id="{00000000-0008-0000-0700-0000B3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249299" cy="204671"/>
    <xdr:sp macro="" textlink="">
      <xdr:nvSpPr>
        <xdr:cNvPr id="436" name="텍스트 7">
          <a:extLst>
            <a:ext uri="{FF2B5EF4-FFF2-40B4-BE49-F238E27FC236}">
              <a16:creationId xmlns:a16="http://schemas.microsoft.com/office/drawing/2014/main" id="{00000000-0008-0000-0700-0000B4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56939" cy="204671"/>
    <xdr:sp macro="" textlink="">
      <xdr:nvSpPr>
        <xdr:cNvPr id="437" name="텍스트 8">
          <a:extLst>
            <a:ext uri="{FF2B5EF4-FFF2-40B4-BE49-F238E27FC236}">
              <a16:creationId xmlns:a16="http://schemas.microsoft.com/office/drawing/2014/main" id="{00000000-0008-0000-0700-0000B5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249299" cy="204671"/>
    <xdr:sp macro="" textlink="">
      <xdr:nvSpPr>
        <xdr:cNvPr id="438" name="텍스트 17">
          <a:extLst>
            <a:ext uri="{FF2B5EF4-FFF2-40B4-BE49-F238E27FC236}">
              <a16:creationId xmlns:a16="http://schemas.microsoft.com/office/drawing/2014/main" id="{00000000-0008-0000-0700-0000B6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56939" cy="204671"/>
    <xdr:sp macro="" textlink="">
      <xdr:nvSpPr>
        <xdr:cNvPr id="439" name="텍스트 18">
          <a:extLst>
            <a:ext uri="{FF2B5EF4-FFF2-40B4-BE49-F238E27FC236}">
              <a16:creationId xmlns:a16="http://schemas.microsoft.com/office/drawing/2014/main" id="{00000000-0008-0000-0700-0000B7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56939" cy="204671"/>
    <xdr:sp macro="" textlink="">
      <xdr:nvSpPr>
        <xdr:cNvPr id="440" name="텍스트 20">
          <a:extLst>
            <a:ext uri="{FF2B5EF4-FFF2-40B4-BE49-F238E27FC236}">
              <a16:creationId xmlns:a16="http://schemas.microsoft.com/office/drawing/2014/main" id="{00000000-0008-0000-0700-0000B8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15</xdr:row>
      <xdr:rowOff>0</xdr:rowOff>
    </xdr:from>
    <xdr:ext cx="56939" cy="204671"/>
    <xdr:sp macro="" textlink="">
      <xdr:nvSpPr>
        <xdr:cNvPr id="441" name="텍스트 22">
          <a:extLst>
            <a:ext uri="{FF2B5EF4-FFF2-40B4-BE49-F238E27FC236}">
              <a16:creationId xmlns:a16="http://schemas.microsoft.com/office/drawing/2014/main" id="{00000000-0008-0000-0700-0000B9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172355" cy="204671"/>
    <xdr:sp macro="" textlink="">
      <xdr:nvSpPr>
        <xdr:cNvPr id="442" name="텍스트 3">
          <a:extLst>
            <a:ext uri="{FF2B5EF4-FFF2-40B4-BE49-F238E27FC236}">
              <a16:creationId xmlns:a16="http://schemas.microsoft.com/office/drawing/2014/main" id="{00000000-0008-0000-0700-0000BA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443" name="텍스트 4">
          <a:extLst>
            <a:ext uri="{FF2B5EF4-FFF2-40B4-BE49-F238E27FC236}">
              <a16:creationId xmlns:a16="http://schemas.microsoft.com/office/drawing/2014/main" id="{00000000-0008-0000-0700-0000BB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249299" cy="204671"/>
    <xdr:sp macro="" textlink="">
      <xdr:nvSpPr>
        <xdr:cNvPr id="444" name="텍스트 5">
          <a:extLst>
            <a:ext uri="{FF2B5EF4-FFF2-40B4-BE49-F238E27FC236}">
              <a16:creationId xmlns:a16="http://schemas.microsoft.com/office/drawing/2014/main" id="{00000000-0008-0000-0700-0000BC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445" name="텍스트 6">
          <a:extLst>
            <a:ext uri="{FF2B5EF4-FFF2-40B4-BE49-F238E27FC236}">
              <a16:creationId xmlns:a16="http://schemas.microsoft.com/office/drawing/2014/main" id="{00000000-0008-0000-0700-0000BD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249299" cy="204671"/>
    <xdr:sp macro="" textlink="">
      <xdr:nvSpPr>
        <xdr:cNvPr id="446" name="텍스트 7">
          <a:extLst>
            <a:ext uri="{FF2B5EF4-FFF2-40B4-BE49-F238E27FC236}">
              <a16:creationId xmlns:a16="http://schemas.microsoft.com/office/drawing/2014/main" id="{00000000-0008-0000-0700-0000BE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447" name="텍스트 8">
          <a:extLst>
            <a:ext uri="{FF2B5EF4-FFF2-40B4-BE49-F238E27FC236}">
              <a16:creationId xmlns:a16="http://schemas.microsoft.com/office/drawing/2014/main" id="{00000000-0008-0000-0700-0000BF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249299" cy="204671"/>
    <xdr:sp macro="" textlink="">
      <xdr:nvSpPr>
        <xdr:cNvPr id="448" name="텍스트 17">
          <a:extLst>
            <a:ext uri="{FF2B5EF4-FFF2-40B4-BE49-F238E27FC236}">
              <a16:creationId xmlns:a16="http://schemas.microsoft.com/office/drawing/2014/main" id="{00000000-0008-0000-0700-0000C0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449" name="텍스트 18">
          <a:extLst>
            <a:ext uri="{FF2B5EF4-FFF2-40B4-BE49-F238E27FC236}">
              <a16:creationId xmlns:a16="http://schemas.microsoft.com/office/drawing/2014/main" id="{00000000-0008-0000-0700-0000C1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441659" cy="204671"/>
    <xdr:sp macro="" textlink="">
      <xdr:nvSpPr>
        <xdr:cNvPr id="450" name="텍스트 19">
          <a:extLst>
            <a:ext uri="{FF2B5EF4-FFF2-40B4-BE49-F238E27FC236}">
              <a16:creationId xmlns:a16="http://schemas.microsoft.com/office/drawing/2014/main" id="{00000000-0008-0000-0700-0000C2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56939" cy="204671"/>
    <xdr:sp macro="" textlink="">
      <xdr:nvSpPr>
        <xdr:cNvPr id="451" name="텍스트 20">
          <a:extLst>
            <a:ext uri="{FF2B5EF4-FFF2-40B4-BE49-F238E27FC236}">
              <a16:creationId xmlns:a16="http://schemas.microsoft.com/office/drawing/2014/main" id="{00000000-0008-0000-0700-0000C3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15</xdr:row>
      <xdr:rowOff>0</xdr:rowOff>
    </xdr:from>
    <xdr:ext cx="326243" cy="204671"/>
    <xdr:sp macro="" textlink="">
      <xdr:nvSpPr>
        <xdr:cNvPr id="452" name="텍스트 21">
          <a:extLst>
            <a:ext uri="{FF2B5EF4-FFF2-40B4-BE49-F238E27FC236}">
              <a16:creationId xmlns:a16="http://schemas.microsoft.com/office/drawing/2014/main" id="{00000000-0008-0000-0700-0000C401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287771" cy="204671"/>
    <xdr:sp macro="" textlink="">
      <xdr:nvSpPr>
        <xdr:cNvPr id="453" name="텍스트 9">
          <a:extLst>
            <a:ext uri="{FF2B5EF4-FFF2-40B4-BE49-F238E27FC236}">
              <a16:creationId xmlns:a16="http://schemas.microsoft.com/office/drawing/2014/main" id="{00000000-0008-0000-0700-0000C5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454" name="텍스트 10">
          <a:extLst>
            <a:ext uri="{FF2B5EF4-FFF2-40B4-BE49-F238E27FC236}">
              <a16:creationId xmlns:a16="http://schemas.microsoft.com/office/drawing/2014/main" id="{00000000-0008-0000-0700-0000C6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326243" cy="204671"/>
    <xdr:sp macro="" textlink="">
      <xdr:nvSpPr>
        <xdr:cNvPr id="455" name="텍스트 11">
          <a:extLst>
            <a:ext uri="{FF2B5EF4-FFF2-40B4-BE49-F238E27FC236}">
              <a16:creationId xmlns:a16="http://schemas.microsoft.com/office/drawing/2014/main" id="{00000000-0008-0000-0700-0000C7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456" name="텍스트 12">
          <a:extLst>
            <a:ext uri="{FF2B5EF4-FFF2-40B4-BE49-F238E27FC236}">
              <a16:creationId xmlns:a16="http://schemas.microsoft.com/office/drawing/2014/main" id="{00000000-0008-0000-0700-0000C8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249299" cy="204671"/>
    <xdr:sp macro="" textlink="">
      <xdr:nvSpPr>
        <xdr:cNvPr id="457" name="텍스트 13">
          <a:extLst>
            <a:ext uri="{FF2B5EF4-FFF2-40B4-BE49-F238E27FC236}">
              <a16:creationId xmlns:a16="http://schemas.microsoft.com/office/drawing/2014/main" id="{00000000-0008-0000-0700-0000C9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458" name="텍스트 14">
          <a:extLst>
            <a:ext uri="{FF2B5EF4-FFF2-40B4-BE49-F238E27FC236}">
              <a16:creationId xmlns:a16="http://schemas.microsoft.com/office/drawing/2014/main" id="{00000000-0008-0000-0700-0000CA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326243" cy="204671"/>
    <xdr:sp macro="" textlink="">
      <xdr:nvSpPr>
        <xdr:cNvPr id="459" name="텍스트 15">
          <a:extLst>
            <a:ext uri="{FF2B5EF4-FFF2-40B4-BE49-F238E27FC236}">
              <a16:creationId xmlns:a16="http://schemas.microsoft.com/office/drawing/2014/main" id="{00000000-0008-0000-0700-0000CB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460" name="텍스트 16">
          <a:extLst>
            <a:ext uri="{FF2B5EF4-FFF2-40B4-BE49-F238E27FC236}">
              <a16:creationId xmlns:a16="http://schemas.microsoft.com/office/drawing/2014/main" id="{00000000-0008-0000-0700-0000CC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287771" cy="204671"/>
    <xdr:sp macro="" textlink="">
      <xdr:nvSpPr>
        <xdr:cNvPr id="461" name="텍스트 9">
          <a:extLst>
            <a:ext uri="{FF2B5EF4-FFF2-40B4-BE49-F238E27FC236}">
              <a16:creationId xmlns:a16="http://schemas.microsoft.com/office/drawing/2014/main" id="{00000000-0008-0000-0700-0000CD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462" name="텍스트 10">
          <a:extLst>
            <a:ext uri="{FF2B5EF4-FFF2-40B4-BE49-F238E27FC236}">
              <a16:creationId xmlns:a16="http://schemas.microsoft.com/office/drawing/2014/main" id="{00000000-0008-0000-0700-0000CE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326243" cy="204671"/>
    <xdr:sp macro="" textlink="">
      <xdr:nvSpPr>
        <xdr:cNvPr id="463" name="텍스트 11">
          <a:extLst>
            <a:ext uri="{FF2B5EF4-FFF2-40B4-BE49-F238E27FC236}">
              <a16:creationId xmlns:a16="http://schemas.microsoft.com/office/drawing/2014/main" id="{00000000-0008-0000-0700-0000CF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464" name="텍스트 12">
          <a:extLst>
            <a:ext uri="{FF2B5EF4-FFF2-40B4-BE49-F238E27FC236}">
              <a16:creationId xmlns:a16="http://schemas.microsoft.com/office/drawing/2014/main" id="{00000000-0008-0000-0700-0000D0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249299" cy="204671"/>
    <xdr:sp macro="" textlink="">
      <xdr:nvSpPr>
        <xdr:cNvPr id="465" name="텍스트 13">
          <a:extLst>
            <a:ext uri="{FF2B5EF4-FFF2-40B4-BE49-F238E27FC236}">
              <a16:creationId xmlns:a16="http://schemas.microsoft.com/office/drawing/2014/main" id="{00000000-0008-0000-0700-0000D1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466" name="텍스트 14">
          <a:extLst>
            <a:ext uri="{FF2B5EF4-FFF2-40B4-BE49-F238E27FC236}">
              <a16:creationId xmlns:a16="http://schemas.microsoft.com/office/drawing/2014/main" id="{00000000-0008-0000-0700-0000D2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326243" cy="204671"/>
    <xdr:sp macro="" textlink="">
      <xdr:nvSpPr>
        <xdr:cNvPr id="467" name="텍스트 15">
          <a:extLst>
            <a:ext uri="{FF2B5EF4-FFF2-40B4-BE49-F238E27FC236}">
              <a16:creationId xmlns:a16="http://schemas.microsoft.com/office/drawing/2014/main" id="{00000000-0008-0000-0700-0000D3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3</xdr:col>
      <xdr:colOff>2121353</xdr:colOff>
      <xdr:row>16</xdr:row>
      <xdr:rowOff>0</xdr:rowOff>
    </xdr:from>
    <xdr:ext cx="56939" cy="204671"/>
    <xdr:sp macro="" textlink="">
      <xdr:nvSpPr>
        <xdr:cNvPr id="468" name="텍스트 16">
          <a:extLst>
            <a:ext uri="{FF2B5EF4-FFF2-40B4-BE49-F238E27FC236}">
              <a16:creationId xmlns:a16="http://schemas.microsoft.com/office/drawing/2014/main" id="{00000000-0008-0000-0700-0000D4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287771" cy="204671"/>
    <xdr:sp macro="" textlink="">
      <xdr:nvSpPr>
        <xdr:cNvPr id="469" name="텍스트 9">
          <a:extLst>
            <a:ext uri="{FF2B5EF4-FFF2-40B4-BE49-F238E27FC236}">
              <a16:creationId xmlns:a16="http://schemas.microsoft.com/office/drawing/2014/main" id="{00000000-0008-0000-0700-0000D5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56939" cy="204671"/>
    <xdr:sp macro="" textlink="">
      <xdr:nvSpPr>
        <xdr:cNvPr id="470" name="텍스트 10">
          <a:extLst>
            <a:ext uri="{FF2B5EF4-FFF2-40B4-BE49-F238E27FC236}">
              <a16:creationId xmlns:a16="http://schemas.microsoft.com/office/drawing/2014/main" id="{00000000-0008-0000-0700-0000D6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326243" cy="204671"/>
    <xdr:sp macro="" textlink="">
      <xdr:nvSpPr>
        <xdr:cNvPr id="471" name="텍스트 11">
          <a:extLst>
            <a:ext uri="{FF2B5EF4-FFF2-40B4-BE49-F238E27FC236}">
              <a16:creationId xmlns:a16="http://schemas.microsoft.com/office/drawing/2014/main" id="{00000000-0008-0000-0700-0000D7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56939" cy="204671"/>
    <xdr:sp macro="" textlink="">
      <xdr:nvSpPr>
        <xdr:cNvPr id="472" name="텍스트 12">
          <a:extLst>
            <a:ext uri="{FF2B5EF4-FFF2-40B4-BE49-F238E27FC236}">
              <a16:creationId xmlns:a16="http://schemas.microsoft.com/office/drawing/2014/main" id="{00000000-0008-0000-0700-0000D8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249299" cy="204671"/>
    <xdr:sp macro="" textlink="">
      <xdr:nvSpPr>
        <xdr:cNvPr id="473" name="텍스트 13">
          <a:extLst>
            <a:ext uri="{FF2B5EF4-FFF2-40B4-BE49-F238E27FC236}">
              <a16:creationId xmlns:a16="http://schemas.microsoft.com/office/drawing/2014/main" id="{00000000-0008-0000-0700-0000D9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56939" cy="204671"/>
    <xdr:sp macro="" textlink="">
      <xdr:nvSpPr>
        <xdr:cNvPr id="474" name="텍스트 14">
          <a:extLst>
            <a:ext uri="{FF2B5EF4-FFF2-40B4-BE49-F238E27FC236}">
              <a16:creationId xmlns:a16="http://schemas.microsoft.com/office/drawing/2014/main" id="{00000000-0008-0000-0700-0000DA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820511</xdr:colOff>
      <xdr:row>16</xdr:row>
      <xdr:rowOff>0</xdr:rowOff>
    </xdr:from>
    <xdr:ext cx="326243" cy="204671"/>
    <xdr:sp macro="" textlink="">
      <xdr:nvSpPr>
        <xdr:cNvPr id="475" name="텍스트 15">
          <a:extLst>
            <a:ext uri="{FF2B5EF4-FFF2-40B4-BE49-F238E27FC236}">
              <a16:creationId xmlns:a16="http://schemas.microsoft.com/office/drawing/2014/main" id="{00000000-0008-0000-0700-0000DB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2121353</xdr:colOff>
      <xdr:row>12</xdr:row>
      <xdr:rowOff>0</xdr:rowOff>
    </xdr:from>
    <xdr:ext cx="210827" cy="204671"/>
    <xdr:sp macro="" textlink="">
      <xdr:nvSpPr>
        <xdr:cNvPr id="476" name="텍스트 1">
          <a:extLst>
            <a:ext uri="{FF2B5EF4-FFF2-40B4-BE49-F238E27FC236}">
              <a16:creationId xmlns:a16="http://schemas.microsoft.com/office/drawing/2014/main" id="{00000000-0008-0000-0700-0000DC01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4</xdr:col>
      <xdr:colOff>2121353</xdr:colOff>
      <xdr:row>12</xdr:row>
      <xdr:rowOff>0</xdr:rowOff>
    </xdr:from>
    <xdr:ext cx="56939" cy="204671"/>
    <xdr:sp macro="" textlink="">
      <xdr:nvSpPr>
        <xdr:cNvPr id="477" name="텍스트 2">
          <a:extLst>
            <a:ext uri="{FF2B5EF4-FFF2-40B4-BE49-F238E27FC236}">
              <a16:creationId xmlns:a16="http://schemas.microsoft.com/office/drawing/2014/main" id="{00000000-0008-0000-0700-0000DD01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18</xdr:row>
      <xdr:rowOff>0</xdr:rowOff>
    </xdr:from>
    <xdr:ext cx="210827" cy="204671"/>
    <xdr:sp macro="" textlink="">
      <xdr:nvSpPr>
        <xdr:cNvPr id="478" name="텍스트 23">
          <a:extLst>
            <a:ext uri="{FF2B5EF4-FFF2-40B4-BE49-F238E27FC236}">
              <a16:creationId xmlns:a16="http://schemas.microsoft.com/office/drawing/2014/main" id="{00000000-0008-0000-0700-0000DE01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4</xdr:col>
      <xdr:colOff>2121353</xdr:colOff>
      <xdr:row>18</xdr:row>
      <xdr:rowOff>0</xdr:rowOff>
    </xdr:from>
    <xdr:ext cx="210827" cy="204671"/>
    <xdr:sp macro="" textlink="">
      <xdr:nvSpPr>
        <xdr:cNvPr id="479" name="텍스트 23">
          <a:extLst>
            <a:ext uri="{FF2B5EF4-FFF2-40B4-BE49-F238E27FC236}">
              <a16:creationId xmlns:a16="http://schemas.microsoft.com/office/drawing/2014/main" id="{00000000-0008-0000-0700-0000DF01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4</xdr:col>
      <xdr:colOff>2121353</xdr:colOff>
      <xdr:row>12</xdr:row>
      <xdr:rowOff>0</xdr:rowOff>
    </xdr:from>
    <xdr:ext cx="210827" cy="204671"/>
    <xdr:sp macro="" textlink="">
      <xdr:nvSpPr>
        <xdr:cNvPr id="480" name="텍스트 1">
          <a:extLst>
            <a:ext uri="{FF2B5EF4-FFF2-40B4-BE49-F238E27FC236}">
              <a16:creationId xmlns:a16="http://schemas.microsoft.com/office/drawing/2014/main" id="{00000000-0008-0000-0700-0000E0010000}"/>
            </a:ext>
          </a:extLst>
        </xdr:cNvPr>
        <xdr:cNvSpPr txBox="1">
          <a:spLocks noChangeArrowheads="1"/>
        </xdr:cNvSpPr>
      </xdr:nvSpPr>
      <xdr:spPr bwMode="auto">
        <a:xfrm>
          <a:off x="3150053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4</xdr:col>
      <xdr:colOff>2121353</xdr:colOff>
      <xdr:row>12</xdr:row>
      <xdr:rowOff>0</xdr:rowOff>
    </xdr:from>
    <xdr:ext cx="56939" cy="204671"/>
    <xdr:sp macro="" textlink="">
      <xdr:nvSpPr>
        <xdr:cNvPr id="481" name="텍스트 2">
          <a:extLst>
            <a:ext uri="{FF2B5EF4-FFF2-40B4-BE49-F238E27FC236}">
              <a16:creationId xmlns:a16="http://schemas.microsoft.com/office/drawing/2014/main" id="{00000000-0008-0000-0700-0000E1010000}"/>
            </a:ext>
          </a:extLst>
        </xdr:cNvPr>
        <xdr:cNvSpPr txBox="1">
          <a:spLocks noChangeArrowheads="1"/>
        </xdr:cNvSpPr>
      </xdr:nvSpPr>
      <xdr:spPr bwMode="auto">
        <a:xfrm>
          <a:off x="3150053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172355" cy="204671"/>
    <xdr:sp macro="" textlink="">
      <xdr:nvSpPr>
        <xdr:cNvPr id="482" name="텍스트 3">
          <a:extLst>
            <a:ext uri="{FF2B5EF4-FFF2-40B4-BE49-F238E27FC236}">
              <a16:creationId xmlns:a16="http://schemas.microsoft.com/office/drawing/2014/main" id="{00000000-0008-0000-0700-0000E2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56939" cy="204671"/>
    <xdr:sp macro="" textlink="">
      <xdr:nvSpPr>
        <xdr:cNvPr id="483" name="텍스트 4">
          <a:extLst>
            <a:ext uri="{FF2B5EF4-FFF2-40B4-BE49-F238E27FC236}">
              <a16:creationId xmlns:a16="http://schemas.microsoft.com/office/drawing/2014/main" id="{00000000-0008-0000-0700-0000E3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249299" cy="204671"/>
    <xdr:sp macro="" textlink="">
      <xdr:nvSpPr>
        <xdr:cNvPr id="484" name="텍스트 5">
          <a:extLst>
            <a:ext uri="{FF2B5EF4-FFF2-40B4-BE49-F238E27FC236}">
              <a16:creationId xmlns:a16="http://schemas.microsoft.com/office/drawing/2014/main" id="{00000000-0008-0000-0700-0000E4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56939" cy="204671"/>
    <xdr:sp macro="" textlink="">
      <xdr:nvSpPr>
        <xdr:cNvPr id="485" name="텍스트 6">
          <a:extLst>
            <a:ext uri="{FF2B5EF4-FFF2-40B4-BE49-F238E27FC236}">
              <a16:creationId xmlns:a16="http://schemas.microsoft.com/office/drawing/2014/main" id="{00000000-0008-0000-0700-0000E5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249299" cy="204671"/>
    <xdr:sp macro="" textlink="">
      <xdr:nvSpPr>
        <xdr:cNvPr id="486" name="텍스트 7">
          <a:extLst>
            <a:ext uri="{FF2B5EF4-FFF2-40B4-BE49-F238E27FC236}">
              <a16:creationId xmlns:a16="http://schemas.microsoft.com/office/drawing/2014/main" id="{00000000-0008-0000-0700-0000E6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56939" cy="204671"/>
    <xdr:sp macro="" textlink="">
      <xdr:nvSpPr>
        <xdr:cNvPr id="487" name="텍스트 8">
          <a:extLst>
            <a:ext uri="{FF2B5EF4-FFF2-40B4-BE49-F238E27FC236}">
              <a16:creationId xmlns:a16="http://schemas.microsoft.com/office/drawing/2014/main" id="{00000000-0008-0000-0700-0000E7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287771" cy="204671"/>
    <xdr:sp macro="" textlink="">
      <xdr:nvSpPr>
        <xdr:cNvPr id="488" name="텍스트 9">
          <a:extLst>
            <a:ext uri="{FF2B5EF4-FFF2-40B4-BE49-F238E27FC236}">
              <a16:creationId xmlns:a16="http://schemas.microsoft.com/office/drawing/2014/main" id="{00000000-0008-0000-0700-0000E8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489" name="텍스트 10">
          <a:extLst>
            <a:ext uri="{FF2B5EF4-FFF2-40B4-BE49-F238E27FC236}">
              <a16:creationId xmlns:a16="http://schemas.microsoft.com/office/drawing/2014/main" id="{00000000-0008-0000-0700-0000E9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326243" cy="204671"/>
    <xdr:sp macro="" textlink="">
      <xdr:nvSpPr>
        <xdr:cNvPr id="490" name="텍스트 11">
          <a:extLst>
            <a:ext uri="{FF2B5EF4-FFF2-40B4-BE49-F238E27FC236}">
              <a16:creationId xmlns:a16="http://schemas.microsoft.com/office/drawing/2014/main" id="{00000000-0008-0000-0700-0000EA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491" name="텍스트 12">
          <a:extLst>
            <a:ext uri="{FF2B5EF4-FFF2-40B4-BE49-F238E27FC236}">
              <a16:creationId xmlns:a16="http://schemas.microsoft.com/office/drawing/2014/main" id="{00000000-0008-0000-0700-0000EB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249299" cy="204671"/>
    <xdr:sp macro="" textlink="">
      <xdr:nvSpPr>
        <xdr:cNvPr id="492" name="텍스트 13">
          <a:extLst>
            <a:ext uri="{FF2B5EF4-FFF2-40B4-BE49-F238E27FC236}">
              <a16:creationId xmlns:a16="http://schemas.microsoft.com/office/drawing/2014/main" id="{00000000-0008-0000-0700-0000EC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493" name="텍스트 14">
          <a:extLst>
            <a:ext uri="{FF2B5EF4-FFF2-40B4-BE49-F238E27FC236}">
              <a16:creationId xmlns:a16="http://schemas.microsoft.com/office/drawing/2014/main" id="{00000000-0008-0000-0700-0000ED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326243" cy="204671"/>
    <xdr:sp macro="" textlink="">
      <xdr:nvSpPr>
        <xdr:cNvPr id="494" name="텍스트 15">
          <a:extLst>
            <a:ext uri="{FF2B5EF4-FFF2-40B4-BE49-F238E27FC236}">
              <a16:creationId xmlns:a16="http://schemas.microsoft.com/office/drawing/2014/main" id="{00000000-0008-0000-0700-0000EE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495" name="텍스트 16">
          <a:extLst>
            <a:ext uri="{FF2B5EF4-FFF2-40B4-BE49-F238E27FC236}">
              <a16:creationId xmlns:a16="http://schemas.microsoft.com/office/drawing/2014/main" id="{00000000-0008-0000-0700-0000EF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249299" cy="204671"/>
    <xdr:sp macro="" textlink="">
      <xdr:nvSpPr>
        <xdr:cNvPr id="496" name="텍스트 17">
          <a:extLst>
            <a:ext uri="{FF2B5EF4-FFF2-40B4-BE49-F238E27FC236}">
              <a16:creationId xmlns:a16="http://schemas.microsoft.com/office/drawing/2014/main" id="{00000000-0008-0000-0700-0000F0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56939" cy="204671"/>
    <xdr:sp macro="" textlink="">
      <xdr:nvSpPr>
        <xdr:cNvPr id="497" name="텍스트 18">
          <a:extLst>
            <a:ext uri="{FF2B5EF4-FFF2-40B4-BE49-F238E27FC236}">
              <a16:creationId xmlns:a16="http://schemas.microsoft.com/office/drawing/2014/main" id="{00000000-0008-0000-0700-0000F1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56939" cy="204671"/>
    <xdr:sp macro="" textlink="">
      <xdr:nvSpPr>
        <xdr:cNvPr id="498" name="텍스트 20">
          <a:extLst>
            <a:ext uri="{FF2B5EF4-FFF2-40B4-BE49-F238E27FC236}">
              <a16:creationId xmlns:a16="http://schemas.microsoft.com/office/drawing/2014/main" id="{00000000-0008-0000-0700-0000F2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56939" cy="204671"/>
    <xdr:sp macro="" textlink="">
      <xdr:nvSpPr>
        <xdr:cNvPr id="499" name="텍스트 22">
          <a:extLst>
            <a:ext uri="{FF2B5EF4-FFF2-40B4-BE49-F238E27FC236}">
              <a16:creationId xmlns:a16="http://schemas.microsoft.com/office/drawing/2014/main" id="{00000000-0008-0000-0700-0000F301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18</xdr:row>
      <xdr:rowOff>0</xdr:rowOff>
    </xdr:from>
    <xdr:ext cx="210827" cy="204671"/>
    <xdr:sp macro="" textlink="">
      <xdr:nvSpPr>
        <xdr:cNvPr id="500" name="텍스트 23">
          <a:extLst>
            <a:ext uri="{FF2B5EF4-FFF2-40B4-BE49-F238E27FC236}">
              <a16:creationId xmlns:a16="http://schemas.microsoft.com/office/drawing/2014/main" id="{00000000-0008-0000-0700-0000F4010000}"/>
            </a:ext>
          </a:extLst>
        </xdr:cNvPr>
        <xdr:cNvSpPr txBox="1">
          <a:spLocks noChangeArrowheads="1"/>
        </xdr:cNvSpPr>
      </xdr:nvSpPr>
      <xdr:spPr bwMode="auto">
        <a:xfrm>
          <a:off x="315005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287771" cy="204671"/>
    <xdr:sp macro="" textlink="">
      <xdr:nvSpPr>
        <xdr:cNvPr id="501" name="텍스트 9">
          <a:extLst>
            <a:ext uri="{FF2B5EF4-FFF2-40B4-BE49-F238E27FC236}">
              <a16:creationId xmlns:a16="http://schemas.microsoft.com/office/drawing/2014/main" id="{00000000-0008-0000-0700-0000F5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502" name="텍스트 10">
          <a:extLst>
            <a:ext uri="{FF2B5EF4-FFF2-40B4-BE49-F238E27FC236}">
              <a16:creationId xmlns:a16="http://schemas.microsoft.com/office/drawing/2014/main" id="{00000000-0008-0000-0700-0000F6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326243" cy="204671"/>
    <xdr:sp macro="" textlink="">
      <xdr:nvSpPr>
        <xdr:cNvPr id="503" name="텍스트 11">
          <a:extLst>
            <a:ext uri="{FF2B5EF4-FFF2-40B4-BE49-F238E27FC236}">
              <a16:creationId xmlns:a16="http://schemas.microsoft.com/office/drawing/2014/main" id="{00000000-0008-0000-0700-0000F7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504" name="텍스트 12">
          <a:extLst>
            <a:ext uri="{FF2B5EF4-FFF2-40B4-BE49-F238E27FC236}">
              <a16:creationId xmlns:a16="http://schemas.microsoft.com/office/drawing/2014/main" id="{00000000-0008-0000-0700-0000F8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249299" cy="204671"/>
    <xdr:sp macro="" textlink="">
      <xdr:nvSpPr>
        <xdr:cNvPr id="505" name="텍스트 13">
          <a:extLst>
            <a:ext uri="{FF2B5EF4-FFF2-40B4-BE49-F238E27FC236}">
              <a16:creationId xmlns:a16="http://schemas.microsoft.com/office/drawing/2014/main" id="{00000000-0008-0000-0700-0000F9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506" name="텍스트 14">
          <a:extLst>
            <a:ext uri="{FF2B5EF4-FFF2-40B4-BE49-F238E27FC236}">
              <a16:creationId xmlns:a16="http://schemas.microsoft.com/office/drawing/2014/main" id="{00000000-0008-0000-0700-0000FA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326243" cy="204671"/>
    <xdr:sp macro="" textlink="">
      <xdr:nvSpPr>
        <xdr:cNvPr id="507" name="텍스트 15">
          <a:extLst>
            <a:ext uri="{FF2B5EF4-FFF2-40B4-BE49-F238E27FC236}">
              <a16:creationId xmlns:a16="http://schemas.microsoft.com/office/drawing/2014/main" id="{00000000-0008-0000-0700-0000FB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508" name="텍스트 16">
          <a:extLst>
            <a:ext uri="{FF2B5EF4-FFF2-40B4-BE49-F238E27FC236}">
              <a16:creationId xmlns:a16="http://schemas.microsoft.com/office/drawing/2014/main" id="{00000000-0008-0000-0700-0000FC01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287771" cy="204671"/>
    <xdr:sp macro="" textlink="">
      <xdr:nvSpPr>
        <xdr:cNvPr id="509" name="텍스트 9">
          <a:extLst>
            <a:ext uri="{FF2B5EF4-FFF2-40B4-BE49-F238E27FC236}">
              <a16:creationId xmlns:a16="http://schemas.microsoft.com/office/drawing/2014/main" id="{00000000-0008-0000-0700-0000FD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56939" cy="204671"/>
    <xdr:sp macro="" textlink="">
      <xdr:nvSpPr>
        <xdr:cNvPr id="510" name="텍스트 10">
          <a:extLst>
            <a:ext uri="{FF2B5EF4-FFF2-40B4-BE49-F238E27FC236}">
              <a16:creationId xmlns:a16="http://schemas.microsoft.com/office/drawing/2014/main" id="{00000000-0008-0000-0700-0000FE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326243" cy="204671"/>
    <xdr:sp macro="" textlink="">
      <xdr:nvSpPr>
        <xdr:cNvPr id="511" name="텍스트 11">
          <a:extLst>
            <a:ext uri="{FF2B5EF4-FFF2-40B4-BE49-F238E27FC236}">
              <a16:creationId xmlns:a16="http://schemas.microsoft.com/office/drawing/2014/main" id="{00000000-0008-0000-0700-0000FF01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56939" cy="204671"/>
    <xdr:sp macro="" textlink="">
      <xdr:nvSpPr>
        <xdr:cNvPr id="512" name="텍스트 12">
          <a:extLst>
            <a:ext uri="{FF2B5EF4-FFF2-40B4-BE49-F238E27FC236}">
              <a16:creationId xmlns:a16="http://schemas.microsoft.com/office/drawing/2014/main" id="{00000000-0008-0000-0700-000000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249299" cy="204671"/>
    <xdr:sp macro="" textlink="">
      <xdr:nvSpPr>
        <xdr:cNvPr id="513" name="텍스트 13">
          <a:extLst>
            <a:ext uri="{FF2B5EF4-FFF2-40B4-BE49-F238E27FC236}">
              <a16:creationId xmlns:a16="http://schemas.microsoft.com/office/drawing/2014/main" id="{00000000-0008-0000-0700-000001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56939" cy="204671"/>
    <xdr:sp macro="" textlink="">
      <xdr:nvSpPr>
        <xdr:cNvPr id="514" name="텍스트 14">
          <a:extLst>
            <a:ext uri="{FF2B5EF4-FFF2-40B4-BE49-F238E27FC236}">
              <a16:creationId xmlns:a16="http://schemas.microsoft.com/office/drawing/2014/main" id="{00000000-0008-0000-0700-000002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326243" cy="204671"/>
    <xdr:sp macro="" textlink="">
      <xdr:nvSpPr>
        <xdr:cNvPr id="515" name="텍스트 15">
          <a:extLst>
            <a:ext uri="{FF2B5EF4-FFF2-40B4-BE49-F238E27FC236}">
              <a16:creationId xmlns:a16="http://schemas.microsoft.com/office/drawing/2014/main" id="{00000000-0008-0000-0700-000003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172355" cy="204671"/>
    <xdr:sp macro="" textlink="">
      <xdr:nvSpPr>
        <xdr:cNvPr id="516" name="텍스트 3">
          <a:extLst>
            <a:ext uri="{FF2B5EF4-FFF2-40B4-BE49-F238E27FC236}">
              <a16:creationId xmlns:a16="http://schemas.microsoft.com/office/drawing/2014/main" id="{00000000-0008-0000-0700-000004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517" name="텍스트 4">
          <a:extLst>
            <a:ext uri="{FF2B5EF4-FFF2-40B4-BE49-F238E27FC236}">
              <a16:creationId xmlns:a16="http://schemas.microsoft.com/office/drawing/2014/main" id="{00000000-0008-0000-0700-000005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249299" cy="204671"/>
    <xdr:sp macro="" textlink="">
      <xdr:nvSpPr>
        <xdr:cNvPr id="518" name="텍스트 5">
          <a:extLst>
            <a:ext uri="{FF2B5EF4-FFF2-40B4-BE49-F238E27FC236}">
              <a16:creationId xmlns:a16="http://schemas.microsoft.com/office/drawing/2014/main" id="{00000000-0008-0000-0700-000006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519" name="텍스트 6">
          <a:extLst>
            <a:ext uri="{FF2B5EF4-FFF2-40B4-BE49-F238E27FC236}">
              <a16:creationId xmlns:a16="http://schemas.microsoft.com/office/drawing/2014/main" id="{00000000-0008-0000-0700-000007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249299" cy="204671"/>
    <xdr:sp macro="" textlink="">
      <xdr:nvSpPr>
        <xdr:cNvPr id="520" name="텍스트 7">
          <a:extLst>
            <a:ext uri="{FF2B5EF4-FFF2-40B4-BE49-F238E27FC236}">
              <a16:creationId xmlns:a16="http://schemas.microsoft.com/office/drawing/2014/main" id="{00000000-0008-0000-0700-000008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521" name="텍스트 8">
          <a:extLst>
            <a:ext uri="{FF2B5EF4-FFF2-40B4-BE49-F238E27FC236}">
              <a16:creationId xmlns:a16="http://schemas.microsoft.com/office/drawing/2014/main" id="{00000000-0008-0000-0700-000009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249299" cy="204671"/>
    <xdr:sp macro="" textlink="">
      <xdr:nvSpPr>
        <xdr:cNvPr id="522" name="텍스트 17">
          <a:extLst>
            <a:ext uri="{FF2B5EF4-FFF2-40B4-BE49-F238E27FC236}">
              <a16:creationId xmlns:a16="http://schemas.microsoft.com/office/drawing/2014/main" id="{00000000-0008-0000-0700-00000A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523" name="텍스트 18">
          <a:extLst>
            <a:ext uri="{FF2B5EF4-FFF2-40B4-BE49-F238E27FC236}">
              <a16:creationId xmlns:a16="http://schemas.microsoft.com/office/drawing/2014/main" id="{00000000-0008-0000-0700-00000B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441659" cy="204671"/>
    <xdr:sp macro="" textlink="">
      <xdr:nvSpPr>
        <xdr:cNvPr id="524" name="텍스트 19">
          <a:extLst>
            <a:ext uri="{FF2B5EF4-FFF2-40B4-BE49-F238E27FC236}">
              <a16:creationId xmlns:a16="http://schemas.microsoft.com/office/drawing/2014/main" id="{00000000-0008-0000-0700-00000C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525" name="텍스트 20">
          <a:extLst>
            <a:ext uri="{FF2B5EF4-FFF2-40B4-BE49-F238E27FC236}">
              <a16:creationId xmlns:a16="http://schemas.microsoft.com/office/drawing/2014/main" id="{00000000-0008-0000-0700-00000D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326243" cy="204671"/>
    <xdr:sp macro="" textlink="">
      <xdr:nvSpPr>
        <xdr:cNvPr id="526" name="텍스트 21">
          <a:extLst>
            <a:ext uri="{FF2B5EF4-FFF2-40B4-BE49-F238E27FC236}">
              <a16:creationId xmlns:a16="http://schemas.microsoft.com/office/drawing/2014/main" id="{00000000-0008-0000-0700-00000E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527" name="텍스트 22">
          <a:extLst>
            <a:ext uri="{FF2B5EF4-FFF2-40B4-BE49-F238E27FC236}">
              <a16:creationId xmlns:a16="http://schemas.microsoft.com/office/drawing/2014/main" id="{00000000-0008-0000-0700-00000F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172355" cy="204671"/>
    <xdr:sp macro="" textlink="">
      <xdr:nvSpPr>
        <xdr:cNvPr id="528" name="텍스트 3">
          <a:extLst>
            <a:ext uri="{FF2B5EF4-FFF2-40B4-BE49-F238E27FC236}">
              <a16:creationId xmlns:a16="http://schemas.microsoft.com/office/drawing/2014/main" id="{00000000-0008-0000-0700-000010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56939" cy="204671"/>
    <xdr:sp macro="" textlink="">
      <xdr:nvSpPr>
        <xdr:cNvPr id="529" name="텍스트 4">
          <a:extLst>
            <a:ext uri="{FF2B5EF4-FFF2-40B4-BE49-F238E27FC236}">
              <a16:creationId xmlns:a16="http://schemas.microsoft.com/office/drawing/2014/main" id="{00000000-0008-0000-0700-000011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249299" cy="204671"/>
    <xdr:sp macro="" textlink="">
      <xdr:nvSpPr>
        <xdr:cNvPr id="530" name="텍스트 5">
          <a:extLst>
            <a:ext uri="{FF2B5EF4-FFF2-40B4-BE49-F238E27FC236}">
              <a16:creationId xmlns:a16="http://schemas.microsoft.com/office/drawing/2014/main" id="{00000000-0008-0000-0700-000012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56939" cy="204671"/>
    <xdr:sp macro="" textlink="">
      <xdr:nvSpPr>
        <xdr:cNvPr id="531" name="텍스트 6">
          <a:extLst>
            <a:ext uri="{FF2B5EF4-FFF2-40B4-BE49-F238E27FC236}">
              <a16:creationId xmlns:a16="http://schemas.microsoft.com/office/drawing/2014/main" id="{00000000-0008-0000-0700-000013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249299" cy="204671"/>
    <xdr:sp macro="" textlink="">
      <xdr:nvSpPr>
        <xdr:cNvPr id="532" name="텍스트 7">
          <a:extLst>
            <a:ext uri="{FF2B5EF4-FFF2-40B4-BE49-F238E27FC236}">
              <a16:creationId xmlns:a16="http://schemas.microsoft.com/office/drawing/2014/main" id="{00000000-0008-0000-0700-000014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56939" cy="204671"/>
    <xdr:sp macro="" textlink="">
      <xdr:nvSpPr>
        <xdr:cNvPr id="533" name="텍스트 8">
          <a:extLst>
            <a:ext uri="{FF2B5EF4-FFF2-40B4-BE49-F238E27FC236}">
              <a16:creationId xmlns:a16="http://schemas.microsoft.com/office/drawing/2014/main" id="{00000000-0008-0000-0700-000015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249299" cy="204671"/>
    <xdr:sp macro="" textlink="">
      <xdr:nvSpPr>
        <xdr:cNvPr id="534" name="텍스트 17">
          <a:extLst>
            <a:ext uri="{FF2B5EF4-FFF2-40B4-BE49-F238E27FC236}">
              <a16:creationId xmlns:a16="http://schemas.microsoft.com/office/drawing/2014/main" id="{00000000-0008-0000-0700-000016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56939" cy="204671"/>
    <xdr:sp macro="" textlink="">
      <xdr:nvSpPr>
        <xdr:cNvPr id="535" name="텍스트 18">
          <a:extLst>
            <a:ext uri="{FF2B5EF4-FFF2-40B4-BE49-F238E27FC236}">
              <a16:creationId xmlns:a16="http://schemas.microsoft.com/office/drawing/2014/main" id="{00000000-0008-0000-0700-000017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56939" cy="204671"/>
    <xdr:sp macro="" textlink="">
      <xdr:nvSpPr>
        <xdr:cNvPr id="536" name="텍스트 20">
          <a:extLst>
            <a:ext uri="{FF2B5EF4-FFF2-40B4-BE49-F238E27FC236}">
              <a16:creationId xmlns:a16="http://schemas.microsoft.com/office/drawing/2014/main" id="{00000000-0008-0000-0700-000018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15</xdr:row>
      <xdr:rowOff>0</xdr:rowOff>
    </xdr:from>
    <xdr:ext cx="56939" cy="204671"/>
    <xdr:sp macro="" textlink="">
      <xdr:nvSpPr>
        <xdr:cNvPr id="537" name="텍스트 22">
          <a:extLst>
            <a:ext uri="{FF2B5EF4-FFF2-40B4-BE49-F238E27FC236}">
              <a16:creationId xmlns:a16="http://schemas.microsoft.com/office/drawing/2014/main" id="{00000000-0008-0000-0700-000019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172355" cy="204671"/>
    <xdr:sp macro="" textlink="">
      <xdr:nvSpPr>
        <xdr:cNvPr id="538" name="텍스트 3">
          <a:extLst>
            <a:ext uri="{FF2B5EF4-FFF2-40B4-BE49-F238E27FC236}">
              <a16:creationId xmlns:a16="http://schemas.microsoft.com/office/drawing/2014/main" id="{00000000-0008-0000-0700-00001A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539" name="텍스트 4">
          <a:extLst>
            <a:ext uri="{FF2B5EF4-FFF2-40B4-BE49-F238E27FC236}">
              <a16:creationId xmlns:a16="http://schemas.microsoft.com/office/drawing/2014/main" id="{00000000-0008-0000-0700-00001B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249299" cy="204671"/>
    <xdr:sp macro="" textlink="">
      <xdr:nvSpPr>
        <xdr:cNvPr id="540" name="텍스트 5">
          <a:extLst>
            <a:ext uri="{FF2B5EF4-FFF2-40B4-BE49-F238E27FC236}">
              <a16:creationId xmlns:a16="http://schemas.microsoft.com/office/drawing/2014/main" id="{00000000-0008-0000-0700-00001C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541" name="텍스트 6">
          <a:extLst>
            <a:ext uri="{FF2B5EF4-FFF2-40B4-BE49-F238E27FC236}">
              <a16:creationId xmlns:a16="http://schemas.microsoft.com/office/drawing/2014/main" id="{00000000-0008-0000-0700-00001D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249299" cy="204671"/>
    <xdr:sp macro="" textlink="">
      <xdr:nvSpPr>
        <xdr:cNvPr id="542" name="텍스트 7">
          <a:extLst>
            <a:ext uri="{FF2B5EF4-FFF2-40B4-BE49-F238E27FC236}">
              <a16:creationId xmlns:a16="http://schemas.microsoft.com/office/drawing/2014/main" id="{00000000-0008-0000-0700-00001E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543" name="텍스트 8">
          <a:extLst>
            <a:ext uri="{FF2B5EF4-FFF2-40B4-BE49-F238E27FC236}">
              <a16:creationId xmlns:a16="http://schemas.microsoft.com/office/drawing/2014/main" id="{00000000-0008-0000-0700-00001F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249299" cy="204671"/>
    <xdr:sp macro="" textlink="">
      <xdr:nvSpPr>
        <xdr:cNvPr id="544" name="텍스트 17">
          <a:extLst>
            <a:ext uri="{FF2B5EF4-FFF2-40B4-BE49-F238E27FC236}">
              <a16:creationId xmlns:a16="http://schemas.microsoft.com/office/drawing/2014/main" id="{00000000-0008-0000-0700-000020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545" name="텍스트 18">
          <a:extLst>
            <a:ext uri="{FF2B5EF4-FFF2-40B4-BE49-F238E27FC236}">
              <a16:creationId xmlns:a16="http://schemas.microsoft.com/office/drawing/2014/main" id="{00000000-0008-0000-0700-000021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441659" cy="204671"/>
    <xdr:sp macro="" textlink="">
      <xdr:nvSpPr>
        <xdr:cNvPr id="546" name="텍스트 19">
          <a:extLst>
            <a:ext uri="{FF2B5EF4-FFF2-40B4-BE49-F238E27FC236}">
              <a16:creationId xmlns:a16="http://schemas.microsoft.com/office/drawing/2014/main" id="{00000000-0008-0000-0700-000022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56939" cy="204671"/>
    <xdr:sp macro="" textlink="">
      <xdr:nvSpPr>
        <xdr:cNvPr id="547" name="텍스트 20">
          <a:extLst>
            <a:ext uri="{FF2B5EF4-FFF2-40B4-BE49-F238E27FC236}">
              <a16:creationId xmlns:a16="http://schemas.microsoft.com/office/drawing/2014/main" id="{00000000-0008-0000-0700-000023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15</xdr:row>
      <xdr:rowOff>0</xdr:rowOff>
    </xdr:from>
    <xdr:ext cx="326243" cy="204671"/>
    <xdr:sp macro="" textlink="">
      <xdr:nvSpPr>
        <xdr:cNvPr id="548" name="텍스트 21">
          <a:extLst>
            <a:ext uri="{FF2B5EF4-FFF2-40B4-BE49-F238E27FC236}">
              <a16:creationId xmlns:a16="http://schemas.microsoft.com/office/drawing/2014/main" id="{00000000-0008-0000-0700-000024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287771" cy="204671"/>
    <xdr:sp macro="" textlink="">
      <xdr:nvSpPr>
        <xdr:cNvPr id="549" name="텍스트 9">
          <a:extLst>
            <a:ext uri="{FF2B5EF4-FFF2-40B4-BE49-F238E27FC236}">
              <a16:creationId xmlns:a16="http://schemas.microsoft.com/office/drawing/2014/main" id="{00000000-0008-0000-0700-000025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550" name="텍스트 10">
          <a:extLst>
            <a:ext uri="{FF2B5EF4-FFF2-40B4-BE49-F238E27FC236}">
              <a16:creationId xmlns:a16="http://schemas.microsoft.com/office/drawing/2014/main" id="{00000000-0008-0000-0700-000026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326243" cy="204671"/>
    <xdr:sp macro="" textlink="">
      <xdr:nvSpPr>
        <xdr:cNvPr id="551" name="텍스트 11">
          <a:extLst>
            <a:ext uri="{FF2B5EF4-FFF2-40B4-BE49-F238E27FC236}">
              <a16:creationId xmlns:a16="http://schemas.microsoft.com/office/drawing/2014/main" id="{00000000-0008-0000-0700-000027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552" name="텍스트 12">
          <a:extLst>
            <a:ext uri="{FF2B5EF4-FFF2-40B4-BE49-F238E27FC236}">
              <a16:creationId xmlns:a16="http://schemas.microsoft.com/office/drawing/2014/main" id="{00000000-0008-0000-0700-000028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249299" cy="204671"/>
    <xdr:sp macro="" textlink="">
      <xdr:nvSpPr>
        <xdr:cNvPr id="553" name="텍스트 13">
          <a:extLst>
            <a:ext uri="{FF2B5EF4-FFF2-40B4-BE49-F238E27FC236}">
              <a16:creationId xmlns:a16="http://schemas.microsoft.com/office/drawing/2014/main" id="{00000000-0008-0000-0700-000029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554" name="텍스트 14">
          <a:extLst>
            <a:ext uri="{FF2B5EF4-FFF2-40B4-BE49-F238E27FC236}">
              <a16:creationId xmlns:a16="http://schemas.microsoft.com/office/drawing/2014/main" id="{00000000-0008-0000-0700-00002A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326243" cy="204671"/>
    <xdr:sp macro="" textlink="">
      <xdr:nvSpPr>
        <xdr:cNvPr id="555" name="텍스트 15">
          <a:extLst>
            <a:ext uri="{FF2B5EF4-FFF2-40B4-BE49-F238E27FC236}">
              <a16:creationId xmlns:a16="http://schemas.microsoft.com/office/drawing/2014/main" id="{00000000-0008-0000-0700-00002B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556" name="텍스트 16">
          <a:extLst>
            <a:ext uri="{FF2B5EF4-FFF2-40B4-BE49-F238E27FC236}">
              <a16:creationId xmlns:a16="http://schemas.microsoft.com/office/drawing/2014/main" id="{00000000-0008-0000-0700-00002C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287771" cy="204671"/>
    <xdr:sp macro="" textlink="">
      <xdr:nvSpPr>
        <xdr:cNvPr id="557" name="텍스트 9">
          <a:extLst>
            <a:ext uri="{FF2B5EF4-FFF2-40B4-BE49-F238E27FC236}">
              <a16:creationId xmlns:a16="http://schemas.microsoft.com/office/drawing/2014/main" id="{00000000-0008-0000-0700-00002D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558" name="텍스트 10">
          <a:extLst>
            <a:ext uri="{FF2B5EF4-FFF2-40B4-BE49-F238E27FC236}">
              <a16:creationId xmlns:a16="http://schemas.microsoft.com/office/drawing/2014/main" id="{00000000-0008-0000-0700-00002E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326243" cy="204671"/>
    <xdr:sp macro="" textlink="">
      <xdr:nvSpPr>
        <xdr:cNvPr id="559" name="텍스트 11">
          <a:extLst>
            <a:ext uri="{FF2B5EF4-FFF2-40B4-BE49-F238E27FC236}">
              <a16:creationId xmlns:a16="http://schemas.microsoft.com/office/drawing/2014/main" id="{00000000-0008-0000-0700-00002F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560" name="텍스트 12">
          <a:extLst>
            <a:ext uri="{FF2B5EF4-FFF2-40B4-BE49-F238E27FC236}">
              <a16:creationId xmlns:a16="http://schemas.microsoft.com/office/drawing/2014/main" id="{00000000-0008-0000-0700-000030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249299" cy="204671"/>
    <xdr:sp macro="" textlink="">
      <xdr:nvSpPr>
        <xdr:cNvPr id="561" name="텍스트 13">
          <a:extLst>
            <a:ext uri="{FF2B5EF4-FFF2-40B4-BE49-F238E27FC236}">
              <a16:creationId xmlns:a16="http://schemas.microsoft.com/office/drawing/2014/main" id="{00000000-0008-0000-0700-000031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562" name="텍스트 14">
          <a:extLst>
            <a:ext uri="{FF2B5EF4-FFF2-40B4-BE49-F238E27FC236}">
              <a16:creationId xmlns:a16="http://schemas.microsoft.com/office/drawing/2014/main" id="{00000000-0008-0000-0700-000032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326243" cy="204671"/>
    <xdr:sp macro="" textlink="">
      <xdr:nvSpPr>
        <xdr:cNvPr id="563" name="텍스트 15">
          <a:extLst>
            <a:ext uri="{FF2B5EF4-FFF2-40B4-BE49-F238E27FC236}">
              <a16:creationId xmlns:a16="http://schemas.microsoft.com/office/drawing/2014/main" id="{00000000-0008-0000-0700-000033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4</xdr:col>
      <xdr:colOff>2121353</xdr:colOff>
      <xdr:row>16</xdr:row>
      <xdr:rowOff>0</xdr:rowOff>
    </xdr:from>
    <xdr:ext cx="56939" cy="204671"/>
    <xdr:sp macro="" textlink="">
      <xdr:nvSpPr>
        <xdr:cNvPr id="564" name="텍스트 16">
          <a:extLst>
            <a:ext uri="{FF2B5EF4-FFF2-40B4-BE49-F238E27FC236}">
              <a16:creationId xmlns:a16="http://schemas.microsoft.com/office/drawing/2014/main" id="{00000000-0008-0000-0700-000034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287771" cy="204671"/>
    <xdr:sp macro="" textlink="">
      <xdr:nvSpPr>
        <xdr:cNvPr id="565" name="텍스트 9">
          <a:extLst>
            <a:ext uri="{FF2B5EF4-FFF2-40B4-BE49-F238E27FC236}">
              <a16:creationId xmlns:a16="http://schemas.microsoft.com/office/drawing/2014/main" id="{00000000-0008-0000-0700-000035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56939" cy="204671"/>
    <xdr:sp macro="" textlink="">
      <xdr:nvSpPr>
        <xdr:cNvPr id="566" name="텍스트 10">
          <a:extLst>
            <a:ext uri="{FF2B5EF4-FFF2-40B4-BE49-F238E27FC236}">
              <a16:creationId xmlns:a16="http://schemas.microsoft.com/office/drawing/2014/main" id="{00000000-0008-0000-0700-000036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326243" cy="204671"/>
    <xdr:sp macro="" textlink="">
      <xdr:nvSpPr>
        <xdr:cNvPr id="567" name="텍스트 11">
          <a:extLst>
            <a:ext uri="{FF2B5EF4-FFF2-40B4-BE49-F238E27FC236}">
              <a16:creationId xmlns:a16="http://schemas.microsoft.com/office/drawing/2014/main" id="{00000000-0008-0000-0700-000037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56939" cy="204671"/>
    <xdr:sp macro="" textlink="">
      <xdr:nvSpPr>
        <xdr:cNvPr id="568" name="텍스트 12">
          <a:extLst>
            <a:ext uri="{FF2B5EF4-FFF2-40B4-BE49-F238E27FC236}">
              <a16:creationId xmlns:a16="http://schemas.microsoft.com/office/drawing/2014/main" id="{00000000-0008-0000-0700-000038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249299" cy="204671"/>
    <xdr:sp macro="" textlink="">
      <xdr:nvSpPr>
        <xdr:cNvPr id="569" name="텍스트 13">
          <a:extLst>
            <a:ext uri="{FF2B5EF4-FFF2-40B4-BE49-F238E27FC236}">
              <a16:creationId xmlns:a16="http://schemas.microsoft.com/office/drawing/2014/main" id="{00000000-0008-0000-0700-000039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56939" cy="204671"/>
    <xdr:sp macro="" textlink="">
      <xdr:nvSpPr>
        <xdr:cNvPr id="570" name="텍스트 14">
          <a:extLst>
            <a:ext uri="{FF2B5EF4-FFF2-40B4-BE49-F238E27FC236}">
              <a16:creationId xmlns:a16="http://schemas.microsoft.com/office/drawing/2014/main" id="{00000000-0008-0000-0700-00003A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820511</xdr:colOff>
      <xdr:row>16</xdr:row>
      <xdr:rowOff>0</xdr:rowOff>
    </xdr:from>
    <xdr:ext cx="326243" cy="204671"/>
    <xdr:sp macro="" textlink="">
      <xdr:nvSpPr>
        <xdr:cNvPr id="571" name="텍스트 15">
          <a:extLst>
            <a:ext uri="{FF2B5EF4-FFF2-40B4-BE49-F238E27FC236}">
              <a16:creationId xmlns:a16="http://schemas.microsoft.com/office/drawing/2014/main" id="{00000000-0008-0000-0700-00003B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12</xdr:row>
      <xdr:rowOff>0</xdr:rowOff>
    </xdr:from>
    <xdr:ext cx="210827" cy="204671"/>
    <xdr:sp macro="" textlink="">
      <xdr:nvSpPr>
        <xdr:cNvPr id="572" name="텍스트 1">
          <a:extLst>
            <a:ext uri="{FF2B5EF4-FFF2-40B4-BE49-F238E27FC236}">
              <a16:creationId xmlns:a16="http://schemas.microsoft.com/office/drawing/2014/main" id="{00000000-0008-0000-0700-00003C02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12</xdr:row>
      <xdr:rowOff>0</xdr:rowOff>
    </xdr:from>
    <xdr:ext cx="56939" cy="204671"/>
    <xdr:sp macro="" textlink="">
      <xdr:nvSpPr>
        <xdr:cNvPr id="573" name="텍스트 2">
          <a:extLst>
            <a:ext uri="{FF2B5EF4-FFF2-40B4-BE49-F238E27FC236}">
              <a16:creationId xmlns:a16="http://schemas.microsoft.com/office/drawing/2014/main" id="{00000000-0008-0000-0700-00003D02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574" name="텍스트 23">
          <a:extLst>
            <a:ext uri="{FF2B5EF4-FFF2-40B4-BE49-F238E27FC236}">
              <a16:creationId xmlns:a16="http://schemas.microsoft.com/office/drawing/2014/main" id="{00000000-0008-0000-0700-00003E02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575" name="텍스트 23">
          <a:extLst>
            <a:ext uri="{FF2B5EF4-FFF2-40B4-BE49-F238E27FC236}">
              <a16:creationId xmlns:a16="http://schemas.microsoft.com/office/drawing/2014/main" id="{00000000-0008-0000-0700-00003F02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12</xdr:row>
      <xdr:rowOff>0</xdr:rowOff>
    </xdr:from>
    <xdr:ext cx="210827" cy="204671"/>
    <xdr:sp macro="" textlink="">
      <xdr:nvSpPr>
        <xdr:cNvPr id="576" name="텍스트 1">
          <a:extLst>
            <a:ext uri="{FF2B5EF4-FFF2-40B4-BE49-F238E27FC236}">
              <a16:creationId xmlns:a16="http://schemas.microsoft.com/office/drawing/2014/main" id="{00000000-0008-0000-0700-00004002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12</xdr:row>
      <xdr:rowOff>0</xdr:rowOff>
    </xdr:from>
    <xdr:ext cx="56939" cy="204671"/>
    <xdr:sp macro="" textlink="">
      <xdr:nvSpPr>
        <xdr:cNvPr id="577" name="텍스트 2">
          <a:extLst>
            <a:ext uri="{FF2B5EF4-FFF2-40B4-BE49-F238E27FC236}">
              <a16:creationId xmlns:a16="http://schemas.microsoft.com/office/drawing/2014/main" id="{00000000-0008-0000-0700-00004102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172355" cy="204671"/>
    <xdr:sp macro="" textlink="">
      <xdr:nvSpPr>
        <xdr:cNvPr id="578" name="텍스트 3">
          <a:extLst>
            <a:ext uri="{FF2B5EF4-FFF2-40B4-BE49-F238E27FC236}">
              <a16:creationId xmlns:a16="http://schemas.microsoft.com/office/drawing/2014/main" id="{00000000-0008-0000-0700-000042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579" name="텍스트 4">
          <a:extLst>
            <a:ext uri="{FF2B5EF4-FFF2-40B4-BE49-F238E27FC236}">
              <a16:creationId xmlns:a16="http://schemas.microsoft.com/office/drawing/2014/main" id="{00000000-0008-0000-0700-000043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249299" cy="204671"/>
    <xdr:sp macro="" textlink="">
      <xdr:nvSpPr>
        <xdr:cNvPr id="580" name="텍스트 5">
          <a:extLst>
            <a:ext uri="{FF2B5EF4-FFF2-40B4-BE49-F238E27FC236}">
              <a16:creationId xmlns:a16="http://schemas.microsoft.com/office/drawing/2014/main" id="{00000000-0008-0000-0700-000044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581" name="텍스트 6">
          <a:extLst>
            <a:ext uri="{FF2B5EF4-FFF2-40B4-BE49-F238E27FC236}">
              <a16:creationId xmlns:a16="http://schemas.microsoft.com/office/drawing/2014/main" id="{00000000-0008-0000-0700-000045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249299" cy="204671"/>
    <xdr:sp macro="" textlink="">
      <xdr:nvSpPr>
        <xdr:cNvPr id="582" name="텍스트 7">
          <a:extLst>
            <a:ext uri="{FF2B5EF4-FFF2-40B4-BE49-F238E27FC236}">
              <a16:creationId xmlns:a16="http://schemas.microsoft.com/office/drawing/2014/main" id="{00000000-0008-0000-0700-000046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583" name="텍스트 8">
          <a:extLst>
            <a:ext uri="{FF2B5EF4-FFF2-40B4-BE49-F238E27FC236}">
              <a16:creationId xmlns:a16="http://schemas.microsoft.com/office/drawing/2014/main" id="{00000000-0008-0000-0700-000047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87771" cy="204671"/>
    <xdr:sp macro="" textlink="">
      <xdr:nvSpPr>
        <xdr:cNvPr id="584" name="텍스트 9">
          <a:extLst>
            <a:ext uri="{FF2B5EF4-FFF2-40B4-BE49-F238E27FC236}">
              <a16:creationId xmlns:a16="http://schemas.microsoft.com/office/drawing/2014/main" id="{00000000-0008-0000-0700-000048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585" name="텍스트 10">
          <a:extLst>
            <a:ext uri="{FF2B5EF4-FFF2-40B4-BE49-F238E27FC236}">
              <a16:creationId xmlns:a16="http://schemas.microsoft.com/office/drawing/2014/main" id="{00000000-0008-0000-0700-000049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586" name="텍스트 11">
          <a:extLst>
            <a:ext uri="{FF2B5EF4-FFF2-40B4-BE49-F238E27FC236}">
              <a16:creationId xmlns:a16="http://schemas.microsoft.com/office/drawing/2014/main" id="{00000000-0008-0000-0700-00004A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587" name="텍스트 12">
          <a:extLst>
            <a:ext uri="{FF2B5EF4-FFF2-40B4-BE49-F238E27FC236}">
              <a16:creationId xmlns:a16="http://schemas.microsoft.com/office/drawing/2014/main" id="{00000000-0008-0000-0700-00004B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49299" cy="204671"/>
    <xdr:sp macro="" textlink="">
      <xdr:nvSpPr>
        <xdr:cNvPr id="588" name="텍스트 13">
          <a:extLst>
            <a:ext uri="{FF2B5EF4-FFF2-40B4-BE49-F238E27FC236}">
              <a16:creationId xmlns:a16="http://schemas.microsoft.com/office/drawing/2014/main" id="{00000000-0008-0000-0700-00004C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589" name="텍스트 14">
          <a:extLst>
            <a:ext uri="{FF2B5EF4-FFF2-40B4-BE49-F238E27FC236}">
              <a16:creationId xmlns:a16="http://schemas.microsoft.com/office/drawing/2014/main" id="{00000000-0008-0000-0700-00004D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590" name="텍스트 15">
          <a:extLst>
            <a:ext uri="{FF2B5EF4-FFF2-40B4-BE49-F238E27FC236}">
              <a16:creationId xmlns:a16="http://schemas.microsoft.com/office/drawing/2014/main" id="{00000000-0008-0000-0700-00004E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591" name="텍스트 16">
          <a:extLst>
            <a:ext uri="{FF2B5EF4-FFF2-40B4-BE49-F238E27FC236}">
              <a16:creationId xmlns:a16="http://schemas.microsoft.com/office/drawing/2014/main" id="{00000000-0008-0000-0700-00004F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249299" cy="204671"/>
    <xdr:sp macro="" textlink="">
      <xdr:nvSpPr>
        <xdr:cNvPr id="592" name="텍스트 17">
          <a:extLst>
            <a:ext uri="{FF2B5EF4-FFF2-40B4-BE49-F238E27FC236}">
              <a16:creationId xmlns:a16="http://schemas.microsoft.com/office/drawing/2014/main" id="{00000000-0008-0000-0700-000050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593" name="텍스트 18">
          <a:extLst>
            <a:ext uri="{FF2B5EF4-FFF2-40B4-BE49-F238E27FC236}">
              <a16:creationId xmlns:a16="http://schemas.microsoft.com/office/drawing/2014/main" id="{00000000-0008-0000-0700-000051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594" name="텍스트 20">
          <a:extLst>
            <a:ext uri="{FF2B5EF4-FFF2-40B4-BE49-F238E27FC236}">
              <a16:creationId xmlns:a16="http://schemas.microsoft.com/office/drawing/2014/main" id="{00000000-0008-0000-0700-000052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595" name="텍스트 22">
          <a:extLst>
            <a:ext uri="{FF2B5EF4-FFF2-40B4-BE49-F238E27FC236}">
              <a16:creationId xmlns:a16="http://schemas.microsoft.com/office/drawing/2014/main" id="{00000000-0008-0000-0700-000053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596" name="텍스트 23">
          <a:extLst>
            <a:ext uri="{FF2B5EF4-FFF2-40B4-BE49-F238E27FC236}">
              <a16:creationId xmlns:a16="http://schemas.microsoft.com/office/drawing/2014/main" id="{00000000-0008-0000-0700-00005402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87771" cy="204671"/>
    <xdr:sp macro="" textlink="">
      <xdr:nvSpPr>
        <xdr:cNvPr id="597" name="텍스트 9">
          <a:extLst>
            <a:ext uri="{FF2B5EF4-FFF2-40B4-BE49-F238E27FC236}">
              <a16:creationId xmlns:a16="http://schemas.microsoft.com/office/drawing/2014/main" id="{00000000-0008-0000-0700-000055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598" name="텍스트 10">
          <a:extLst>
            <a:ext uri="{FF2B5EF4-FFF2-40B4-BE49-F238E27FC236}">
              <a16:creationId xmlns:a16="http://schemas.microsoft.com/office/drawing/2014/main" id="{00000000-0008-0000-0700-000056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599" name="텍스트 11">
          <a:extLst>
            <a:ext uri="{FF2B5EF4-FFF2-40B4-BE49-F238E27FC236}">
              <a16:creationId xmlns:a16="http://schemas.microsoft.com/office/drawing/2014/main" id="{00000000-0008-0000-0700-000057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00" name="텍스트 12">
          <a:extLst>
            <a:ext uri="{FF2B5EF4-FFF2-40B4-BE49-F238E27FC236}">
              <a16:creationId xmlns:a16="http://schemas.microsoft.com/office/drawing/2014/main" id="{00000000-0008-0000-0700-000058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49299" cy="204671"/>
    <xdr:sp macro="" textlink="">
      <xdr:nvSpPr>
        <xdr:cNvPr id="601" name="텍스트 13">
          <a:extLst>
            <a:ext uri="{FF2B5EF4-FFF2-40B4-BE49-F238E27FC236}">
              <a16:creationId xmlns:a16="http://schemas.microsoft.com/office/drawing/2014/main" id="{00000000-0008-0000-0700-000059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02" name="텍스트 14">
          <a:extLst>
            <a:ext uri="{FF2B5EF4-FFF2-40B4-BE49-F238E27FC236}">
              <a16:creationId xmlns:a16="http://schemas.microsoft.com/office/drawing/2014/main" id="{00000000-0008-0000-0700-00005A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603" name="텍스트 15">
          <a:extLst>
            <a:ext uri="{FF2B5EF4-FFF2-40B4-BE49-F238E27FC236}">
              <a16:creationId xmlns:a16="http://schemas.microsoft.com/office/drawing/2014/main" id="{00000000-0008-0000-0700-00005B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04" name="텍스트 16">
          <a:extLst>
            <a:ext uri="{FF2B5EF4-FFF2-40B4-BE49-F238E27FC236}">
              <a16:creationId xmlns:a16="http://schemas.microsoft.com/office/drawing/2014/main" id="{00000000-0008-0000-0700-00005C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172355" cy="204671"/>
    <xdr:sp macro="" textlink="">
      <xdr:nvSpPr>
        <xdr:cNvPr id="605" name="텍스트 3">
          <a:extLst>
            <a:ext uri="{FF2B5EF4-FFF2-40B4-BE49-F238E27FC236}">
              <a16:creationId xmlns:a16="http://schemas.microsoft.com/office/drawing/2014/main" id="{00000000-0008-0000-0700-00005D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06" name="텍스트 4">
          <a:extLst>
            <a:ext uri="{FF2B5EF4-FFF2-40B4-BE49-F238E27FC236}">
              <a16:creationId xmlns:a16="http://schemas.microsoft.com/office/drawing/2014/main" id="{00000000-0008-0000-0700-00005E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249299" cy="204671"/>
    <xdr:sp macro="" textlink="">
      <xdr:nvSpPr>
        <xdr:cNvPr id="607" name="텍스트 5">
          <a:extLst>
            <a:ext uri="{FF2B5EF4-FFF2-40B4-BE49-F238E27FC236}">
              <a16:creationId xmlns:a16="http://schemas.microsoft.com/office/drawing/2014/main" id="{00000000-0008-0000-0700-00005F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08" name="텍스트 6">
          <a:extLst>
            <a:ext uri="{FF2B5EF4-FFF2-40B4-BE49-F238E27FC236}">
              <a16:creationId xmlns:a16="http://schemas.microsoft.com/office/drawing/2014/main" id="{00000000-0008-0000-0700-000060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249299" cy="204671"/>
    <xdr:sp macro="" textlink="">
      <xdr:nvSpPr>
        <xdr:cNvPr id="609" name="텍스트 7">
          <a:extLst>
            <a:ext uri="{FF2B5EF4-FFF2-40B4-BE49-F238E27FC236}">
              <a16:creationId xmlns:a16="http://schemas.microsoft.com/office/drawing/2014/main" id="{00000000-0008-0000-0700-000061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10" name="텍스트 8">
          <a:extLst>
            <a:ext uri="{FF2B5EF4-FFF2-40B4-BE49-F238E27FC236}">
              <a16:creationId xmlns:a16="http://schemas.microsoft.com/office/drawing/2014/main" id="{00000000-0008-0000-0700-000062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249299" cy="204671"/>
    <xdr:sp macro="" textlink="">
      <xdr:nvSpPr>
        <xdr:cNvPr id="611" name="텍스트 17">
          <a:extLst>
            <a:ext uri="{FF2B5EF4-FFF2-40B4-BE49-F238E27FC236}">
              <a16:creationId xmlns:a16="http://schemas.microsoft.com/office/drawing/2014/main" id="{00000000-0008-0000-0700-000063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12" name="텍스트 18">
          <a:extLst>
            <a:ext uri="{FF2B5EF4-FFF2-40B4-BE49-F238E27FC236}">
              <a16:creationId xmlns:a16="http://schemas.microsoft.com/office/drawing/2014/main" id="{00000000-0008-0000-0700-000064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13" name="텍스트 20">
          <a:extLst>
            <a:ext uri="{FF2B5EF4-FFF2-40B4-BE49-F238E27FC236}">
              <a16:creationId xmlns:a16="http://schemas.microsoft.com/office/drawing/2014/main" id="{00000000-0008-0000-0700-000065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14" name="텍스트 22">
          <a:extLst>
            <a:ext uri="{FF2B5EF4-FFF2-40B4-BE49-F238E27FC236}">
              <a16:creationId xmlns:a16="http://schemas.microsoft.com/office/drawing/2014/main" id="{00000000-0008-0000-0700-000066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87771" cy="204671"/>
    <xdr:sp macro="" textlink="">
      <xdr:nvSpPr>
        <xdr:cNvPr id="615" name="텍스트 9">
          <a:extLst>
            <a:ext uri="{FF2B5EF4-FFF2-40B4-BE49-F238E27FC236}">
              <a16:creationId xmlns:a16="http://schemas.microsoft.com/office/drawing/2014/main" id="{00000000-0008-0000-0700-000067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16" name="텍스트 10">
          <a:extLst>
            <a:ext uri="{FF2B5EF4-FFF2-40B4-BE49-F238E27FC236}">
              <a16:creationId xmlns:a16="http://schemas.microsoft.com/office/drawing/2014/main" id="{00000000-0008-0000-0700-000068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617" name="텍스트 11">
          <a:extLst>
            <a:ext uri="{FF2B5EF4-FFF2-40B4-BE49-F238E27FC236}">
              <a16:creationId xmlns:a16="http://schemas.microsoft.com/office/drawing/2014/main" id="{00000000-0008-0000-0700-000069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18" name="텍스트 12">
          <a:extLst>
            <a:ext uri="{FF2B5EF4-FFF2-40B4-BE49-F238E27FC236}">
              <a16:creationId xmlns:a16="http://schemas.microsoft.com/office/drawing/2014/main" id="{00000000-0008-0000-0700-00006A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49299" cy="204671"/>
    <xdr:sp macro="" textlink="">
      <xdr:nvSpPr>
        <xdr:cNvPr id="619" name="텍스트 13">
          <a:extLst>
            <a:ext uri="{FF2B5EF4-FFF2-40B4-BE49-F238E27FC236}">
              <a16:creationId xmlns:a16="http://schemas.microsoft.com/office/drawing/2014/main" id="{00000000-0008-0000-0700-00006B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20" name="텍스트 14">
          <a:extLst>
            <a:ext uri="{FF2B5EF4-FFF2-40B4-BE49-F238E27FC236}">
              <a16:creationId xmlns:a16="http://schemas.microsoft.com/office/drawing/2014/main" id="{00000000-0008-0000-0700-00006C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621" name="텍스트 15">
          <a:extLst>
            <a:ext uri="{FF2B5EF4-FFF2-40B4-BE49-F238E27FC236}">
              <a16:creationId xmlns:a16="http://schemas.microsoft.com/office/drawing/2014/main" id="{00000000-0008-0000-0700-00006D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22" name="텍스트 16">
          <a:extLst>
            <a:ext uri="{FF2B5EF4-FFF2-40B4-BE49-F238E27FC236}">
              <a16:creationId xmlns:a16="http://schemas.microsoft.com/office/drawing/2014/main" id="{00000000-0008-0000-0700-00006E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87771" cy="204671"/>
    <xdr:sp macro="" textlink="">
      <xdr:nvSpPr>
        <xdr:cNvPr id="623" name="텍스트 9">
          <a:extLst>
            <a:ext uri="{FF2B5EF4-FFF2-40B4-BE49-F238E27FC236}">
              <a16:creationId xmlns:a16="http://schemas.microsoft.com/office/drawing/2014/main" id="{00000000-0008-0000-0700-00006F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24" name="텍스트 10">
          <a:extLst>
            <a:ext uri="{FF2B5EF4-FFF2-40B4-BE49-F238E27FC236}">
              <a16:creationId xmlns:a16="http://schemas.microsoft.com/office/drawing/2014/main" id="{00000000-0008-0000-0700-000070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625" name="텍스트 11">
          <a:extLst>
            <a:ext uri="{FF2B5EF4-FFF2-40B4-BE49-F238E27FC236}">
              <a16:creationId xmlns:a16="http://schemas.microsoft.com/office/drawing/2014/main" id="{00000000-0008-0000-0700-000071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26" name="텍스트 12">
          <a:extLst>
            <a:ext uri="{FF2B5EF4-FFF2-40B4-BE49-F238E27FC236}">
              <a16:creationId xmlns:a16="http://schemas.microsoft.com/office/drawing/2014/main" id="{00000000-0008-0000-0700-000072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49299" cy="204671"/>
    <xdr:sp macro="" textlink="">
      <xdr:nvSpPr>
        <xdr:cNvPr id="627" name="텍스트 13">
          <a:extLst>
            <a:ext uri="{FF2B5EF4-FFF2-40B4-BE49-F238E27FC236}">
              <a16:creationId xmlns:a16="http://schemas.microsoft.com/office/drawing/2014/main" id="{00000000-0008-0000-0700-000073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28" name="텍스트 14">
          <a:extLst>
            <a:ext uri="{FF2B5EF4-FFF2-40B4-BE49-F238E27FC236}">
              <a16:creationId xmlns:a16="http://schemas.microsoft.com/office/drawing/2014/main" id="{00000000-0008-0000-0700-000074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629" name="텍스트 15">
          <a:extLst>
            <a:ext uri="{FF2B5EF4-FFF2-40B4-BE49-F238E27FC236}">
              <a16:creationId xmlns:a16="http://schemas.microsoft.com/office/drawing/2014/main" id="{00000000-0008-0000-0700-000075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30" name="텍스트 16">
          <a:extLst>
            <a:ext uri="{FF2B5EF4-FFF2-40B4-BE49-F238E27FC236}">
              <a16:creationId xmlns:a16="http://schemas.microsoft.com/office/drawing/2014/main" id="{00000000-0008-0000-0700-000076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12</xdr:row>
      <xdr:rowOff>0</xdr:rowOff>
    </xdr:from>
    <xdr:ext cx="210827" cy="204671"/>
    <xdr:sp macro="" textlink="">
      <xdr:nvSpPr>
        <xdr:cNvPr id="631" name="텍스트 1">
          <a:extLst>
            <a:ext uri="{FF2B5EF4-FFF2-40B4-BE49-F238E27FC236}">
              <a16:creationId xmlns:a16="http://schemas.microsoft.com/office/drawing/2014/main" id="{00000000-0008-0000-0700-000077020000}"/>
            </a:ext>
          </a:extLst>
        </xdr:cNvPr>
        <xdr:cNvSpPr txBox="1">
          <a:spLocks noChangeArrowheads="1"/>
        </xdr:cNvSpPr>
      </xdr:nvSpPr>
      <xdr:spPr bwMode="auto">
        <a:xfrm>
          <a:off x="3150053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12</xdr:row>
      <xdr:rowOff>0</xdr:rowOff>
    </xdr:from>
    <xdr:ext cx="56939" cy="204671"/>
    <xdr:sp macro="" textlink="">
      <xdr:nvSpPr>
        <xdr:cNvPr id="632" name="텍스트 2">
          <a:extLst>
            <a:ext uri="{FF2B5EF4-FFF2-40B4-BE49-F238E27FC236}">
              <a16:creationId xmlns:a16="http://schemas.microsoft.com/office/drawing/2014/main" id="{00000000-0008-0000-0700-000078020000}"/>
            </a:ext>
          </a:extLst>
        </xdr:cNvPr>
        <xdr:cNvSpPr txBox="1">
          <a:spLocks noChangeArrowheads="1"/>
        </xdr:cNvSpPr>
      </xdr:nvSpPr>
      <xdr:spPr bwMode="auto">
        <a:xfrm>
          <a:off x="3150053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172355" cy="204671"/>
    <xdr:sp macro="" textlink="">
      <xdr:nvSpPr>
        <xdr:cNvPr id="633" name="텍스트 3">
          <a:extLst>
            <a:ext uri="{FF2B5EF4-FFF2-40B4-BE49-F238E27FC236}">
              <a16:creationId xmlns:a16="http://schemas.microsoft.com/office/drawing/2014/main" id="{00000000-0008-0000-0700-000079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34" name="텍스트 4">
          <a:extLst>
            <a:ext uri="{FF2B5EF4-FFF2-40B4-BE49-F238E27FC236}">
              <a16:creationId xmlns:a16="http://schemas.microsoft.com/office/drawing/2014/main" id="{00000000-0008-0000-0700-00007A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249299" cy="204671"/>
    <xdr:sp macro="" textlink="">
      <xdr:nvSpPr>
        <xdr:cNvPr id="635" name="텍스트 5">
          <a:extLst>
            <a:ext uri="{FF2B5EF4-FFF2-40B4-BE49-F238E27FC236}">
              <a16:creationId xmlns:a16="http://schemas.microsoft.com/office/drawing/2014/main" id="{00000000-0008-0000-0700-00007B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36" name="텍스트 6">
          <a:extLst>
            <a:ext uri="{FF2B5EF4-FFF2-40B4-BE49-F238E27FC236}">
              <a16:creationId xmlns:a16="http://schemas.microsoft.com/office/drawing/2014/main" id="{00000000-0008-0000-0700-00007C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249299" cy="204671"/>
    <xdr:sp macro="" textlink="">
      <xdr:nvSpPr>
        <xdr:cNvPr id="637" name="텍스트 7">
          <a:extLst>
            <a:ext uri="{FF2B5EF4-FFF2-40B4-BE49-F238E27FC236}">
              <a16:creationId xmlns:a16="http://schemas.microsoft.com/office/drawing/2014/main" id="{00000000-0008-0000-0700-00007D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38" name="텍스트 8">
          <a:extLst>
            <a:ext uri="{FF2B5EF4-FFF2-40B4-BE49-F238E27FC236}">
              <a16:creationId xmlns:a16="http://schemas.microsoft.com/office/drawing/2014/main" id="{00000000-0008-0000-0700-00007E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87771" cy="204671"/>
    <xdr:sp macro="" textlink="">
      <xdr:nvSpPr>
        <xdr:cNvPr id="639" name="텍스트 9">
          <a:extLst>
            <a:ext uri="{FF2B5EF4-FFF2-40B4-BE49-F238E27FC236}">
              <a16:creationId xmlns:a16="http://schemas.microsoft.com/office/drawing/2014/main" id="{00000000-0008-0000-0700-00007F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40" name="텍스트 10">
          <a:extLst>
            <a:ext uri="{FF2B5EF4-FFF2-40B4-BE49-F238E27FC236}">
              <a16:creationId xmlns:a16="http://schemas.microsoft.com/office/drawing/2014/main" id="{00000000-0008-0000-0700-000080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641" name="텍스트 11">
          <a:extLst>
            <a:ext uri="{FF2B5EF4-FFF2-40B4-BE49-F238E27FC236}">
              <a16:creationId xmlns:a16="http://schemas.microsoft.com/office/drawing/2014/main" id="{00000000-0008-0000-0700-000081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42" name="텍스트 12">
          <a:extLst>
            <a:ext uri="{FF2B5EF4-FFF2-40B4-BE49-F238E27FC236}">
              <a16:creationId xmlns:a16="http://schemas.microsoft.com/office/drawing/2014/main" id="{00000000-0008-0000-0700-000082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49299" cy="204671"/>
    <xdr:sp macro="" textlink="">
      <xdr:nvSpPr>
        <xdr:cNvPr id="643" name="텍스트 13">
          <a:extLst>
            <a:ext uri="{FF2B5EF4-FFF2-40B4-BE49-F238E27FC236}">
              <a16:creationId xmlns:a16="http://schemas.microsoft.com/office/drawing/2014/main" id="{00000000-0008-0000-0700-000083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44" name="텍스트 14">
          <a:extLst>
            <a:ext uri="{FF2B5EF4-FFF2-40B4-BE49-F238E27FC236}">
              <a16:creationId xmlns:a16="http://schemas.microsoft.com/office/drawing/2014/main" id="{00000000-0008-0000-0700-000084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645" name="텍스트 15">
          <a:extLst>
            <a:ext uri="{FF2B5EF4-FFF2-40B4-BE49-F238E27FC236}">
              <a16:creationId xmlns:a16="http://schemas.microsoft.com/office/drawing/2014/main" id="{00000000-0008-0000-0700-000085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46" name="텍스트 16">
          <a:extLst>
            <a:ext uri="{FF2B5EF4-FFF2-40B4-BE49-F238E27FC236}">
              <a16:creationId xmlns:a16="http://schemas.microsoft.com/office/drawing/2014/main" id="{00000000-0008-0000-0700-000086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249299" cy="204671"/>
    <xdr:sp macro="" textlink="">
      <xdr:nvSpPr>
        <xdr:cNvPr id="647" name="텍스트 17">
          <a:extLst>
            <a:ext uri="{FF2B5EF4-FFF2-40B4-BE49-F238E27FC236}">
              <a16:creationId xmlns:a16="http://schemas.microsoft.com/office/drawing/2014/main" id="{00000000-0008-0000-0700-000087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48" name="텍스트 18">
          <a:extLst>
            <a:ext uri="{FF2B5EF4-FFF2-40B4-BE49-F238E27FC236}">
              <a16:creationId xmlns:a16="http://schemas.microsoft.com/office/drawing/2014/main" id="{00000000-0008-0000-0700-000088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49" name="텍스트 20">
          <a:extLst>
            <a:ext uri="{FF2B5EF4-FFF2-40B4-BE49-F238E27FC236}">
              <a16:creationId xmlns:a16="http://schemas.microsoft.com/office/drawing/2014/main" id="{00000000-0008-0000-0700-000089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50" name="텍스트 22">
          <a:extLst>
            <a:ext uri="{FF2B5EF4-FFF2-40B4-BE49-F238E27FC236}">
              <a16:creationId xmlns:a16="http://schemas.microsoft.com/office/drawing/2014/main" id="{00000000-0008-0000-0700-00008A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651" name="텍스트 23">
          <a:extLst>
            <a:ext uri="{FF2B5EF4-FFF2-40B4-BE49-F238E27FC236}">
              <a16:creationId xmlns:a16="http://schemas.microsoft.com/office/drawing/2014/main" id="{00000000-0008-0000-0700-00008B020000}"/>
            </a:ext>
          </a:extLst>
        </xdr:cNvPr>
        <xdr:cNvSpPr txBox="1">
          <a:spLocks noChangeArrowheads="1"/>
        </xdr:cNvSpPr>
      </xdr:nvSpPr>
      <xdr:spPr bwMode="auto">
        <a:xfrm>
          <a:off x="315005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87771" cy="204671"/>
    <xdr:sp macro="" textlink="">
      <xdr:nvSpPr>
        <xdr:cNvPr id="652" name="텍스트 9">
          <a:extLst>
            <a:ext uri="{FF2B5EF4-FFF2-40B4-BE49-F238E27FC236}">
              <a16:creationId xmlns:a16="http://schemas.microsoft.com/office/drawing/2014/main" id="{00000000-0008-0000-0700-00008C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53" name="텍스트 10">
          <a:extLst>
            <a:ext uri="{FF2B5EF4-FFF2-40B4-BE49-F238E27FC236}">
              <a16:creationId xmlns:a16="http://schemas.microsoft.com/office/drawing/2014/main" id="{00000000-0008-0000-0700-00008D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654" name="텍스트 11">
          <a:extLst>
            <a:ext uri="{FF2B5EF4-FFF2-40B4-BE49-F238E27FC236}">
              <a16:creationId xmlns:a16="http://schemas.microsoft.com/office/drawing/2014/main" id="{00000000-0008-0000-0700-00008E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55" name="텍스트 12">
          <a:extLst>
            <a:ext uri="{FF2B5EF4-FFF2-40B4-BE49-F238E27FC236}">
              <a16:creationId xmlns:a16="http://schemas.microsoft.com/office/drawing/2014/main" id="{00000000-0008-0000-0700-00008F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49299" cy="204671"/>
    <xdr:sp macro="" textlink="">
      <xdr:nvSpPr>
        <xdr:cNvPr id="656" name="텍스트 13">
          <a:extLst>
            <a:ext uri="{FF2B5EF4-FFF2-40B4-BE49-F238E27FC236}">
              <a16:creationId xmlns:a16="http://schemas.microsoft.com/office/drawing/2014/main" id="{00000000-0008-0000-0700-000090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57" name="텍스트 14">
          <a:extLst>
            <a:ext uri="{FF2B5EF4-FFF2-40B4-BE49-F238E27FC236}">
              <a16:creationId xmlns:a16="http://schemas.microsoft.com/office/drawing/2014/main" id="{00000000-0008-0000-0700-000091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658" name="텍스트 15">
          <a:extLst>
            <a:ext uri="{FF2B5EF4-FFF2-40B4-BE49-F238E27FC236}">
              <a16:creationId xmlns:a16="http://schemas.microsoft.com/office/drawing/2014/main" id="{00000000-0008-0000-0700-000092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659" name="텍스트 16">
          <a:extLst>
            <a:ext uri="{FF2B5EF4-FFF2-40B4-BE49-F238E27FC236}">
              <a16:creationId xmlns:a16="http://schemas.microsoft.com/office/drawing/2014/main" id="{00000000-0008-0000-0700-000093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16</xdr:row>
      <xdr:rowOff>0</xdr:rowOff>
    </xdr:from>
    <xdr:ext cx="287771" cy="204671"/>
    <xdr:sp macro="" textlink="">
      <xdr:nvSpPr>
        <xdr:cNvPr id="660" name="텍스트 9">
          <a:extLst>
            <a:ext uri="{FF2B5EF4-FFF2-40B4-BE49-F238E27FC236}">
              <a16:creationId xmlns:a16="http://schemas.microsoft.com/office/drawing/2014/main" id="{00000000-0008-0000-0700-000094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6</xdr:col>
      <xdr:colOff>820511</xdr:colOff>
      <xdr:row>16</xdr:row>
      <xdr:rowOff>0</xdr:rowOff>
    </xdr:from>
    <xdr:ext cx="56939" cy="204671"/>
    <xdr:sp macro="" textlink="">
      <xdr:nvSpPr>
        <xdr:cNvPr id="661" name="텍스트 10">
          <a:extLst>
            <a:ext uri="{FF2B5EF4-FFF2-40B4-BE49-F238E27FC236}">
              <a16:creationId xmlns:a16="http://schemas.microsoft.com/office/drawing/2014/main" id="{00000000-0008-0000-0700-000095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16</xdr:row>
      <xdr:rowOff>0</xdr:rowOff>
    </xdr:from>
    <xdr:ext cx="326243" cy="204671"/>
    <xdr:sp macro="" textlink="">
      <xdr:nvSpPr>
        <xdr:cNvPr id="662" name="텍스트 11">
          <a:extLst>
            <a:ext uri="{FF2B5EF4-FFF2-40B4-BE49-F238E27FC236}">
              <a16:creationId xmlns:a16="http://schemas.microsoft.com/office/drawing/2014/main" id="{00000000-0008-0000-0700-000096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820511</xdr:colOff>
      <xdr:row>16</xdr:row>
      <xdr:rowOff>0</xdr:rowOff>
    </xdr:from>
    <xdr:ext cx="56939" cy="204671"/>
    <xdr:sp macro="" textlink="">
      <xdr:nvSpPr>
        <xdr:cNvPr id="663" name="텍스트 12">
          <a:extLst>
            <a:ext uri="{FF2B5EF4-FFF2-40B4-BE49-F238E27FC236}">
              <a16:creationId xmlns:a16="http://schemas.microsoft.com/office/drawing/2014/main" id="{00000000-0008-0000-0700-000097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16</xdr:row>
      <xdr:rowOff>0</xdr:rowOff>
    </xdr:from>
    <xdr:ext cx="249299" cy="204671"/>
    <xdr:sp macro="" textlink="">
      <xdr:nvSpPr>
        <xdr:cNvPr id="664" name="텍스트 13">
          <a:extLst>
            <a:ext uri="{FF2B5EF4-FFF2-40B4-BE49-F238E27FC236}">
              <a16:creationId xmlns:a16="http://schemas.microsoft.com/office/drawing/2014/main" id="{00000000-0008-0000-0700-000098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820511</xdr:colOff>
      <xdr:row>16</xdr:row>
      <xdr:rowOff>0</xdr:rowOff>
    </xdr:from>
    <xdr:ext cx="56939" cy="204671"/>
    <xdr:sp macro="" textlink="">
      <xdr:nvSpPr>
        <xdr:cNvPr id="665" name="텍스트 14">
          <a:extLst>
            <a:ext uri="{FF2B5EF4-FFF2-40B4-BE49-F238E27FC236}">
              <a16:creationId xmlns:a16="http://schemas.microsoft.com/office/drawing/2014/main" id="{00000000-0008-0000-0700-000099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16</xdr:row>
      <xdr:rowOff>0</xdr:rowOff>
    </xdr:from>
    <xdr:ext cx="326243" cy="204671"/>
    <xdr:sp macro="" textlink="">
      <xdr:nvSpPr>
        <xdr:cNvPr id="666" name="텍스트 15">
          <a:extLst>
            <a:ext uri="{FF2B5EF4-FFF2-40B4-BE49-F238E27FC236}">
              <a16:creationId xmlns:a16="http://schemas.microsoft.com/office/drawing/2014/main" id="{00000000-0008-0000-0700-00009A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172355" cy="204671"/>
    <xdr:sp macro="" textlink="">
      <xdr:nvSpPr>
        <xdr:cNvPr id="667" name="텍스트 3">
          <a:extLst>
            <a:ext uri="{FF2B5EF4-FFF2-40B4-BE49-F238E27FC236}">
              <a16:creationId xmlns:a16="http://schemas.microsoft.com/office/drawing/2014/main" id="{00000000-0008-0000-0700-00009B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56939" cy="204671"/>
    <xdr:sp macro="" textlink="">
      <xdr:nvSpPr>
        <xdr:cNvPr id="668" name="텍스트 4">
          <a:extLst>
            <a:ext uri="{FF2B5EF4-FFF2-40B4-BE49-F238E27FC236}">
              <a16:creationId xmlns:a16="http://schemas.microsoft.com/office/drawing/2014/main" id="{00000000-0008-0000-0700-00009C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249299" cy="204671"/>
    <xdr:sp macro="" textlink="">
      <xdr:nvSpPr>
        <xdr:cNvPr id="669" name="텍스트 5">
          <a:extLst>
            <a:ext uri="{FF2B5EF4-FFF2-40B4-BE49-F238E27FC236}">
              <a16:creationId xmlns:a16="http://schemas.microsoft.com/office/drawing/2014/main" id="{00000000-0008-0000-0700-00009D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56939" cy="204671"/>
    <xdr:sp macro="" textlink="">
      <xdr:nvSpPr>
        <xdr:cNvPr id="670" name="텍스트 6">
          <a:extLst>
            <a:ext uri="{FF2B5EF4-FFF2-40B4-BE49-F238E27FC236}">
              <a16:creationId xmlns:a16="http://schemas.microsoft.com/office/drawing/2014/main" id="{00000000-0008-0000-0700-00009E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249299" cy="204671"/>
    <xdr:sp macro="" textlink="">
      <xdr:nvSpPr>
        <xdr:cNvPr id="671" name="텍스트 7">
          <a:extLst>
            <a:ext uri="{FF2B5EF4-FFF2-40B4-BE49-F238E27FC236}">
              <a16:creationId xmlns:a16="http://schemas.microsoft.com/office/drawing/2014/main" id="{00000000-0008-0000-0700-00009F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56939" cy="204671"/>
    <xdr:sp macro="" textlink="">
      <xdr:nvSpPr>
        <xdr:cNvPr id="672" name="텍스트 8">
          <a:extLst>
            <a:ext uri="{FF2B5EF4-FFF2-40B4-BE49-F238E27FC236}">
              <a16:creationId xmlns:a16="http://schemas.microsoft.com/office/drawing/2014/main" id="{00000000-0008-0000-0700-0000A0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249299" cy="204671"/>
    <xdr:sp macro="" textlink="">
      <xdr:nvSpPr>
        <xdr:cNvPr id="673" name="텍스트 17">
          <a:extLst>
            <a:ext uri="{FF2B5EF4-FFF2-40B4-BE49-F238E27FC236}">
              <a16:creationId xmlns:a16="http://schemas.microsoft.com/office/drawing/2014/main" id="{00000000-0008-0000-0700-0000A1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56939" cy="204671"/>
    <xdr:sp macro="" textlink="">
      <xdr:nvSpPr>
        <xdr:cNvPr id="674" name="텍스트 18">
          <a:extLst>
            <a:ext uri="{FF2B5EF4-FFF2-40B4-BE49-F238E27FC236}">
              <a16:creationId xmlns:a16="http://schemas.microsoft.com/office/drawing/2014/main" id="{00000000-0008-0000-0700-0000A2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441659" cy="204671"/>
    <xdr:sp macro="" textlink="">
      <xdr:nvSpPr>
        <xdr:cNvPr id="675" name="텍스트 19">
          <a:extLst>
            <a:ext uri="{FF2B5EF4-FFF2-40B4-BE49-F238E27FC236}">
              <a16:creationId xmlns:a16="http://schemas.microsoft.com/office/drawing/2014/main" id="{00000000-0008-0000-0700-0000A3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56939" cy="204671"/>
    <xdr:sp macro="" textlink="">
      <xdr:nvSpPr>
        <xdr:cNvPr id="676" name="텍스트 20">
          <a:extLst>
            <a:ext uri="{FF2B5EF4-FFF2-40B4-BE49-F238E27FC236}">
              <a16:creationId xmlns:a16="http://schemas.microsoft.com/office/drawing/2014/main" id="{00000000-0008-0000-0700-0000A4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326243" cy="204671"/>
    <xdr:sp macro="" textlink="">
      <xdr:nvSpPr>
        <xdr:cNvPr id="677" name="텍스트 21">
          <a:extLst>
            <a:ext uri="{FF2B5EF4-FFF2-40B4-BE49-F238E27FC236}">
              <a16:creationId xmlns:a16="http://schemas.microsoft.com/office/drawing/2014/main" id="{00000000-0008-0000-0700-0000A5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56939" cy="204671"/>
    <xdr:sp macro="" textlink="">
      <xdr:nvSpPr>
        <xdr:cNvPr id="678" name="텍스트 22">
          <a:extLst>
            <a:ext uri="{FF2B5EF4-FFF2-40B4-BE49-F238E27FC236}">
              <a16:creationId xmlns:a16="http://schemas.microsoft.com/office/drawing/2014/main" id="{00000000-0008-0000-0700-0000A6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172355" cy="204671"/>
    <xdr:sp macro="" textlink="">
      <xdr:nvSpPr>
        <xdr:cNvPr id="679" name="텍스트 3">
          <a:extLst>
            <a:ext uri="{FF2B5EF4-FFF2-40B4-BE49-F238E27FC236}">
              <a16:creationId xmlns:a16="http://schemas.microsoft.com/office/drawing/2014/main" id="{00000000-0008-0000-0700-0000A7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80" name="텍스트 4">
          <a:extLst>
            <a:ext uri="{FF2B5EF4-FFF2-40B4-BE49-F238E27FC236}">
              <a16:creationId xmlns:a16="http://schemas.microsoft.com/office/drawing/2014/main" id="{00000000-0008-0000-0700-0000A8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249299" cy="204671"/>
    <xdr:sp macro="" textlink="">
      <xdr:nvSpPr>
        <xdr:cNvPr id="681" name="텍스트 5">
          <a:extLst>
            <a:ext uri="{FF2B5EF4-FFF2-40B4-BE49-F238E27FC236}">
              <a16:creationId xmlns:a16="http://schemas.microsoft.com/office/drawing/2014/main" id="{00000000-0008-0000-0700-0000A9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82" name="텍스트 6">
          <a:extLst>
            <a:ext uri="{FF2B5EF4-FFF2-40B4-BE49-F238E27FC236}">
              <a16:creationId xmlns:a16="http://schemas.microsoft.com/office/drawing/2014/main" id="{00000000-0008-0000-0700-0000AA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249299" cy="204671"/>
    <xdr:sp macro="" textlink="">
      <xdr:nvSpPr>
        <xdr:cNvPr id="683" name="텍스트 7">
          <a:extLst>
            <a:ext uri="{FF2B5EF4-FFF2-40B4-BE49-F238E27FC236}">
              <a16:creationId xmlns:a16="http://schemas.microsoft.com/office/drawing/2014/main" id="{00000000-0008-0000-0700-0000AB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84" name="텍스트 8">
          <a:extLst>
            <a:ext uri="{FF2B5EF4-FFF2-40B4-BE49-F238E27FC236}">
              <a16:creationId xmlns:a16="http://schemas.microsoft.com/office/drawing/2014/main" id="{00000000-0008-0000-0700-0000AC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249299" cy="204671"/>
    <xdr:sp macro="" textlink="">
      <xdr:nvSpPr>
        <xdr:cNvPr id="685" name="텍스트 17">
          <a:extLst>
            <a:ext uri="{FF2B5EF4-FFF2-40B4-BE49-F238E27FC236}">
              <a16:creationId xmlns:a16="http://schemas.microsoft.com/office/drawing/2014/main" id="{00000000-0008-0000-0700-0000AD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86" name="텍스트 18">
          <a:extLst>
            <a:ext uri="{FF2B5EF4-FFF2-40B4-BE49-F238E27FC236}">
              <a16:creationId xmlns:a16="http://schemas.microsoft.com/office/drawing/2014/main" id="{00000000-0008-0000-0700-0000AE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87" name="텍스트 20">
          <a:extLst>
            <a:ext uri="{FF2B5EF4-FFF2-40B4-BE49-F238E27FC236}">
              <a16:creationId xmlns:a16="http://schemas.microsoft.com/office/drawing/2014/main" id="{00000000-0008-0000-0700-0000AF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15</xdr:row>
      <xdr:rowOff>0</xdr:rowOff>
    </xdr:from>
    <xdr:ext cx="56939" cy="204671"/>
    <xdr:sp macro="" textlink="">
      <xdr:nvSpPr>
        <xdr:cNvPr id="688" name="텍스트 22">
          <a:extLst>
            <a:ext uri="{FF2B5EF4-FFF2-40B4-BE49-F238E27FC236}">
              <a16:creationId xmlns:a16="http://schemas.microsoft.com/office/drawing/2014/main" id="{00000000-0008-0000-0700-0000B002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172355" cy="204671"/>
    <xdr:sp macro="" textlink="">
      <xdr:nvSpPr>
        <xdr:cNvPr id="689" name="텍스트 3">
          <a:extLst>
            <a:ext uri="{FF2B5EF4-FFF2-40B4-BE49-F238E27FC236}">
              <a16:creationId xmlns:a16="http://schemas.microsoft.com/office/drawing/2014/main" id="{00000000-0008-0000-0700-0000B1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56939" cy="204671"/>
    <xdr:sp macro="" textlink="">
      <xdr:nvSpPr>
        <xdr:cNvPr id="690" name="텍스트 4">
          <a:extLst>
            <a:ext uri="{FF2B5EF4-FFF2-40B4-BE49-F238E27FC236}">
              <a16:creationId xmlns:a16="http://schemas.microsoft.com/office/drawing/2014/main" id="{00000000-0008-0000-0700-0000B2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249299" cy="204671"/>
    <xdr:sp macro="" textlink="">
      <xdr:nvSpPr>
        <xdr:cNvPr id="691" name="텍스트 5">
          <a:extLst>
            <a:ext uri="{FF2B5EF4-FFF2-40B4-BE49-F238E27FC236}">
              <a16:creationId xmlns:a16="http://schemas.microsoft.com/office/drawing/2014/main" id="{00000000-0008-0000-0700-0000B3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56939" cy="204671"/>
    <xdr:sp macro="" textlink="">
      <xdr:nvSpPr>
        <xdr:cNvPr id="692" name="텍스트 6">
          <a:extLst>
            <a:ext uri="{FF2B5EF4-FFF2-40B4-BE49-F238E27FC236}">
              <a16:creationId xmlns:a16="http://schemas.microsoft.com/office/drawing/2014/main" id="{00000000-0008-0000-0700-0000B4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249299" cy="204671"/>
    <xdr:sp macro="" textlink="">
      <xdr:nvSpPr>
        <xdr:cNvPr id="693" name="텍스트 7">
          <a:extLst>
            <a:ext uri="{FF2B5EF4-FFF2-40B4-BE49-F238E27FC236}">
              <a16:creationId xmlns:a16="http://schemas.microsoft.com/office/drawing/2014/main" id="{00000000-0008-0000-0700-0000B5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56939" cy="204671"/>
    <xdr:sp macro="" textlink="">
      <xdr:nvSpPr>
        <xdr:cNvPr id="694" name="텍스트 8">
          <a:extLst>
            <a:ext uri="{FF2B5EF4-FFF2-40B4-BE49-F238E27FC236}">
              <a16:creationId xmlns:a16="http://schemas.microsoft.com/office/drawing/2014/main" id="{00000000-0008-0000-0700-0000B6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249299" cy="204671"/>
    <xdr:sp macro="" textlink="">
      <xdr:nvSpPr>
        <xdr:cNvPr id="695" name="텍스트 17">
          <a:extLst>
            <a:ext uri="{FF2B5EF4-FFF2-40B4-BE49-F238E27FC236}">
              <a16:creationId xmlns:a16="http://schemas.microsoft.com/office/drawing/2014/main" id="{00000000-0008-0000-0700-0000B7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56939" cy="204671"/>
    <xdr:sp macro="" textlink="">
      <xdr:nvSpPr>
        <xdr:cNvPr id="696" name="텍스트 18">
          <a:extLst>
            <a:ext uri="{FF2B5EF4-FFF2-40B4-BE49-F238E27FC236}">
              <a16:creationId xmlns:a16="http://schemas.microsoft.com/office/drawing/2014/main" id="{00000000-0008-0000-0700-0000B8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441659" cy="204671"/>
    <xdr:sp macro="" textlink="">
      <xdr:nvSpPr>
        <xdr:cNvPr id="697" name="텍스트 19">
          <a:extLst>
            <a:ext uri="{FF2B5EF4-FFF2-40B4-BE49-F238E27FC236}">
              <a16:creationId xmlns:a16="http://schemas.microsoft.com/office/drawing/2014/main" id="{00000000-0008-0000-0700-0000B9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56939" cy="204671"/>
    <xdr:sp macro="" textlink="">
      <xdr:nvSpPr>
        <xdr:cNvPr id="698" name="텍스트 20">
          <a:extLst>
            <a:ext uri="{FF2B5EF4-FFF2-40B4-BE49-F238E27FC236}">
              <a16:creationId xmlns:a16="http://schemas.microsoft.com/office/drawing/2014/main" id="{00000000-0008-0000-0700-0000BA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15</xdr:row>
      <xdr:rowOff>0</xdr:rowOff>
    </xdr:from>
    <xdr:ext cx="326243" cy="204671"/>
    <xdr:sp macro="" textlink="">
      <xdr:nvSpPr>
        <xdr:cNvPr id="699" name="텍스트 21">
          <a:extLst>
            <a:ext uri="{FF2B5EF4-FFF2-40B4-BE49-F238E27FC236}">
              <a16:creationId xmlns:a16="http://schemas.microsoft.com/office/drawing/2014/main" id="{00000000-0008-0000-0700-0000BB02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87771" cy="204671"/>
    <xdr:sp macro="" textlink="">
      <xdr:nvSpPr>
        <xdr:cNvPr id="700" name="텍스트 9">
          <a:extLst>
            <a:ext uri="{FF2B5EF4-FFF2-40B4-BE49-F238E27FC236}">
              <a16:creationId xmlns:a16="http://schemas.microsoft.com/office/drawing/2014/main" id="{00000000-0008-0000-0700-0000BC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701" name="텍스트 10">
          <a:extLst>
            <a:ext uri="{FF2B5EF4-FFF2-40B4-BE49-F238E27FC236}">
              <a16:creationId xmlns:a16="http://schemas.microsoft.com/office/drawing/2014/main" id="{00000000-0008-0000-0700-0000BD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702" name="텍스트 11">
          <a:extLst>
            <a:ext uri="{FF2B5EF4-FFF2-40B4-BE49-F238E27FC236}">
              <a16:creationId xmlns:a16="http://schemas.microsoft.com/office/drawing/2014/main" id="{00000000-0008-0000-0700-0000BE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703" name="텍스트 12">
          <a:extLst>
            <a:ext uri="{FF2B5EF4-FFF2-40B4-BE49-F238E27FC236}">
              <a16:creationId xmlns:a16="http://schemas.microsoft.com/office/drawing/2014/main" id="{00000000-0008-0000-0700-0000BF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49299" cy="204671"/>
    <xdr:sp macro="" textlink="">
      <xdr:nvSpPr>
        <xdr:cNvPr id="704" name="텍스트 13">
          <a:extLst>
            <a:ext uri="{FF2B5EF4-FFF2-40B4-BE49-F238E27FC236}">
              <a16:creationId xmlns:a16="http://schemas.microsoft.com/office/drawing/2014/main" id="{00000000-0008-0000-0700-0000C0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705" name="텍스트 14">
          <a:extLst>
            <a:ext uri="{FF2B5EF4-FFF2-40B4-BE49-F238E27FC236}">
              <a16:creationId xmlns:a16="http://schemas.microsoft.com/office/drawing/2014/main" id="{00000000-0008-0000-0700-0000C1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706" name="텍스트 15">
          <a:extLst>
            <a:ext uri="{FF2B5EF4-FFF2-40B4-BE49-F238E27FC236}">
              <a16:creationId xmlns:a16="http://schemas.microsoft.com/office/drawing/2014/main" id="{00000000-0008-0000-0700-0000C2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707" name="텍스트 16">
          <a:extLst>
            <a:ext uri="{FF2B5EF4-FFF2-40B4-BE49-F238E27FC236}">
              <a16:creationId xmlns:a16="http://schemas.microsoft.com/office/drawing/2014/main" id="{00000000-0008-0000-0700-0000C3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87771" cy="204671"/>
    <xdr:sp macro="" textlink="">
      <xdr:nvSpPr>
        <xdr:cNvPr id="708" name="텍스트 9">
          <a:extLst>
            <a:ext uri="{FF2B5EF4-FFF2-40B4-BE49-F238E27FC236}">
              <a16:creationId xmlns:a16="http://schemas.microsoft.com/office/drawing/2014/main" id="{00000000-0008-0000-0700-0000C4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709" name="텍스트 10">
          <a:extLst>
            <a:ext uri="{FF2B5EF4-FFF2-40B4-BE49-F238E27FC236}">
              <a16:creationId xmlns:a16="http://schemas.microsoft.com/office/drawing/2014/main" id="{00000000-0008-0000-0700-0000C5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710" name="텍스트 11">
          <a:extLst>
            <a:ext uri="{FF2B5EF4-FFF2-40B4-BE49-F238E27FC236}">
              <a16:creationId xmlns:a16="http://schemas.microsoft.com/office/drawing/2014/main" id="{00000000-0008-0000-0700-0000C6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711" name="텍스트 12">
          <a:extLst>
            <a:ext uri="{FF2B5EF4-FFF2-40B4-BE49-F238E27FC236}">
              <a16:creationId xmlns:a16="http://schemas.microsoft.com/office/drawing/2014/main" id="{00000000-0008-0000-0700-0000C7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249299" cy="204671"/>
    <xdr:sp macro="" textlink="">
      <xdr:nvSpPr>
        <xdr:cNvPr id="712" name="텍스트 13">
          <a:extLst>
            <a:ext uri="{FF2B5EF4-FFF2-40B4-BE49-F238E27FC236}">
              <a16:creationId xmlns:a16="http://schemas.microsoft.com/office/drawing/2014/main" id="{00000000-0008-0000-0700-0000C8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713" name="텍스트 14">
          <a:extLst>
            <a:ext uri="{FF2B5EF4-FFF2-40B4-BE49-F238E27FC236}">
              <a16:creationId xmlns:a16="http://schemas.microsoft.com/office/drawing/2014/main" id="{00000000-0008-0000-0700-0000C9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326243" cy="204671"/>
    <xdr:sp macro="" textlink="">
      <xdr:nvSpPr>
        <xdr:cNvPr id="714" name="텍스트 15">
          <a:extLst>
            <a:ext uri="{FF2B5EF4-FFF2-40B4-BE49-F238E27FC236}">
              <a16:creationId xmlns:a16="http://schemas.microsoft.com/office/drawing/2014/main" id="{00000000-0008-0000-0700-0000CA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5</xdr:col>
      <xdr:colOff>2121353</xdr:colOff>
      <xdr:row>16</xdr:row>
      <xdr:rowOff>0</xdr:rowOff>
    </xdr:from>
    <xdr:ext cx="56939" cy="204671"/>
    <xdr:sp macro="" textlink="">
      <xdr:nvSpPr>
        <xdr:cNvPr id="715" name="텍스트 16">
          <a:extLst>
            <a:ext uri="{FF2B5EF4-FFF2-40B4-BE49-F238E27FC236}">
              <a16:creationId xmlns:a16="http://schemas.microsoft.com/office/drawing/2014/main" id="{00000000-0008-0000-0700-0000CB02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16</xdr:row>
      <xdr:rowOff>0</xdr:rowOff>
    </xdr:from>
    <xdr:ext cx="287771" cy="204671"/>
    <xdr:sp macro="" textlink="">
      <xdr:nvSpPr>
        <xdr:cNvPr id="716" name="텍스트 9">
          <a:extLst>
            <a:ext uri="{FF2B5EF4-FFF2-40B4-BE49-F238E27FC236}">
              <a16:creationId xmlns:a16="http://schemas.microsoft.com/office/drawing/2014/main" id="{00000000-0008-0000-0700-0000CC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6</xdr:col>
      <xdr:colOff>820511</xdr:colOff>
      <xdr:row>16</xdr:row>
      <xdr:rowOff>0</xdr:rowOff>
    </xdr:from>
    <xdr:ext cx="56939" cy="204671"/>
    <xdr:sp macro="" textlink="">
      <xdr:nvSpPr>
        <xdr:cNvPr id="717" name="텍스트 10">
          <a:extLst>
            <a:ext uri="{FF2B5EF4-FFF2-40B4-BE49-F238E27FC236}">
              <a16:creationId xmlns:a16="http://schemas.microsoft.com/office/drawing/2014/main" id="{00000000-0008-0000-0700-0000CD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16</xdr:row>
      <xdr:rowOff>0</xdr:rowOff>
    </xdr:from>
    <xdr:ext cx="326243" cy="204671"/>
    <xdr:sp macro="" textlink="">
      <xdr:nvSpPr>
        <xdr:cNvPr id="718" name="텍스트 11">
          <a:extLst>
            <a:ext uri="{FF2B5EF4-FFF2-40B4-BE49-F238E27FC236}">
              <a16:creationId xmlns:a16="http://schemas.microsoft.com/office/drawing/2014/main" id="{00000000-0008-0000-0700-0000CE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820511</xdr:colOff>
      <xdr:row>16</xdr:row>
      <xdr:rowOff>0</xdr:rowOff>
    </xdr:from>
    <xdr:ext cx="56939" cy="204671"/>
    <xdr:sp macro="" textlink="">
      <xdr:nvSpPr>
        <xdr:cNvPr id="719" name="텍스트 12">
          <a:extLst>
            <a:ext uri="{FF2B5EF4-FFF2-40B4-BE49-F238E27FC236}">
              <a16:creationId xmlns:a16="http://schemas.microsoft.com/office/drawing/2014/main" id="{00000000-0008-0000-0700-0000CF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16</xdr:row>
      <xdr:rowOff>0</xdr:rowOff>
    </xdr:from>
    <xdr:ext cx="249299" cy="204671"/>
    <xdr:sp macro="" textlink="">
      <xdr:nvSpPr>
        <xdr:cNvPr id="720" name="텍스트 13">
          <a:extLst>
            <a:ext uri="{FF2B5EF4-FFF2-40B4-BE49-F238E27FC236}">
              <a16:creationId xmlns:a16="http://schemas.microsoft.com/office/drawing/2014/main" id="{00000000-0008-0000-0700-0000D0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820511</xdr:colOff>
      <xdr:row>16</xdr:row>
      <xdr:rowOff>0</xdr:rowOff>
    </xdr:from>
    <xdr:ext cx="56939" cy="204671"/>
    <xdr:sp macro="" textlink="">
      <xdr:nvSpPr>
        <xdr:cNvPr id="721" name="텍스트 14">
          <a:extLst>
            <a:ext uri="{FF2B5EF4-FFF2-40B4-BE49-F238E27FC236}">
              <a16:creationId xmlns:a16="http://schemas.microsoft.com/office/drawing/2014/main" id="{00000000-0008-0000-0700-0000D1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820511</xdr:colOff>
      <xdr:row>16</xdr:row>
      <xdr:rowOff>0</xdr:rowOff>
    </xdr:from>
    <xdr:ext cx="326243" cy="204671"/>
    <xdr:sp macro="" textlink="">
      <xdr:nvSpPr>
        <xdr:cNvPr id="722" name="텍스트 15">
          <a:extLst>
            <a:ext uri="{FF2B5EF4-FFF2-40B4-BE49-F238E27FC236}">
              <a16:creationId xmlns:a16="http://schemas.microsoft.com/office/drawing/2014/main" id="{00000000-0008-0000-0700-0000D202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12</xdr:row>
      <xdr:rowOff>0</xdr:rowOff>
    </xdr:from>
    <xdr:ext cx="210827" cy="204671"/>
    <xdr:sp macro="" textlink="">
      <xdr:nvSpPr>
        <xdr:cNvPr id="723" name="텍스트 1">
          <a:extLst>
            <a:ext uri="{FF2B5EF4-FFF2-40B4-BE49-F238E27FC236}">
              <a16:creationId xmlns:a16="http://schemas.microsoft.com/office/drawing/2014/main" id="{00000000-0008-0000-0700-0000D302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12</xdr:row>
      <xdr:rowOff>0</xdr:rowOff>
    </xdr:from>
    <xdr:ext cx="56939" cy="204671"/>
    <xdr:sp macro="" textlink="">
      <xdr:nvSpPr>
        <xdr:cNvPr id="724" name="텍스트 2">
          <a:extLst>
            <a:ext uri="{FF2B5EF4-FFF2-40B4-BE49-F238E27FC236}">
              <a16:creationId xmlns:a16="http://schemas.microsoft.com/office/drawing/2014/main" id="{00000000-0008-0000-0700-0000D402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725" name="텍스트 23">
          <a:extLst>
            <a:ext uri="{FF2B5EF4-FFF2-40B4-BE49-F238E27FC236}">
              <a16:creationId xmlns:a16="http://schemas.microsoft.com/office/drawing/2014/main" id="{00000000-0008-0000-0700-0000D502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726" name="텍스트 23">
          <a:extLst>
            <a:ext uri="{FF2B5EF4-FFF2-40B4-BE49-F238E27FC236}">
              <a16:creationId xmlns:a16="http://schemas.microsoft.com/office/drawing/2014/main" id="{00000000-0008-0000-0700-0000D602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12</xdr:row>
      <xdr:rowOff>0</xdr:rowOff>
    </xdr:from>
    <xdr:ext cx="210827" cy="204671"/>
    <xdr:sp macro="" textlink="">
      <xdr:nvSpPr>
        <xdr:cNvPr id="727" name="텍스트 1">
          <a:extLst>
            <a:ext uri="{FF2B5EF4-FFF2-40B4-BE49-F238E27FC236}">
              <a16:creationId xmlns:a16="http://schemas.microsoft.com/office/drawing/2014/main" id="{00000000-0008-0000-0700-0000D702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12</xdr:row>
      <xdr:rowOff>0</xdr:rowOff>
    </xdr:from>
    <xdr:ext cx="56939" cy="204671"/>
    <xdr:sp macro="" textlink="">
      <xdr:nvSpPr>
        <xdr:cNvPr id="728" name="텍스트 2">
          <a:extLst>
            <a:ext uri="{FF2B5EF4-FFF2-40B4-BE49-F238E27FC236}">
              <a16:creationId xmlns:a16="http://schemas.microsoft.com/office/drawing/2014/main" id="{00000000-0008-0000-0700-0000D802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172355" cy="204671"/>
    <xdr:sp macro="" textlink="">
      <xdr:nvSpPr>
        <xdr:cNvPr id="729" name="텍스트 3">
          <a:extLst>
            <a:ext uri="{FF2B5EF4-FFF2-40B4-BE49-F238E27FC236}">
              <a16:creationId xmlns:a16="http://schemas.microsoft.com/office/drawing/2014/main" id="{00000000-0008-0000-0700-0000D9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30" name="텍스트 4">
          <a:extLst>
            <a:ext uri="{FF2B5EF4-FFF2-40B4-BE49-F238E27FC236}">
              <a16:creationId xmlns:a16="http://schemas.microsoft.com/office/drawing/2014/main" id="{00000000-0008-0000-0700-0000DA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249299" cy="204671"/>
    <xdr:sp macro="" textlink="">
      <xdr:nvSpPr>
        <xdr:cNvPr id="731" name="텍스트 5">
          <a:extLst>
            <a:ext uri="{FF2B5EF4-FFF2-40B4-BE49-F238E27FC236}">
              <a16:creationId xmlns:a16="http://schemas.microsoft.com/office/drawing/2014/main" id="{00000000-0008-0000-0700-0000DB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32" name="텍스트 6">
          <a:extLst>
            <a:ext uri="{FF2B5EF4-FFF2-40B4-BE49-F238E27FC236}">
              <a16:creationId xmlns:a16="http://schemas.microsoft.com/office/drawing/2014/main" id="{00000000-0008-0000-0700-0000DC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249299" cy="204671"/>
    <xdr:sp macro="" textlink="">
      <xdr:nvSpPr>
        <xdr:cNvPr id="733" name="텍스트 7">
          <a:extLst>
            <a:ext uri="{FF2B5EF4-FFF2-40B4-BE49-F238E27FC236}">
              <a16:creationId xmlns:a16="http://schemas.microsoft.com/office/drawing/2014/main" id="{00000000-0008-0000-0700-0000DD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34" name="텍스트 8">
          <a:extLst>
            <a:ext uri="{FF2B5EF4-FFF2-40B4-BE49-F238E27FC236}">
              <a16:creationId xmlns:a16="http://schemas.microsoft.com/office/drawing/2014/main" id="{00000000-0008-0000-0700-0000DE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87771" cy="204671"/>
    <xdr:sp macro="" textlink="">
      <xdr:nvSpPr>
        <xdr:cNvPr id="735" name="텍스트 9">
          <a:extLst>
            <a:ext uri="{FF2B5EF4-FFF2-40B4-BE49-F238E27FC236}">
              <a16:creationId xmlns:a16="http://schemas.microsoft.com/office/drawing/2014/main" id="{00000000-0008-0000-0700-0000DF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36" name="텍스트 10">
          <a:extLst>
            <a:ext uri="{FF2B5EF4-FFF2-40B4-BE49-F238E27FC236}">
              <a16:creationId xmlns:a16="http://schemas.microsoft.com/office/drawing/2014/main" id="{00000000-0008-0000-0700-0000E0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737" name="텍스트 11">
          <a:extLst>
            <a:ext uri="{FF2B5EF4-FFF2-40B4-BE49-F238E27FC236}">
              <a16:creationId xmlns:a16="http://schemas.microsoft.com/office/drawing/2014/main" id="{00000000-0008-0000-0700-0000E1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38" name="텍스트 12">
          <a:extLst>
            <a:ext uri="{FF2B5EF4-FFF2-40B4-BE49-F238E27FC236}">
              <a16:creationId xmlns:a16="http://schemas.microsoft.com/office/drawing/2014/main" id="{00000000-0008-0000-0700-0000E2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49299" cy="204671"/>
    <xdr:sp macro="" textlink="">
      <xdr:nvSpPr>
        <xdr:cNvPr id="739" name="텍스트 13">
          <a:extLst>
            <a:ext uri="{FF2B5EF4-FFF2-40B4-BE49-F238E27FC236}">
              <a16:creationId xmlns:a16="http://schemas.microsoft.com/office/drawing/2014/main" id="{00000000-0008-0000-0700-0000E3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40" name="텍스트 14">
          <a:extLst>
            <a:ext uri="{FF2B5EF4-FFF2-40B4-BE49-F238E27FC236}">
              <a16:creationId xmlns:a16="http://schemas.microsoft.com/office/drawing/2014/main" id="{00000000-0008-0000-0700-0000E4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741" name="텍스트 15">
          <a:extLst>
            <a:ext uri="{FF2B5EF4-FFF2-40B4-BE49-F238E27FC236}">
              <a16:creationId xmlns:a16="http://schemas.microsoft.com/office/drawing/2014/main" id="{00000000-0008-0000-0700-0000E5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42" name="텍스트 16">
          <a:extLst>
            <a:ext uri="{FF2B5EF4-FFF2-40B4-BE49-F238E27FC236}">
              <a16:creationId xmlns:a16="http://schemas.microsoft.com/office/drawing/2014/main" id="{00000000-0008-0000-0700-0000E6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249299" cy="204671"/>
    <xdr:sp macro="" textlink="">
      <xdr:nvSpPr>
        <xdr:cNvPr id="743" name="텍스트 17">
          <a:extLst>
            <a:ext uri="{FF2B5EF4-FFF2-40B4-BE49-F238E27FC236}">
              <a16:creationId xmlns:a16="http://schemas.microsoft.com/office/drawing/2014/main" id="{00000000-0008-0000-0700-0000E7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44" name="텍스트 18">
          <a:extLst>
            <a:ext uri="{FF2B5EF4-FFF2-40B4-BE49-F238E27FC236}">
              <a16:creationId xmlns:a16="http://schemas.microsoft.com/office/drawing/2014/main" id="{00000000-0008-0000-0700-0000E8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45" name="텍스트 20">
          <a:extLst>
            <a:ext uri="{FF2B5EF4-FFF2-40B4-BE49-F238E27FC236}">
              <a16:creationId xmlns:a16="http://schemas.microsoft.com/office/drawing/2014/main" id="{00000000-0008-0000-0700-0000E9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46" name="텍스트 22">
          <a:extLst>
            <a:ext uri="{FF2B5EF4-FFF2-40B4-BE49-F238E27FC236}">
              <a16:creationId xmlns:a16="http://schemas.microsoft.com/office/drawing/2014/main" id="{00000000-0008-0000-0700-0000EA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747" name="텍스트 23">
          <a:extLst>
            <a:ext uri="{FF2B5EF4-FFF2-40B4-BE49-F238E27FC236}">
              <a16:creationId xmlns:a16="http://schemas.microsoft.com/office/drawing/2014/main" id="{00000000-0008-0000-0700-0000EB02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87771" cy="204671"/>
    <xdr:sp macro="" textlink="">
      <xdr:nvSpPr>
        <xdr:cNvPr id="748" name="텍스트 9">
          <a:extLst>
            <a:ext uri="{FF2B5EF4-FFF2-40B4-BE49-F238E27FC236}">
              <a16:creationId xmlns:a16="http://schemas.microsoft.com/office/drawing/2014/main" id="{00000000-0008-0000-0700-0000EC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49" name="텍스트 10">
          <a:extLst>
            <a:ext uri="{FF2B5EF4-FFF2-40B4-BE49-F238E27FC236}">
              <a16:creationId xmlns:a16="http://schemas.microsoft.com/office/drawing/2014/main" id="{00000000-0008-0000-0700-0000ED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750" name="텍스트 11">
          <a:extLst>
            <a:ext uri="{FF2B5EF4-FFF2-40B4-BE49-F238E27FC236}">
              <a16:creationId xmlns:a16="http://schemas.microsoft.com/office/drawing/2014/main" id="{00000000-0008-0000-0700-0000EE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51" name="텍스트 12">
          <a:extLst>
            <a:ext uri="{FF2B5EF4-FFF2-40B4-BE49-F238E27FC236}">
              <a16:creationId xmlns:a16="http://schemas.microsoft.com/office/drawing/2014/main" id="{00000000-0008-0000-0700-0000EF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49299" cy="204671"/>
    <xdr:sp macro="" textlink="">
      <xdr:nvSpPr>
        <xdr:cNvPr id="752" name="텍스트 13">
          <a:extLst>
            <a:ext uri="{FF2B5EF4-FFF2-40B4-BE49-F238E27FC236}">
              <a16:creationId xmlns:a16="http://schemas.microsoft.com/office/drawing/2014/main" id="{00000000-0008-0000-0700-0000F0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53" name="텍스트 14">
          <a:extLst>
            <a:ext uri="{FF2B5EF4-FFF2-40B4-BE49-F238E27FC236}">
              <a16:creationId xmlns:a16="http://schemas.microsoft.com/office/drawing/2014/main" id="{00000000-0008-0000-0700-0000F1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754" name="텍스트 15">
          <a:extLst>
            <a:ext uri="{FF2B5EF4-FFF2-40B4-BE49-F238E27FC236}">
              <a16:creationId xmlns:a16="http://schemas.microsoft.com/office/drawing/2014/main" id="{00000000-0008-0000-0700-0000F2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55" name="텍스트 16">
          <a:extLst>
            <a:ext uri="{FF2B5EF4-FFF2-40B4-BE49-F238E27FC236}">
              <a16:creationId xmlns:a16="http://schemas.microsoft.com/office/drawing/2014/main" id="{00000000-0008-0000-0700-0000F3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172355" cy="204671"/>
    <xdr:sp macro="" textlink="">
      <xdr:nvSpPr>
        <xdr:cNvPr id="756" name="텍스트 3">
          <a:extLst>
            <a:ext uri="{FF2B5EF4-FFF2-40B4-BE49-F238E27FC236}">
              <a16:creationId xmlns:a16="http://schemas.microsoft.com/office/drawing/2014/main" id="{00000000-0008-0000-0700-0000F4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57" name="텍스트 4">
          <a:extLst>
            <a:ext uri="{FF2B5EF4-FFF2-40B4-BE49-F238E27FC236}">
              <a16:creationId xmlns:a16="http://schemas.microsoft.com/office/drawing/2014/main" id="{00000000-0008-0000-0700-0000F5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249299" cy="204671"/>
    <xdr:sp macro="" textlink="">
      <xdr:nvSpPr>
        <xdr:cNvPr id="758" name="텍스트 5">
          <a:extLst>
            <a:ext uri="{FF2B5EF4-FFF2-40B4-BE49-F238E27FC236}">
              <a16:creationId xmlns:a16="http://schemas.microsoft.com/office/drawing/2014/main" id="{00000000-0008-0000-0700-0000F6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59" name="텍스트 6">
          <a:extLst>
            <a:ext uri="{FF2B5EF4-FFF2-40B4-BE49-F238E27FC236}">
              <a16:creationId xmlns:a16="http://schemas.microsoft.com/office/drawing/2014/main" id="{00000000-0008-0000-0700-0000F7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249299" cy="204671"/>
    <xdr:sp macro="" textlink="">
      <xdr:nvSpPr>
        <xdr:cNvPr id="760" name="텍스트 7">
          <a:extLst>
            <a:ext uri="{FF2B5EF4-FFF2-40B4-BE49-F238E27FC236}">
              <a16:creationId xmlns:a16="http://schemas.microsoft.com/office/drawing/2014/main" id="{00000000-0008-0000-0700-0000F8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61" name="텍스트 8">
          <a:extLst>
            <a:ext uri="{FF2B5EF4-FFF2-40B4-BE49-F238E27FC236}">
              <a16:creationId xmlns:a16="http://schemas.microsoft.com/office/drawing/2014/main" id="{00000000-0008-0000-0700-0000F9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249299" cy="204671"/>
    <xdr:sp macro="" textlink="">
      <xdr:nvSpPr>
        <xdr:cNvPr id="762" name="텍스트 17">
          <a:extLst>
            <a:ext uri="{FF2B5EF4-FFF2-40B4-BE49-F238E27FC236}">
              <a16:creationId xmlns:a16="http://schemas.microsoft.com/office/drawing/2014/main" id="{00000000-0008-0000-0700-0000FA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63" name="텍스트 18">
          <a:extLst>
            <a:ext uri="{FF2B5EF4-FFF2-40B4-BE49-F238E27FC236}">
              <a16:creationId xmlns:a16="http://schemas.microsoft.com/office/drawing/2014/main" id="{00000000-0008-0000-0700-0000FB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64" name="텍스트 20">
          <a:extLst>
            <a:ext uri="{FF2B5EF4-FFF2-40B4-BE49-F238E27FC236}">
              <a16:creationId xmlns:a16="http://schemas.microsoft.com/office/drawing/2014/main" id="{00000000-0008-0000-0700-0000FC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65" name="텍스트 22">
          <a:extLst>
            <a:ext uri="{FF2B5EF4-FFF2-40B4-BE49-F238E27FC236}">
              <a16:creationId xmlns:a16="http://schemas.microsoft.com/office/drawing/2014/main" id="{00000000-0008-0000-0700-0000FD02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87771" cy="204671"/>
    <xdr:sp macro="" textlink="">
      <xdr:nvSpPr>
        <xdr:cNvPr id="766" name="텍스트 9">
          <a:extLst>
            <a:ext uri="{FF2B5EF4-FFF2-40B4-BE49-F238E27FC236}">
              <a16:creationId xmlns:a16="http://schemas.microsoft.com/office/drawing/2014/main" id="{00000000-0008-0000-0700-0000FE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67" name="텍스트 10">
          <a:extLst>
            <a:ext uri="{FF2B5EF4-FFF2-40B4-BE49-F238E27FC236}">
              <a16:creationId xmlns:a16="http://schemas.microsoft.com/office/drawing/2014/main" id="{00000000-0008-0000-0700-0000FF02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768" name="텍스트 11">
          <a:extLst>
            <a:ext uri="{FF2B5EF4-FFF2-40B4-BE49-F238E27FC236}">
              <a16:creationId xmlns:a16="http://schemas.microsoft.com/office/drawing/2014/main" id="{00000000-0008-0000-0700-000000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69" name="텍스트 12">
          <a:extLst>
            <a:ext uri="{FF2B5EF4-FFF2-40B4-BE49-F238E27FC236}">
              <a16:creationId xmlns:a16="http://schemas.microsoft.com/office/drawing/2014/main" id="{00000000-0008-0000-0700-000001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49299" cy="204671"/>
    <xdr:sp macro="" textlink="">
      <xdr:nvSpPr>
        <xdr:cNvPr id="770" name="텍스트 13">
          <a:extLst>
            <a:ext uri="{FF2B5EF4-FFF2-40B4-BE49-F238E27FC236}">
              <a16:creationId xmlns:a16="http://schemas.microsoft.com/office/drawing/2014/main" id="{00000000-0008-0000-0700-000002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71" name="텍스트 14">
          <a:extLst>
            <a:ext uri="{FF2B5EF4-FFF2-40B4-BE49-F238E27FC236}">
              <a16:creationId xmlns:a16="http://schemas.microsoft.com/office/drawing/2014/main" id="{00000000-0008-0000-0700-000003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772" name="텍스트 15">
          <a:extLst>
            <a:ext uri="{FF2B5EF4-FFF2-40B4-BE49-F238E27FC236}">
              <a16:creationId xmlns:a16="http://schemas.microsoft.com/office/drawing/2014/main" id="{00000000-0008-0000-0700-000004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73" name="텍스트 16">
          <a:extLst>
            <a:ext uri="{FF2B5EF4-FFF2-40B4-BE49-F238E27FC236}">
              <a16:creationId xmlns:a16="http://schemas.microsoft.com/office/drawing/2014/main" id="{00000000-0008-0000-0700-000005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87771" cy="204671"/>
    <xdr:sp macro="" textlink="">
      <xdr:nvSpPr>
        <xdr:cNvPr id="774" name="텍스트 9">
          <a:extLst>
            <a:ext uri="{FF2B5EF4-FFF2-40B4-BE49-F238E27FC236}">
              <a16:creationId xmlns:a16="http://schemas.microsoft.com/office/drawing/2014/main" id="{00000000-0008-0000-0700-000006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75" name="텍스트 10">
          <a:extLst>
            <a:ext uri="{FF2B5EF4-FFF2-40B4-BE49-F238E27FC236}">
              <a16:creationId xmlns:a16="http://schemas.microsoft.com/office/drawing/2014/main" id="{00000000-0008-0000-0700-000007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776" name="텍스트 11">
          <a:extLst>
            <a:ext uri="{FF2B5EF4-FFF2-40B4-BE49-F238E27FC236}">
              <a16:creationId xmlns:a16="http://schemas.microsoft.com/office/drawing/2014/main" id="{00000000-0008-0000-0700-000008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77" name="텍스트 12">
          <a:extLst>
            <a:ext uri="{FF2B5EF4-FFF2-40B4-BE49-F238E27FC236}">
              <a16:creationId xmlns:a16="http://schemas.microsoft.com/office/drawing/2014/main" id="{00000000-0008-0000-0700-000009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49299" cy="204671"/>
    <xdr:sp macro="" textlink="">
      <xdr:nvSpPr>
        <xdr:cNvPr id="778" name="텍스트 13">
          <a:extLst>
            <a:ext uri="{FF2B5EF4-FFF2-40B4-BE49-F238E27FC236}">
              <a16:creationId xmlns:a16="http://schemas.microsoft.com/office/drawing/2014/main" id="{00000000-0008-0000-0700-00000A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79" name="텍스트 14">
          <a:extLst>
            <a:ext uri="{FF2B5EF4-FFF2-40B4-BE49-F238E27FC236}">
              <a16:creationId xmlns:a16="http://schemas.microsoft.com/office/drawing/2014/main" id="{00000000-0008-0000-0700-00000B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780" name="텍스트 15">
          <a:extLst>
            <a:ext uri="{FF2B5EF4-FFF2-40B4-BE49-F238E27FC236}">
              <a16:creationId xmlns:a16="http://schemas.microsoft.com/office/drawing/2014/main" id="{00000000-0008-0000-0700-00000C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81" name="텍스트 16">
          <a:extLst>
            <a:ext uri="{FF2B5EF4-FFF2-40B4-BE49-F238E27FC236}">
              <a16:creationId xmlns:a16="http://schemas.microsoft.com/office/drawing/2014/main" id="{00000000-0008-0000-0700-00000D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12</xdr:row>
      <xdr:rowOff>0</xdr:rowOff>
    </xdr:from>
    <xdr:ext cx="210827" cy="204671"/>
    <xdr:sp macro="" textlink="">
      <xdr:nvSpPr>
        <xdr:cNvPr id="782" name="텍스트 1">
          <a:extLst>
            <a:ext uri="{FF2B5EF4-FFF2-40B4-BE49-F238E27FC236}">
              <a16:creationId xmlns:a16="http://schemas.microsoft.com/office/drawing/2014/main" id="{00000000-0008-0000-0700-00000E030000}"/>
            </a:ext>
          </a:extLst>
        </xdr:cNvPr>
        <xdr:cNvSpPr txBox="1">
          <a:spLocks noChangeArrowheads="1"/>
        </xdr:cNvSpPr>
      </xdr:nvSpPr>
      <xdr:spPr bwMode="auto">
        <a:xfrm>
          <a:off x="3150053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12</xdr:row>
      <xdr:rowOff>0</xdr:rowOff>
    </xdr:from>
    <xdr:ext cx="56939" cy="204671"/>
    <xdr:sp macro="" textlink="">
      <xdr:nvSpPr>
        <xdr:cNvPr id="783" name="텍스트 2">
          <a:extLst>
            <a:ext uri="{FF2B5EF4-FFF2-40B4-BE49-F238E27FC236}">
              <a16:creationId xmlns:a16="http://schemas.microsoft.com/office/drawing/2014/main" id="{00000000-0008-0000-0700-00000F030000}"/>
            </a:ext>
          </a:extLst>
        </xdr:cNvPr>
        <xdr:cNvSpPr txBox="1">
          <a:spLocks noChangeArrowheads="1"/>
        </xdr:cNvSpPr>
      </xdr:nvSpPr>
      <xdr:spPr bwMode="auto">
        <a:xfrm>
          <a:off x="3150053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172355" cy="204671"/>
    <xdr:sp macro="" textlink="">
      <xdr:nvSpPr>
        <xdr:cNvPr id="784" name="텍스트 3">
          <a:extLst>
            <a:ext uri="{FF2B5EF4-FFF2-40B4-BE49-F238E27FC236}">
              <a16:creationId xmlns:a16="http://schemas.microsoft.com/office/drawing/2014/main" id="{00000000-0008-0000-0700-000010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85" name="텍스트 4">
          <a:extLst>
            <a:ext uri="{FF2B5EF4-FFF2-40B4-BE49-F238E27FC236}">
              <a16:creationId xmlns:a16="http://schemas.microsoft.com/office/drawing/2014/main" id="{00000000-0008-0000-0700-000011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249299" cy="204671"/>
    <xdr:sp macro="" textlink="">
      <xdr:nvSpPr>
        <xdr:cNvPr id="786" name="텍스트 5">
          <a:extLst>
            <a:ext uri="{FF2B5EF4-FFF2-40B4-BE49-F238E27FC236}">
              <a16:creationId xmlns:a16="http://schemas.microsoft.com/office/drawing/2014/main" id="{00000000-0008-0000-0700-000012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87" name="텍스트 6">
          <a:extLst>
            <a:ext uri="{FF2B5EF4-FFF2-40B4-BE49-F238E27FC236}">
              <a16:creationId xmlns:a16="http://schemas.microsoft.com/office/drawing/2014/main" id="{00000000-0008-0000-0700-000013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249299" cy="204671"/>
    <xdr:sp macro="" textlink="">
      <xdr:nvSpPr>
        <xdr:cNvPr id="788" name="텍스트 7">
          <a:extLst>
            <a:ext uri="{FF2B5EF4-FFF2-40B4-BE49-F238E27FC236}">
              <a16:creationId xmlns:a16="http://schemas.microsoft.com/office/drawing/2014/main" id="{00000000-0008-0000-0700-000014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89" name="텍스트 8">
          <a:extLst>
            <a:ext uri="{FF2B5EF4-FFF2-40B4-BE49-F238E27FC236}">
              <a16:creationId xmlns:a16="http://schemas.microsoft.com/office/drawing/2014/main" id="{00000000-0008-0000-0700-000015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87771" cy="204671"/>
    <xdr:sp macro="" textlink="">
      <xdr:nvSpPr>
        <xdr:cNvPr id="790" name="텍스트 9">
          <a:extLst>
            <a:ext uri="{FF2B5EF4-FFF2-40B4-BE49-F238E27FC236}">
              <a16:creationId xmlns:a16="http://schemas.microsoft.com/office/drawing/2014/main" id="{00000000-0008-0000-0700-000016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91" name="텍스트 10">
          <a:extLst>
            <a:ext uri="{FF2B5EF4-FFF2-40B4-BE49-F238E27FC236}">
              <a16:creationId xmlns:a16="http://schemas.microsoft.com/office/drawing/2014/main" id="{00000000-0008-0000-0700-000017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792" name="텍스트 11">
          <a:extLst>
            <a:ext uri="{FF2B5EF4-FFF2-40B4-BE49-F238E27FC236}">
              <a16:creationId xmlns:a16="http://schemas.microsoft.com/office/drawing/2014/main" id="{00000000-0008-0000-0700-000018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93" name="텍스트 12">
          <a:extLst>
            <a:ext uri="{FF2B5EF4-FFF2-40B4-BE49-F238E27FC236}">
              <a16:creationId xmlns:a16="http://schemas.microsoft.com/office/drawing/2014/main" id="{00000000-0008-0000-0700-000019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49299" cy="204671"/>
    <xdr:sp macro="" textlink="">
      <xdr:nvSpPr>
        <xdr:cNvPr id="794" name="텍스트 13">
          <a:extLst>
            <a:ext uri="{FF2B5EF4-FFF2-40B4-BE49-F238E27FC236}">
              <a16:creationId xmlns:a16="http://schemas.microsoft.com/office/drawing/2014/main" id="{00000000-0008-0000-0700-00001A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95" name="텍스트 14">
          <a:extLst>
            <a:ext uri="{FF2B5EF4-FFF2-40B4-BE49-F238E27FC236}">
              <a16:creationId xmlns:a16="http://schemas.microsoft.com/office/drawing/2014/main" id="{00000000-0008-0000-0700-00001B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796" name="텍스트 15">
          <a:extLst>
            <a:ext uri="{FF2B5EF4-FFF2-40B4-BE49-F238E27FC236}">
              <a16:creationId xmlns:a16="http://schemas.microsoft.com/office/drawing/2014/main" id="{00000000-0008-0000-0700-00001C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797" name="텍스트 16">
          <a:extLst>
            <a:ext uri="{FF2B5EF4-FFF2-40B4-BE49-F238E27FC236}">
              <a16:creationId xmlns:a16="http://schemas.microsoft.com/office/drawing/2014/main" id="{00000000-0008-0000-0700-00001D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249299" cy="204671"/>
    <xdr:sp macro="" textlink="">
      <xdr:nvSpPr>
        <xdr:cNvPr id="798" name="텍스트 17">
          <a:extLst>
            <a:ext uri="{FF2B5EF4-FFF2-40B4-BE49-F238E27FC236}">
              <a16:creationId xmlns:a16="http://schemas.microsoft.com/office/drawing/2014/main" id="{00000000-0008-0000-0700-00001E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799" name="텍스트 18">
          <a:extLst>
            <a:ext uri="{FF2B5EF4-FFF2-40B4-BE49-F238E27FC236}">
              <a16:creationId xmlns:a16="http://schemas.microsoft.com/office/drawing/2014/main" id="{00000000-0008-0000-0700-00001F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800" name="텍스트 20">
          <a:extLst>
            <a:ext uri="{FF2B5EF4-FFF2-40B4-BE49-F238E27FC236}">
              <a16:creationId xmlns:a16="http://schemas.microsoft.com/office/drawing/2014/main" id="{00000000-0008-0000-0700-000020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801" name="텍스트 22">
          <a:extLst>
            <a:ext uri="{FF2B5EF4-FFF2-40B4-BE49-F238E27FC236}">
              <a16:creationId xmlns:a16="http://schemas.microsoft.com/office/drawing/2014/main" id="{00000000-0008-0000-0700-000021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802" name="텍스트 23">
          <a:extLst>
            <a:ext uri="{FF2B5EF4-FFF2-40B4-BE49-F238E27FC236}">
              <a16:creationId xmlns:a16="http://schemas.microsoft.com/office/drawing/2014/main" id="{00000000-0008-0000-0700-000022030000}"/>
            </a:ext>
          </a:extLst>
        </xdr:cNvPr>
        <xdr:cNvSpPr txBox="1">
          <a:spLocks noChangeArrowheads="1"/>
        </xdr:cNvSpPr>
      </xdr:nvSpPr>
      <xdr:spPr bwMode="auto">
        <a:xfrm>
          <a:off x="315005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87771" cy="204671"/>
    <xdr:sp macro="" textlink="">
      <xdr:nvSpPr>
        <xdr:cNvPr id="803" name="텍스트 9">
          <a:extLst>
            <a:ext uri="{FF2B5EF4-FFF2-40B4-BE49-F238E27FC236}">
              <a16:creationId xmlns:a16="http://schemas.microsoft.com/office/drawing/2014/main" id="{00000000-0008-0000-0700-000023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804" name="텍스트 10">
          <a:extLst>
            <a:ext uri="{FF2B5EF4-FFF2-40B4-BE49-F238E27FC236}">
              <a16:creationId xmlns:a16="http://schemas.microsoft.com/office/drawing/2014/main" id="{00000000-0008-0000-0700-000024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805" name="텍스트 11">
          <a:extLst>
            <a:ext uri="{FF2B5EF4-FFF2-40B4-BE49-F238E27FC236}">
              <a16:creationId xmlns:a16="http://schemas.microsoft.com/office/drawing/2014/main" id="{00000000-0008-0000-0700-000025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806" name="텍스트 12">
          <a:extLst>
            <a:ext uri="{FF2B5EF4-FFF2-40B4-BE49-F238E27FC236}">
              <a16:creationId xmlns:a16="http://schemas.microsoft.com/office/drawing/2014/main" id="{00000000-0008-0000-0700-000026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49299" cy="204671"/>
    <xdr:sp macro="" textlink="">
      <xdr:nvSpPr>
        <xdr:cNvPr id="807" name="텍스트 13">
          <a:extLst>
            <a:ext uri="{FF2B5EF4-FFF2-40B4-BE49-F238E27FC236}">
              <a16:creationId xmlns:a16="http://schemas.microsoft.com/office/drawing/2014/main" id="{00000000-0008-0000-0700-000027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808" name="텍스트 14">
          <a:extLst>
            <a:ext uri="{FF2B5EF4-FFF2-40B4-BE49-F238E27FC236}">
              <a16:creationId xmlns:a16="http://schemas.microsoft.com/office/drawing/2014/main" id="{00000000-0008-0000-0700-000028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809" name="텍스트 15">
          <a:extLst>
            <a:ext uri="{FF2B5EF4-FFF2-40B4-BE49-F238E27FC236}">
              <a16:creationId xmlns:a16="http://schemas.microsoft.com/office/drawing/2014/main" id="{00000000-0008-0000-0700-000029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810" name="텍스트 16">
          <a:extLst>
            <a:ext uri="{FF2B5EF4-FFF2-40B4-BE49-F238E27FC236}">
              <a16:creationId xmlns:a16="http://schemas.microsoft.com/office/drawing/2014/main" id="{00000000-0008-0000-0700-00002A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16</xdr:row>
      <xdr:rowOff>0</xdr:rowOff>
    </xdr:from>
    <xdr:ext cx="287771" cy="204671"/>
    <xdr:sp macro="" textlink="">
      <xdr:nvSpPr>
        <xdr:cNvPr id="811" name="텍스트 9">
          <a:extLst>
            <a:ext uri="{FF2B5EF4-FFF2-40B4-BE49-F238E27FC236}">
              <a16:creationId xmlns:a16="http://schemas.microsoft.com/office/drawing/2014/main" id="{00000000-0008-0000-0700-00002B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7</xdr:col>
      <xdr:colOff>820511</xdr:colOff>
      <xdr:row>16</xdr:row>
      <xdr:rowOff>0</xdr:rowOff>
    </xdr:from>
    <xdr:ext cx="56939" cy="204671"/>
    <xdr:sp macro="" textlink="">
      <xdr:nvSpPr>
        <xdr:cNvPr id="812" name="텍스트 10">
          <a:extLst>
            <a:ext uri="{FF2B5EF4-FFF2-40B4-BE49-F238E27FC236}">
              <a16:creationId xmlns:a16="http://schemas.microsoft.com/office/drawing/2014/main" id="{00000000-0008-0000-0700-00002C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16</xdr:row>
      <xdr:rowOff>0</xdr:rowOff>
    </xdr:from>
    <xdr:ext cx="326243" cy="204671"/>
    <xdr:sp macro="" textlink="">
      <xdr:nvSpPr>
        <xdr:cNvPr id="813" name="텍스트 11">
          <a:extLst>
            <a:ext uri="{FF2B5EF4-FFF2-40B4-BE49-F238E27FC236}">
              <a16:creationId xmlns:a16="http://schemas.microsoft.com/office/drawing/2014/main" id="{00000000-0008-0000-0700-00002D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820511</xdr:colOff>
      <xdr:row>16</xdr:row>
      <xdr:rowOff>0</xdr:rowOff>
    </xdr:from>
    <xdr:ext cx="56939" cy="204671"/>
    <xdr:sp macro="" textlink="">
      <xdr:nvSpPr>
        <xdr:cNvPr id="814" name="텍스트 12">
          <a:extLst>
            <a:ext uri="{FF2B5EF4-FFF2-40B4-BE49-F238E27FC236}">
              <a16:creationId xmlns:a16="http://schemas.microsoft.com/office/drawing/2014/main" id="{00000000-0008-0000-0700-00002E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16</xdr:row>
      <xdr:rowOff>0</xdr:rowOff>
    </xdr:from>
    <xdr:ext cx="249299" cy="204671"/>
    <xdr:sp macro="" textlink="">
      <xdr:nvSpPr>
        <xdr:cNvPr id="815" name="텍스트 13">
          <a:extLst>
            <a:ext uri="{FF2B5EF4-FFF2-40B4-BE49-F238E27FC236}">
              <a16:creationId xmlns:a16="http://schemas.microsoft.com/office/drawing/2014/main" id="{00000000-0008-0000-0700-00002F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820511</xdr:colOff>
      <xdr:row>16</xdr:row>
      <xdr:rowOff>0</xdr:rowOff>
    </xdr:from>
    <xdr:ext cx="56939" cy="204671"/>
    <xdr:sp macro="" textlink="">
      <xdr:nvSpPr>
        <xdr:cNvPr id="816" name="텍스트 14">
          <a:extLst>
            <a:ext uri="{FF2B5EF4-FFF2-40B4-BE49-F238E27FC236}">
              <a16:creationId xmlns:a16="http://schemas.microsoft.com/office/drawing/2014/main" id="{00000000-0008-0000-0700-000030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16</xdr:row>
      <xdr:rowOff>0</xdr:rowOff>
    </xdr:from>
    <xdr:ext cx="326243" cy="204671"/>
    <xdr:sp macro="" textlink="">
      <xdr:nvSpPr>
        <xdr:cNvPr id="817" name="텍스트 15">
          <a:extLst>
            <a:ext uri="{FF2B5EF4-FFF2-40B4-BE49-F238E27FC236}">
              <a16:creationId xmlns:a16="http://schemas.microsoft.com/office/drawing/2014/main" id="{00000000-0008-0000-0700-000031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172355" cy="204671"/>
    <xdr:sp macro="" textlink="">
      <xdr:nvSpPr>
        <xdr:cNvPr id="818" name="텍스트 3">
          <a:extLst>
            <a:ext uri="{FF2B5EF4-FFF2-40B4-BE49-F238E27FC236}">
              <a16:creationId xmlns:a16="http://schemas.microsoft.com/office/drawing/2014/main" id="{00000000-0008-0000-0700-000032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819" name="텍스트 4">
          <a:extLst>
            <a:ext uri="{FF2B5EF4-FFF2-40B4-BE49-F238E27FC236}">
              <a16:creationId xmlns:a16="http://schemas.microsoft.com/office/drawing/2014/main" id="{00000000-0008-0000-0700-000033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249299" cy="204671"/>
    <xdr:sp macro="" textlink="">
      <xdr:nvSpPr>
        <xdr:cNvPr id="820" name="텍스트 5">
          <a:extLst>
            <a:ext uri="{FF2B5EF4-FFF2-40B4-BE49-F238E27FC236}">
              <a16:creationId xmlns:a16="http://schemas.microsoft.com/office/drawing/2014/main" id="{00000000-0008-0000-0700-000034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821" name="텍스트 6">
          <a:extLst>
            <a:ext uri="{FF2B5EF4-FFF2-40B4-BE49-F238E27FC236}">
              <a16:creationId xmlns:a16="http://schemas.microsoft.com/office/drawing/2014/main" id="{00000000-0008-0000-0700-000035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249299" cy="204671"/>
    <xdr:sp macro="" textlink="">
      <xdr:nvSpPr>
        <xdr:cNvPr id="822" name="텍스트 7">
          <a:extLst>
            <a:ext uri="{FF2B5EF4-FFF2-40B4-BE49-F238E27FC236}">
              <a16:creationId xmlns:a16="http://schemas.microsoft.com/office/drawing/2014/main" id="{00000000-0008-0000-0700-000036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823" name="텍스트 8">
          <a:extLst>
            <a:ext uri="{FF2B5EF4-FFF2-40B4-BE49-F238E27FC236}">
              <a16:creationId xmlns:a16="http://schemas.microsoft.com/office/drawing/2014/main" id="{00000000-0008-0000-0700-000037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249299" cy="204671"/>
    <xdr:sp macro="" textlink="">
      <xdr:nvSpPr>
        <xdr:cNvPr id="824" name="텍스트 17">
          <a:extLst>
            <a:ext uri="{FF2B5EF4-FFF2-40B4-BE49-F238E27FC236}">
              <a16:creationId xmlns:a16="http://schemas.microsoft.com/office/drawing/2014/main" id="{00000000-0008-0000-0700-000038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825" name="텍스트 18">
          <a:extLst>
            <a:ext uri="{FF2B5EF4-FFF2-40B4-BE49-F238E27FC236}">
              <a16:creationId xmlns:a16="http://schemas.microsoft.com/office/drawing/2014/main" id="{00000000-0008-0000-0700-000039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441659" cy="204671"/>
    <xdr:sp macro="" textlink="">
      <xdr:nvSpPr>
        <xdr:cNvPr id="826" name="텍스트 19">
          <a:extLst>
            <a:ext uri="{FF2B5EF4-FFF2-40B4-BE49-F238E27FC236}">
              <a16:creationId xmlns:a16="http://schemas.microsoft.com/office/drawing/2014/main" id="{00000000-0008-0000-0700-00003A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827" name="텍스트 20">
          <a:extLst>
            <a:ext uri="{FF2B5EF4-FFF2-40B4-BE49-F238E27FC236}">
              <a16:creationId xmlns:a16="http://schemas.microsoft.com/office/drawing/2014/main" id="{00000000-0008-0000-0700-00003B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326243" cy="204671"/>
    <xdr:sp macro="" textlink="">
      <xdr:nvSpPr>
        <xdr:cNvPr id="828" name="텍스트 21">
          <a:extLst>
            <a:ext uri="{FF2B5EF4-FFF2-40B4-BE49-F238E27FC236}">
              <a16:creationId xmlns:a16="http://schemas.microsoft.com/office/drawing/2014/main" id="{00000000-0008-0000-0700-00003C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829" name="텍스트 22">
          <a:extLst>
            <a:ext uri="{FF2B5EF4-FFF2-40B4-BE49-F238E27FC236}">
              <a16:creationId xmlns:a16="http://schemas.microsoft.com/office/drawing/2014/main" id="{00000000-0008-0000-0700-00003D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172355" cy="204671"/>
    <xdr:sp macro="" textlink="">
      <xdr:nvSpPr>
        <xdr:cNvPr id="830" name="텍스트 3">
          <a:extLst>
            <a:ext uri="{FF2B5EF4-FFF2-40B4-BE49-F238E27FC236}">
              <a16:creationId xmlns:a16="http://schemas.microsoft.com/office/drawing/2014/main" id="{00000000-0008-0000-0700-00003E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831" name="텍스트 4">
          <a:extLst>
            <a:ext uri="{FF2B5EF4-FFF2-40B4-BE49-F238E27FC236}">
              <a16:creationId xmlns:a16="http://schemas.microsoft.com/office/drawing/2014/main" id="{00000000-0008-0000-0700-00003F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249299" cy="204671"/>
    <xdr:sp macro="" textlink="">
      <xdr:nvSpPr>
        <xdr:cNvPr id="832" name="텍스트 5">
          <a:extLst>
            <a:ext uri="{FF2B5EF4-FFF2-40B4-BE49-F238E27FC236}">
              <a16:creationId xmlns:a16="http://schemas.microsoft.com/office/drawing/2014/main" id="{00000000-0008-0000-0700-000040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833" name="텍스트 6">
          <a:extLst>
            <a:ext uri="{FF2B5EF4-FFF2-40B4-BE49-F238E27FC236}">
              <a16:creationId xmlns:a16="http://schemas.microsoft.com/office/drawing/2014/main" id="{00000000-0008-0000-0700-000041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249299" cy="204671"/>
    <xdr:sp macro="" textlink="">
      <xdr:nvSpPr>
        <xdr:cNvPr id="834" name="텍스트 7">
          <a:extLst>
            <a:ext uri="{FF2B5EF4-FFF2-40B4-BE49-F238E27FC236}">
              <a16:creationId xmlns:a16="http://schemas.microsoft.com/office/drawing/2014/main" id="{00000000-0008-0000-0700-000042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835" name="텍스트 8">
          <a:extLst>
            <a:ext uri="{FF2B5EF4-FFF2-40B4-BE49-F238E27FC236}">
              <a16:creationId xmlns:a16="http://schemas.microsoft.com/office/drawing/2014/main" id="{00000000-0008-0000-0700-000043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249299" cy="204671"/>
    <xdr:sp macro="" textlink="">
      <xdr:nvSpPr>
        <xdr:cNvPr id="836" name="텍스트 17">
          <a:extLst>
            <a:ext uri="{FF2B5EF4-FFF2-40B4-BE49-F238E27FC236}">
              <a16:creationId xmlns:a16="http://schemas.microsoft.com/office/drawing/2014/main" id="{00000000-0008-0000-0700-000044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837" name="텍스트 18">
          <a:extLst>
            <a:ext uri="{FF2B5EF4-FFF2-40B4-BE49-F238E27FC236}">
              <a16:creationId xmlns:a16="http://schemas.microsoft.com/office/drawing/2014/main" id="{00000000-0008-0000-0700-000045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838" name="텍스트 20">
          <a:extLst>
            <a:ext uri="{FF2B5EF4-FFF2-40B4-BE49-F238E27FC236}">
              <a16:creationId xmlns:a16="http://schemas.microsoft.com/office/drawing/2014/main" id="{00000000-0008-0000-0700-000046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15</xdr:row>
      <xdr:rowOff>0</xdr:rowOff>
    </xdr:from>
    <xdr:ext cx="56939" cy="204671"/>
    <xdr:sp macro="" textlink="">
      <xdr:nvSpPr>
        <xdr:cNvPr id="839" name="텍스트 22">
          <a:extLst>
            <a:ext uri="{FF2B5EF4-FFF2-40B4-BE49-F238E27FC236}">
              <a16:creationId xmlns:a16="http://schemas.microsoft.com/office/drawing/2014/main" id="{00000000-0008-0000-0700-000047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172355" cy="204671"/>
    <xdr:sp macro="" textlink="">
      <xdr:nvSpPr>
        <xdr:cNvPr id="840" name="텍스트 3">
          <a:extLst>
            <a:ext uri="{FF2B5EF4-FFF2-40B4-BE49-F238E27FC236}">
              <a16:creationId xmlns:a16="http://schemas.microsoft.com/office/drawing/2014/main" id="{00000000-0008-0000-0700-000048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841" name="텍스트 4">
          <a:extLst>
            <a:ext uri="{FF2B5EF4-FFF2-40B4-BE49-F238E27FC236}">
              <a16:creationId xmlns:a16="http://schemas.microsoft.com/office/drawing/2014/main" id="{00000000-0008-0000-0700-000049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249299" cy="204671"/>
    <xdr:sp macro="" textlink="">
      <xdr:nvSpPr>
        <xdr:cNvPr id="842" name="텍스트 5">
          <a:extLst>
            <a:ext uri="{FF2B5EF4-FFF2-40B4-BE49-F238E27FC236}">
              <a16:creationId xmlns:a16="http://schemas.microsoft.com/office/drawing/2014/main" id="{00000000-0008-0000-0700-00004A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843" name="텍스트 6">
          <a:extLst>
            <a:ext uri="{FF2B5EF4-FFF2-40B4-BE49-F238E27FC236}">
              <a16:creationId xmlns:a16="http://schemas.microsoft.com/office/drawing/2014/main" id="{00000000-0008-0000-0700-00004B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249299" cy="204671"/>
    <xdr:sp macro="" textlink="">
      <xdr:nvSpPr>
        <xdr:cNvPr id="844" name="텍스트 7">
          <a:extLst>
            <a:ext uri="{FF2B5EF4-FFF2-40B4-BE49-F238E27FC236}">
              <a16:creationId xmlns:a16="http://schemas.microsoft.com/office/drawing/2014/main" id="{00000000-0008-0000-0700-00004C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845" name="텍스트 8">
          <a:extLst>
            <a:ext uri="{FF2B5EF4-FFF2-40B4-BE49-F238E27FC236}">
              <a16:creationId xmlns:a16="http://schemas.microsoft.com/office/drawing/2014/main" id="{00000000-0008-0000-0700-00004D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249299" cy="204671"/>
    <xdr:sp macro="" textlink="">
      <xdr:nvSpPr>
        <xdr:cNvPr id="846" name="텍스트 17">
          <a:extLst>
            <a:ext uri="{FF2B5EF4-FFF2-40B4-BE49-F238E27FC236}">
              <a16:creationId xmlns:a16="http://schemas.microsoft.com/office/drawing/2014/main" id="{00000000-0008-0000-0700-00004E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847" name="텍스트 18">
          <a:extLst>
            <a:ext uri="{FF2B5EF4-FFF2-40B4-BE49-F238E27FC236}">
              <a16:creationId xmlns:a16="http://schemas.microsoft.com/office/drawing/2014/main" id="{00000000-0008-0000-0700-00004F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441659" cy="204671"/>
    <xdr:sp macro="" textlink="">
      <xdr:nvSpPr>
        <xdr:cNvPr id="848" name="텍스트 19">
          <a:extLst>
            <a:ext uri="{FF2B5EF4-FFF2-40B4-BE49-F238E27FC236}">
              <a16:creationId xmlns:a16="http://schemas.microsoft.com/office/drawing/2014/main" id="{00000000-0008-0000-0700-000050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56939" cy="204671"/>
    <xdr:sp macro="" textlink="">
      <xdr:nvSpPr>
        <xdr:cNvPr id="849" name="텍스트 20">
          <a:extLst>
            <a:ext uri="{FF2B5EF4-FFF2-40B4-BE49-F238E27FC236}">
              <a16:creationId xmlns:a16="http://schemas.microsoft.com/office/drawing/2014/main" id="{00000000-0008-0000-0700-000051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15</xdr:row>
      <xdr:rowOff>0</xdr:rowOff>
    </xdr:from>
    <xdr:ext cx="326243" cy="204671"/>
    <xdr:sp macro="" textlink="">
      <xdr:nvSpPr>
        <xdr:cNvPr id="850" name="텍스트 21">
          <a:extLst>
            <a:ext uri="{FF2B5EF4-FFF2-40B4-BE49-F238E27FC236}">
              <a16:creationId xmlns:a16="http://schemas.microsoft.com/office/drawing/2014/main" id="{00000000-0008-0000-0700-000052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87771" cy="204671"/>
    <xdr:sp macro="" textlink="">
      <xdr:nvSpPr>
        <xdr:cNvPr id="851" name="텍스트 9">
          <a:extLst>
            <a:ext uri="{FF2B5EF4-FFF2-40B4-BE49-F238E27FC236}">
              <a16:creationId xmlns:a16="http://schemas.microsoft.com/office/drawing/2014/main" id="{00000000-0008-0000-0700-000053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852" name="텍스트 10">
          <a:extLst>
            <a:ext uri="{FF2B5EF4-FFF2-40B4-BE49-F238E27FC236}">
              <a16:creationId xmlns:a16="http://schemas.microsoft.com/office/drawing/2014/main" id="{00000000-0008-0000-0700-000054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853" name="텍스트 11">
          <a:extLst>
            <a:ext uri="{FF2B5EF4-FFF2-40B4-BE49-F238E27FC236}">
              <a16:creationId xmlns:a16="http://schemas.microsoft.com/office/drawing/2014/main" id="{00000000-0008-0000-0700-000055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854" name="텍스트 12">
          <a:extLst>
            <a:ext uri="{FF2B5EF4-FFF2-40B4-BE49-F238E27FC236}">
              <a16:creationId xmlns:a16="http://schemas.microsoft.com/office/drawing/2014/main" id="{00000000-0008-0000-0700-000056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49299" cy="204671"/>
    <xdr:sp macro="" textlink="">
      <xdr:nvSpPr>
        <xdr:cNvPr id="855" name="텍스트 13">
          <a:extLst>
            <a:ext uri="{FF2B5EF4-FFF2-40B4-BE49-F238E27FC236}">
              <a16:creationId xmlns:a16="http://schemas.microsoft.com/office/drawing/2014/main" id="{00000000-0008-0000-0700-000057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856" name="텍스트 14">
          <a:extLst>
            <a:ext uri="{FF2B5EF4-FFF2-40B4-BE49-F238E27FC236}">
              <a16:creationId xmlns:a16="http://schemas.microsoft.com/office/drawing/2014/main" id="{00000000-0008-0000-0700-000058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857" name="텍스트 15">
          <a:extLst>
            <a:ext uri="{FF2B5EF4-FFF2-40B4-BE49-F238E27FC236}">
              <a16:creationId xmlns:a16="http://schemas.microsoft.com/office/drawing/2014/main" id="{00000000-0008-0000-0700-000059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858" name="텍스트 16">
          <a:extLst>
            <a:ext uri="{FF2B5EF4-FFF2-40B4-BE49-F238E27FC236}">
              <a16:creationId xmlns:a16="http://schemas.microsoft.com/office/drawing/2014/main" id="{00000000-0008-0000-0700-00005A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87771" cy="204671"/>
    <xdr:sp macro="" textlink="">
      <xdr:nvSpPr>
        <xdr:cNvPr id="859" name="텍스트 9">
          <a:extLst>
            <a:ext uri="{FF2B5EF4-FFF2-40B4-BE49-F238E27FC236}">
              <a16:creationId xmlns:a16="http://schemas.microsoft.com/office/drawing/2014/main" id="{00000000-0008-0000-0700-00005B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860" name="텍스트 10">
          <a:extLst>
            <a:ext uri="{FF2B5EF4-FFF2-40B4-BE49-F238E27FC236}">
              <a16:creationId xmlns:a16="http://schemas.microsoft.com/office/drawing/2014/main" id="{00000000-0008-0000-0700-00005C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861" name="텍스트 11">
          <a:extLst>
            <a:ext uri="{FF2B5EF4-FFF2-40B4-BE49-F238E27FC236}">
              <a16:creationId xmlns:a16="http://schemas.microsoft.com/office/drawing/2014/main" id="{00000000-0008-0000-0700-00005D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862" name="텍스트 12">
          <a:extLst>
            <a:ext uri="{FF2B5EF4-FFF2-40B4-BE49-F238E27FC236}">
              <a16:creationId xmlns:a16="http://schemas.microsoft.com/office/drawing/2014/main" id="{00000000-0008-0000-0700-00005E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249299" cy="204671"/>
    <xdr:sp macro="" textlink="">
      <xdr:nvSpPr>
        <xdr:cNvPr id="863" name="텍스트 13">
          <a:extLst>
            <a:ext uri="{FF2B5EF4-FFF2-40B4-BE49-F238E27FC236}">
              <a16:creationId xmlns:a16="http://schemas.microsoft.com/office/drawing/2014/main" id="{00000000-0008-0000-0700-00005F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864" name="텍스트 14">
          <a:extLst>
            <a:ext uri="{FF2B5EF4-FFF2-40B4-BE49-F238E27FC236}">
              <a16:creationId xmlns:a16="http://schemas.microsoft.com/office/drawing/2014/main" id="{00000000-0008-0000-0700-000060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326243" cy="204671"/>
    <xdr:sp macro="" textlink="">
      <xdr:nvSpPr>
        <xdr:cNvPr id="865" name="텍스트 15">
          <a:extLst>
            <a:ext uri="{FF2B5EF4-FFF2-40B4-BE49-F238E27FC236}">
              <a16:creationId xmlns:a16="http://schemas.microsoft.com/office/drawing/2014/main" id="{00000000-0008-0000-0700-000061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6</xdr:col>
      <xdr:colOff>2121353</xdr:colOff>
      <xdr:row>16</xdr:row>
      <xdr:rowOff>0</xdr:rowOff>
    </xdr:from>
    <xdr:ext cx="56939" cy="204671"/>
    <xdr:sp macro="" textlink="">
      <xdr:nvSpPr>
        <xdr:cNvPr id="866" name="텍스트 16">
          <a:extLst>
            <a:ext uri="{FF2B5EF4-FFF2-40B4-BE49-F238E27FC236}">
              <a16:creationId xmlns:a16="http://schemas.microsoft.com/office/drawing/2014/main" id="{00000000-0008-0000-0700-000062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16</xdr:row>
      <xdr:rowOff>0</xdr:rowOff>
    </xdr:from>
    <xdr:ext cx="287771" cy="204671"/>
    <xdr:sp macro="" textlink="">
      <xdr:nvSpPr>
        <xdr:cNvPr id="867" name="텍스트 9">
          <a:extLst>
            <a:ext uri="{FF2B5EF4-FFF2-40B4-BE49-F238E27FC236}">
              <a16:creationId xmlns:a16="http://schemas.microsoft.com/office/drawing/2014/main" id="{00000000-0008-0000-0700-000063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7</xdr:col>
      <xdr:colOff>820511</xdr:colOff>
      <xdr:row>16</xdr:row>
      <xdr:rowOff>0</xdr:rowOff>
    </xdr:from>
    <xdr:ext cx="56939" cy="204671"/>
    <xdr:sp macro="" textlink="">
      <xdr:nvSpPr>
        <xdr:cNvPr id="868" name="텍스트 10">
          <a:extLst>
            <a:ext uri="{FF2B5EF4-FFF2-40B4-BE49-F238E27FC236}">
              <a16:creationId xmlns:a16="http://schemas.microsoft.com/office/drawing/2014/main" id="{00000000-0008-0000-0700-000064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16</xdr:row>
      <xdr:rowOff>0</xdr:rowOff>
    </xdr:from>
    <xdr:ext cx="326243" cy="204671"/>
    <xdr:sp macro="" textlink="">
      <xdr:nvSpPr>
        <xdr:cNvPr id="869" name="텍스트 11">
          <a:extLst>
            <a:ext uri="{FF2B5EF4-FFF2-40B4-BE49-F238E27FC236}">
              <a16:creationId xmlns:a16="http://schemas.microsoft.com/office/drawing/2014/main" id="{00000000-0008-0000-0700-000065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820511</xdr:colOff>
      <xdr:row>16</xdr:row>
      <xdr:rowOff>0</xdr:rowOff>
    </xdr:from>
    <xdr:ext cx="56939" cy="204671"/>
    <xdr:sp macro="" textlink="">
      <xdr:nvSpPr>
        <xdr:cNvPr id="870" name="텍스트 12">
          <a:extLst>
            <a:ext uri="{FF2B5EF4-FFF2-40B4-BE49-F238E27FC236}">
              <a16:creationId xmlns:a16="http://schemas.microsoft.com/office/drawing/2014/main" id="{00000000-0008-0000-0700-000066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16</xdr:row>
      <xdr:rowOff>0</xdr:rowOff>
    </xdr:from>
    <xdr:ext cx="249299" cy="204671"/>
    <xdr:sp macro="" textlink="">
      <xdr:nvSpPr>
        <xdr:cNvPr id="871" name="텍스트 13">
          <a:extLst>
            <a:ext uri="{FF2B5EF4-FFF2-40B4-BE49-F238E27FC236}">
              <a16:creationId xmlns:a16="http://schemas.microsoft.com/office/drawing/2014/main" id="{00000000-0008-0000-0700-000067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820511</xdr:colOff>
      <xdr:row>16</xdr:row>
      <xdr:rowOff>0</xdr:rowOff>
    </xdr:from>
    <xdr:ext cx="56939" cy="204671"/>
    <xdr:sp macro="" textlink="">
      <xdr:nvSpPr>
        <xdr:cNvPr id="872" name="텍스트 14">
          <a:extLst>
            <a:ext uri="{FF2B5EF4-FFF2-40B4-BE49-F238E27FC236}">
              <a16:creationId xmlns:a16="http://schemas.microsoft.com/office/drawing/2014/main" id="{00000000-0008-0000-0700-000068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820511</xdr:colOff>
      <xdr:row>16</xdr:row>
      <xdr:rowOff>0</xdr:rowOff>
    </xdr:from>
    <xdr:ext cx="326243" cy="204671"/>
    <xdr:sp macro="" textlink="">
      <xdr:nvSpPr>
        <xdr:cNvPr id="873" name="텍스트 15">
          <a:extLst>
            <a:ext uri="{FF2B5EF4-FFF2-40B4-BE49-F238E27FC236}">
              <a16:creationId xmlns:a16="http://schemas.microsoft.com/office/drawing/2014/main" id="{00000000-0008-0000-0700-000069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12</xdr:row>
      <xdr:rowOff>0</xdr:rowOff>
    </xdr:from>
    <xdr:ext cx="210827" cy="204671"/>
    <xdr:sp macro="" textlink="">
      <xdr:nvSpPr>
        <xdr:cNvPr id="874" name="텍스트 1">
          <a:extLst>
            <a:ext uri="{FF2B5EF4-FFF2-40B4-BE49-F238E27FC236}">
              <a16:creationId xmlns:a16="http://schemas.microsoft.com/office/drawing/2014/main" id="{00000000-0008-0000-0700-00006A03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12</xdr:row>
      <xdr:rowOff>0</xdr:rowOff>
    </xdr:from>
    <xdr:ext cx="56939" cy="204671"/>
    <xdr:sp macro="" textlink="">
      <xdr:nvSpPr>
        <xdr:cNvPr id="875" name="텍스트 2">
          <a:extLst>
            <a:ext uri="{FF2B5EF4-FFF2-40B4-BE49-F238E27FC236}">
              <a16:creationId xmlns:a16="http://schemas.microsoft.com/office/drawing/2014/main" id="{00000000-0008-0000-0700-00006B03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876" name="텍스트 23">
          <a:extLst>
            <a:ext uri="{FF2B5EF4-FFF2-40B4-BE49-F238E27FC236}">
              <a16:creationId xmlns:a16="http://schemas.microsoft.com/office/drawing/2014/main" id="{00000000-0008-0000-0700-00006C03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877" name="텍스트 23">
          <a:extLst>
            <a:ext uri="{FF2B5EF4-FFF2-40B4-BE49-F238E27FC236}">
              <a16:creationId xmlns:a16="http://schemas.microsoft.com/office/drawing/2014/main" id="{00000000-0008-0000-0700-00006D03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12</xdr:row>
      <xdr:rowOff>0</xdr:rowOff>
    </xdr:from>
    <xdr:ext cx="210827" cy="204671"/>
    <xdr:sp macro="" textlink="">
      <xdr:nvSpPr>
        <xdr:cNvPr id="878" name="텍스트 1">
          <a:extLst>
            <a:ext uri="{FF2B5EF4-FFF2-40B4-BE49-F238E27FC236}">
              <a16:creationId xmlns:a16="http://schemas.microsoft.com/office/drawing/2014/main" id="{00000000-0008-0000-0700-00006E03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12</xdr:row>
      <xdr:rowOff>0</xdr:rowOff>
    </xdr:from>
    <xdr:ext cx="56939" cy="204671"/>
    <xdr:sp macro="" textlink="">
      <xdr:nvSpPr>
        <xdr:cNvPr id="879" name="텍스트 2">
          <a:extLst>
            <a:ext uri="{FF2B5EF4-FFF2-40B4-BE49-F238E27FC236}">
              <a16:creationId xmlns:a16="http://schemas.microsoft.com/office/drawing/2014/main" id="{00000000-0008-0000-0700-00006F03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172355" cy="204671"/>
    <xdr:sp macro="" textlink="">
      <xdr:nvSpPr>
        <xdr:cNvPr id="880" name="텍스트 3">
          <a:extLst>
            <a:ext uri="{FF2B5EF4-FFF2-40B4-BE49-F238E27FC236}">
              <a16:creationId xmlns:a16="http://schemas.microsoft.com/office/drawing/2014/main" id="{00000000-0008-0000-0700-000070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881" name="텍스트 4">
          <a:extLst>
            <a:ext uri="{FF2B5EF4-FFF2-40B4-BE49-F238E27FC236}">
              <a16:creationId xmlns:a16="http://schemas.microsoft.com/office/drawing/2014/main" id="{00000000-0008-0000-0700-000071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249299" cy="204671"/>
    <xdr:sp macro="" textlink="">
      <xdr:nvSpPr>
        <xdr:cNvPr id="882" name="텍스트 5">
          <a:extLst>
            <a:ext uri="{FF2B5EF4-FFF2-40B4-BE49-F238E27FC236}">
              <a16:creationId xmlns:a16="http://schemas.microsoft.com/office/drawing/2014/main" id="{00000000-0008-0000-0700-000072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883" name="텍스트 6">
          <a:extLst>
            <a:ext uri="{FF2B5EF4-FFF2-40B4-BE49-F238E27FC236}">
              <a16:creationId xmlns:a16="http://schemas.microsoft.com/office/drawing/2014/main" id="{00000000-0008-0000-0700-000073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249299" cy="204671"/>
    <xdr:sp macro="" textlink="">
      <xdr:nvSpPr>
        <xdr:cNvPr id="884" name="텍스트 7">
          <a:extLst>
            <a:ext uri="{FF2B5EF4-FFF2-40B4-BE49-F238E27FC236}">
              <a16:creationId xmlns:a16="http://schemas.microsoft.com/office/drawing/2014/main" id="{00000000-0008-0000-0700-000074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885" name="텍스트 8">
          <a:extLst>
            <a:ext uri="{FF2B5EF4-FFF2-40B4-BE49-F238E27FC236}">
              <a16:creationId xmlns:a16="http://schemas.microsoft.com/office/drawing/2014/main" id="{00000000-0008-0000-0700-000075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87771" cy="204671"/>
    <xdr:sp macro="" textlink="">
      <xdr:nvSpPr>
        <xdr:cNvPr id="886" name="텍스트 9">
          <a:extLst>
            <a:ext uri="{FF2B5EF4-FFF2-40B4-BE49-F238E27FC236}">
              <a16:creationId xmlns:a16="http://schemas.microsoft.com/office/drawing/2014/main" id="{00000000-0008-0000-0700-000076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887" name="텍스트 10">
          <a:extLst>
            <a:ext uri="{FF2B5EF4-FFF2-40B4-BE49-F238E27FC236}">
              <a16:creationId xmlns:a16="http://schemas.microsoft.com/office/drawing/2014/main" id="{00000000-0008-0000-0700-000077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888" name="텍스트 11">
          <a:extLst>
            <a:ext uri="{FF2B5EF4-FFF2-40B4-BE49-F238E27FC236}">
              <a16:creationId xmlns:a16="http://schemas.microsoft.com/office/drawing/2014/main" id="{00000000-0008-0000-0700-000078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889" name="텍스트 12">
          <a:extLst>
            <a:ext uri="{FF2B5EF4-FFF2-40B4-BE49-F238E27FC236}">
              <a16:creationId xmlns:a16="http://schemas.microsoft.com/office/drawing/2014/main" id="{00000000-0008-0000-0700-000079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49299" cy="204671"/>
    <xdr:sp macro="" textlink="">
      <xdr:nvSpPr>
        <xdr:cNvPr id="890" name="텍스트 13">
          <a:extLst>
            <a:ext uri="{FF2B5EF4-FFF2-40B4-BE49-F238E27FC236}">
              <a16:creationId xmlns:a16="http://schemas.microsoft.com/office/drawing/2014/main" id="{00000000-0008-0000-0700-00007A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891" name="텍스트 14">
          <a:extLst>
            <a:ext uri="{FF2B5EF4-FFF2-40B4-BE49-F238E27FC236}">
              <a16:creationId xmlns:a16="http://schemas.microsoft.com/office/drawing/2014/main" id="{00000000-0008-0000-0700-00007B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892" name="텍스트 15">
          <a:extLst>
            <a:ext uri="{FF2B5EF4-FFF2-40B4-BE49-F238E27FC236}">
              <a16:creationId xmlns:a16="http://schemas.microsoft.com/office/drawing/2014/main" id="{00000000-0008-0000-0700-00007C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893" name="텍스트 16">
          <a:extLst>
            <a:ext uri="{FF2B5EF4-FFF2-40B4-BE49-F238E27FC236}">
              <a16:creationId xmlns:a16="http://schemas.microsoft.com/office/drawing/2014/main" id="{00000000-0008-0000-0700-00007D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249299" cy="204671"/>
    <xdr:sp macro="" textlink="">
      <xdr:nvSpPr>
        <xdr:cNvPr id="894" name="텍스트 17">
          <a:extLst>
            <a:ext uri="{FF2B5EF4-FFF2-40B4-BE49-F238E27FC236}">
              <a16:creationId xmlns:a16="http://schemas.microsoft.com/office/drawing/2014/main" id="{00000000-0008-0000-0700-00007E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895" name="텍스트 18">
          <a:extLst>
            <a:ext uri="{FF2B5EF4-FFF2-40B4-BE49-F238E27FC236}">
              <a16:creationId xmlns:a16="http://schemas.microsoft.com/office/drawing/2014/main" id="{00000000-0008-0000-0700-00007F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896" name="텍스트 20">
          <a:extLst>
            <a:ext uri="{FF2B5EF4-FFF2-40B4-BE49-F238E27FC236}">
              <a16:creationId xmlns:a16="http://schemas.microsoft.com/office/drawing/2014/main" id="{00000000-0008-0000-0700-000080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897" name="텍스트 22">
          <a:extLst>
            <a:ext uri="{FF2B5EF4-FFF2-40B4-BE49-F238E27FC236}">
              <a16:creationId xmlns:a16="http://schemas.microsoft.com/office/drawing/2014/main" id="{00000000-0008-0000-0700-000081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898" name="텍스트 23">
          <a:extLst>
            <a:ext uri="{FF2B5EF4-FFF2-40B4-BE49-F238E27FC236}">
              <a16:creationId xmlns:a16="http://schemas.microsoft.com/office/drawing/2014/main" id="{00000000-0008-0000-0700-00008203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87771" cy="204671"/>
    <xdr:sp macro="" textlink="">
      <xdr:nvSpPr>
        <xdr:cNvPr id="899" name="텍스트 9">
          <a:extLst>
            <a:ext uri="{FF2B5EF4-FFF2-40B4-BE49-F238E27FC236}">
              <a16:creationId xmlns:a16="http://schemas.microsoft.com/office/drawing/2014/main" id="{00000000-0008-0000-0700-000083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00" name="텍스트 10">
          <a:extLst>
            <a:ext uri="{FF2B5EF4-FFF2-40B4-BE49-F238E27FC236}">
              <a16:creationId xmlns:a16="http://schemas.microsoft.com/office/drawing/2014/main" id="{00000000-0008-0000-0700-000084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901" name="텍스트 11">
          <a:extLst>
            <a:ext uri="{FF2B5EF4-FFF2-40B4-BE49-F238E27FC236}">
              <a16:creationId xmlns:a16="http://schemas.microsoft.com/office/drawing/2014/main" id="{00000000-0008-0000-0700-000085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02" name="텍스트 12">
          <a:extLst>
            <a:ext uri="{FF2B5EF4-FFF2-40B4-BE49-F238E27FC236}">
              <a16:creationId xmlns:a16="http://schemas.microsoft.com/office/drawing/2014/main" id="{00000000-0008-0000-0700-000086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49299" cy="204671"/>
    <xdr:sp macro="" textlink="">
      <xdr:nvSpPr>
        <xdr:cNvPr id="903" name="텍스트 13">
          <a:extLst>
            <a:ext uri="{FF2B5EF4-FFF2-40B4-BE49-F238E27FC236}">
              <a16:creationId xmlns:a16="http://schemas.microsoft.com/office/drawing/2014/main" id="{00000000-0008-0000-0700-000087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04" name="텍스트 14">
          <a:extLst>
            <a:ext uri="{FF2B5EF4-FFF2-40B4-BE49-F238E27FC236}">
              <a16:creationId xmlns:a16="http://schemas.microsoft.com/office/drawing/2014/main" id="{00000000-0008-0000-0700-000088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905" name="텍스트 15">
          <a:extLst>
            <a:ext uri="{FF2B5EF4-FFF2-40B4-BE49-F238E27FC236}">
              <a16:creationId xmlns:a16="http://schemas.microsoft.com/office/drawing/2014/main" id="{00000000-0008-0000-0700-000089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06" name="텍스트 16">
          <a:extLst>
            <a:ext uri="{FF2B5EF4-FFF2-40B4-BE49-F238E27FC236}">
              <a16:creationId xmlns:a16="http://schemas.microsoft.com/office/drawing/2014/main" id="{00000000-0008-0000-0700-00008A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172355" cy="204671"/>
    <xdr:sp macro="" textlink="">
      <xdr:nvSpPr>
        <xdr:cNvPr id="907" name="텍스트 3">
          <a:extLst>
            <a:ext uri="{FF2B5EF4-FFF2-40B4-BE49-F238E27FC236}">
              <a16:creationId xmlns:a16="http://schemas.microsoft.com/office/drawing/2014/main" id="{00000000-0008-0000-0700-00008B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08" name="텍스트 4">
          <a:extLst>
            <a:ext uri="{FF2B5EF4-FFF2-40B4-BE49-F238E27FC236}">
              <a16:creationId xmlns:a16="http://schemas.microsoft.com/office/drawing/2014/main" id="{00000000-0008-0000-0700-00008C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249299" cy="204671"/>
    <xdr:sp macro="" textlink="">
      <xdr:nvSpPr>
        <xdr:cNvPr id="909" name="텍스트 5">
          <a:extLst>
            <a:ext uri="{FF2B5EF4-FFF2-40B4-BE49-F238E27FC236}">
              <a16:creationId xmlns:a16="http://schemas.microsoft.com/office/drawing/2014/main" id="{00000000-0008-0000-0700-00008D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10" name="텍스트 6">
          <a:extLst>
            <a:ext uri="{FF2B5EF4-FFF2-40B4-BE49-F238E27FC236}">
              <a16:creationId xmlns:a16="http://schemas.microsoft.com/office/drawing/2014/main" id="{00000000-0008-0000-0700-00008E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249299" cy="204671"/>
    <xdr:sp macro="" textlink="">
      <xdr:nvSpPr>
        <xdr:cNvPr id="911" name="텍스트 7">
          <a:extLst>
            <a:ext uri="{FF2B5EF4-FFF2-40B4-BE49-F238E27FC236}">
              <a16:creationId xmlns:a16="http://schemas.microsoft.com/office/drawing/2014/main" id="{00000000-0008-0000-0700-00008F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12" name="텍스트 8">
          <a:extLst>
            <a:ext uri="{FF2B5EF4-FFF2-40B4-BE49-F238E27FC236}">
              <a16:creationId xmlns:a16="http://schemas.microsoft.com/office/drawing/2014/main" id="{00000000-0008-0000-0700-000090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249299" cy="204671"/>
    <xdr:sp macro="" textlink="">
      <xdr:nvSpPr>
        <xdr:cNvPr id="913" name="텍스트 17">
          <a:extLst>
            <a:ext uri="{FF2B5EF4-FFF2-40B4-BE49-F238E27FC236}">
              <a16:creationId xmlns:a16="http://schemas.microsoft.com/office/drawing/2014/main" id="{00000000-0008-0000-0700-000091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14" name="텍스트 18">
          <a:extLst>
            <a:ext uri="{FF2B5EF4-FFF2-40B4-BE49-F238E27FC236}">
              <a16:creationId xmlns:a16="http://schemas.microsoft.com/office/drawing/2014/main" id="{00000000-0008-0000-0700-000092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15" name="텍스트 20">
          <a:extLst>
            <a:ext uri="{FF2B5EF4-FFF2-40B4-BE49-F238E27FC236}">
              <a16:creationId xmlns:a16="http://schemas.microsoft.com/office/drawing/2014/main" id="{00000000-0008-0000-0700-000093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16" name="텍스트 22">
          <a:extLst>
            <a:ext uri="{FF2B5EF4-FFF2-40B4-BE49-F238E27FC236}">
              <a16:creationId xmlns:a16="http://schemas.microsoft.com/office/drawing/2014/main" id="{00000000-0008-0000-0700-00009403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87771" cy="204671"/>
    <xdr:sp macro="" textlink="">
      <xdr:nvSpPr>
        <xdr:cNvPr id="917" name="텍스트 9">
          <a:extLst>
            <a:ext uri="{FF2B5EF4-FFF2-40B4-BE49-F238E27FC236}">
              <a16:creationId xmlns:a16="http://schemas.microsoft.com/office/drawing/2014/main" id="{00000000-0008-0000-0700-000095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18" name="텍스트 10">
          <a:extLst>
            <a:ext uri="{FF2B5EF4-FFF2-40B4-BE49-F238E27FC236}">
              <a16:creationId xmlns:a16="http://schemas.microsoft.com/office/drawing/2014/main" id="{00000000-0008-0000-0700-000096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919" name="텍스트 11">
          <a:extLst>
            <a:ext uri="{FF2B5EF4-FFF2-40B4-BE49-F238E27FC236}">
              <a16:creationId xmlns:a16="http://schemas.microsoft.com/office/drawing/2014/main" id="{00000000-0008-0000-0700-000097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20" name="텍스트 12">
          <a:extLst>
            <a:ext uri="{FF2B5EF4-FFF2-40B4-BE49-F238E27FC236}">
              <a16:creationId xmlns:a16="http://schemas.microsoft.com/office/drawing/2014/main" id="{00000000-0008-0000-0700-000098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49299" cy="204671"/>
    <xdr:sp macro="" textlink="">
      <xdr:nvSpPr>
        <xdr:cNvPr id="921" name="텍스트 13">
          <a:extLst>
            <a:ext uri="{FF2B5EF4-FFF2-40B4-BE49-F238E27FC236}">
              <a16:creationId xmlns:a16="http://schemas.microsoft.com/office/drawing/2014/main" id="{00000000-0008-0000-0700-000099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22" name="텍스트 14">
          <a:extLst>
            <a:ext uri="{FF2B5EF4-FFF2-40B4-BE49-F238E27FC236}">
              <a16:creationId xmlns:a16="http://schemas.microsoft.com/office/drawing/2014/main" id="{00000000-0008-0000-0700-00009A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923" name="텍스트 15">
          <a:extLst>
            <a:ext uri="{FF2B5EF4-FFF2-40B4-BE49-F238E27FC236}">
              <a16:creationId xmlns:a16="http://schemas.microsoft.com/office/drawing/2014/main" id="{00000000-0008-0000-0700-00009B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24" name="텍스트 16">
          <a:extLst>
            <a:ext uri="{FF2B5EF4-FFF2-40B4-BE49-F238E27FC236}">
              <a16:creationId xmlns:a16="http://schemas.microsoft.com/office/drawing/2014/main" id="{00000000-0008-0000-0700-00009C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87771" cy="204671"/>
    <xdr:sp macro="" textlink="">
      <xdr:nvSpPr>
        <xdr:cNvPr id="925" name="텍스트 9">
          <a:extLst>
            <a:ext uri="{FF2B5EF4-FFF2-40B4-BE49-F238E27FC236}">
              <a16:creationId xmlns:a16="http://schemas.microsoft.com/office/drawing/2014/main" id="{00000000-0008-0000-0700-00009D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26" name="텍스트 10">
          <a:extLst>
            <a:ext uri="{FF2B5EF4-FFF2-40B4-BE49-F238E27FC236}">
              <a16:creationId xmlns:a16="http://schemas.microsoft.com/office/drawing/2014/main" id="{00000000-0008-0000-0700-00009E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927" name="텍스트 11">
          <a:extLst>
            <a:ext uri="{FF2B5EF4-FFF2-40B4-BE49-F238E27FC236}">
              <a16:creationId xmlns:a16="http://schemas.microsoft.com/office/drawing/2014/main" id="{00000000-0008-0000-0700-00009F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28" name="텍스트 12">
          <a:extLst>
            <a:ext uri="{FF2B5EF4-FFF2-40B4-BE49-F238E27FC236}">
              <a16:creationId xmlns:a16="http://schemas.microsoft.com/office/drawing/2014/main" id="{00000000-0008-0000-0700-0000A0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49299" cy="204671"/>
    <xdr:sp macro="" textlink="">
      <xdr:nvSpPr>
        <xdr:cNvPr id="929" name="텍스트 13">
          <a:extLst>
            <a:ext uri="{FF2B5EF4-FFF2-40B4-BE49-F238E27FC236}">
              <a16:creationId xmlns:a16="http://schemas.microsoft.com/office/drawing/2014/main" id="{00000000-0008-0000-0700-0000A1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30" name="텍스트 14">
          <a:extLst>
            <a:ext uri="{FF2B5EF4-FFF2-40B4-BE49-F238E27FC236}">
              <a16:creationId xmlns:a16="http://schemas.microsoft.com/office/drawing/2014/main" id="{00000000-0008-0000-0700-0000A2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931" name="텍스트 15">
          <a:extLst>
            <a:ext uri="{FF2B5EF4-FFF2-40B4-BE49-F238E27FC236}">
              <a16:creationId xmlns:a16="http://schemas.microsoft.com/office/drawing/2014/main" id="{00000000-0008-0000-0700-0000A3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32" name="텍스트 16">
          <a:extLst>
            <a:ext uri="{FF2B5EF4-FFF2-40B4-BE49-F238E27FC236}">
              <a16:creationId xmlns:a16="http://schemas.microsoft.com/office/drawing/2014/main" id="{00000000-0008-0000-0700-0000A403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12</xdr:row>
      <xdr:rowOff>0</xdr:rowOff>
    </xdr:from>
    <xdr:ext cx="210827" cy="204671"/>
    <xdr:sp macro="" textlink="">
      <xdr:nvSpPr>
        <xdr:cNvPr id="933" name="텍스트 1">
          <a:extLst>
            <a:ext uri="{FF2B5EF4-FFF2-40B4-BE49-F238E27FC236}">
              <a16:creationId xmlns:a16="http://schemas.microsoft.com/office/drawing/2014/main" id="{00000000-0008-0000-0700-0000A5030000}"/>
            </a:ext>
          </a:extLst>
        </xdr:cNvPr>
        <xdr:cNvSpPr txBox="1">
          <a:spLocks noChangeArrowheads="1"/>
        </xdr:cNvSpPr>
      </xdr:nvSpPr>
      <xdr:spPr bwMode="auto">
        <a:xfrm>
          <a:off x="3150053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12</xdr:row>
      <xdr:rowOff>0</xdr:rowOff>
    </xdr:from>
    <xdr:ext cx="56939" cy="204671"/>
    <xdr:sp macro="" textlink="">
      <xdr:nvSpPr>
        <xdr:cNvPr id="934" name="텍스트 2">
          <a:extLst>
            <a:ext uri="{FF2B5EF4-FFF2-40B4-BE49-F238E27FC236}">
              <a16:creationId xmlns:a16="http://schemas.microsoft.com/office/drawing/2014/main" id="{00000000-0008-0000-0700-0000A6030000}"/>
            </a:ext>
          </a:extLst>
        </xdr:cNvPr>
        <xdr:cNvSpPr txBox="1">
          <a:spLocks noChangeArrowheads="1"/>
        </xdr:cNvSpPr>
      </xdr:nvSpPr>
      <xdr:spPr bwMode="auto">
        <a:xfrm>
          <a:off x="3150053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172355" cy="204671"/>
    <xdr:sp macro="" textlink="">
      <xdr:nvSpPr>
        <xdr:cNvPr id="935" name="텍스트 3">
          <a:extLst>
            <a:ext uri="{FF2B5EF4-FFF2-40B4-BE49-F238E27FC236}">
              <a16:creationId xmlns:a16="http://schemas.microsoft.com/office/drawing/2014/main" id="{00000000-0008-0000-0700-0000A7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36" name="텍스트 4">
          <a:extLst>
            <a:ext uri="{FF2B5EF4-FFF2-40B4-BE49-F238E27FC236}">
              <a16:creationId xmlns:a16="http://schemas.microsoft.com/office/drawing/2014/main" id="{00000000-0008-0000-0700-0000A8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249299" cy="204671"/>
    <xdr:sp macro="" textlink="">
      <xdr:nvSpPr>
        <xdr:cNvPr id="937" name="텍스트 5">
          <a:extLst>
            <a:ext uri="{FF2B5EF4-FFF2-40B4-BE49-F238E27FC236}">
              <a16:creationId xmlns:a16="http://schemas.microsoft.com/office/drawing/2014/main" id="{00000000-0008-0000-0700-0000A9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38" name="텍스트 6">
          <a:extLst>
            <a:ext uri="{FF2B5EF4-FFF2-40B4-BE49-F238E27FC236}">
              <a16:creationId xmlns:a16="http://schemas.microsoft.com/office/drawing/2014/main" id="{00000000-0008-0000-0700-0000AA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249299" cy="204671"/>
    <xdr:sp macro="" textlink="">
      <xdr:nvSpPr>
        <xdr:cNvPr id="939" name="텍스트 7">
          <a:extLst>
            <a:ext uri="{FF2B5EF4-FFF2-40B4-BE49-F238E27FC236}">
              <a16:creationId xmlns:a16="http://schemas.microsoft.com/office/drawing/2014/main" id="{00000000-0008-0000-0700-0000AB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40" name="텍스트 8">
          <a:extLst>
            <a:ext uri="{FF2B5EF4-FFF2-40B4-BE49-F238E27FC236}">
              <a16:creationId xmlns:a16="http://schemas.microsoft.com/office/drawing/2014/main" id="{00000000-0008-0000-0700-0000AC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87771" cy="204671"/>
    <xdr:sp macro="" textlink="">
      <xdr:nvSpPr>
        <xdr:cNvPr id="941" name="텍스트 9">
          <a:extLst>
            <a:ext uri="{FF2B5EF4-FFF2-40B4-BE49-F238E27FC236}">
              <a16:creationId xmlns:a16="http://schemas.microsoft.com/office/drawing/2014/main" id="{00000000-0008-0000-0700-0000AD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42" name="텍스트 10">
          <a:extLst>
            <a:ext uri="{FF2B5EF4-FFF2-40B4-BE49-F238E27FC236}">
              <a16:creationId xmlns:a16="http://schemas.microsoft.com/office/drawing/2014/main" id="{00000000-0008-0000-0700-0000AE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943" name="텍스트 11">
          <a:extLst>
            <a:ext uri="{FF2B5EF4-FFF2-40B4-BE49-F238E27FC236}">
              <a16:creationId xmlns:a16="http://schemas.microsoft.com/office/drawing/2014/main" id="{00000000-0008-0000-0700-0000AF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44" name="텍스트 12">
          <a:extLst>
            <a:ext uri="{FF2B5EF4-FFF2-40B4-BE49-F238E27FC236}">
              <a16:creationId xmlns:a16="http://schemas.microsoft.com/office/drawing/2014/main" id="{00000000-0008-0000-0700-0000B0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49299" cy="204671"/>
    <xdr:sp macro="" textlink="">
      <xdr:nvSpPr>
        <xdr:cNvPr id="945" name="텍스트 13">
          <a:extLst>
            <a:ext uri="{FF2B5EF4-FFF2-40B4-BE49-F238E27FC236}">
              <a16:creationId xmlns:a16="http://schemas.microsoft.com/office/drawing/2014/main" id="{00000000-0008-0000-0700-0000B1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46" name="텍스트 14">
          <a:extLst>
            <a:ext uri="{FF2B5EF4-FFF2-40B4-BE49-F238E27FC236}">
              <a16:creationId xmlns:a16="http://schemas.microsoft.com/office/drawing/2014/main" id="{00000000-0008-0000-0700-0000B2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947" name="텍스트 15">
          <a:extLst>
            <a:ext uri="{FF2B5EF4-FFF2-40B4-BE49-F238E27FC236}">
              <a16:creationId xmlns:a16="http://schemas.microsoft.com/office/drawing/2014/main" id="{00000000-0008-0000-0700-0000B3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48" name="텍스트 16">
          <a:extLst>
            <a:ext uri="{FF2B5EF4-FFF2-40B4-BE49-F238E27FC236}">
              <a16:creationId xmlns:a16="http://schemas.microsoft.com/office/drawing/2014/main" id="{00000000-0008-0000-0700-0000B4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249299" cy="204671"/>
    <xdr:sp macro="" textlink="">
      <xdr:nvSpPr>
        <xdr:cNvPr id="949" name="텍스트 17">
          <a:extLst>
            <a:ext uri="{FF2B5EF4-FFF2-40B4-BE49-F238E27FC236}">
              <a16:creationId xmlns:a16="http://schemas.microsoft.com/office/drawing/2014/main" id="{00000000-0008-0000-0700-0000B5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50" name="텍스트 18">
          <a:extLst>
            <a:ext uri="{FF2B5EF4-FFF2-40B4-BE49-F238E27FC236}">
              <a16:creationId xmlns:a16="http://schemas.microsoft.com/office/drawing/2014/main" id="{00000000-0008-0000-0700-0000B6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51" name="텍스트 20">
          <a:extLst>
            <a:ext uri="{FF2B5EF4-FFF2-40B4-BE49-F238E27FC236}">
              <a16:creationId xmlns:a16="http://schemas.microsoft.com/office/drawing/2014/main" id="{00000000-0008-0000-0700-0000B7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52" name="텍스트 22">
          <a:extLst>
            <a:ext uri="{FF2B5EF4-FFF2-40B4-BE49-F238E27FC236}">
              <a16:creationId xmlns:a16="http://schemas.microsoft.com/office/drawing/2014/main" id="{00000000-0008-0000-0700-0000B8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953" name="텍스트 23">
          <a:extLst>
            <a:ext uri="{FF2B5EF4-FFF2-40B4-BE49-F238E27FC236}">
              <a16:creationId xmlns:a16="http://schemas.microsoft.com/office/drawing/2014/main" id="{00000000-0008-0000-0700-0000B9030000}"/>
            </a:ext>
          </a:extLst>
        </xdr:cNvPr>
        <xdr:cNvSpPr txBox="1">
          <a:spLocks noChangeArrowheads="1"/>
        </xdr:cNvSpPr>
      </xdr:nvSpPr>
      <xdr:spPr bwMode="auto">
        <a:xfrm>
          <a:off x="315005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87771" cy="204671"/>
    <xdr:sp macro="" textlink="">
      <xdr:nvSpPr>
        <xdr:cNvPr id="954" name="텍스트 9">
          <a:extLst>
            <a:ext uri="{FF2B5EF4-FFF2-40B4-BE49-F238E27FC236}">
              <a16:creationId xmlns:a16="http://schemas.microsoft.com/office/drawing/2014/main" id="{00000000-0008-0000-0700-0000BA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55" name="텍스트 10">
          <a:extLst>
            <a:ext uri="{FF2B5EF4-FFF2-40B4-BE49-F238E27FC236}">
              <a16:creationId xmlns:a16="http://schemas.microsoft.com/office/drawing/2014/main" id="{00000000-0008-0000-0700-0000BB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956" name="텍스트 11">
          <a:extLst>
            <a:ext uri="{FF2B5EF4-FFF2-40B4-BE49-F238E27FC236}">
              <a16:creationId xmlns:a16="http://schemas.microsoft.com/office/drawing/2014/main" id="{00000000-0008-0000-0700-0000BC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57" name="텍스트 12">
          <a:extLst>
            <a:ext uri="{FF2B5EF4-FFF2-40B4-BE49-F238E27FC236}">
              <a16:creationId xmlns:a16="http://schemas.microsoft.com/office/drawing/2014/main" id="{00000000-0008-0000-0700-0000BD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49299" cy="204671"/>
    <xdr:sp macro="" textlink="">
      <xdr:nvSpPr>
        <xdr:cNvPr id="958" name="텍스트 13">
          <a:extLst>
            <a:ext uri="{FF2B5EF4-FFF2-40B4-BE49-F238E27FC236}">
              <a16:creationId xmlns:a16="http://schemas.microsoft.com/office/drawing/2014/main" id="{00000000-0008-0000-0700-0000BE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59" name="텍스트 14">
          <a:extLst>
            <a:ext uri="{FF2B5EF4-FFF2-40B4-BE49-F238E27FC236}">
              <a16:creationId xmlns:a16="http://schemas.microsoft.com/office/drawing/2014/main" id="{00000000-0008-0000-0700-0000BF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960" name="텍스트 15">
          <a:extLst>
            <a:ext uri="{FF2B5EF4-FFF2-40B4-BE49-F238E27FC236}">
              <a16:creationId xmlns:a16="http://schemas.microsoft.com/office/drawing/2014/main" id="{00000000-0008-0000-0700-0000C0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961" name="텍스트 16">
          <a:extLst>
            <a:ext uri="{FF2B5EF4-FFF2-40B4-BE49-F238E27FC236}">
              <a16:creationId xmlns:a16="http://schemas.microsoft.com/office/drawing/2014/main" id="{00000000-0008-0000-0700-0000C1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16</xdr:row>
      <xdr:rowOff>0</xdr:rowOff>
    </xdr:from>
    <xdr:ext cx="287771" cy="204671"/>
    <xdr:sp macro="" textlink="">
      <xdr:nvSpPr>
        <xdr:cNvPr id="962" name="텍스트 9">
          <a:extLst>
            <a:ext uri="{FF2B5EF4-FFF2-40B4-BE49-F238E27FC236}">
              <a16:creationId xmlns:a16="http://schemas.microsoft.com/office/drawing/2014/main" id="{00000000-0008-0000-0700-0000C2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8</xdr:col>
      <xdr:colOff>820511</xdr:colOff>
      <xdr:row>16</xdr:row>
      <xdr:rowOff>0</xdr:rowOff>
    </xdr:from>
    <xdr:ext cx="56939" cy="204671"/>
    <xdr:sp macro="" textlink="">
      <xdr:nvSpPr>
        <xdr:cNvPr id="963" name="텍스트 10">
          <a:extLst>
            <a:ext uri="{FF2B5EF4-FFF2-40B4-BE49-F238E27FC236}">
              <a16:creationId xmlns:a16="http://schemas.microsoft.com/office/drawing/2014/main" id="{00000000-0008-0000-0700-0000C3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16</xdr:row>
      <xdr:rowOff>0</xdr:rowOff>
    </xdr:from>
    <xdr:ext cx="326243" cy="204671"/>
    <xdr:sp macro="" textlink="">
      <xdr:nvSpPr>
        <xdr:cNvPr id="964" name="텍스트 11">
          <a:extLst>
            <a:ext uri="{FF2B5EF4-FFF2-40B4-BE49-F238E27FC236}">
              <a16:creationId xmlns:a16="http://schemas.microsoft.com/office/drawing/2014/main" id="{00000000-0008-0000-0700-0000C4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820511</xdr:colOff>
      <xdr:row>16</xdr:row>
      <xdr:rowOff>0</xdr:rowOff>
    </xdr:from>
    <xdr:ext cx="56939" cy="204671"/>
    <xdr:sp macro="" textlink="">
      <xdr:nvSpPr>
        <xdr:cNvPr id="965" name="텍스트 12">
          <a:extLst>
            <a:ext uri="{FF2B5EF4-FFF2-40B4-BE49-F238E27FC236}">
              <a16:creationId xmlns:a16="http://schemas.microsoft.com/office/drawing/2014/main" id="{00000000-0008-0000-0700-0000C5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16</xdr:row>
      <xdr:rowOff>0</xdr:rowOff>
    </xdr:from>
    <xdr:ext cx="249299" cy="204671"/>
    <xdr:sp macro="" textlink="">
      <xdr:nvSpPr>
        <xdr:cNvPr id="966" name="텍스트 13">
          <a:extLst>
            <a:ext uri="{FF2B5EF4-FFF2-40B4-BE49-F238E27FC236}">
              <a16:creationId xmlns:a16="http://schemas.microsoft.com/office/drawing/2014/main" id="{00000000-0008-0000-0700-0000C6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16</xdr:row>
      <xdr:rowOff>0</xdr:rowOff>
    </xdr:from>
    <xdr:ext cx="56939" cy="204671"/>
    <xdr:sp macro="" textlink="">
      <xdr:nvSpPr>
        <xdr:cNvPr id="967" name="텍스트 14">
          <a:extLst>
            <a:ext uri="{FF2B5EF4-FFF2-40B4-BE49-F238E27FC236}">
              <a16:creationId xmlns:a16="http://schemas.microsoft.com/office/drawing/2014/main" id="{00000000-0008-0000-0700-0000C7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16</xdr:row>
      <xdr:rowOff>0</xdr:rowOff>
    </xdr:from>
    <xdr:ext cx="326243" cy="204671"/>
    <xdr:sp macro="" textlink="">
      <xdr:nvSpPr>
        <xdr:cNvPr id="968" name="텍스트 15">
          <a:extLst>
            <a:ext uri="{FF2B5EF4-FFF2-40B4-BE49-F238E27FC236}">
              <a16:creationId xmlns:a16="http://schemas.microsoft.com/office/drawing/2014/main" id="{00000000-0008-0000-0700-0000C8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172355" cy="204671"/>
    <xdr:sp macro="" textlink="">
      <xdr:nvSpPr>
        <xdr:cNvPr id="969" name="텍스트 3">
          <a:extLst>
            <a:ext uri="{FF2B5EF4-FFF2-40B4-BE49-F238E27FC236}">
              <a16:creationId xmlns:a16="http://schemas.microsoft.com/office/drawing/2014/main" id="{00000000-0008-0000-0700-0000C9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970" name="텍스트 4">
          <a:extLst>
            <a:ext uri="{FF2B5EF4-FFF2-40B4-BE49-F238E27FC236}">
              <a16:creationId xmlns:a16="http://schemas.microsoft.com/office/drawing/2014/main" id="{00000000-0008-0000-0700-0000CA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971" name="텍스트 5">
          <a:extLst>
            <a:ext uri="{FF2B5EF4-FFF2-40B4-BE49-F238E27FC236}">
              <a16:creationId xmlns:a16="http://schemas.microsoft.com/office/drawing/2014/main" id="{00000000-0008-0000-0700-0000CB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972" name="텍스트 6">
          <a:extLst>
            <a:ext uri="{FF2B5EF4-FFF2-40B4-BE49-F238E27FC236}">
              <a16:creationId xmlns:a16="http://schemas.microsoft.com/office/drawing/2014/main" id="{00000000-0008-0000-0700-0000CC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973" name="텍스트 7">
          <a:extLst>
            <a:ext uri="{FF2B5EF4-FFF2-40B4-BE49-F238E27FC236}">
              <a16:creationId xmlns:a16="http://schemas.microsoft.com/office/drawing/2014/main" id="{00000000-0008-0000-0700-0000CD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974" name="텍스트 8">
          <a:extLst>
            <a:ext uri="{FF2B5EF4-FFF2-40B4-BE49-F238E27FC236}">
              <a16:creationId xmlns:a16="http://schemas.microsoft.com/office/drawing/2014/main" id="{00000000-0008-0000-0700-0000CE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975" name="텍스트 17">
          <a:extLst>
            <a:ext uri="{FF2B5EF4-FFF2-40B4-BE49-F238E27FC236}">
              <a16:creationId xmlns:a16="http://schemas.microsoft.com/office/drawing/2014/main" id="{00000000-0008-0000-0700-0000CF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976" name="텍스트 18">
          <a:extLst>
            <a:ext uri="{FF2B5EF4-FFF2-40B4-BE49-F238E27FC236}">
              <a16:creationId xmlns:a16="http://schemas.microsoft.com/office/drawing/2014/main" id="{00000000-0008-0000-0700-0000D0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441659" cy="204671"/>
    <xdr:sp macro="" textlink="">
      <xdr:nvSpPr>
        <xdr:cNvPr id="977" name="텍스트 19">
          <a:extLst>
            <a:ext uri="{FF2B5EF4-FFF2-40B4-BE49-F238E27FC236}">
              <a16:creationId xmlns:a16="http://schemas.microsoft.com/office/drawing/2014/main" id="{00000000-0008-0000-0700-0000D1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978" name="텍스트 20">
          <a:extLst>
            <a:ext uri="{FF2B5EF4-FFF2-40B4-BE49-F238E27FC236}">
              <a16:creationId xmlns:a16="http://schemas.microsoft.com/office/drawing/2014/main" id="{00000000-0008-0000-0700-0000D2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326243" cy="204671"/>
    <xdr:sp macro="" textlink="">
      <xdr:nvSpPr>
        <xdr:cNvPr id="979" name="텍스트 21">
          <a:extLst>
            <a:ext uri="{FF2B5EF4-FFF2-40B4-BE49-F238E27FC236}">
              <a16:creationId xmlns:a16="http://schemas.microsoft.com/office/drawing/2014/main" id="{00000000-0008-0000-0700-0000D3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980" name="텍스트 22">
          <a:extLst>
            <a:ext uri="{FF2B5EF4-FFF2-40B4-BE49-F238E27FC236}">
              <a16:creationId xmlns:a16="http://schemas.microsoft.com/office/drawing/2014/main" id="{00000000-0008-0000-0700-0000D4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172355" cy="204671"/>
    <xdr:sp macro="" textlink="">
      <xdr:nvSpPr>
        <xdr:cNvPr id="981" name="텍스트 3">
          <a:extLst>
            <a:ext uri="{FF2B5EF4-FFF2-40B4-BE49-F238E27FC236}">
              <a16:creationId xmlns:a16="http://schemas.microsoft.com/office/drawing/2014/main" id="{00000000-0008-0000-0700-0000D5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82" name="텍스트 4">
          <a:extLst>
            <a:ext uri="{FF2B5EF4-FFF2-40B4-BE49-F238E27FC236}">
              <a16:creationId xmlns:a16="http://schemas.microsoft.com/office/drawing/2014/main" id="{00000000-0008-0000-0700-0000D6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249299" cy="204671"/>
    <xdr:sp macro="" textlink="">
      <xdr:nvSpPr>
        <xdr:cNvPr id="983" name="텍스트 5">
          <a:extLst>
            <a:ext uri="{FF2B5EF4-FFF2-40B4-BE49-F238E27FC236}">
              <a16:creationId xmlns:a16="http://schemas.microsoft.com/office/drawing/2014/main" id="{00000000-0008-0000-0700-0000D7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84" name="텍스트 6">
          <a:extLst>
            <a:ext uri="{FF2B5EF4-FFF2-40B4-BE49-F238E27FC236}">
              <a16:creationId xmlns:a16="http://schemas.microsoft.com/office/drawing/2014/main" id="{00000000-0008-0000-0700-0000D8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249299" cy="204671"/>
    <xdr:sp macro="" textlink="">
      <xdr:nvSpPr>
        <xdr:cNvPr id="985" name="텍스트 7">
          <a:extLst>
            <a:ext uri="{FF2B5EF4-FFF2-40B4-BE49-F238E27FC236}">
              <a16:creationId xmlns:a16="http://schemas.microsoft.com/office/drawing/2014/main" id="{00000000-0008-0000-0700-0000D9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86" name="텍스트 8">
          <a:extLst>
            <a:ext uri="{FF2B5EF4-FFF2-40B4-BE49-F238E27FC236}">
              <a16:creationId xmlns:a16="http://schemas.microsoft.com/office/drawing/2014/main" id="{00000000-0008-0000-0700-0000DA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249299" cy="204671"/>
    <xdr:sp macro="" textlink="">
      <xdr:nvSpPr>
        <xdr:cNvPr id="987" name="텍스트 17">
          <a:extLst>
            <a:ext uri="{FF2B5EF4-FFF2-40B4-BE49-F238E27FC236}">
              <a16:creationId xmlns:a16="http://schemas.microsoft.com/office/drawing/2014/main" id="{00000000-0008-0000-0700-0000DB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88" name="텍스트 18">
          <a:extLst>
            <a:ext uri="{FF2B5EF4-FFF2-40B4-BE49-F238E27FC236}">
              <a16:creationId xmlns:a16="http://schemas.microsoft.com/office/drawing/2014/main" id="{00000000-0008-0000-0700-0000DC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89" name="텍스트 20">
          <a:extLst>
            <a:ext uri="{FF2B5EF4-FFF2-40B4-BE49-F238E27FC236}">
              <a16:creationId xmlns:a16="http://schemas.microsoft.com/office/drawing/2014/main" id="{00000000-0008-0000-0700-0000DD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15</xdr:row>
      <xdr:rowOff>0</xdr:rowOff>
    </xdr:from>
    <xdr:ext cx="56939" cy="204671"/>
    <xdr:sp macro="" textlink="">
      <xdr:nvSpPr>
        <xdr:cNvPr id="990" name="텍스트 22">
          <a:extLst>
            <a:ext uri="{FF2B5EF4-FFF2-40B4-BE49-F238E27FC236}">
              <a16:creationId xmlns:a16="http://schemas.microsoft.com/office/drawing/2014/main" id="{00000000-0008-0000-0700-0000DE03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172355" cy="204671"/>
    <xdr:sp macro="" textlink="">
      <xdr:nvSpPr>
        <xdr:cNvPr id="991" name="텍스트 3">
          <a:extLst>
            <a:ext uri="{FF2B5EF4-FFF2-40B4-BE49-F238E27FC236}">
              <a16:creationId xmlns:a16="http://schemas.microsoft.com/office/drawing/2014/main" id="{00000000-0008-0000-0700-0000DF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992" name="텍스트 4">
          <a:extLst>
            <a:ext uri="{FF2B5EF4-FFF2-40B4-BE49-F238E27FC236}">
              <a16:creationId xmlns:a16="http://schemas.microsoft.com/office/drawing/2014/main" id="{00000000-0008-0000-0700-0000E0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993" name="텍스트 5">
          <a:extLst>
            <a:ext uri="{FF2B5EF4-FFF2-40B4-BE49-F238E27FC236}">
              <a16:creationId xmlns:a16="http://schemas.microsoft.com/office/drawing/2014/main" id="{00000000-0008-0000-0700-0000E1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994" name="텍스트 6">
          <a:extLst>
            <a:ext uri="{FF2B5EF4-FFF2-40B4-BE49-F238E27FC236}">
              <a16:creationId xmlns:a16="http://schemas.microsoft.com/office/drawing/2014/main" id="{00000000-0008-0000-0700-0000E2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995" name="텍스트 7">
          <a:extLst>
            <a:ext uri="{FF2B5EF4-FFF2-40B4-BE49-F238E27FC236}">
              <a16:creationId xmlns:a16="http://schemas.microsoft.com/office/drawing/2014/main" id="{00000000-0008-0000-0700-0000E3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996" name="텍스트 8">
          <a:extLst>
            <a:ext uri="{FF2B5EF4-FFF2-40B4-BE49-F238E27FC236}">
              <a16:creationId xmlns:a16="http://schemas.microsoft.com/office/drawing/2014/main" id="{00000000-0008-0000-0700-0000E4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249299" cy="204671"/>
    <xdr:sp macro="" textlink="">
      <xdr:nvSpPr>
        <xdr:cNvPr id="997" name="텍스트 17">
          <a:extLst>
            <a:ext uri="{FF2B5EF4-FFF2-40B4-BE49-F238E27FC236}">
              <a16:creationId xmlns:a16="http://schemas.microsoft.com/office/drawing/2014/main" id="{00000000-0008-0000-0700-0000E5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998" name="텍스트 18">
          <a:extLst>
            <a:ext uri="{FF2B5EF4-FFF2-40B4-BE49-F238E27FC236}">
              <a16:creationId xmlns:a16="http://schemas.microsoft.com/office/drawing/2014/main" id="{00000000-0008-0000-0700-0000E6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441659" cy="204671"/>
    <xdr:sp macro="" textlink="">
      <xdr:nvSpPr>
        <xdr:cNvPr id="999" name="텍스트 19">
          <a:extLst>
            <a:ext uri="{FF2B5EF4-FFF2-40B4-BE49-F238E27FC236}">
              <a16:creationId xmlns:a16="http://schemas.microsoft.com/office/drawing/2014/main" id="{00000000-0008-0000-0700-0000E7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56939" cy="204671"/>
    <xdr:sp macro="" textlink="">
      <xdr:nvSpPr>
        <xdr:cNvPr id="1000" name="텍스트 20">
          <a:extLst>
            <a:ext uri="{FF2B5EF4-FFF2-40B4-BE49-F238E27FC236}">
              <a16:creationId xmlns:a16="http://schemas.microsoft.com/office/drawing/2014/main" id="{00000000-0008-0000-0700-0000E8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15</xdr:row>
      <xdr:rowOff>0</xdr:rowOff>
    </xdr:from>
    <xdr:ext cx="326243" cy="204671"/>
    <xdr:sp macro="" textlink="">
      <xdr:nvSpPr>
        <xdr:cNvPr id="1001" name="텍스트 21">
          <a:extLst>
            <a:ext uri="{FF2B5EF4-FFF2-40B4-BE49-F238E27FC236}">
              <a16:creationId xmlns:a16="http://schemas.microsoft.com/office/drawing/2014/main" id="{00000000-0008-0000-0700-0000E903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87771" cy="204671"/>
    <xdr:sp macro="" textlink="">
      <xdr:nvSpPr>
        <xdr:cNvPr id="1002" name="텍스트 9">
          <a:extLst>
            <a:ext uri="{FF2B5EF4-FFF2-40B4-BE49-F238E27FC236}">
              <a16:creationId xmlns:a16="http://schemas.microsoft.com/office/drawing/2014/main" id="{00000000-0008-0000-0700-0000EA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1003" name="텍스트 10">
          <a:extLst>
            <a:ext uri="{FF2B5EF4-FFF2-40B4-BE49-F238E27FC236}">
              <a16:creationId xmlns:a16="http://schemas.microsoft.com/office/drawing/2014/main" id="{00000000-0008-0000-0700-0000EB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1004" name="텍스트 11">
          <a:extLst>
            <a:ext uri="{FF2B5EF4-FFF2-40B4-BE49-F238E27FC236}">
              <a16:creationId xmlns:a16="http://schemas.microsoft.com/office/drawing/2014/main" id="{00000000-0008-0000-0700-0000EC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1005" name="텍스트 12">
          <a:extLst>
            <a:ext uri="{FF2B5EF4-FFF2-40B4-BE49-F238E27FC236}">
              <a16:creationId xmlns:a16="http://schemas.microsoft.com/office/drawing/2014/main" id="{00000000-0008-0000-0700-0000ED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49299" cy="204671"/>
    <xdr:sp macro="" textlink="">
      <xdr:nvSpPr>
        <xdr:cNvPr id="1006" name="텍스트 13">
          <a:extLst>
            <a:ext uri="{FF2B5EF4-FFF2-40B4-BE49-F238E27FC236}">
              <a16:creationId xmlns:a16="http://schemas.microsoft.com/office/drawing/2014/main" id="{00000000-0008-0000-0700-0000EE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1007" name="텍스트 14">
          <a:extLst>
            <a:ext uri="{FF2B5EF4-FFF2-40B4-BE49-F238E27FC236}">
              <a16:creationId xmlns:a16="http://schemas.microsoft.com/office/drawing/2014/main" id="{00000000-0008-0000-0700-0000EF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1008" name="텍스트 15">
          <a:extLst>
            <a:ext uri="{FF2B5EF4-FFF2-40B4-BE49-F238E27FC236}">
              <a16:creationId xmlns:a16="http://schemas.microsoft.com/office/drawing/2014/main" id="{00000000-0008-0000-0700-0000F0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1009" name="텍스트 16">
          <a:extLst>
            <a:ext uri="{FF2B5EF4-FFF2-40B4-BE49-F238E27FC236}">
              <a16:creationId xmlns:a16="http://schemas.microsoft.com/office/drawing/2014/main" id="{00000000-0008-0000-0700-0000F1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87771" cy="204671"/>
    <xdr:sp macro="" textlink="">
      <xdr:nvSpPr>
        <xdr:cNvPr id="1010" name="텍스트 9">
          <a:extLst>
            <a:ext uri="{FF2B5EF4-FFF2-40B4-BE49-F238E27FC236}">
              <a16:creationId xmlns:a16="http://schemas.microsoft.com/office/drawing/2014/main" id="{00000000-0008-0000-0700-0000F2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1011" name="텍스트 10">
          <a:extLst>
            <a:ext uri="{FF2B5EF4-FFF2-40B4-BE49-F238E27FC236}">
              <a16:creationId xmlns:a16="http://schemas.microsoft.com/office/drawing/2014/main" id="{00000000-0008-0000-0700-0000F3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1012" name="텍스트 11">
          <a:extLst>
            <a:ext uri="{FF2B5EF4-FFF2-40B4-BE49-F238E27FC236}">
              <a16:creationId xmlns:a16="http://schemas.microsoft.com/office/drawing/2014/main" id="{00000000-0008-0000-0700-0000F4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1013" name="텍스트 12">
          <a:extLst>
            <a:ext uri="{FF2B5EF4-FFF2-40B4-BE49-F238E27FC236}">
              <a16:creationId xmlns:a16="http://schemas.microsoft.com/office/drawing/2014/main" id="{00000000-0008-0000-0700-0000F5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249299" cy="204671"/>
    <xdr:sp macro="" textlink="">
      <xdr:nvSpPr>
        <xdr:cNvPr id="1014" name="텍스트 13">
          <a:extLst>
            <a:ext uri="{FF2B5EF4-FFF2-40B4-BE49-F238E27FC236}">
              <a16:creationId xmlns:a16="http://schemas.microsoft.com/office/drawing/2014/main" id="{00000000-0008-0000-0700-0000F6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1015" name="텍스트 14">
          <a:extLst>
            <a:ext uri="{FF2B5EF4-FFF2-40B4-BE49-F238E27FC236}">
              <a16:creationId xmlns:a16="http://schemas.microsoft.com/office/drawing/2014/main" id="{00000000-0008-0000-0700-0000F7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326243" cy="204671"/>
    <xdr:sp macro="" textlink="">
      <xdr:nvSpPr>
        <xdr:cNvPr id="1016" name="텍스트 15">
          <a:extLst>
            <a:ext uri="{FF2B5EF4-FFF2-40B4-BE49-F238E27FC236}">
              <a16:creationId xmlns:a16="http://schemas.microsoft.com/office/drawing/2014/main" id="{00000000-0008-0000-0700-0000F8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7</xdr:col>
      <xdr:colOff>2121353</xdr:colOff>
      <xdr:row>16</xdr:row>
      <xdr:rowOff>0</xdr:rowOff>
    </xdr:from>
    <xdr:ext cx="56939" cy="204671"/>
    <xdr:sp macro="" textlink="">
      <xdr:nvSpPr>
        <xdr:cNvPr id="1017" name="텍스트 16">
          <a:extLst>
            <a:ext uri="{FF2B5EF4-FFF2-40B4-BE49-F238E27FC236}">
              <a16:creationId xmlns:a16="http://schemas.microsoft.com/office/drawing/2014/main" id="{00000000-0008-0000-0700-0000F903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16</xdr:row>
      <xdr:rowOff>0</xdr:rowOff>
    </xdr:from>
    <xdr:ext cx="287771" cy="204671"/>
    <xdr:sp macro="" textlink="">
      <xdr:nvSpPr>
        <xdr:cNvPr id="1018" name="텍스트 9">
          <a:extLst>
            <a:ext uri="{FF2B5EF4-FFF2-40B4-BE49-F238E27FC236}">
              <a16:creationId xmlns:a16="http://schemas.microsoft.com/office/drawing/2014/main" id="{00000000-0008-0000-0700-0000FA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8</xdr:col>
      <xdr:colOff>820511</xdr:colOff>
      <xdr:row>16</xdr:row>
      <xdr:rowOff>0</xdr:rowOff>
    </xdr:from>
    <xdr:ext cx="56939" cy="204671"/>
    <xdr:sp macro="" textlink="">
      <xdr:nvSpPr>
        <xdr:cNvPr id="1019" name="텍스트 10">
          <a:extLst>
            <a:ext uri="{FF2B5EF4-FFF2-40B4-BE49-F238E27FC236}">
              <a16:creationId xmlns:a16="http://schemas.microsoft.com/office/drawing/2014/main" id="{00000000-0008-0000-0700-0000FB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16</xdr:row>
      <xdr:rowOff>0</xdr:rowOff>
    </xdr:from>
    <xdr:ext cx="326243" cy="204671"/>
    <xdr:sp macro="" textlink="">
      <xdr:nvSpPr>
        <xdr:cNvPr id="1020" name="텍스트 11">
          <a:extLst>
            <a:ext uri="{FF2B5EF4-FFF2-40B4-BE49-F238E27FC236}">
              <a16:creationId xmlns:a16="http://schemas.microsoft.com/office/drawing/2014/main" id="{00000000-0008-0000-0700-0000FC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820511</xdr:colOff>
      <xdr:row>16</xdr:row>
      <xdr:rowOff>0</xdr:rowOff>
    </xdr:from>
    <xdr:ext cx="56939" cy="204671"/>
    <xdr:sp macro="" textlink="">
      <xdr:nvSpPr>
        <xdr:cNvPr id="1021" name="텍스트 12">
          <a:extLst>
            <a:ext uri="{FF2B5EF4-FFF2-40B4-BE49-F238E27FC236}">
              <a16:creationId xmlns:a16="http://schemas.microsoft.com/office/drawing/2014/main" id="{00000000-0008-0000-0700-0000FD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16</xdr:row>
      <xdr:rowOff>0</xdr:rowOff>
    </xdr:from>
    <xdr:ext cx="249299" cy="204671"/>
    <xdr:sp macro="" textlink="">
      <xdr:nvSpPr>
        <xdr:cNvPr id="1022" name="텍스트 13">
          <a:extLst>
            <a:ext uri="{FF2B5EF4-FFF2-40B4-BE49-F238E27FC236}">
              <a16:creationId xmlns:a16="http://schemas.microsoft.com/office/drawing/2014/main" id="{00000000-0008-0000-0700-0000FE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820511</xdr:colOff>
      <xdr:row>16</xdr:row>
      <xdr:rowOff>0</xdr:rowOff>
    </xdr:from>
    <xdr:ext cx="56939" cy="204671"/>
    <xdr:sp macro="" textlink="">
      <xdr:nvSpPr>
        <xdr:cNvPr id="1023" name="텍스트 14">
          <a:extLst>
            <a:ext uri="{FF2B5EF4-FFF2-40B4-BE49-F238E27FC236}">
              <a16:creationId xmlns:a16="http://schemas.microsoft.com/office/drawing/2014/main" id="{00000000-0008-0000-0700-0000FF03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820511</xdr:colOff>
      <xdr:row>16</xdr:row>
      <xdr:rowOff>0</xdr:rowOff>
    </xdr:from>
    <xdr:ext cx="326243" cy="204671"/>
    <xdr:sp macro="" textlink="">
      <xdr:nvSpPr>
        <xdr:cNvPr id="1024" name="텍스트 15">
          <a:extLst>
            <a:ext uri="{FF2B5EF4-FFF2-40B4-BE49-F238E27FC236}">
              <a16:creationId xmlns:a16="http://schemas.microsoft.com/office/drawing/2014/main" id="{00000000-0008-0000-0700-000000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12</xdr:row>
      <xdr:rowOff>0</xdr:rowOff>
    </xdr:from>
    <xdr:ext cx="210827" cy="204671"/>
    <xdr:sp macro="" textlink="">
      <xdr:nvSpPr>
        <xdr:cNvPr id="1025" name="텍스트 1">
          <a:extLst>
            <a:ext uri="{FF2B5EF4-FFF2-40B4-BE49-F238E27FC236}">
              <a16:creationId xmlns:a16="http://schemas.microsoft.com/office/drawing/2014/main" id="{00000000-0008-0000-0700-00000104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12</xdr:row>
      <xdr:rowOff>0</xdr:rowOff>
    </xdr:from>
    <xdr:ext cx="56939" cy="204671"/>
    <xdr:sp macro="" textlink="">
      <xdr:nvSpPr>
        <xdr:cNvPr id="1026" name="텍스트 2">
          <a:extLst>
            <a:ext uri="{FF2B5EF4-FFF2-40B4-BE49-F238E27FC236}">
              <a16:creationId xmlns:a16="http://schemas.microsoft.com/office/drawing/2014/main" id="{00000000-0008-0000-0700-00000204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027" name="텍스트 23">
          <a:extLst>
            <a:ext uri="{FF2B5EF4-FFF2-40B4-BE49-F238E27FC236}">
              <a16:creationId xmlns:a16="http://schemas.microsoft.com/office/drawing/2014/main" id="{00000000-0008-0000-0700-000003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028" name="텍스트 23">
          <a:extLst>
            <a:ext uri="{FF2B5EF4-FFF2-40B4-BE49-F238E27FC236}">
              <a16:creationId xmlns:a16="http://schemas.microsoft.com/office/drawing/2014/main" id="{00000000-0008-0000-0700-000004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12</xdr:row>
      <xdr:rowOff>0</xdr:rowOff>
    </xdr:from>
    <xdr:ext cx="210827" cy="204671"/>
    <xdr:sp macro="" textlink="">
      <xdr:nvSpPr>
        <xdr:cNvPr id="1029" name="텍스트 1">
          <a:extLst>
            <a:ext uri="{FF2B5EF4-FFF2-40B4-BE49-F238E27FC236}">
              <a16:creationId xmlns:a16="http://schemas.microsoft.com/office/drawing/2014/main" id="{00000000-0008-0000-0700-00000504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12</xdr:row>
      <xdr:rowOff>0</xdr:rowOff>
    </xdr:from>
    <xdr:ext cx="56939" cy="204671"/>
    <xdr:sp macro="" textlink="">
      <xdr:nvSpPr>
        <xdr:cNvPr id="1030" name="텍스트 2">
          <a:extLst>
            <a:ext uri="{FF2B5EF4-FFF2-40B4-BE49-F238E27FC236}">
              <a16:creationId xmlns:a16="http://schemas.microsoft.com/office/drawing/2014/main" id="{00000000-0008-0000-0700-00000604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172355" cy="204671"/>
    <xdr:sp macro="" textlink="">
      <xdr:nvSpPr>
        <xdr:cNvPr id="1031" name="텍스트 3">
          <a:extLst>
            <a:ext uri="{FF2B5EF4-FFF2-40B4-BE49-F238E27FC236}">
              <a16:creationId xmlns:a16="http://schemas.microsoft.com/office/drawing/2014/main" id="{00000000-0008-0000-0700-000007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32" name="텍스트 4">
          <a:extLst>
            <a:ext uri="{FF2B5EF4-FFF2-40B4-BE49-F238E27FC236}">
              <a16:creationId xmlns:a16="http://schemas.microsoft.com/office/drawing/2014/main" id="{00000000-0008-0000-0700-000008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249299" cy="204671"/>
    <xdr:sp macro="" textlink="">
      <xdr:nvSpPr>
        <xdr:cNvPr id="1033" name="텍스트 5">
          <a:extLst>
            <a:ext uri="{FF2B5EF4-FFF2-40B4-BE49-F238E27FC236}">
              <a16:creationId xmlns:a16="http://schemas.microsoft.com/office/drawing/2014/main" id="{00000000-0008-0000-0700-000009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34" name="텍스트 6">
          <a:extLst>
            <a:ext uri="{FF2B5EF4-FFF2-40B4-BE49-F238E27FC236}">
              <a16:creationId xmlns:a16="http://schemas.microsoft.com/office/drawing/2014/main" id="{00000000-0008-0000-0700-00000A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249299" cy="204671"/>
    <xdr:sp macro="" textlink="">
      <xdr:nvSpPr>
        <xdr:cNvPr id="1035" name="텍스트 7">
          <a:extLst>
            <a:ext uri="{FF2B5EF4-FFF2-40B4-BE49-F238E27FC236}">
              <a16:creationId xmlns:a16="http://schemas.microsoft.com/office/drawing/2014/main" id="{00000000-0008-0000-0700-00000B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36" name="텍스트 8">
          <a:extLst>
            <a:ext uri="{FF2B5EF4-FFF2-40B4-BE49-F238E27FC236}">
              <a16:creationId xmlns:a16="http://schemas.microsoft.com/office/drawing/2014/main" id="{00000000-0008-0000-0700-00000C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87771" cy="204671"/>
    <xdr:sp macro="" textlink="">
      <xdr:nvSpPr>
        <xdr:cNvPr id="1037" name="텍스트 9">
          <a:extLst>
            <a:ext uri="{FF2B5EF4-FFF2-40B4-BE49-F238E27FC236}">
              <a16:creationId xmlns:a16="http://schemas.microsoft.com/office/drawing/2014/main" id="{00000000-0008-0000-0700-00000D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38" name="텍스트 10">
          <a:extLst>
            <a:ext uri="{FF2B5EF4-FFF2-40B4-BE49-F238E27FC236}">
              <a16:creationId xmlns:a16="http://schemas.microsoft.com/office/drawing/2014/main" id="{00000000-0008-0000-0700-00000E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039" name="텍스트 11">
          <a:extLst>
            <a:ext uri="{FF2B5EF4-FFF2-40B4-BE49-F238E27FC236}">
              <a16:creationId xmlns:a16="http://schemas.microsoft.com/office/drawing/2014/main" id="{00000000-0008-0000-0700-00000F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40" name="텍스트 12">
          <a:extLst>
            <a:ext uri="{FF2B5EF4-FFF2-40B4-BE49-F238E27FC236}">
              <a16:creationId xmlns:a16="http://schemas.microsoft.com/office/drawing/2014/main" id="{00000000-0008-0000-0700-000010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49299" cy="204671"/>
    <xdr:sp macro="" textlink="">
      <xdr:nvSpPr>
        <xdr:cNvPr id="1041" name="텍스트 13">
          <a:extLst>
            <a:ext uri="{FF2B5EF4-FFF2-40B4-BE49-F238E27FC236}">
              <a16:creationId xmlns:a16="http://schemas.microsoft.com/office/drawing/2014/main" id="{00000000-0008-0000-0700-000011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42" name="텍스트 14">
          <a:extLst>
            <a:ext uri="{FF2B5EF4-FFF2-40B4-BE49-F238E27FC236}">
              <a16:creationId xmlns:a16="http://schemas.microsoft.com/office/drawing/2014/main" id="{00000000-0008-0000-0700-000012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043" name="텍스트 15">
          <a:extLst>
            <a:ext uri="{FF2B5EF4-FFF2-40B4-BE49-F238E27FC236}">
              <a16:creationId xmlns:a16="http://schemas.microsoft.com/office/drawing/2014/main" id="{00000000-0008-0000-0700-000013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44" name="텍스트 16">
          <a:extLst>
            <a:ext uri="{FF2B5EF4-FFF2-40B4-BE49-F238E27FC236}">
              <a16:creationId xmlns:a16="http://schemas.microsoft.com/office/drawing/2014/main" id="{00000000-0008-0000-0700-000014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249299" cy="204671"/>
    <xdr:sp macro="" textlink="">
      <xdr:nvSpPr>
        <xdr:cNvPr id="1045" name="텍스트 17">
          <a:extLst>
            <a:ext uri="{FF2B5EF4-FFF2-40B4-BE49-F238E27FC236}">
              <a16:creationId xmlns:a16="http://schemas.microsoft.com/office/drawing/2014/main" id="{00000000-0008-0000-0700-000015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46" name="텍스트 18">
          <a:extLst>
            <a:ext uri="{FF2B5EF4-FFF2-40B4-BE49-F238E27FC236}">
              <a16:creationId xmlns:a16="http://schemas.microsoft.com/office/drawing/2014/main" id="{00000000-0008-0000-0700-000016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47" name="텍스트 20">
          <a:extLst>
            <a:ext uri="{FF2B5EF4-FFF2-40B4-BE49-F238E27FC236}">
              <a16:creationId xmlns:a16="http://schemas.microsoft.com/office/drawing/2014/main" id="{00000000-0008-0000-0700-000017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48" name="텍스트 22">
          <a:extLst>
            <a:ext uri="{FF2B5EF4-FFF2-40B4-BE49-F238E27FC236}">
              <a16:creationId xmlns:a16="http://schemas.microsoft.com/office/drawing/2014/main" id="{00000000-0008-0000-0700-000018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049" name="텍스트 23">
          <a:extLst>
            <a:ext uri="{FF2B5EF4-FFF2-40B4-BE49-F238E27FC236}">
              <a16:creationId xmlns:a16="http://schemas.microsoft.com/office/drawing/2014/main" id="{00000000-0008-0000-0700-000019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87771" cy="204671"/>
    <xdr:sp macro="" textlink="">
      <xdr:nvSpPr>
        <xdr:cNvPr id="1050" name="텍스트 9">
          <a:extLst>
            <a:ext uri="{FF2B5EF4-FFF2-40B4-BE49-F238E27FC236}">
              <a16:creationId xmlns:a16="http://schemas.microsoft.com/office/drawing/2014/main" id="{00000000-0008-0000-0700-00001A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51" name="텍스트 10">
          <a:extLst>
            <a:ext uri="{FF2B5EF4-FFF2-40B4-BE49-F238E27FC236}">
              <a16:creationId xmlns:a16="http://schemas.microsoft.com/office/drawing/2014/main" id="{00000000-0008-0000-0700-00001B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052" name="텍스트 11">
          <a:extLst>
            <a:ext uri="{FF2B5EF4-FFF2-40B4-BE49-F238E27FC236}">
              <a16:creationId xmlns:a16="http://schemas.microsoft.com/office/drawing/2014/main" id="{00000000-0008-0000-0700-00001C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53" name="텍스트 12">
          <a:extLst>
            <a:ext uri="{FF2B5EF4-FFF2-40B4-BE49-F238E27FC236}">
              <a16:creationId xmlns:a16="http://schemas.microsoft.com/office/drawing/2014/main" id="{00000000-0008-0000-0700-00001D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49299" cy="204671"/>
    <xdr:sp macro="" textlink="">
      <xdr:nvSpPr>
        <xdr:cNvPr id="1054" name="텍스트 13">
          <a:extLst>
            <a:ext uri="{FF2B5EF4-FFF2-40B4-BE49-F238E27FC236}">
              <a16:creationId xmlns:a16="http://schemas.microsoft.com/office/drawing/2014/main" id="{00000000-0008-0000-0700-00001E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55" name="텍스트 14">
          <a:extLst>
            <a:ext uri="{FF2B5EF4-FFF2-40B4-BE49-F238E27FC236}">
              <a16:creationId xmlns:a16="http://schemas.microsoft.com/office/drawing/2014/main" id="{00000000-0008-0000-0700-00001F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056" name="텍스트 15">
          <a:extLst>
            <a:ext uri="{FF2B5EF4-FFF2-40B4-BE49-F238E27FC236}">
              <a16:creationId xmlns:a16="http://schemas.microsoft.com/office/drawing/2014/main" id="{00000000-0008-0000-0700-000020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57" name="텍스트 16">
          <a:extLst>
            <a:ext uri="{FF2B5EF4-FFF2-40B4-BE49-F238E27FC236}">
              <a16:creationId xmlns:a16="http://schemas.microsoft.com/office/drawing/2014/main" id="{00000000-0008-0000-0700-000021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172355" cy="204671"/>
    <xdr:sp macro="" textlink="">
      <xdr:nvSpPr>
        <xdr:cNvPr id="1058" name="텍스트 3">
          <a:extLst>
            <a:ext uri="{FF2B5EF4-FFF2-40B4-BE49-F238E27FC236}">
              <a16:creationId xmlns:a16="http://schemas.microsoft.com/office/drawing/2014/main" id="{00000000-0008-0000-0700-000022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59" name="텍스트 4">
          <a:extLst>
            <a:ext uri="{FF2B5EF4-FFF2-40B4-BE49-F238E27FC236}">
              <a16:creationId xmlns:a16="http://schemas.microsoft.com/office/drawing/2014/main" id="{00000000-0008-0000-0700-000023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249299" cy="204671"/>
    <xdr:sp macro="" textlink="">
      <xdr:nvSpPr>
        <xdr:cNvPr id="1060" name="텍스트 5">
          <a:extLst>
            <a:ext uri="{FF2B5EF4-FFF2-40B4-BE49-F238E27FC236}">
              <a16:creationId xmlns:a16="http://schemas.microsoft.com/office/drawing/2014/main" id="{00000000-0008-0000-0700-000024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61" name="텍스트 6">
          <a:extLst>
            <a:ext uri="{FF2B5EF4-FFF2-40B4-BE49-F238E27FC236}">
              <a16:creationId xmlns:a16="http://schemas.microsoft.com/office/drawing/2014/main" id="{00000000-0008-0000-0700-000025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249299" cy="204671"/>
    <xdr:sp macro="" textlink="">
      <xdr:nvSpPr>
        <xdr:cNvPr id="1062" name="텍스트 7">
          <a:extLst>
            <a:ext uri="{FF2B5EF4-FFF2-40B4-BE49-F238E27FC236}">
              <a16:creationId xmlns:a16="http://schemas.microsoft.com/office/drawing/2014/main" id="{00000000-0008-0000-0700-000026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63" name="텍스트 8">
          <a:extLst>
            <a:ext uri="{FF2B5EF4-FFF2-40B4-BE49-F238E27FC236}">
              <a16:creationId xmlns:a16="http://schemas.microsoft.com/office/drawing/2014/main" id="{00000000-0008-0000-0700-000027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249299" cy="204671"/>
    <xdr:sp macro="" textlink="">
      <xdr:nvSpPr>
        <xdr:cNvPr id="1064" name="텍스트 17">
          <a:extLst>
            <a:ext uri="{FF2B5EF4-FFF2-40B4-BE49-F238E27FC236}">
              <a16:creationId xmlns:a16="http://schemas.microsoft.com/office/drawing/2014/main" id="{00000000-0008-0000-0700-000028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65" name="텍스트 18">
          <a:extLst>
            <a:ext uri="{FF2B5EF4-FFF2-40B4-BE49-F238E27FC236}">
              <a16:creationId xmlns:a16="http://schemas.microsoft.com/office/drawing/2014/main" id="{00000000-0008-0000-0700-000029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66" name="텍스트 20">
          <a:extLst>
            <a:ext uri="{FF2B5EF4-FFF2-40B4-BE49-F238E27FC236}">
              <a16:creationId xmlns:a16="http://schemas.microsoft.com/office/drawing/2014/main" id="{00000000-0008-0000-0700-00002A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67" name="텍스트 22">
          <a:extLst>
            <a:ext uri="{FF2B5EF4-FFF2-40B4-BE49-F238E27FC236}">
              <a16:creationId xmlns:a16="http://schemas.microsoft.com/office/drawing/2014/main" id="{00000000-0008-0000-0700-00002B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87771" cy="204671"/>
    <xdr:sp macro="" textlink="">
      <xdr:nvSpPr>
        <xdr:cNvPr id="1068" name="텍스트 9">
          <a:extLst>
            <a:ext uri="{FF2B5EF4-FFF2-40B4-BE49-F238E27FC236}">
              <a16:creationId xmlns:a16="http://schemas.microsoft.com/office/drawing/2014/main" id="{00000000-0008-0000-0700-00002C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69" name="텍스트 10">
          <a:extLst>
            <a:ext uri="{FF2B5EF4-FFF2-40B4-BE49-F238E27FC236}">
              <a16:creationId xmlns:a16="http://schemas.microsoft.com/office/drawing/2014/main" id="{00000000-0008-0000-0700-00002D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070" name="텍스트 11">
          <a:extLst>
            <a:ext uri="{FF2B5EF4-FFF2-40B4-BE49-F238E27FC236}">
              <a16:creationId xmlns:a16="http://schemas.microsoft.com/office/drawing/2014/main" id="{00000000-0008-0000-0700-00002E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71" name="텍스트 12">
          <a:extLst>
            <a:ext uri="{FF2B5EF4-FFF2-40B4-BE49-F238E27FC236}">
              <a16:creationId xmlns:a16="http://schemas.microsoft.com/office/drawing/2014/main" id="{00000000-0008-0000-0700-00002F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49299" cy="204671"/>
    <xdr:sp macro="" textlink="">
      <xdr:nvSpPr>
        <xdr:cNvPr id="1072" name="텍스트 13">
          <a:extLst>
            <a:ext uri="{FF2B5EF4-FFF2-40B4-BE49-F238E27FC236}">
              <a16:creationId xmlns:a16="http://schemas.microsoft.com/office/drawing/2014/main" id="{00000000-0008-0000-0700-000030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73" name="텍스트 14">
          <a:extLst>
            <a:ext uri="{FF2B5EF4-FFF2-40B4-BE49-F238E27FC236}">
              <a16:creationId xmlns:a16="http://schemas.microsoft.com/office/drawing/2014/main" id="{00000000-0008-0000-0700-000031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074" name="텍스트 15">
          <a:extLst>
            <a:ext uri="{FF2B5EF4-FFF2-40B4-BE49-F238E27FC236}">
              <a16:creationId xmlns:a16="http://schemas.microsoft.com/office/drawing/2014/main" id="{00000000-0008-0000-0700-000032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75" name="텍스트 16">
          <a:extLst>
            <a:ext uri="{FF2B5EF4-FFF2-40B4-BE49-F238E27FC236}">
              <a16:creationId xmlns:a16="http://schemas.microsoft.com/office/drawing/2014/main" id="{00000000-0008-0000-0700-000033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87771" cy="204671"/>
    <xdr:sp macro="" textlink="">
      <xdr:nvSpPr>
        <xdr:cNvPr id="1076" name="텍스트 9">
          <a:extLst>
            <a:ext uri="{FF2B5EF4-FFF2-40B4-BE49-F238E27FC236}">
              <a16:creationId xmlns:a16="http://schemas.microsoft.com/office/drawing/2014/main" id="{00000000-0008-0000-0700-000034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77" name="텍스트 10">
          <a:extLst>
            <a:ext uri="{FF2B5EF4-FFF2-40B4-BE49-F238E27FC236}">
              <a16:creationId xmlns:a16="http://schemas.microsoft.com/office/drawing/2014/main" id="{00000000-0008-0000-0700-000035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078" name="텍스트 11">
          <a:extLst>
            <a:ext uri="{FF2B5EF4-FFF2-40B4-BE49-F238E27FC236}">
              <a16:creationId xmlns:a16="http://schemas.microsoft.com/office/drawing/2014/main" id="{00000000-0008-0000-0700-000036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79" name="텍스트 12">
          <a:extLst>
            <a:ext uri="{FF2B5EF4-FFF2-40B4-BE49-F238E27FC236}">
              <a16:creationId xmlns:a16="http://schemas.microsoft.com/office/drawing/2014/main" id="{00000000-0008-0000-0700-000037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49299" cy="204671"/>
    <xdr:sp macro="" textlink="">
      <xdr:nvSpPr>
        <xdr:cNvPr id="1080" name="텍스트 13">
          <a:extLst>
            <a:ext uri="{FF2B5EF4-FFF2-40B4-BE49-F238E27FC236}">
              <a16:creationId xmlns:a16="http://schemas.microsoft.com/office/drawing/2014/main" id="{00000000-0008-0000-0700-000038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81" name="텍스트 14">
          <a:extLst>
            <a:ext uri="{FF2B5EF4-FFF2-40B4-BE49-F238E27FC236}">
              <a16:creationId xmlns:a16="http://schemas.microsoft.com/office/drawing/2014/main" id="{00000000-0008-0000-0700-000039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082" name="텍스트 15">
          <a:extLst>
            <a:ext uri="{FF2B5EF4-FFF2-40B4-BE49-F238E27FC236}">
              <a16:creationId xmlns:a16="http://schemas.microsoft.com/office/drawing/2014/main" id="{00000000-0008-0000-0700-00003A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83" name="텍스트 16">
          <a:extLst>
            <a:ext uri="{FF2B5EF4-FFF2-40B4-BE49-F238E27FC236}">
              <a16:creationId xmlns:a16="http://schemas.microsoft.com/office/drawing/2014/main" id="{00000000-0008-0000-0700-00003B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12</xdr:row>
      <xdr:rowOff>0</xdr:rowOff>
    </xdr:from>
    <xdr:ext cx="210827" cy="204671"/>
    <xdr:sp macro="" textlink="">
      <xdr:nvSpPr>
        <xdr:cNvPr id="1084" name="텍스트 1">
          <a:extLst>
            <a:ext uri="{FF2B5EF4-FFF2-40B4-BE49-F238E27FC236}">
              <a16:creationId xmlns:a16="http://schemas.microsoft.com/office/drawing/2014/main" id="{00000000-0008-0000-0700-00003C040000}"/>
            </a:ext>
          </a:extLst>
        </xdr:cNvPr>
        <xdr:cNvSpPr txBox="1">
          <a:spLocks noChangeArrowheads="1"/>
        </xdr:cNvSpPr>
      </xdr:nvSpPr>
      <xdr:spPr bwMode="auto">
        <a:xfrm>
          <a:off x="3150053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12</xdr:row>
      <xdr:rowOff>0</xdr:rowOff>
    </xdr:from>
    <xdr:ext cx="56939" cy="204671"/>
    <xdr:sp macro="" textlink="">
      <xdr:nvSpPr>
        <xdr:cNvPr id="1085" name="텍스트 2">
          <a:extLst>
            <a:ext uri="{FF2B5EF4-FFF2-40B4-BE49-F238E27FC236}">
              <a16:creationId xmlns:a16="http://schemas.microsoft.com/office/drawing/2014/main" id="{00000000-0008-0000-0700-00003D040000}"/>
            </a:ext>
          </a:extLst>
        </xdr:cNvPr>
        <xdr:cNvSpPr txBox="1">
          <a:spLocks noChangeArrowheads="1"/>
        </xdr:cNvSpPr>
      </xdr:nvSpPr>
      <xdr:spPr bwMode="auto">
        <a:xfrm>
          <a:off x="3150053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172355" cy="204671"/>
    <xdr:sp macro="" textlink="">
      <xdr:nvSpPr>
        <xdr:cNvPr id="1086" name="텍스트 3">
          <a:extLst>
            <a:ext uri="{FF2B5EF4-FFF2-40B4-BE49-F238E27FC236}">
              <a16:creationId xmlns:a16="http://schemas.microsoft.com/office/drawing/2014/main" id="{00000000-0008-0000-0700-00003E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87" name="텍스트 4">
          <a:extLst>
            <a:ext uri="{FF2B5EF4-FFF2-40B4-BE49-F238E27FC236}">
              <a16:creationId xmlns:a16="http://schemas.microsoft.com/office/drawing/2014/main" id="{00000000-0008-0000-0700-00003F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249299" cy="204671"/>
    <xdr:sp macro="" textlink="">
      <xdr:nvSpPr>
        <xdr:cNvPr id="1088" name="텍스트 5">
          <a:extLst>
            <a:ext uri="{FF2B5EF4-FFF2-40B4-BE49-F238E27FC236}">
              <a16:creationId xmlns:a16="http://schemas.microsoft.com/office/drawing/2014/main" id="{00000000-0008-0000-0700-000040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89" name="텍스트 6">
          <a:extLst>
            <a:ext uri="{FF2B5EF4-FFF2-40B4-BE49-F238E27FC236}">
              <a16:creationId xmlns:a16="http://schemas.microsoft.com/office/drawing/2014/main" id="{00000000-0008-0000-0700-000041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249299" cy="204671"/>
    <xdr:sp macro="" textlink="">
      <xdr:nvSpPr>
        <xdr:cNvPr id="1090" name="텍스트 7">
          <a:extLst>
            <a:ext uri="{FF2B5EF4-FFF2-40B4-BE49-F238E27FC236}">
              <a16:creationId xmlns:a16="http://schemas.microsoft.com/office/drawing/2014/main" id="{00000000-0008-0000-0700-000042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091" name="텍스트 8">
          <a:extLst>
            <a:ext uri="{FF2B5EF4-FFF2-40B4-BE49-F238E27FC236}">
              <a16:creationId xmlns:a16="http://schemas.microsoft.com/office/drawing/2014/main" id="{00000000-0008-0000-0700-000043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87771" cy="204671"/>
    <xdr:sp macro="" textlink="">
      <xdr:nvSpPr>
        <xdr:cNvPr id="1092" name="텍스트 9">
          <a:extLst>
            <a:ext uri="{FF2B5EF4-FFF2-40B4-BE49-F238E27FC236}">
              <a16:creationId xmlns:a16="http://schemas.microsoft.com/office/drawing/2014/main" id="{00000000-0008-0000-0700-000044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93" name="텍스트 10">
          <a:extLst>
            <a:ext uri="{FF2B5EF4-FFF2-40B4-BE49-F238E27FC236}">
              <a16:creationId xmlns:a16="http://schemas.microsoft.com/office/drawing/2014/main" id="{00000000-0008-0000-0700-000045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094" name="텍스트 11">
          <a:extLst>
            <a:ext uri="{FF2B5EF4-FFF2-40B4-BE49-F238E27FC236}">
              <a16:creationId xmlns:a16="http://schemas.microsoft.com/office/drawing/2014/main" id="{00000000-0008-0000-0700-000046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95" name="텍스트 12">
          <a:extLst>
            <a:ext uri="{FF2B5EF4-FFF2-40B4-BE49-F238E27FC236}">
              <a16:creationId xmlns:a16="http://schemas.microsoft.com/office/drawing/2014/main" id="{00000000-0008-0000-0700-000047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49299" cy="204671"/>
    <xdr:sp macro="" textlink="">
      <xdr:nvSpPr>
        <xdr:cNvPr id="1096" name="텍스트 13">
          <a:extLst>
            <a:ext uri="{FF2B5EF4-FFF2-40B4-BE49-F238E27FC236}">
              <a16:creationId xmlns:a16="http://schemas.microsoft.com/office/drawing/2014/main" id="{00000000-0008-0000-0700-000048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97" name="텍스트 14">
          <a:extLst>
            <a:ext uri="{FF2B5EF4-FFF2-40B4-BE49-F238E27FC236}">
              <a16:creationId xmlns:a16="http://schemas.microsoft.com/office/drawing/2014/main" id="{00000000-0008-0000-0700-000049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098" name="텍스트 15">
          <a:extLst>
            <a:ext uri="{FF2B5EF4-FFF2-40B4-BE49-F238E27FC236}">
              <a16:creationId xmlns:a16="http://schemas.microsoft.com/office/drawing/2014/main" id="{00000000-0008-0000-0700-00004A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099" name="텍스트 16">
          <a:extLst>
            <a:ext uri="{FF2B5EF4-FFF2-40B4-BE49-F238E27FC236}">
              <a16:creationId xmlns:a16="http://schemas.microsoft.com/office/drawing/2014/main" id="{00000000-0008-0000-0700-00004B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249299" cy="204671"/>
    <xdr:sp macro="" textlink="">
      <xdr:nvSpPr>
        <xdr:cNvPr id="1100" name="텍스트 17">
          <a:extLst>
            <a:ext uri="{FF2B5EF4-FFF2-40B4-BE49-F238E27FC236}">
              <a16:creationId xmlns:a16="http://schemas.microsoft.com/office/drawing/2014/main" id="{00000000-0008-0000-0700-00004C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101" name="텍스트 18">
          <a:extLst>
            <a:ext uri="{FF2B5EF4-FFF2-40B4-BE49-F238E27FC236}">
              <a16:creationId xmlns:a16="http://schemas.microsoft.com/office/drawing/2014/main" id="{00000000-0008-0000-0700-00004D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102" name="텍스트 20">
          <a:extLst>
            <a:ext uri="{FF2B5EF4-FFF2-40B4-BE49-F238E27FC236}">
              <a16:creationId xmlns:a16="http://schemas.microsoft.com/office/drawing/2014/main" id="{00000000-0008-0000-0700-00004E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103" name="텍스트 22">
          <a:extLst>
            <a:ext uri="{FF2B5EF4-FFF2-40B4-BE49-F238E27FC236}">
              <a16:creationId xmlns:a16="http://schemas.microsoft.com/office/drawing/2014/main" id="{00000000-0008-0000-0700-00004F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104" name="텍스트 23">
          <a:extLst>
            <a:ext uri="{FF2B5EF4-FFF2-40B4-BE49-F238E27FC236}">
              <a16:creationId xmlns:a16="http://schemas.microsoft.com/office/drawing/2014/main" id="{00000000-0008-0000-0700-000050040000}"/>
            </a:ext>
          </a:extLst>
        </xdr:cNvPr>
        <xdr:cNvSpPr txBox="1">
          <a:spLocks noChangeArrowheads="1"/>
        </xdr:cNvSpPr>
      </xdr:nvSpPr>
      <xdr:spPr bwMode="auto">
        <a:xfrm>
          <a:off x="315005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87771" cy="204671"/>
    <xdr:sp macro="" textlink="">
      <xdr:nvSpPr>
        <xdr:cNvPr id="1105" name="텍스트 9">
          <a:extLst>
            <a:ext uri="{FF2B5EF4-FFF2-40B4-BE49-F238E27FC236}">
              <a16:creationId xmlns:a16="http://schemas.microsoft.com/office/drawing/2014/main" id="{00000000-0008-0000-0700-000051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106" name="텍스트 10">
          <a:extLst>
            <a:ext uri="{FF2B5EF4-FFF2-40B4-BE49-F238E27FC236}">
              <a16:creationId xmlns:a16="http://schemas.microsoft.com/office/drawing/2014/main" id="{00000000-0008-0000-0700-000052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107" name="텍스트 11">
          <a:extLst>
            <a:ext uri="{FF2B5EF4-FFF2-40B4-BE49-F238E27FC236}">
              <a16:creationId xmlns:a16="http://schemas.microsoft.com/office/drawing/2014/main" id="{00000000-0008-0000-0700-000053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108" name="텍스트 12">
          <a:extLst>
            <a:ext uri="{FF2B5EF4-FFF2-40B4-BE49-F238E27FC236}">
              <a16:creationId xmlns:a16="http://schemas.microsoft.com/office/drawing/2014/main" id="{00000000-0008-0000-0700-000054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49299" cy="204671"/>
    <xdr:sp macro="" textlink="">
      <xdr:nvSpPr>
        <xdr:cNvPr id="1109" name="텍스트 13">
          <a:extLst>
            <a:ext uri="{FF2B5EF4-FFF2-40B4-BE49-F238E27FC236}">
              <a16:creationId xmlns:a16="http://schemas.microsoft.com/office/drawing/2014/main" id="{00000000-0008-0000-0700-000055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110" name="텍스트 14">
          <a:extLst>
            <a:ext uri="{FF2B5EF4-FFF2-40B4-BE49-F238E27FC236}">
              <a16:creationId xmlns:a16="http://schemas.microsoft.com/office/drawing/2014/main" id="{00000000-0008-0000-0700-000056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111" name="텍스트 15">
          <a:extLst>
            <a:ext uri="{FF2B5EF4-FFF2-40B4-BE49-F238E27FC236}">
              <a16:creationId xmlns:a16="http://schemas.microsoft.com/office/drawing/2014/main" id="{00000000-0008-0000-0700-000057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112" name="텍스트 16">
          <a:extLst>
            <a:ext uri="{FF2B5EF4-FFF2-40B4-BE49-F238E27FC236}">
              <a16:creationId xmlns:a16="http://schemas.microsoft.com/office/drawing/2014/main" id="{00000000-0008-0000-0700-000058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287771" cy="204671"/>
    <xdr:sp macro="" textlink="">
      <xdr:nvSpPr>
        <xdr:cNvPr id="1113" name="텍스트 9">
          <a:extLst>
            <a:ext uri="{FF2B5EF4-FFF2-40B4-BE49-F238E27FC236}">
              <a16:creationId xmlns:a16="http://schemas.microsoft.com/office/drawing/2014/main" id="{00000000-0008-0000-0700-000059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56939" cy="204671"/>
    <xdr:sp macro="" textlink="">
      <xdr:nvSpPr>
        <xdr:cNvPr id="1114" name="텍스트 10">
          <a:extLst>
            <a:ext uri="{FF2B5EF4-FFF2-40B4-BE49-F238E27FC236}">
              <a16:creationId xmlns:a16="http://schemas.microsoft.com/office/drawing/2014/main" id="{00000000-0008-0000-0700-00005A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326243" cy="204671"/>
    <xdr:sp macro="" textlink="">
      <xdr:nvSpPr>
        <xdr:cNvPr id="1115" name="텍스트 11">
          <a:extLst>
            <a:ext uri="{FF2B5EF4-FFF2-40B4-BE49-F238E27FC236}">
              <a16:creationId xmlns:a16="http://schemas.microsoft.com/office/drawing/2014/main" id="{00000000-0008-0000-0700-00005B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56939" cy="204671"/>
    <xdr:sp macro="" textlink="">
      <xdr:nvSpPr>
        <xdr:cNvPr id="1116" name="텍스트 12">
          <a:extLst>
            <a:ext uri="{FF2B5EF4-FFF2-40B4-BE49-F238E27FC236}">
              <a16:creationId xmlns:a16="http://schemas.microsoft.com/office/drawing/2014/main" id="{00000000-0008-0000-0700-00005C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249299" cy="204671"/>
    <xdr:sp macro="" textlink="">
      <xdr:nvSpPr>
        <xdr:cNvPr id="1117" name="텍스트 13">
          <a:extLst>
            <a:ext uri="{FF2B5EF4-FFF2-40B4-BE49-F238E27FC236}">
              <a16:creationId xmlns:a16="http://schemas.microsoft.com/office/drawing/2014/main" id="{00000000-0008-0000-0700-00005D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56939" cy="204671"/>
    <xdr:sp macro="" textlink="">
      <xdr:nvSpPr>
        <xdr:cNvPr id="1118" name="텍스트 14">
          <a:extLst>
            <a:ext uri="{FF2B5EF4-FFF2-40B4-BE49-F238E27FC236}">
              <a16:creationId xmlns:a16="http://schemas.microsoft.com/office/drawing/2014/main" id="{00000000-0008-0000-0700-00005E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326243" cy="204671"/>
    <xdr:sp macro="" textlink="">
      <xdr:nvSpPr>
        <xdr:cNvPr id="1119" name="텍스트 15">
          <a:extLst>
            <a:ext uri="{FF2B5EF4-FFF2-40B4-BE49-F238E27FC236}">
              <a16:creationId xmlns:a16="http://schemas.microsoft.com/office/drawing/2014/main" id="{00000000-0008-0000-0700-00005F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172355" cy="204671"/>
    <xdr:sp macro="" textlink="">
      <xdr:nvSpPr>
        <xdr:cNvPr id="1120" name="텍스트 3">
          <a:extLst>
            <a:ext uri="{FF2B5EF4-FFF2-40B4-BE49-F238E27FC236}">
              <a16:creationId xmlns:a16="http://schemas.microsoft.com/office/drawing/2014/main" id="{00000000-0008-0000-0700-000060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1121" name="텍스트 4">
          <a:extLst>
            <a:ext uri="{FF2B5EF4-FFF2-40B4-BE49-F238E27FC236}">
              <a16:creationId xmlns:a16="http://schemas.microsoft.com/office/drawing/2014/main" id="{00000000-0008-0000-0700-000061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122" name="텍스트 5">
          <a:extLst>
            <a:ext uri="{FF2B5EF4-FFF2-40B4-BE49-F238E27FC236}">
              <a16:creationId xmlns:a16="http://schemas.microsoft.com/office/drawing/2014/main" id="{00000000-0008-0000-0700-000062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1123" name="텍스트 6">
          <a:extLst>
            <a:ext uri="{FF2B5EF4-FFF2-40B4-BE49-F238E27FC236}">
              <a16:creationId xmlns:a16="http://schemas.microsoft.com/office/drawing/2014/main" id="{00000000-0008-0000-0700-000063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124" name="텍스트 7">
          <a:extLst>
            <a:ext uri="{FF2B5EF4-FFF2-40B4-BE49-F238E27FC236}">
              <a16:creationId xmlns:a16="http://schemas.microsoft.com/office/drawing/2014/main" id="{00000000-0008-0000-0700-000064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1125" name="텍스트 8">
          <a:extLst>
            <a:ext uri="{FF2B5EF4-FFF2-40B4-BE49-F238E27FC236}">
              <a16:creationId xmlns:a16="http://schemas.microsoft.com/office/drawing/2014/main" id="{00000000-0008-0000-0700-000065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126" name="텍스트 17">
          <a:extLst>
            <a:ext uri="{FF2B5EF4-FFF2-40B4-BE49-F238E27FC236}">
              <a16:creationId xmlns:a16="http://schemas.microsoft.com/office/drawing/2014/main" id="{00000000-0008-0000-0700-000066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1127" name="텍스트 18">
          <a:extLst>
            <a:ext uri="{FF2B5EF4-FFF2-40B4-BE49-F238E27FC236}">
              <a16:creationId xmlns:a16="http://schemas.microsoft.com/office/drawing/2014/main" id="{00000000-0008-0000-0700-000067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441659" cy="204671"/>
    <xdr:sp macro="" textlink="">
      <xdr:nvSpPr>
        <xdr:cNvPr id="1128" name="텍스트 19">
          <a:extLst>
            <a:ext uri="{FF2B5EF4-FFF2-40B4-BE49-F238E27FC236}">
              <a16:creationId xmlns:a16="http://schemas.microsoft.com/office/drawing/2014/main" id="{00000000-0008-0000-0700-000068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1129" name="텍스트 20">
          <a:extLst>
            <a:ext uri="{FF2B5EF4-FFF2-40B4-BE49-F238E27FC236}">
              <a16:creationId xmlns:a16="http://schemas.microsoft.com/office/drawing/2014/main" id="{00000000-0008-0000-0700-000069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326243" cy="204671"/>
    <xdr:sp macro="" textlink="">
      <xdr:nvSpPr>
        <xdr:cNvPr id="1130" name="텍스트 21">
          <a:extLst>
            <a:ext uri="{FF2B5EF4-FFF2-40B4-BE49-F238E27FC236}">
              <a16:creationId xmlns:a16="http://schemas.microsoft.com/office/drawing/2014/main" id="{00000000-0008-0000-0700-00006A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1131" name="텍스트 22">
          <a:extLst>
            <a:ext uri="{FF2B5EF4-FFF2-40B4-BE49-F238E27FC236}">
              <a16:creationId xmlns:a16="http://schemas.microsoft.com/office/drawing/2014/main" id="{00000000-0008-0000-0700-00006B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172355" cy="204671"/>
    <xdr:sp macro="" textlink="">
      <xdr:nvSpPr>
        <xdr:cNvPr id="1132" name="텍스트 3">
          <a:extLst>
            <a:ext uri="{FF2B5EF4-FFF2-40B4-BE49-F238E27FC236}">
              <a16:creationId xmlns:a16="http://schemas.microsoft.com/office/drawing/2014/main" id="{00000000-0008-0000-0700-00006C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133" name="텍스트 4">
          <a:extLst>
            <a:ext uri="{FF2B5EF4-FFF2-40B4-BE49-F238E27FC236}">
              <a16:creationId xmlns:a16="http://schemas.microsoft.com/office/drawing/2014/main" id="{00000000-0008-0000-0700-00006D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249299" cy="204671"/>
    <xdr:sp macro="" textlink="">
      <xdr:nvSpPr>
        <xdr:cNvPr id="1134" name="텍스트 5">
          <a:extLst>
            <a:ext uri="{FF2B5EF4-FFF2-40B4-BE49-F238E27FC236}">
              <a16:creationId xmlns:a16="http://schemas.microsoft.com/office/drawing/2014/main" id="{00000000-0008-0000-0700-00006E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135" name="텍스트 6">
          <a:extLst>
            <a:ext uri="{FF2B5EF4-FFF2-40B4-BE49-F238E27FC236}">
              <a16:creationId xmlns:a16="http://schemas.microsoft.com/office/drawing/2014/main" id="{00000000-0008-0000-0700-00006F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249299" cy="204671"/>
    <xdr:sp macro="" textlink="">
      <xdr:nvSpPr>
        <xdr:cNvPr id="1136" name="텍스트 7">
          <a:extLst>
            <a:ext uri="{FF2B5EF4-FFF2-40B4-BE49-F238E27FC236}">
              <a16:creationId xmlns:a16="http://schemas.microsoft.com/office/drawing/2014/main" id="{00000000-0008-0000-0700-000070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137" name="텍스트 8">
          <a:extLst>
            <a:ext uri="{FF2B5EF4-FFF2-40B4-BE49-F238E27FC236}">
              <a16:creationId xmlns:a16="http://schemas.microsoft.com/office/drawing/2014/main" id="{00000000-0008-0000-0700-000071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249299" cy="204671"/>
    <xdr:sp macro="" textlink="">
      <xdr:nvSpPr>
        <xdr:cNvPr id="1138" name="텍스트 17">
          <a:extLst>
            <a:ext uri="{FF2B5EF4-FFF2-40B4-BE49-F238E27FC236}">
              <a16:creationId xmlns:a16="http://schemas.microsoft.com/office/drawing/2014/main" id="{00000000-0008-0000-0700-000072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139" name="텍스트 18">
          <a:extLst>
            <a:ext uri="{FF2B5EF4-FFF2-40B4-BE49-F238E27FC236}">
              <a16:creationId xmlns:a16="http://schemas.microsoft.com/office/drawing/2014/main" id="{00000000-0008-0000-0700-000073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140" name="텍스트 20">
          <a:extLst>
            <a:ext uri="{FF2B5EF4-FFF2-40B4-BE49-F238E27FC236}">
              <a16:creationId xmlns:a16="http://schemas.microsoft.com/office/drawing/2014/main" id="{00000000-0008-0000-0700-000074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15</xdr:row>
      <xdr:rowOff>0</xdr:rowOff>
    </xdr:from>
    <xdr:ext cx="56939" cy="204671"/>
    <xdr:sp macro="" textlink="">
      <xdr:nvSpPr>
        <xdr:cNvPr id="1141" name="텍스트 22">
          <a:extLst>
            <a:ext uri="{FF2B5EF4-FFF2-40B4-BE49-F238E27FC236}">
              <a16:creationId xmlns:a16="http://schemas.microsoft.com/office/drawing/2014/main" id="{00000000-0008-0000-0700-000075040000}"/>
            </a:ext>
          </a:extLst>
        </xdr:cNvPr>
        <xdr:cNvSpPr txBox="1">
          <a:spLocks noChangeArrowheads="1"/>
        </xdr:cNvSpPr>
      </xdr:nvSpPr>
      <xdr:spPr bwMode="auto">
        <a:xfrm>
          <a:off x="3150053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172355" cy="204671"/>
    <xdr:sp macro="" textlink="">
      <xdr:nvSpPr>
        <xdr:cNvPr id="1142" name="텍스트 3">
          <a:extLst>
            <a:ext uri="{FF2B5EF4-FFF2-40B4-BE49-F238E27FC236}">
              <a16:creationId xmlns:a16="http://schemas.microsoft.com/office/drawing/2014/main" id="{00000000-0008-0000-0700-000076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1143" name="텍스트 4">
          <a:extLst>
            <a:ext uri="{FF2B5EF4-FFF2-40B4-BE49-F238E27FC236}">
              <a16:creationId xmlns:a16="http://schemas.microsoft.com/office/drawing/2014/main" id="{00000000-0008-0000-0700-000077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144" name="텍스트 5">
          <a:extLst>
            <a:ext uri="{FF2B5EF4-FFF2-40B4-BE49-F238E27FC236}">
              <a16:creationId xmlns:a16="http://schemas.microsoft.com/office/drawing/2014/main" id="{00000000-0008-0000-0700-000078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1145" name="텍스트 6">
          <a:extLst>
            <a:ext uri="{FF2B5EF4-FFF2-40B4-BE49-F238E27FC236}">
              <a16:creationId xmlns:a16="http://schemas.microsoft.com/office/drawing/2014/main" id="{00000000-0008-0000-0700-000079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146" name="텍스트 7">
          <a:extLst>
            <a:ext uri="{FF2B5EF4-FFF2-40B4-BE49-F238E27FC236}">
              <a16:creationId xmlns:a16="http://schemas.microsoft.com/office/drawing/2014/main" id="{00000000-0008-0000-0700-00007A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1147" name="텍스트 8">
          <a:extLst>
            <a:ext uri="{FF2B5EF4-FFF2-40B4-BE49-F238E27FC236}">
              <a16:creationId xmlns:a16="http://schemas.microsoft.com/office/drawing/2014/main" id="{00000000-0008-0000-0700-00007B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148" name="텍스트 17">
          <a:extLst>
            <a:ext uri="{FF2B5EF4-FFF2-40B4-BE49-F238E27FC236}">
              <a16:creationId xmlns:a16="http://schemas.microsoft.com/office/drawing/2014/main" id="{00000000-0008-0000-0700-00007C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1149" name="텍스트 18">
          <a:extLst>
            <a:ext uri="{FF2B5EF4-FFF2-40B4-BE49-F238E27FC236}">
              <a16:creationId xmlns:a16="http://schemas.microsoft.com/office/drawing/2014/main" id="{00000000-0008-0000-0700-00007D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441659" cy="204671"/>
    <xdr:sp macro="" textlink="">
      <xdr:nvSpPr>
        <xdr:cNvPr id="1150" name="텍스트 19">
          <a:extLst>
            <a:ext uri="{FF2B5EF4-FFF2-40B4-BE49-F238E27FC236}">
              <a16:creationId xmlns:a16="http://schemas.microsoft.com/office/drawing/2014/main" id="{00000000-0008-0000-0700-00007E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56939" cy="204671"/>
    <xdr:sp macro="" textlink="">
      <xdr:nvSpPr>
        <xdr:cNvPr id="1151" name="텍스트 20">
          <a:extLst>
            <a:ext uri="{FF2B5EF4-FFF2-40B4-BE49-F238E27FC236}">
              <a16:creationId xmlns:a16="http://schemas.microsoft.com/office/drawing/2014/main" id="{00000000-0008-0000-0700-00007F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326243" cy="204671"/>
    <xdr:sp macro="" textlink="">
      <xdr:nvSpPr>
        <xdr:cNvPr id="1152" name="텍스트 21">
          <a:extLst>
            <a:ext uri="{FF2B5EF4-FFF2-40B4-BE49-F238E27FC236}">
              <a16:creationId xmlns:a16="http://schemas.microsoft.com/office/drawing/2014/main" id="{00000000-0008-0000-0700-000080040000}"/>
            </a:ext>
          </a:extLst>
        </xdr:cNvPr>
        <xdr:cNvSpPr txBox="1">
          <a:spLocks noChangeArrowheads="1"/>
        </xdr:cNvSpPr>
      </xdr:nvSpPr>
      <xdr:spPr bwMode="auto">
        <a:xfrm>
          <a:off x="3973286" y="257175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87771" cy="204671"/>
    <xdr:sp macro="" textlink="">
      <xdr:nvSpPr>
        <xdr:cNvPr id="1153" name="텍스트 9">
          <a:extLst>
            <a:ext uri="{FF2B5EF4-FFF2-40B4-BE49-F238E27FC236}">
              <a16:creationId xmlns:a16="http://schemas.microsoft.com/office/drawing/2014/main" id="{00000000-0008-0000-0700-000081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154" name="텍스트 10">
          <a:extLst>
            <a:ext uri="{FF2B5EF4-FFF2-40B4-BE49-F238E27FC236}">
              <a16:creationId xmlns:a16="http://schemas.microsoft.com/office/drawing/2014/main" id="{00000000-0008-0000-0700-000082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155" name="텍스트 11">
          <a:extLst>
            <a:ext uri="{FF2B5EF4-FFF2-40B4-BE49-F238E27FC236}">
              <a16:creationId xmlns:a16="http://schemas.microsoft.com/office/drawing/2014/main" id="{00000000-0008-0000-0700-000083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156" name="텍스트 12">
          <a:extLst>
            <a:ext uri="{FF2B5EF4-FFF2-40B4-BE49-F238E27FC236}">
              <a16:creationId xmlns:a16="http://schemas.microsoft.com/office/drawing/2014/main" id="{00000000-0008-0000-0700-000084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49299" cy="204671"/>
    <xdr:sp macro="" textlink="">
      <xdr:nvSpPr>
        <xdr:cNvPr id="1157" name="텍스트 13">
          <a:extLst>
            <a:ext uri="{FF2B5EF4-FFF2-40B4-BE49-F238E27FC236}">
              <a16:creationId xmlns:a16="http://schemas.microsoft.com/office/drawing/2014/main" id="{00000000-0008-0000-0700-000085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158" name="텍스트 14">
          <a:extLst>
            <a:ext uri="{FF2B5EF4-FFF2-40B4-BE49-F238E27FC236}">
              <a16:creationId xmlns:a16="http://schemas.microsoft.com/office/drawing/2014/main" id="{00000000-0008-0000-0700-000086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159" name="텍스트 15">
          <a:extLst>
            <a:ext uri="{FF2B5EF4-FFF2-40B4-BE49-F238E27FC236}">
              <a16:creationId xmlns:a16="http://schemas.microsoft.com/office/drawing/2014/main" id="{00000000-0008-0000-0700-000087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160" name="텍스트 16">
          <a:extLst>
            <a:ext uri="{FF2B5EF4-FFF2-40B4-BE49-F238E27FC236}">
              <a16:creationId xmlns:a16="http://schemas.microsoft.com/office/drawing/2014/main" id="{00000000-0008-0000-0700-000088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87771" cy="204671"/>
    <xdr:sp macro="" textlink="">
      <xdr:nvSpPr>
        <xdr:cNvPr id="1161" name="텍스트 9">
          <a:extLst>
            <a:ext uri="{FF2B5EF4-FFF2-40B4-BE49-F238E27FC236}">
              <a16:creationId xmlns:a16="http://schemas.microsoft.com/office/drawing/2014/main" id="{00000000-0008-0000-0700-000089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162" name="텍스트 10">
          <a:extLst>
            <a:ext uri="{FF2B5EF4-FFF2-40B4-BE49-F238E27FC236}">
              <a16:creationId xmlns:a16="http://schemas.microsoft.com/office/drawing/2014/main" id="{00000000-0008-0000-0700-00008A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163" name="텍스트 11">
          <a:extLst>
            <a:ext uri="{FF2B5EF4-FFF2-40B4-BE49-F238E27FC236}">
              <a16:creationId xmlns:a16="http://schemas.microsoft.com/office/drawing/2014/main" id="{00000000-0008-0000-0700-00008B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164" name="텍스트 12">
          <a:extLst>
            <a:ext uri="{FF2B5EF4-FFF2-40B4-BE49-F238E27FC236}">
              <a16:creationId xmlns:a16="http://schemas.microsoft.com/office/drawing/2014/main" id="{00000000-0008-0000-0700-00008C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249299" cy="204671"/>
    <xdr:sp macro="" textlink="">
      <xdr:nvSpPr>
        <xdr:cNvPr id="1165" name="텍스트 13">
          <a:extLst>
            <a:ext uri="{FF2B5EF4-FFF2-40B4-BE49-F238E27FC236}">
              <a16:creationId xmlns:a16="http://schemas.microsoft.com/office/drawing/2014/main" id="{00000000-0008-0000-0700-00008D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166" name="텍스트 14">
          <a:extLst>
            <a:ext uri="{FF2B5EF4-FFF2-40B4-BE49-F238E27FC236}">
              <a16:creationId xmlns:a16="http://schemas.microsoft.com/office/drawing/2014/main" id="{00000000-0008-0000-0700-00008E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326243" cy="204671"/>
    <xdr:sp macro="" textlink="">
      <xdr:nvSpPr>
        <xdr:cNvPr id="1167" name="텍스트 15">
          <a:extLst>
            <a:ext uri="{FF2B5EF4-FFF2-40B4-BE49-F238E27FC236}">
              <a16:creationId xmlns:a16="http://schemas.microsoft.com/office/drawing/2014/main" id="{00000000-0008-0000-0700-00008F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8</xdr:col>
      <xdr:colOff>2121353</xdr:colOff>
      <xdr:row>16</xdr:row>
      <xdr:rowOff>0</xdr:rowOff>
    </xdr:from>
    <xdr:ext cx="56939" cy="204671"/>
    <xdr:sp macro="" textlink="">
      <xdr:nvSpPr>
        <xdr:cNvPr id="1168" name="텍스트 16">
          <a:extLst>
            <a:ext uri="{FF2B5EF4-FFF2-40B4-BE49-F238E27FC236}">
              <a16:creationId xmlns:a16="http://schemas.microsoft.com/office/drawing/2014/main" id="{00000000-0008-0000-0700-000090040000}"/>
            </a:ext>
          </a:extLst>
        </xdr:cNvPr>
        <xdr:cNvSpPr txBox="1">
          <a:spLocks noChangeArrowheads="1"/>
        </xdr:cNvSpPr>
      </xdr:nvSpPr>
      <xdr:spPr bwMode="auto">
        <a:xfrm>
          <a:off x="3150053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287771" cy="204671"/>
    <xdr:sp macro="" textlink="">
      <xdr:nvSpPr>
        <xdr:cNvPr id="1169" name="텍스트 9">
          <a:extLst>
            <a:ext uri="{FF2B5EF4-FFF2-40B4-BE49-F238E27FC236}">
              <a16:creationId xmlns:a16="http://schemas.microsoft.com/office/drawing/2014/main" id="{00000000-0008-0000-0700-000091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56939" cy="204671"/>
    <xdr:sp macro="" textlink="">
      <xdr:nvSpPr>
        <xdr:cNvPr id="1170" name="텍스트 10">
          <a:extLst>
            <a:ext uri="{FF2B5EF4-FFF2-40B4-BE49-F238E27FC236}">
              <a16:creationId xmlns:a16="http://schemas.microsoft.com/office/drawing/2014/main" id="{00000000-0008-0000-0700-000092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326243" cy="204671"/>
    <xdr:sp macro="" textlink="">
      <xdr:nvSpPr>
        <xdr:cNvPr id="1171" name="텍스트 11">
          <a:extLst>
            <a:ext uri="{FF2B5EF4-FFF2-40B4-BE49-F238E27FC236}">
              <a16:creationId xmlns:a16="http://schemas.microsoft.com/office/drawing/2014/main" id="{00000000-0008-0000-0700-000093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56939" cy="204671"/>
    <xdr:sp macro="" textlink="">
      <xdr:nvSpPr>
        <xdr:cNvPr id="1172" name="텍스트 12">
          <a:extLst>
            <a:ext uri="{FF2B5EF4-FFF2-40B4-BE49-F238E27FC236}">
              <a16:creationId xmlns:a16="http://schemas.microsoft.com/office/drawing/2014/main" id="{00000000-0008-0000-0700-000094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249299" cy="204671"/>
    <xdr:sp macro="" textlink="">
      <xdr:nvSpPr>
        <xdr:cNvPr id="1173" name="텍스트 13">
          <a:extLst>
            <a:ext uri="{FF2B5EF4-FFF2-40B4-BE49-F238E27FC236}">
              <a16:creationId xmlns:a16="http://schemas.microsoft.com/office/drawing/2014/main" id="{00000000-0008-0000-0700-000095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56939" cy="204671"/>
    <xdr:sp macro="" textlink="">
      <xdr:nvSpPr>
        <xdr:cNvPr id="1174" name="텍스트 14">
          <a:extLst>
            <a:ext uri="{FF2B5EF4-FFF2-40B4-BE49-F238E27FC236}">
              <a16:creationId xmlns:a16="http://schemas.microsoft.com/office/drawing/2014/main" id="{00000000-0008-0000-0700-000096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326243" cy="204671"/>
    <xdr:sp macro="" textlink="">
      <xdr:nvSpPr>
        <xdr:cNvPr id="1175" name="텍스트 15">
          <a:extLst>
            <a:ext uri="{FF2B5EF4-FFF2-40B4-BE49-F238E27FC236}">
              <a16:creationId xmlns:a16="http://schemas.microsoft.com/office/drawing/2014/main" id="{00000000-0008-0000-0700-000097040000}"/>
            </a:ext>
          </a:extLst>
        </xdr:cNvPr>
        <xdr:cNvSpPr txBox="1">
          <a:spLocks noChangeArrowheads="1"/>
        </xdr:cNvSpPr>
      </xdr:nvSpPr>
      <xdr:spPr bwMode="auto">
        <a:xfrm>
          <a:off x="3973286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210827" cy="204671"/>
    <xdr:sp macro="" textlink="">
      <xdr:nvSpPr>
        <xdr:cNvPr id="1176" name="텍스트 1">
          <a:extLst>
            <a:ext uri="{FF2B5EF4-FFF2-40B4-BE49-F238E27FC236}">
              <a16:creationId xmlns:a16="http://schemas.microsoft.com/office/drawing/2014/main" id="{00000000-0008-0000-0700-00009804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56939" cy="204671"/>
    <xdr:sp macro="" textlink="">
      <xdr:nvSpPr>
        <xdr:cNvPr id="1177" name="텍스트 2">
          <a:extLst>
            <a:ext uri="{FF2B5EF4-FFF2-40B4-BE49-F238E27FC236}">
              <a16:creationId xmlns:a16="http://schemas.microsoft.com/office/drawing/2014/main" id="{00000000-0008-0000-0700-00009904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178" name="텍스트 23">
          <a:extLst>
            <a:ext uri="{FF2B5EF4-FFF2-40B4-BE49-F238E27FC236}">
              <a16:creationId xmlns:a16="http://schemas.microsoft.com/office/drawing/2014/main" id="{00000000-0008-0000-0700-00009A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179" name="텍스트 23">
          <a:extLst>
            <a:ext uri="{FF2B5EF4-FFF2-40B4-BE49-F238E27FC236}">
              <a16:creationId xmlns:a16="http://schemas.microsoft.com/office/drawing/2014/main" id="{00000000-0008-0000-0700-00009B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210827" cy="204671"/>
    <xdr:sp macro="" textlink="">
      <xdr:nvSpPr>
        <xdr:cNvPr id="1180" name="텍스트 1">
          <a:extLst>
            <a:ext uri="{FF2B5EF4-FFF2-40B4-BE49-F238E27FC236}">
              <a16:creationId xmlns:a16="http://schemas.microsoft.com/office/drawing/2014/main" id="{00000000-0008-0000-0700-00009C04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56939" cy="204671"/>
    <xdr:sp macro="" textlink="">
      <xdr:nvSpPr>
        <xdr:cNvPr id="1181" name="텍스트 2">
          <a:extLst>
            <a:ext uri="{FF2B5EF4-FFF2-40B4-BE49-F238E27FC236}">
              <a16:creationId xmlns:a16="http://schemas.microsoft.com/office/drawing/2014/main" id="{00000000-0008-0000-0700-00009D040000}"/>
            </a:ext>
          </a:extLst>
        </xdr:cNvPr>
        <xdr:cNvSpPr txBox="1">
          <a:spLocks noChangeArrowheads="1"/>
        </xdr:cNvSpPr>
      </xdr:nvSpPr>
      <xdr:spPr bwMode="auto">
        <a:xfrm>
          <a:off x="4207328" y="20574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172355" cy="204671"/>
    <xdr:sp macro="" textlink="">
      <xdr:nvSpPr>
        <xdr:cNvPr id="1182" name="텍스트 3">
          <a:extLst>
            <a:ext uri="{FF2B5EF4-FFF2-40B4-BE49-F238E27FC236}">
              <a16:creationId xmlns:a16="http://schemas.microsoft.com/office/drawing/2014/main" id="{00000000-0008-0000-0700-00009E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183" name="텍스트 4">
          <a:extLst>
            <a:ext uri="{FF2B5EF4-FFF2-40B4-BE49-F238E27FC236}">
              <a16:creationId xmlns:a16="http://schemas.microsoft.com/office/drawing/2014/main" id="{00000000-0008-0000-0700-00009F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184" name="텍스트 5">
          <a:extLst>
            <a:ext uri="{FF2B5EF4-FFF2-40B4-BE49-F238E27FC236}">
              <a16:creationId xmlns:a16="http://schemas.microsoft.com/office/drawing/2014/main" id="{00000000-0008-0000-0700-0000A0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185" name="텍스트 6">
          <a:extLst>
            <a:ext uri="{FF2B5EF4-FFF2-40B4-BE49-F238E27FC236}">
              <a16:creationId xmlns:a16="http://schemas.microsoft.com/office/drawing/2014/main" id="{00000000-0008-0000-0700-0000A1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186" name="텍스트 7">
          <a:extLst>
            <a:ext uri="{FF2B5EF4-FFF2-40B4-BE49-F238E27FC236}">
              <a16:creationId xmlns:a16="http://schemas.microsoft.com/office/drawing/2014/main" id="{00000000-0008-0000-0700-0000A2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187" name="텍스트 8">
          <a:extLst>
            <a:ext uri="{FF2B5EF4-FFF2-40B4-BE49-F238E27FC236}">
              <a16:creationId xmlns:a16="http://schemas.microsoft.com/office/drawing/2014/main" id="{00000000-0008-0000-0700-0000A3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87771" cy="204671"/>
    <xdr:sp macro="" textlink="">
      <xdr:nvSpPr>
        <xdr:cNvPr id="1188" name="텍스트 9">
          <a:extLst>
            <a:ext uri="{FF2B5EF4-FFF2-40B4-BE49-F238E27FC236}">
              <a16:creationId xmlns:a16="http://schemas.microsoft.com/office/drawing/2014/main" id="{00000000-0008-0000-0700-0000A4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189" name="텍스트 10">
          <a:extLst>
            <a:ext uri="{FF2B5EF4-FFF2-40B4-BE49-F238E27FC236}">
              <a16:creationId xmlns:a16="http://schemas.microsoft.com/office/drawing/2014/main" id="{00000000-0008-0000-0700-0000A5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190" name="텍스트 11">
          <a:extLst>
            <a:ext uri="{FF2B5EF4-FFF2-40B4-BE49-F238E27FC236}">
              <a16:creationId xmlns:a16="http://schemas.microsoft.com/office/drawing/2014/main" id="{00000000-0008-0000-0700-0000A6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191" name="텍스트 12">
          <a:extLst>
            <a:ext uri="{FF2B5EF4-FFF2-40B4-BE49-F238E27FC236}">
              <a16:creationId xmlns:a16="http://schemas.microsoft.com/office/drawing/2014/main" id="{00000000-0008-0000-0700-0000A7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49299" cy="204671"/>
    <xdr:sp macro="" textlink="">
      <xdr:nvSpPr>
        <xdr:cNvPr id="1192" name="텍스트 13">
          <a:extLst>
            <a:ext uri="{FF2B5EF4-FFF2-40B4-BE49-F238E27FC236}">
              <a16:creationId xmlns:a16="http://schemas.microsoft.com/office/drawing/2014/main" id="{00000000-0008-0000-0700-0000A8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193" name="텍스트 14">
          <a:extLst>
            <a:ext uri="{FF2B5EF4-FFF2-40B4-BE49-F238E27FC236}">
              <a16:creationId xmlns:a16="http://schemas.microsoft.com/office/drawing/2014/main" id="{00000000-0008-0000-0700-0000A9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194" name="텍스트 15">
          <a:extLst>
            <a:ext uri="{FF2B5EF4-FFF2-40B4-BE49-F238E27FC236}">
              <a16:creationId xmlns:a16="http://schemas.microsoft.com/office/drawing/2014/main" id="{00000000-0008-0000-0700-0000AA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195" name="텍스트 16">
          <a:extLst>
            <a:ext uri="{FF2B5EF4-FFF2-40B4-BE49-F238E27FC236}">
              <a16:creationId xmlns:a16="http://schemas.microsoft.com/office/drawing/2014/main" id="{00000000-0008-0000-0700-0000AB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196" name="텍스트 17">
          <a:extLst>
            <a:ext uri="{FF2B5EF4-FFF2-40B4-BE49-F238E27FC236}">
              <a16:creationId xmlns:a16="http://schemas.microsoft.com/office/drawing/2014/main" id="{00000000-0008-0000-0700-0000AC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197" name="텍스트 18">
          <a:extLst>
            <a:ext uri="{FF2B5EF4-FFF2-40B4-BE49-F238E27FC236}">
              <a16:creationId xmlns:a16="http://schemas.microsoft.com/office/drawing/2014/main" id="{00000000-0008-0000-0700-0000AD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198" name="텍스트 20">
          <a:extLst>
            <a:ext uri="{FF2B5EF4-FFF2-40B4-BE49-F238E27FC236}">
              <a16:creationId xmlns:a16="http://schemas.microsoft.com/office/drawing/2014/main" id="{00000000-0008-0000-0700-0000AE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199" name="텍스트 22">
          <a:extLst>
            <a:ext uri="{FF2B5EF4-FFF2-40B4-BE49-F238E27FC236}">
              <a16:creationId xmlns:a16="http://schemas.microsoft.com/office/drawing/2014/main" id="{00000000-0008-0000-0700-0000AF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200" name="텍스트 23">
          <a:extLst>
            <a:ext uri="{FF2B5EF4-FFF2-40B4-BE49-F238E27FC236}">
              <a16:creationId xmlns:a16="http://schemas.microsoft.com/office/drawing/2014/main" id="{00000000-0008-0000-0700-0000B0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87771" cy="204671"/>
    <xdr:sp macro="" textlink="">
      <xdr:nvSpPr>
        <xdr:cNvPr id="1201" name="텍스트 9">
          <a:extLst>
            <a:ext uri="{FF2B5EF4-FFF2-40B4-BE49-F238E27FC236}">
              <a16:creationId xmlns:a16="http://schemas.microsoft.com/office/drawing/2014/main" id="{00000000-0008-0000-0700-0000B1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202" name="텍스트 10">
          <a:extLst>
            <a:ext uri="{FF2B5EF4-FFF2-40B4-BE49-F238E27FC236}">
              <a16:creationId xmlns:a16="http://schemas.microsoft.com/office/drawing/2014/main" id="{00000000-0008-0000-0700-0000B2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203" name="텍스트 11">
          <a:extLst>
            <a:ext uri="{FF2B5EF4-FFF2-40B4-BE49-F238E27FC236}">
              <a16:creationId xmlns:a16="http://schemas.microsoft.com/office/drawing/2014/main" id="{00000000-0008-0000-0700-0000B3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204" name="텍스트 12">
          <a:extLst>
            <a:ext uri="{FF2B5EF4-FFF2-40B4-BE49-F238E27FC236}">
              <a16:creationId xmlns:a16="http://schemas.microsoft.com/office/drawing/2014/main" id="{00000000-0008-0000-0700-0000B4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49299" cy="204671"/>
    <xdr:sp macro="" textlink="">
      <xdr:nvSpPr>
        <xdr:cNvPr id="1205" name="텍스트 13">
          <a:extLst>
            <a:ext uri="{FF2B5EF4-FFF2-40B4-BE49-F238E27FC236}">
              <a16:creationId xmlns:a16="http://schemas.microsoft.com/office/drawing/2014/main" id="{00000000-0008-0000-0700-0000B5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206" name="텍스트 14">
          <a:extLst>
            <a:ext uri="{FF2B5EF4-FFF2-40B4-BE49-F238E27FC236}">
              <a16:creationId xmlns:a16="http://schemas.microsoft.com/office/drawing/2014/main" id="{00000000-0008-0000-0700-0000B6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207" name="텍스트 15">
          <a:extLst>
            <a:ext uri="{FF2B5EF4-FFF2-40B4-BE49-F238E27FC236}">
              <a16:creationId xmlns:a16="http://schemas.microsoft.com/office/drawing/2014/main" id="{00000000-0008-0000-0700-0000B7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208" name="텍스트 16">
          <a:extLst>
            <a:ext uri="{FF2B5EF4-FFF2-40B4-BE49-F238E27FC236}">
              <a16:creationId xmlns:a16="http://schemas.microsoft.com/office/drawing/2014/main" id="{00000000-0008-0000-0700-0000B8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172355" cy="204671"/>
    <xdr:sp macro="" textlink="">
      <xdr:nvSpPr>
        <xdr:cNvPr id="1209" name="텍스트 3">
          <a:extLst>
            <a:ext uri="{FF2B5EF4-FFF2-40B4-BE49-F238E27FC236}">
              <a16:creationId xmlns:a16="http://schemas.microsoft.com/office/drawing/2014/main" id="{00000000-0008-0000-0700-0000B9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210" name="텍스트 4">
          <a:extLst>
            <a:ext uri="{FF2B5EF4-FFF2-40B4-BE49-F238E27FC236}">
              <a16:creationId xmlns:a16="http://schemas.microsoft.com/office/drawing/2014/main" id="{00000000-0008-0000-0700-0000BA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211" name="텍스트 5">
          <a:extLst>
            <a:ext uri="{FF2B5EF4-FFF2-40B4-BE49-F238E27FC236}">
              <a16:creationId xmlns:a16="http://schemas.microsoft.com/office/drawing/2014/main" id="{00000000-0008-0000-0700-0000BB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212" name="텍스트 6">
          <a:extLst>
            <a:ext uri="{FF2B5EF4-FFF2-40B4-BE49-F238E27FC236}">
              <a16:creationId xmlns:a16="http://schemas.microsoft.com/office/drawing/2014/main" id="{00000000-0008-0000-0700-0000BC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213" name="텍스트 7">
          <a:extLst>
            <a:ext uri="{FF2B5EF4-FFF2-40B4-BE49-F238E27FC236}">
              <a16:creationId xmlns:a16="http://schemas.microsoft.com/office/drawing/2014/main" id="{00000000-0008-0000-0700-0000BD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214" name="텍스트 8">
          <a:extLst>
            <a:ext uri="{FF2B5EF4-FFF2-40B4-BE49-F238E27FC236}">
              <a16:creationId xmlns:a16="http://schemas.microsoft.com/office/drawing/2014/main" id="{00000000-0008-0000-0700-0000BE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215" name="텍스트 17">
          <a:extLst>
            <a:ext uri="{FF2B5EF4-FFF2-40B4-BE49-F238E27FC236}">
              <a16:creationId xmlns:a16="http://schemas.microsoft.com/office/drawing/2014/main" id="{00000000-0008-0000-0700-0000BF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216" name="텍스트 18">
          <a:extLst>
            <a:ext uri="{FF2B5EF4-FFF2-40B4-BE49-F238E27FC236}">
              <a16:creationId xmlns:a16="http://schemas.microsoft.com/office/drawing/2014/main" id="{00000000-0008-0000-0700-0000C0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217" name="텍스트 20">
          <a:extLst>
            <a:ext uri="{FF2B5EF4-FFF2-40B4-BE49-F238E27FC236}">
              <a16:creationId xmlns:a16="http://schemas.microsoft.com/office/drawing/2014/main" id="{00000000-0008-0000-0700-0000C1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218" name="텍스트 22">
          <a:extLst>
            <a:ext uri="{FF2B5EF4-FFF2-40B4-BE49-F238E27FC236}">
              <a16:creationId xmlns:a16="http://schemas.microsoft.com/office/drawing/2014/main" id="{00000000-0008-0000-0700-0000C2040000}"/>
            </a:ext>
          </a:extLst>
        </xdr:cNvPr>
        <xdr:cNvSpPr txBox="1">
          <a:spLocks noChangeArrowheads="1"/>
        </xdr:cNvSpPr>
      </xdr:nvSpPr>
      <xdr:spPr bwMode="auto">
        <a:xfrm>
          <a:off x="4207328" y="257175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87771" cy="204671"/>
    <xdr:sp macro="" textlink="">
      <xdr:nvSpPr>
        <xdr:cNvPr id="1219" name="텍스트 9">
          <a:extLst>
            <a:ext uri="{FF2B5EF4-FFF2-40B4-BE49-F238E27FC236}">
              <a16:creationId xmlns:a16="http://schemas.microsoft.com/office/drawing/2014/main" id="{00000000-0008-0000-0700-0000C3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220" name="텍스트 10">
          <a:extLst>
            <a:ext uri="{FF2B5EF4-FFF2-40B4-BE49-F238E27FC236}">
              <a16:creationId xmlns:a16="http://schemas.microsoft.com/office/drawing/2014/main" id="{00000000-0008-0000-0700-0000C4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221" name="텍스트 11">
          <a:extLst>
            <a:ext uri="{FF2B5EF4-FFF2-40B4-BE49-F238E27FC236}">
              <a16:creationId xmlns:a16="http://schemas.microsoft.com/office/drawing/2014/main" id="{00000000-0008-0000-0700-0000C5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222" name="텍스트 12">
          <a:extLst>
            <a:ext uri="{FF2B5EF4-FFF2-40B4-BE49-F238E27FC236}">
              <a16:creationId xmlns:a16="http://schemas.microsoft.com/office/drawing/2014/main" id="{00000000-0008-0000-0700-0000C6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49299" cy="204671"/>
    <xdr:sp macro="" textlink="">
      <xdr:nvSpPr>
        <xdr:cNvPr id="1223" name="텍스트 13">
          <a:extLst>
            <a:ext uri="{FF2B5EF4-FFF2-40B4-BE49-F238E27FC236}">
              <a16:creationId xmlns:a16="http://schemas.microsoft.com/office/drawing/2014/main" id="{00000000-0008-0000-0700-0000C7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224" name="텍스트 14">
          <a:extLst>
            <a:ext uri="{FF2B5EF4-FFF2-40B4-BE49-F238E27FC236}">
              <a16:creationId xmlns:a16="http://schemas.microsoft.com/office/drawing/2014/main" id="{00000000-0008-0000-0700-0000C8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225" name="텍스트 15">
          <a:extLst>
            <a:ext uri="{FF2B5EF4-FFF2-40B4-BE49-F238E27FC236}">
              <a16:creationId xmlns:a16="http://schemas.microsoft.com/office/drawing/2014/main" id="{00000000-0008-0000-0700-0000C9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226" name="텍스트 16">
          <a:extLst>
            <a:ext uri="{FF2B5EF4-FFF2-40B4-BE49-F238E27FC236}">
              <a16:creationId xmlns:a16="http://schemas.microsoft.com/office/drawing/2014/main" id="{00000000-0008-0000-0700-0000CA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87771" cy="204671"/>
    <xdr:sp macro="" textlink="">
      <xdr:nvSpPr>
        <xdr:cNvPr id="1227" name="텍스트 9">
          <a:extLst>
            <a:ext uri="{FF2B5EF4-FFF2-40B4-BE49-F238E27FC236}">
              <a16:creationId xmlns:a16="http://schemas.microsoft.com/office/drawing/2014/main" id="{00000000-0008-0000-0700-0000CB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228" name="텍스트 10">
          <a:extLst>
            <a:ext uri="{FF2B5EF4-FFF2-40B4-BE49-F238E27FC236}">
              <a16:creationId xmlns:a16="http://schemas.microsoft.com/office/drawing/2014/main" id="{00000000-0008-0000-0700-0000CC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229" name="텍스트 11">
          <a:extLst>
            <a:ext uri="{FF2B5EF4-FFF2-40B4-BE49-F238E27FC236}">
              <a16:creationId xmlns:a16="http://schemas.microsoft.com/office/drawing/2014/main" id="{00000000-0008-0000-0700-0000CD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230" name="텍스트 12">
          <a:extLst>
            <a:ext uri="{FF2B5EF4-FFF2-40B4-BE49-F238E27FC236}">
              <a16:creationId xmlns:a16="http://schemas.microsoft.com/office/drawing/2014/main" id="{00000000-0008-0000-0700-0000CE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49299" cy="204671"/>
    <xdr:sp macro="" textlink="">
      <xdr:nvSpPr>
        <xdr:cNvPr id="1231" name="텍스트 13">
          <a:extLst>
            <a:ext uri="{FF2B5EF4-FFF2-40B4-BE49-F238E27FC236}">
              <a16:creationId xmlns:a16="http://schemas.microsoft.com/office/drawing/2014/main" id="{00000000-0008-0000-0700-0000CF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232" name="텍스트 14">
          <a:extLst>
            <a:ext uri="{FF2B5EF4-FFF2-40B4-BE49-F238E27FC236}">
              <a16:creationId xmlns:a16="http://schemas.microsoft.com/office/drawing/2014/main" id="{00000000-0008-0000-0700-0000D0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233" name="텍스트 15">
          <a:extLst>
            <a:ext uri="{FF2B5EF4-FFF2-40B4-BE49-F238E27FC236}">
              <a16:creationId xmlns:a16="http://schemas.microsoft.com/office/drawing/2014/main" id="{00000000-0008-0000-0700-0000D1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234" name="텍스트 16">
          <a:extLst>
            <a:ext uri="{FF2B5EF4-FFF2-40B4-BE49-F238E27FC236}">
              <a16:creationId xmlns:a16="http://schemas.microsoft.com/office/drawing/2014/main" id="{00000000-0008-0000-0700-0000D2040000}"/>
            </a:ext>
          </a:extLst>
        </xdr:cNvPr>
        <xdr:cNvSpPr txBox="1">
          <a:spLocks noChangeArrowheads="1"/>
        </xdr:cNvSpPr>
      </xdr:nvSpPr>
      <xdr:spPr bwMode="auto">
        <a:xfrm>
          <a:off x="4207328" y="27432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2121353</xdr:colOff>
      <xdr:row>18</xdr:row>
      <xdr:rowOff>0</xdr:rowOff>
    </xdr:from>
    <xdr:ext cx="210827" cy="204671"/>
    <xdr:sp macro="" textlink="">
      <xdr:nvSpPr>
        <xdr:cNvPr id="1235" name="텍스트 23">
          <a:extLst>
            <a:ext uri="{FF2B5EF4-FFF2-40B4-BE49-F238E27FC236}">
              <a16:creationId xmlns:a16="http://schemas.microsoft.com/office/drawing/2014/main" id="{00000000-0008-0000-0700-0000D3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1236" name="텍스트 23">
          <a:extLst>
            <a:ext uri="{FF2B5EF4-FFF2-40B4-BE49-F238E27FC236}">
              <a16:creationId xmlns:a16="http://schemas.microsoft.com/office/drawing/2014/main" id="{00000000-0008-0000-0700-0000D4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4</xdr:col>
      <xdr:colOff>2121353</xdr:colOff>
      <xdr:row>18</xdr:row>
      <xdr:rowOff>0</xdr:rowOff>
    </xdr:from>
    <xdr:ext cx="210827" cy="204671"/>
    <xdr:sp macro="" textlink="">
      <xdr:nvSpPr>
        <xdr:cNvPr id="1237" name="텍스트 23">
          <a:extLst>
            <a:ext uri="{FF2B5EF4-FFF2-40B4-BE49-F238E27FC236}">
              <a16:creationId xmlns:a16="http://schemas.microsoft.com/office/drawing/2014/main" id="{00000000-0008-0000-0700-0000D5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1238" name="텍스트 23">
          <a:extLst>
            <a:ext uri="{FF2B5EF4-FFF2-40B4-BE49-F238E27FC236}">
              <a16:creationId xmlns:a16="http://schemas.microsoft.com/office/drawing/2014/main" id="{00000000-0008-0000-0700-0000D6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1239" name="텍스트 23">
          <a:extLst>
            <a:ext uri="{FF2B5EF4-FFF2-40B4-BE49-F238E27FC236}">
              <a16:creationId xmlns:a16="http://schemas.microsoft.com/office/drawing/2014/main" id="{00000000-0008-0000-0700-0000D7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4</xdr:col>
      <xdr:colOff>2121353</xdr:colOff>
      <xdr:row>18</xdr:row>
      <xdr:rowOff>0</xdr:rowOff>
    </xdr:from>
    <xdr:ext cx="210827" cy="204671"/>
    <xdr:sp macro="" textlink="">
      <xdr:nvSpPr>
        <xdr:cNvPr id="1240" name="텍스트 23">
          <a:extLst>
            <a:ext uri="{FF2B5EF4-FFF2-40B4-BE49-F238E27FC236}">
              <a16:creationId xmlns:a16="http://schemas.microsoft.com/office/drawing/2014/main" id="{00000000-0008-0000-0700-0000D8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1241" name="텍스트 23">
          <a:extLst>
            <a:ext uri="{FF2B5EF4-FFF2-40B4-BE49-F238E27FC236}">
              <a16:creationId xmlns:a16="http://schemas.microsoft.com/office/drawing/2014/main" id="{00000000-0008-0000-0700-0000D9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1242" name="텍스트 23">
          <a:extLst>
            <a:ext uri="{FF2B5EF4-FFF2-40B4-BE49-F238E27FC236}">
              <a16:creationId xmlns:a16="http://schemas.microsoft.com/office/drawing/2014/main" id="{00000000-0008-0000-0700-0000DA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1243" name="텍스트 23">
          <a:extLst>
            <a:ext uri="{FF2B5EF4-FFF2-40B4-BE49-F238E27FC236}">
              <a16:creationId xmlns:a16="http://schemas.microsoft.com/office/drawing/2014/main" id="{00000000-0008-0000-0700-0000DB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1244" name="텍스트 23">
          <a:extLst>
            <a:ext uri="{FF2B5EF4-FFF2-40B4-BE49-F238E27FC236}">
              <a16:creationId xmlns:a16="http://schemas.microsoft.com/office/drawing/2014/main" id="{00000000-0008-0000-0700-0000DC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1245" name="텍스트 23">
          <a:extLst>
            <a:ext uri="{FF2B5EF4-FFF2-40B4-BE49-F238E27FC236}">
              <a16:creationId xmlns:a16="http://schemas.microsoft.com/office/drawing/2014/main" id="{00000000-0008-0000-0700-0000DD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1246" name="텍스트 23">
          <a:extLst>
            <a:ext uri="{FF2B5EF4-FFF2-40B4-BE49-F238E27FC236}">
              <a16:creationId xmlns:a16="http://schemas.microsoft.com/office/drawing/2014/main" id="{00000000-0008-0000-0700-0000DE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1247" name="텍스트 23">
          <a:extLst>
            <a:ext uri="{FF2B5EF4-FFF2-40B4-BE49-F238E27FC236}">
              <a16:creationId xmlns:a16="http://schemas.microsoft.com/office/drawing/2014/main" id="{00000000-0008-0000-0700-0000DF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1248" name="텍스트 23">
          <a:extLst>
            <a:ext uri="{FF2B5EF4-FFF2-40B4-BE49-F238E27FC236}">
              <a16:creationId xmlns:a16="http://schemas.microsoft.com/office/drawing/2014/main" id="{00000000-0008-0000-0700-0000E0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5</xdr:col>
      <xdr:colOff>2121353</xdr:colOff>
      <xdr:row>18</xdr:row>
      <xdr:rowOff>0</xdr:rowOff>
    </xdr:from>
    <xdr:ext cx="210827" cy="204671"/>
    <xdr:sp macro="" textlink="">
      <xdr:nvSpPr>
        <xdr:cNvPr id="1249" name="텍스트 23">
          <a:extLst>
            <a:ext uri="{FF2B5EF4-FFF2-40B4-BE49-F238E27FC236}">
              <a16:creationId xmlns:a16="http://schemas.microsoft.com/office/drawing/2014/main" id="{00000000-0008-0000-0700-0000E1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1250" name="텍스트 23">
          <a:extLst>
            <a:ext uri="{FF2B5EF4-FFF2-40B4-BE49-F238E27FC236}">
              <a16:creationId xmlns:a16="http://schemas.microsoft.com/office/drawing/2014/main" id="{00000000-0008-0000-0700-0000E2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1251" name="텍스트 23">
          <a:extLst>
            <a:ext uri="{FF2B5EF4-FFF2-40B4-BE49-F238E27FC236}">
              <a16:creationId xmlns:a16="http://schemas.microsoft.com/office/drawing/2014/main" id="{00000000-0008-0000-0700-0000E3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1252" name="텍스트 23">
          <a:extLst>
            <a:ext uri="{FF2B5EF4-FFF2-40B4-BE49-F238E27FC236}">
              <a16:creationId xmlns:a16="http://schemas.microsoft.com/office/drawing/2014/main" id="{00000000-0008-0000-0700-0000E4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1253" name="텍스트 23">
          <a:extLst>
            <a:ext uri="{FF2B5EF4-FFF2-40B4-BE49-F238E27FC236}">
              <a16:creationId xmlns:a16="http://schemas.microsoft.com/office/drawing/2014/main" id="{00000000-0008-0000-0700-0000E5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1254" name="텍스트 23">
          <a:extLst>
            <a:ext uri="{FF2B5EF4-FFF2-40B4-BE49-F238E27FC236}">
              <a16:creationId xmlns:a16="http://schemas.microsoft.com/office/drawing/2014/main" id="{00000000-0008-0000-0700-0000E6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1255" name="텍스트 23">
          <a:extLst>
            <a:ext uri="{FF2B5EF4-FFF2-40B4-BE49-F238E27FC236}">
              <a16:creationId xmlns:a16="http://schemas.microsoft.com/office/drawing/2014/main" id="{00000000-0008-0000-0700-0000E7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1256" name="텍스트 23">
          <a:extLst>
            <a:ext uri="{FF2B5EF4-FFF2-40B4-BE49-F238E27FC236}">
              <a16:creationId xmlns:a16="http://schemas.microsoft.com/office/drawing/2014/main" id="{00000000-0008-0000-0700-0000E8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1257" name="텍스트 23">
          <a:extLst>
            <a:ext uri="{FF2B5EF4-FFF2-40B4-BE49-F238E27FC236}">
              <a16:creationId xmlns:a16="http://schemas.microsoft.com/office/drawing/2014/main" id="{00000000-0008-0000-0700-0000E9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1258" name="텍스트 23">
          <a:extLst>
            <a:ext uri="{FF2B5EF4-FFF2-40B4-BE49-F238E27FC236}">
              <a16:creationId xmlns:a16="http://schemas.microsoft.com/office/drawing/2014/main" id="{00000000-0008-0000-0700-0000EA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1259" name="텍스트 23">
          <a:extLst>
            <a:ext uri="{FF2B5EF4-FFF2-40B4-BE49-F238E27FC236}">
              <a16:creationId xmlns:a16="http://schemas.microsoft.com/office/drawing/2014/main" id="{00000000-0008-0000-0700-0000EB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1260" name="텍스트 23">
          <a:extLst>
            <a:ext uri="{FF2B5EF4-FFF2-40B4-BE49-F238E27FC236}">
              <a16:creationId xmlns:a16="http://schemas.microsoft.com/office/drawing/2014/main" id="{00000000-0008-0000-0700-0000EC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6</xdr:col>
      <xdr:colOff>2121353</xdr:colOff>
      <xdr:row>18</xdr:row>
      <xdr:rowOff>0</xdr:rowOff>
    </xdr:from>
    <xdr:ext cx="210827" cy="204671"/>
    <xdr:sp macro="" textlink="">
      <xdr:nvSpPr>
        <xdr:cNvPr id="1261" name="텍스트 23">
          <a:extLst>
            <a:ext uri="{FF2B5EF4-FFF2-40B4-BE49-F238E27FC236}">
              <a16:creationId xmlns:a16="http://schemas.microsoft.com/office/drawing/2014/main" id="{00000000-0008-0000-0700-0000ED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1262" name="텍스트 23">
          <a:extLst>
            <a:ext uri="{FF2B5EF4-FFF2-40B4-BE49-F238E27FC236}">
              <a16:creationId xmlns:a16="http://schemas.microsoft.com/office/drawing/2014/main" id="{00000000-0008-0000-0700-0000EE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1263" name="텍스트 23">
          <a:extLst>
            <a:ext uri="{FF2B5EF4-FFF2-40B4-BE49-F238E27FC236}">
              <a16:creationId xmlns:a16="http://schemas.microsoft.com/office/drawing/2014/main" id="{00000000-0008-0000-0700-0000EF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1264" name="텍스트 23">
          <a:extLst>
            <a:ext uri="{FF2B5EF4-FFF2-40B4-BE49-F238E27FC236}">
              <a16:creationId xmlns:a16="http://schemas.microsoft.com/office/drawing/2014/main" id="{00000000-0008-0000-0700-0000F0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1265" name="텍스트 23">
          <a:extLst>
            <a:ext uri="{FF2B5EF4-FFF2-40B4-BE49-F238E27FC236}">
              <a16:creationId xmlns:a16="http://schemas.microsoft.com/office/drawing/2014/main" id="{00000000-0008-0000-0700-0000F1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1266" name="텍스트 23">
          <a:extLst>
            <a:ext uri="{FF2B5EF4-FFF2-40B4-BE49-F238E27FC236}">
              <a16:creationId xmlns:a16="http://schemas.microsoft.com/office/drawing/2014/main" id="{00000000-0008-0000-0700-0000F2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1267" name="텍스트 23">
          <a:extLst>
            <a:ext uri="{FF2B5EF4-FFF2-40B4-BE49-F238E27FC236}">
              <a16:creationId xmlns:a16="http://schemas.microsoft.com/office/drawing/2014/main" id="{00000000-0008-0000-0700-0000F3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1268" name="텍스트 23">
          <a:extLst>
            <a:ext uri="{FF2B5EF4-FFF2-40B4-BE49-F238E27FC236}">
              <a16:creationId xmlns:a16="http://schemas.microsoft.com/office/drawing/2014/main" id="{00000000-0008-0000-0700-0000F4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269" name="텍스트 23">
          <a:extLst>
            <a:ext uri="{FF2B5EF4-FFF2-40B4-BE49-F238E27FC236}">
              <a16:creationId xmlns:a16="http://schemas.microsoft.com/office/drawing/2014/main" id="{00000000-0008-0000-0700-0000F5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1270" name="텍스트 23">
          <a:extLst>
            <a:ext uri="{FF2B5EF4-FFF2-40B4-BE49-F238E27FC236}">
              <a16:creationId xmlns:a16="http://schemas.microsoft.com/office/drawing/2014/main" id="{00000000-0008-0000-0700-0000F6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271" name="텍스트 23">
          <a:extLst>
            <a:ext uri="{FF2B5EF4-FFF2-40B4-BE49-F238E27FC236}">
              <a16:creationId xmlns:a16="http://schemas.microsoft.com/office/drawing/2014/main" id="{00000000-0008-0000-0700-0000F7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272" name="텍스트 23">
          <a:extLst>
            <a:ext uri="{FF2B5EF4-FFF2-40B4-BE49-F238E27FC236}">
              <a16:creationId xmlns:a16="http://schemas.microsoft.com/office/drawing/2014/main" id="{00000000-0008-0000-0700-0000F8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7</xdr:col>
      <xdr:colOff>2121353</xdr:colOff>
      <xdr:row>18</xdr:row>
      <xdr:rowOff>0</xdr:rowOff>
    </xdr:from>
    <xdr:ext cx="210827" cy="204671"/>
    <xdr:sp macro="" textlink="">
      <xdr:nvSpPr>
        <xdr:cNvPr id="1273" name="텍스트 23">
          <a:extLst>
            <a:ext uri="{FF2B5EF4-FFF2-40B4-BE49-F238E27FC236}">
              <a16:creationId xmlns:a16="http://schemas.microsoft.com/office/drawing/2014/main" id="{00000000-0008-0000-0700-0000F904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274" name="텍스트 23">
          <a:extLst>
            <a:ext uri="{FF2B5EF4-FFF2-40B4-BE49-F238E27FC236}">
              <a16:creationId xmlns:a16="http://schemas.microsoft.com/office/drawing/2014/main" id="{00000000-0008-0000-0700-0000FA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275" name="텍스트 23">
          <a:extLst>
            <a:ext uri="{FF2B5EF4-FFF2-40B4-BE49-F238E27FC236}">
              <a16:creationId xmlns:a16="http://schemas.microsoft.com/office/drawing/2014/main" id="{00000000-0008-0000-0700-0000FB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276" name="텍스트 23">
          <a:extLst>
            <a:ext uri="{FF2B5EF4-FFF2-40B4-BE49-F238E27FC236}">
              <a16:creationId xmlns:a16="http://schemas.microsoft.com/office/drawing/2014/main" id="{00000000-0008-0000-0700-0000FC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277" name="텍스트 23">
          <a:extLst>
            <a:ext uri="{FF2B5EF4-FFF2-40B4-BE49-F238E27FC236}">
              <a16:creationId xmlns:a16="http://schemas.microsoft.com/office/drawing/2014/main" id="{00000000-0008-0000-0700-0000FD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278" name="텍스트 23">
          <a:extLst>
            <a:ext uri="{FF2B5EF4-FFF2-40B4-BE49-F238E27FC236}">
              <a16:creationId xmlns:a16="http://schemas.microsoft.com/office/drawing/2014/main" id="{00000000-0008-0000-0700-0000FE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279" name="텍스트 23">
          <a:extLst>
            <a:ext uri="{FF2B5EF4-FFF2-40B4-BE49-F238E27FC236}">
              <a16:creationId xmlns:a16="http://schemas.microsoft.com/office/drawing/2014/main" id="{00000000-0008-0000-0700-0000FF04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280" name="텍스트 23">
          <a:extLst>
            <a:ext uri="{FF2B5EF4-FFF2-40B4-BE49-F238E27FC236}">
              <a16:creationId xmlns:a16="http://schemas.microsoft.com/office/drawing/2014/main" id="{00000000-0008-0000-0700-00000005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281" name="텍스트 23">
          <a:extLst>
            <a:ext uri="{FF2B5EF4-FFF2-40B4-BE49-F238E27FC236}">
              <a16:creationId xmlns:a16="http://schemas.microsoft.com/office/drawing/2014/main" id="{00000000-0008-0000-0700-00000105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282" name="텍스트 23">
          <a:extLst>
            <a:ext uri="{FF2B5EF4-FFF2-40B4-BE49-F238E27FC236}">
              <a16:creationId xmlns:a16="http://schemas.microsoft.com/office/drawing/2014/main" id="{00000000-0008-0000-0700-00000205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283" name="텍스트 23">
          <a:extLst>
            <a:ext uri="{FF2B5EF4-FFF2-40B4-BE49-F238E27FC236}">
              <a16:creationId xmlns:a16="http://schemas.microsoft.com/office/drawing/2014/main" id="{00000000-0008-0000-0700-00000305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284" name="텍스트 23">
          <a:extLst>
            <a:ext uri="{FF2B5EF4-FFF2-40B4-BE49-F238E27FC236}">
              <a16:creationId xmlns:a16="http://schemas.microsoft.com/office/drawing/2014/main" id="{00000000-0008-0000-0700-00000405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8</xdr:col>
      <xdr:colOff>2121353</xdr:colOff>
      <xdr:row>18</xdr:row>
      <xdr:rowOff>0</xdr:rowOff>
    </xdr:from>
    <xdr:ext cx="210827" cy="204671"/>
    <xdr:sp macro="" textlink="">
      <xdr:nvSpPr>
        <xdr:cNvPr id="1285" name="텍스트 23">
          <a:extLst>
            <a:ext uri="{FF2B5EF4-FFF2-40B4-BE49-F238E27FC236}">
              <a16:creationId xmlns:a16="http://schemas.microsoft.com/office/drawing/2014/main" id="{00000000-0008-0000-0700-000005050000}"/>
            </a:ext>
          </a:extLst>
        </xdr:cNvPr>
        <xdr:cNvSpPr txBox="1">
          <a:spLocks noChangeArrowheads="1"/>
        </xdr:cNvSpPr>
      </xdr:nvSpPr>
      <xdr:spPr bwMode="auto">
        <a:xfrm>
          <a:off x="4207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286" name="텍스트 23">
          <a:extLst>
            <a:ext uri="{FF2B5EF4-FFF2-40B4-BE49-F238E27FC236}">
              <a16:creationId xmlns:a16="http://schemas.microsoft.com/office/drawing/2014/main" id="{00000000-0008-0000-0700-00000605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287" name="텍스트 23">
          <a:extLst>
            <a:ext uri="{FF2B5EF4-FFF2-40B4-BE49-F238E27FC236}">
              <a16:creationId xmlns:a16="http://schemas.microsoft.com/office/drawing/2014/main" id="{00000000-0008-0000-0700-00000705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288" name="텍스트 23">
          <a:extLst>
            <a:ext uri="{FF2B5EF4-FFF2-40B4-BE49-F238E27FC236}">
              <a16:creationId xmlns:a16="http://schemas.microsoft.com/office/drawing/2014/main" id="{00000000-0008-0000-0700-00000805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289" name="텍스트 23">
          <a:extLst>
            <a:ext uri="{FF2B5EF4-FFF2-40B4-BE49-F238E27FC236}">
              <a16:creationId xmlns:a16="http://schemas.microsoft.com/office/drawing/2014/main" id="{00000000-0008-0000-0700-00000905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290" name="텍스트 23">
          <a:extLst>
            <a:ext uri="{FF2B5EF4-FFF2-40B4-BE49-F238E27FC236}">
              <a16:creationId xmlns:a16="http://schemas.microsoft.com/office/drawing/2014/main" id="{00000000-0008-0000-0700-00000A05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291" name="텍스트 23">
          <a:extLst>
            <a:ext uri="{FF2B5EF4-FFF2-40B4-BE49-F238E27FC236}">
              <a16:creationId xmlns:a16="http://schemas.microsoft.com/office/drawing/2014/main" id="{00000000-0008-0000-0700-00000B050000}"/>
            </a:ext>
          </a:extLst>
        </xdr:cNvPr>
        <xdr:cNvSpPr txBox="1">
          <a:spLocks noChangeArrowheads="1"/>
        </xdr:cNvSpPr>
      </xdr:nvSpPr>
      <xdr:spPr bwMode="auto">
        <a:xfrm>
          <a:off x="5264603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292" name="텍스트 5">
          <a:extLst>
            <a:ext uri="{FF2B5EF4-FFF2-40B4-BE49-F238E27FC236}">
              <a16:creationId xmlns:a16="http://schemas.microsoft.com/office/drawing/2014/main" id="{E1B9FAE2-EFAA-4D23-86F3-E2B6D3CE1A14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293" name="텍스트 7">
          <a:extLst>
            <a:ext uri="{FF2B5EF4-FFF2-40B4-BE49-F238E27FC236}">
              <a16:creationId xmlns:a16="http://schemas.microsoft.com/office/drawing/2014/main" id="{CC0F48D3-EB5C-43D5-AD11-4FC2CFC84A4B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294" name="텍스트 17">
          <a:extLst>
            <a:ext uri="{FF2B5EF4-FFF2-40B4-BE49-F238E27FC236}">
              <a16:creationId xmlns:a16="http://schemas.microsoft.com/office/drawing/2014/main" id="{52059B9D-BC96-4169-990C-4C84F24D1E34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441659" cy="204671"/>
    <xdr:sp macro="" textlink="">
      <xdr:nvSpPr>
        <xdr:cNvPr id="1295" name="텍스트 19">
          <a:extLst>
            <a:ext uri="{FF2B5EF4-FFF2-40B4-BE49-F238E27FC236}">
              <a16:creationId xmlns:a16="http://schemas.microsoft.com/office/drawing/2014/main" id="{B02EF706-C548-4D52-AEDC-704319B59F7A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326243" cy="204671"/>
    <xdr:sp macro="" textlink="">
      <xdr:nvSpPr>
        <xdr:cNvPr id="1296" name="텍스트 21">
          <a:extLst>
            <a:ext uri="{FF2B5EF4-FFF2-40B4-BE49-F238E27FC236}">
              <a16:creationId xmlns:a16="http://schemas.microsoft.com/office/drawing/2014/main" id="{1D5270A5-420E-4A0E-82E3-FFCD4C94D411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297" name="텍스트 5">
          <a:extLst>
            <a:ext uri="{FF2B5EF4-FFF2-40B4-BE49-F238E27FC236}">
              <a16:creationId xmlns:a16="http://schemas.microsoft.com/office/drawing/2014/main" id="{BD9B18FF-A195-4EDD-8645-46B5EDF1179F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298" name="텍스트 7">
          <a:extLst>
            <a:ext uri="{FF2B5EF4-FFF2-40B4-BE49-F238E27FC236}">
              <a16:creationId xmlns:a16="http://schemas.microsoft.com/office/drawing/2014/main" id="{A04FDDC7-7304-4423-88A0-E83498F07811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299" name="텍스트 17">
          <a:extLst>
            <a:ext uri="{FF2B5EF4-FFF2-40B4-BE49-F238E27FC236}">
              <a16:creationId xmlns:a16="http://schemas.microsoft.com/office/drawing/2014/main" id="{6FA1017E-801E-4DBB-B89E-D6C01B1E3E8D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441659" cy="204671"/>
    <xdr:sp macro="" textlink="">
      <xdr:nvSpPr>
        <xdr:cNvPr id="1300" name="텍스트 19">
          <a:extLst>
            <a:ext uri="{FF2B5EF4-FFF2-40B4-BE49-F238E27FC236}">
              <a16:creationId xmlns:a16="http://schemas.microsoft.com/office/drawing/2014/main" id="{1DBA8E84-6E39-4745-AFA5-9387445B5BE2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326243" cy="204671"/>
    <xdr:sp macro="" textlink="">
      <xdr:nvSpPr>
        <xdr:cNvPr id="1301" name="텍스트 21">
          <a:extLst>
            <a:ext uri="{FF2B5EF4-FFF2-40B4-BE49-F238E27FC236}">
              <a16:creationId xmlns:a16="http://schemas.microsoft.com/office/drawing/2014/main" id="{2C80B758-76CB-4A55-A415-538D482D3217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210827" cy="204671"/>
    <xdr:sp macro="" textlink="">
      <xdr:nvSpPr>
        <xdr:cNvPr id="1302" name="텍스트 1">
          <a:extLst>
            <a:ext uri="{FF2B5EF4-FFF2-40B4-BE49-F238E27FC236}">
              <a16:creationId xmlns:a16="http://schemas.microsoft.com/office/drawing/2014/main" id="{B620B4B8-0E7B-495A-9A21-119C38F9038B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56939" cy="204671"/>
    <xdr:sp macro="" textlink="">
      <xdr:nvSpPr>
        <xdr:cNvPr id="1303" name="텍스트 2">
          <a:extLst>
            <a:ext uri="{FF2B5EF4-FFF2-40B4-BE49-F238E27FC236}">
              <a16:creationId xmlns:a16="http://schemas.microsoft.com/office/drawing/2014/main" id="{749C7503-60DE-4224-AE1C-35E3D27EC0EA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304" name="텍스트 23">
          <a:extLst>
            <a:ext uri="{FF2B5EF4-FFF2-40B4-BE49-F238E27FC236}">
              <a16:creationId xmlns:a16="http://schemas.microsoft.com/office/drawing/2014/main" id="{A5E5E64E-135C-4074-A730-3F258693A60A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305" name="텍스트 23">
          <a:extLst>
            <a:ext uri="{FF2B5EF4-FFF2-40B4-BE49-F238E27FC236}">
              <a16:creationId xmlns:a16="http://schemas.microsoft.com/office/drawing/2014/main" id="{676F5BA9-88F1-4DEC-BB35-27496DBA2A93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306" name="텍스트 23">
          <a:extLst>
            <a:ext uri="{FF2B5EF4-FFF2-40B4-BE49-F238E27FC236}">
              <a16:creationId xmlns:a16="http://schemas.microsoft.com/office/drawing/2014/main" id="{1205D713-FE67-41C6-AF00-7CBF94537C30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307" name="텍스트 5">
          <a:extLst>
            <a:ext uri="{FF2B5EF4-FFF2-40B4-BE49-F238E27FC236}">
              <a16:creationId xmlns:a16="http://schemas.microsoft.com/office/drawing/2014/main" id="{9BFBF362-6C52-4C4E-8319-B5401956AB8B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308" name="텍스트 7">
          <a:extLst>
            <a:ext uri="{FF2B5EF4-FFF2-40B4-BE49-F238E27FC236}">
              <a16:creationId xmlns:a16="http://schemas.microsoft.com/office/drawing/2014/main" id="{B0268FE2-01D5-4F1C-BC04-F0FCD51550CC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309" name="텍스트 17">
          <a:extLst>
            <a:ext uri="{FF2B5EF4-FFF2-40B4-BE49-F238E27FC236}">
              <a16:creationId xmlns:a16="http://schemas.microsoft.com/office/drawing/2014/main" id="{C4A33F8A-756B-40C6-9126-2B359ABF97CF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441659" cy="204671"/>
    <xdr:sp macro="" textlink="">
      <xdr:nvSpPr>
        <xdr:cNvPr id="1310" name="텍스트 19">
          <a:extLst>
            <a:ext uri="{FF2B5EF4-FFF2-40B4-BE49-F238E27FC236}">
              <a16:creationId xmlns:a16="http://schemas.microsoft.com/office/drawing/2014/main" id="{3D2EB2DE-7F5E-49DF-8F67-7A9D798F72AE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326243" cy="204671"/>
    <xdr:sp macro="" textlink="">
      <xdr:nvSpPr>
        <xdr:cNvPr id="1311" name="텍스트 21">
          <a:extLst>
            <a:ext uri="{FF2B5EF4-FFF2-40B4-BE49-F238E27FC236}">
              <a16:creationId xmlns:a16="http://schemas.microsoft.com/office/drawing/2014/main" id="{0E244A9C-0C93-4057-800D-ADAE621948CC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312" name="텍스트 5">
          <a:extLst>
            <a:ext uri="{FF2B5EF4-FFF2-40B4-BE49-F238E27FC236}">
              <a16:creationId xmlns:a16="http://schemas.microsoft.com/office/drawing/2014/main" id="{5B77AA1A-0624-449D-83CD-17A14021D06C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313" name="텍스트 7">
          <a:extLst>
            <a:ext uri="{FF2B5EF4-FFF2-40B4-BE49-F238E27FC236}">
              <a16:creationId xmlns:a16="http://schemas.microsoft.com/office/drawing/2014/main" id="{C0844CDB-C1E5-4366-BD92-D7FB651DC1D5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314" name="텍스트 17">
          <a:extLst>
            <a:ext uri="{FF2B5EF4-FFF2-40B4-BE49-F238E27FC236}">
              <a16:creationId xmlns:a16="http://schemas.microsoft.com/office/drawing/2014/main" id="{74605B11-AA76-4318-AB31-BA89718916E6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441659" cy="204671"/>
    <xdr:sp macro="" textlink="">
      <xdr:nvSpPr>
        <xdr:cNvPr id="1315" name="텍스트 19">
          <a:extLst>
            <a:ext uri="{FF2B5EF4-FFF2-40B4-BE49-F238E27FC236}">
              <a16:creationId xmlns:a16="http://schemas.microsoft.com/office/drawing/2014/main" id="{E67C9B1E-398A-46E5-A76A-526DB5AD324C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326243" cy="204671"/>
    <xdr:sp macro="" textlink="">
      <xdr:nvSpPr>
        <xdr:cNvPr id="1316" name="텍스트 21">
          <a:extLst>
            <a:ext uri="{FF2B5EF4-FFF2-40B4-BE49-F238E27FC236}">
              <a16:creationId xmlns:a16="http://schemas.microsoft.com/office/drawing/2014/main" id="{521A5870-4E7A-4F0E-A886-5404DFA8C359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820510</xdr:colOff>
      <xdr:row>16</xdr:row>
      <xdr:rowOff>0</xdr:rowOff>
    </xdr:from>
    <xdr:ext cx="287771" cy="204671"/>
    <xdr:sp macro="" textlink="">
      <xdr:nvSpPr>
        <xdr:cNvPr id="1317" name="텍스트 9">
          <a:extLst>
            <a:ext uri="{FF2B5EF4-FFF2-40B4-BE49-F238E27FC236}">
              <a16:creationId xmlns:a16="http://schemas.microsoft.com/office/drawing/2014/main" id="{1E088A63-823D-48FC-9647-D2B8938EDF1B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820510</xdr:colOff>
      <xdr:row>16</xdr:row>
      <xdr:rowOff>0</xdr:rowOff>
    </xdr:from>
    <xdr:ext cx="326243" cy="204671"/>
    <xdr:sp macro="" textlink="">
      <xdr:nvSpPr>
        <xdr:cNvPr id="1318" name="텍스트 11">
          <a:extLst>
            <a:ext uri="{FF2B5EF4-FFF2-40B4-BE49-F238E27FC236}">
              <a16:creationId xmlns:a16="http://schemas.microsoft.com/office/drawing/2014/main" id="{7063E642-4B82-4805-9AF8-A568F202A9A6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820510</xdr:colOff>
      <xdr:row>16</xdr:row>
      <xdr:rowOff>0</xdr:rowOff>
    </xdr:from>
    <xdr:ext cx="249299" cy="204671"/>
    <xdr:sp macro="" textlink="">
      <xdr:nvSpPr>
        <xdr:cNvPr id="1319" name="텍스트 13">
          <a:extLst>
            <a:ext uri="{FF2B5EF4-FFF2-40B4-BE49-F238E27FC236}">
              <a16:creationId xmlns:a16="http://schemas.microsoft.com/office/drawing/2014/main" id="{763B5DCD-E372-4DA2-8078-84558A871442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820510</xdr:colOff>
      <xdr:row>16</xdr:row>
      <xdr:rowOff>0</xdr:rowOff>
    </xdr:from>
    <xdr:ext cx="326243" cy="204671"/>
    <xdr:sp macro="" textlink="">
      <xdr:nvSpPr>
        <xdr:cNvPr id="1320" name="텍스트 15">
          <a:extLst>
            <a:ext uri="{FF2B5EF4-FFF2-40B4-BE49-F238E27FC236}">
              <a16:creationId xmlns:a16="http://schemas.microsoft.com/office/drawing/2014/main" id="{39B4553E-45D6-4B5E-A3A5-2E6305083E0C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820510</xdr:colOff>
      <xdr:row>15</xdr:row>
      <xdr:rowOff>0</xdr:rowOff>
    </xdr:from>
    <xdr:ext cx="249299" cy="204671"/>
    <xdr:sp macro="" textlink="">
      <xdr:nvSpPr>
        <xdr:cNvPr id="1321" name="텍스트 5">
          <a:extLst>
            <a:ext uri="{FF2B5EF4-FFF2-40B4-BE49-F238E27FC236}">
              <a16:creationId xmlns:a16="http://schemas.microsoft.com/office/drawing/2014/main" id="{7023DF8B-1043-4E2D-82B2-53861845F6DE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820510</xdr:colOff>
      <xdr:row>15</xdr:row>
      <xdr:rowOff>0</xdr:rowOff>
    </xdr:from>
    <xdr:ext cx="249299" cy="204671"/>
    <xdr:sp macro="" textlink="">
      <xdr:nvSpPr>
        <xdr:cNvPr id="1322" name="텍스트 7">
          <a:extLst>
            <a:ext uri="{FF2B5EF4-FFF2-40B4-BE49-F238E27FC236}">
              <a16:creationId xmlns:a16="http://schemas.microsoft.com/office/drawing/2014/main" id="{7608480C-5488-4C78-B850-8F5618ABBE10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820510</xdr:colOff>
      <xdr:row>15</xdr:row>
      <xdr:rowOff>0</xdr:rowOff>
    </xdr:from>
    <xdr:ext cx="249299" cy="204671"/>
    <xdr:sp macro="" textlink="">
      <xdr:nvSpPr>
        <xdr:cNvPr id="1323" name="텍스트 17">
          <a:extLst>
            <a:ext uri="{FF2B5EF4-FFF2-40B4-BE49-F238E27FC236}">
              <a16:creationId xmlns:a16="http://schemas.microsoft.com/office/drawing/2014/main" id="{9C4D7549-05D1-48D0-BDEE-AAEA9066E4C1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820510</xdr:colOff>
      <xdr:row>15</xdr:row>
      <xdr:rowOff>0</xdr:rowOff>
    </xdr:from>
    <xdr:ext cx="441659" cy="204671"/>
    <xdr:sp macro="" textlink="">
      <xdr:nvSpPr>
        <xdr:cNvPr id="1324" name="텍스트 19">
          <a:extLst>
            <a:ext uri="{FF2B5EF4-FFF2-40B4-BE49-F238E27FC236}">
              <a16:creationId xmlns:a16="http://schemas.microsoft.com/office/drawing/2014/main" id="{CF44282E-10AB-4703-8EA5-03C99249FEF4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9</xdr:col>
      <xdr:colOff>820510</xdr:colOff>
      <xdr:row>15</xdr:row>
      <xdr:rowOff>0</xdr:rowOff>
    </xdr:from>
    <xdr:ext cx="326243" cy="204671"/>
    <xdr:sp macro="" textlink="">
      <xdr:nvSpPr>
        <xdr:cNvPr id="1325" name="텍스트 21">
          <a:extLst>
            <a:ext uri="{FF2B5EF4-FFF2-40B4-BE49-F238E27FC236}">
              <a16:creationId xmlns:a16="http://schemas.microsoft.com/office/drawing/2014/main" id="{652D0337-4CD7-4607-8A18-B5D1A41A7DE1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172355" cy="204671"/>
    <xdr:sp macro="" textlink="">
      <xdr:nvSpPr>
        <xdr:cNvPr id="1326" name="텍스트 3">
          <a:extLst>
            <a:ext uri="{FF2B5EF4-FFF2-40B4-BE49-F238E27FC236}">
              <a16:creationId xmlns:a16="http://schemas.microsoft.com/office/drawing/2014/main" id="{67A3936B-2067-4CD3-843B-E33BAB21DB85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327" name="텍스트 4">
          <a:extLst>
            <a:ext uri="{FF2B5EF4-FFF2-40B4-BE49-F238E27FC236}">
              <a16:creationId xmlns:a16="http://schemas.microsoft.com/office/drawing/2014/main" id="{43353037-6BFA-4F58-9AA8-EADA49D826A9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328" name="텍스트 5">
          <a:extLst>
            <a:ext uri="{FF2B5EF4-FFF2-40B4-BE49-F238E27FC236}">
              <a16:creationId xmlns:a16="http://schemas.microsoft.com/office/drawing/2014/main" id="{F9DD4E6D-1F20-4219-8299-C8C348DA0207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329" name="텍스트 6">
          <a:extLst>
            <a:ext uri="{FF2B5EF4-FFF2-40B4-BE49-F238E27FC236}">
              <a16:creationId xmlns:a16="http://schemas.microsoft.com/office/drawing/2014/main" id="{8EE55D79-E7E2-4A7A-8399-109B94D3C211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330" name="텍스트 7">
          <a:extLst>
            <a:ext uri="{FF2B5EF4-FFF2-40B4-BE49-F238E27FC236}">
              <a16:creationId xmlns:a16="http://schemas.microsoft.com/office/drawing/2014/main" id="{C69E467F-C316-4CD9-A079-318AA3BE2DB2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331" name="텍스트 8">
          <a:extLst>
            <a:ext uri="{FF2B5EF4-FFF2-40B4-BE49-F238E27FC236}">
              <a16:creationId xmlns:a16="http://schemas.microsoft.com/office/drawing/2014/main" id="{FB93141B-2B02-4A7C-AAA7-85D44B3A507E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332" name="텍스트 17">
          <a:extLst>
            <a:ext uri="{FF2B5EF4-FFF2-40B4-BE49-F238E27FC236}">
              <a16:creationId xmlns:a16="http://schemas.microsoft.com/office/drawing/2014/main" id="{086F3007-71BA-4CE4-9F1C-D88DFFE96158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333" name="텍스트 18">
          <a:extLst>
            <a:ext uri="{FF2B5EF4-FFF2-40B4-BE49-F238E27FC236}">
              <a16:creationId xmlns:a16="http://schemas.microsoft.com/office/drawing/2014/main" id="{6E68BFFA-EA38-47ED-ADBD-2BA3ACDBC4FB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441659" cy="204671"/>
    <xdr:sp macro="" textlink="">
      <xdr:nvSpPr>
        <xdr:cNvPr id="1334" name="텍스트 19">
          <a:extLst>
            <a:ext uri="{FF2B5EF4-FFF2-40B4-BE49-F238E27FC236}">
              <a16:creationId xmlns:a16="http://schemas.microsoft.com/office/drawing/2014/main" id="{692EA6D4-D233-4134-B338-A1EE6EEE65B3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335" name="텍스트 20">
          <a:extLst>
            <a:ext uri="{FF2B5EF4-FFF2-40B4-BE49-F238E27FC236}">
              <a16:creationId xmlns:a16="http://schemas.microsoft.com/office/drawing/2014/main" id="{44A3B408-0570-4913-94FF-99C3523F5891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326243" cy="204671"/>
    <xdr:sp macro="" textlink="">
      <xdr:nvSpPr>
        <xdr:cNvPr id="1336" name="텍스트 21">
          <a:extLst>
            <a:ext uri="{FF2B5EF4-FFF2-40B4-BE49-F238E27FC236}">
              <a16:creationId xmlns:a16="http://schemas.microsoft.com/office/drawing/2014/main" id="{7DA464EB-189C-4EFE-AA73-1DD5F94E0FAB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337" name="텍스트 22">
          <a:extLst>
            <a:ext uri="{FF2B5EF4-FFF2-40B4-BE49-F238E27FC236}">
              <a16:creationId xmlns:a16="http://schemas.microsoft.com/office/drawing/2014/main" id="{31E9E90A-4437-42D1-B350-EC2B9B914DB5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820510</xdr:colOff>
      <xdr:row>15</xdr:row>
      <xdr:rowOff>0</xdr:rowOff>
    </xdr:from>
    <xdr:ext cx="249299" cy="204671"/>
    <xdr:sp macro="" textlink="">
      <xdr:nvSpPr>
        <xdr:cNvPr id="1338" name="텍스트 5">
          <a:extLst>
            <a:ext uri="{FF2B5EF4-FFF2-40B4-BE49-F238E27FC236}">
              <a16:creationId xmlns:a16="http://schemas.microsoft.com/office/drawing/2014/main" id="{43513EE1-D3FD-40FD-B75D-8FC480B13BE7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820510</xdr:colOff>
      <xdr:row>15</xdr:row>
      <xdr:rowOff>0</xdr:rowOff>
    </xdr:from>
    <xdr:ext cx="249299" cy="204671"/>
    <xdr:sp macro="" textlink="">
      <xdr:nvSpPr>
        <xdr:cNvPr id="1339" name="텍스트 7">
          <a:extLst>
            <a:ext uri="{FF2B5EF4-FFF2-40B4-BE49-F238E27FC236}">
              <a16:creationId xmlns:a16="http://schemas.microsoft.com/office/drawing/2014/main" id="{FEC3CB03-8DA9-4CEB-A152-07E7CC1964FD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820510</xdr:colOff>
      <xdr:row>15</xdr:row>
      <xdr:rowOff>0</xdr:rowOff>
    </xdr:from>
    <xdr:ext cx="249299" cy="204671"/>
    <xdr:sp macro="" textlink="">
      <xdr:nvSpPr>
        <xdr:cNvPr id="1340" name="텍스트 17">
          <a:extLst>
            <a:ext uri="{FF2B5EF4-FFF2-40B4-BE49-F238E27FC236}">
              <a16:creationId xmlns:a16="http://schemas.microsoft.com/office/drawing/2014/main" id="{2944FCCF-DACC-498B-86AF-E0AD05B2F584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820510</xdr:colOff>
      <xdr:row>15</xdr:row>
      <xdr:rowOff>0</xdr:rowOff>
    </xdr:from>
    <xdr:ext cx="441659" cy="204671"/>
    <xdr:sp macro="" textlink="">
      <xdr:nvSpPr>
        <xdr:cNvPr id="1341" name="텍스트 19">
          <a:extLst>
            <a:ext uri="{FF2B5EF4-FFF2-40B4-BE49-F238E27FC236}">
              <a16:creationId xmlns:a16="http://schemas.microsoft.com/office/drawing/2014/main" id="{CE690ECC-A067-4DD3-8128-63C04EC27A80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9</xdr:col>
      <xdr:colOff>820510</xdr:colOff>
      <xdr:row>15</xdr:row>
      <xdr:rowOff>0</xdr:rowOff>
    </xdr:from>
    <xdr:ext cx="326243" cy="204671"/>
    <xdr:sp macro="" textlink="">
      <xdr:nvSpPr>
        <xdr:cNvPr id="1342" name="텍스트 21">
          <a:extLst>
            <a:ext uri="{FF2B5EF4-FFF2-40B4-BE49-F238E27FC236}">
              <a16:creationId xmlns:a16="http://schemas.microsoft.com/office/drawing/2014/main" id="{6CFDC830-F485-420B-A7C9-3AB0C6D3CC64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172355" cy="204671"/>
    <xdr:sp macro="" textlink="">
      <xdr:nvSpPr>
        <xdr:cNvPr id="1343" name="텍스트 3">
          <a:extLst>
            <a:ext uri="{FF2B5EF4-FFF2-40B4-BE49-F238E27FC236}">
              <a16:creationId xmlns:a16="http://schemas.microsoft.com/office/drawing/2014/main" id="{6C3A2BCE-0579-429E-A108-2B78FD91D556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344" name="텍스트 4">
          <a:extLst>
            <a:ext uri="{FF2B5EF4-FFF2-40B4-BE49-F238E27FC236}">
              <a16:creationId xmlns:a16="http://schemas.microsoft.com/office/drawing/2014/main" id="{7E60D90D-FB31-45EE-90B1-6D6B4A80AA9E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345" name="텍스트 5">
          <a:extLst>
            <a:ext uri="{FF2B5EF4-FFF2-40B4-BE49-F238E27FC236}">
              <a16:creationId xmlns:a16="http://schemas.microsoft.com/office/drawing/2014/main" id="{AC0BE19E-017C-4C5B-A602-AA6420B30D3B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346" name="텍스트 6">
          <a:extLst>
            <a:ext uri="{FF2B5EF4-FFF2-40B4-BE49-F238E27FC236}">
              <a16:creationId xmlns:a16="http://schemas.microsoft.com/office/drawing/2014/main" id="{8440C4E4-CA4F-4D08-BEED-9B3A3A19C429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347" name="텍스트 7">
          <a:extLst>
            <a:ext uri="{FF2B5EF4-FFF2-40B4-BE49-F238E27FC236}">
              <a16:creationId xmlns:a16="http://schemas.microsoft.com/office/drawing/2014/main" id="{CA7BAAEC-3C24-4497-9C6E-885517444EBA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348" name="텍스트 8">
          <a:extLst>
            <a:ext uri="{FF2B5EF4-FFF2-40B4-BE49-F238E27FC236}">
              <a16:creationId xmlns:a16="http://schemas.microsoft.com/office/drawing/2014/main" id="{8DCA8B66-BEE9-4115-9F95-A7E6B07F7E3E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349" name="텍스트 17">
          <a:extLst>
            <a:ext uri="{FF2B5EF4-FFF2-40B4-BE49-F238E27FC236}">
              <a16:creationId xmlns:a16="http://schemas.microsoft.com/office/drawing/2014/main" id="{B6F746A8-21F9-4766-9B87-693E4A4E2F44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350" name="텍스트 18">
          <a:extLst>
            <a:ext uri="{FF2B5EF4-FFF2-40B4-BE49-F238E27FC236}">
              <a16:creationId xmlns:a16="http://schemas.microsoft.com/office/drawing/2014/main" id="{3102CF4F-1C95-4FC1-B78E-8D7F27765C3F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441659" cy="204671"/>
    <xdr:sp macro="" textlink="">
      <xdr:nvSpPr>
        <xdr:cNvPr id="1351" name="텍스트 19">
          <a:extLst>
            <a:ext uri="{FF2B5EF4-FFF2-40B4-BE49-F238E27FC236}">
              <a16:creationId xmlns:a16="http://schemas.microsoft.com/office/drawing/2014/main" id="{EA01F05B-6BED-48C4-B162-EFCA4AEF9511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352" name="텍스트 20">
          <a:extLst>
            <a:ext uri="{FF2B5EF4-FFF2-40B4-BE49-F238E27FC236}">
              <a16:creationId xmlns:a16="http://schemas.microsoft.com/office/drawing/2014/main" id="{03A6DAED-5744-479C-981C-76F2BE745C76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326243" cy="204671"/>
    <xdr:sp macro="" textlink="">
      <xdr:nvSpPr>
        <xdr:cNvPr id="1353" name="텍스트 21">
          <a:extLst>
            <a:ext uri="{FF2B5EF4-FFF2-40B4-BE49-F238E27FC236}">
              <a16:creationId xmlns:a16="http://schemas.microsoft.com/office/drawing/2014/main" id="{4023A046-79FF-4F70-8EAD-1CB3AD86C62C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354" name="텍스트 22">
          <a:extLst>
            <a:ext uri="{FF2B5EF4-FFF2-40B4-BE49-F238E27FC236}">
              <a16:creationId xmlns:a16="http://schemas.microsoft.com/office/drawing/2014/main" id="{9A22BD5B-4A2F-4028-855F-E8C1BDE03775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820510</xdr:colOff>
      <xdr:row>16</xdr:row>
      <xdr:rowOff>0</xdr:rowOff>
    </xdr:from>
    <xdr:ext cx="287771" cy="204671"/>
    <xdr:sp macro="" textlink="">
      <xdr:nvSpPr>
        <xdr:cNvPr id="1355" name="텍스트 9">
          <a:extLst>
            <a:ext uri="{FF2B5EF4-FFF2-40B4-BE49-F238E27FC236}">
              <a16:creationId xmlns:a16="http://schemas.microsoft.com/office/drawing/2014/main" id="{AB1FD1D1-D48D-4632-B692-8E7AB082C2BD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820510</xdr:colOff>
      <xdr:row>16</xdr:row>
      <xdr:rowOff>0</xdr:rowOff>
    </xdr:from>
    <xdr:ext cx="326243" cy="204671"/>
    <xdr:sp macro="" textlink="">
      <xdr:nvSpPr>
        <xdr:cNvPr id="1356" name="텍스트 11">
          <a:extLst>
            <a:ext uri="{FF2B5EF4-FFF2-40B4-BE49-F238E27FC236}">
              <a16:creationId xmlns:a16="http://schemas.microsoft.com/office/drawing/2014/main" id="{C4A1B6B6-224D-46DB-8210-148B4B508BC9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820510</xdr:colOff>
      <xdr:row>16</xdr:row>
      <xdr:rowOff>0</xdr:rowOff>
    </xdr:from>
    <xdr:ext cx="249299" cy="204671"/>
    <xdr:sp macro="" textlink="">
      <xdr:nvSpPr>
        <xdr:cNvPr id="1357" name="텍스트 13">
          <a:extLst>
            <a:ext uri="{FF2B5EF4-FFF2-40B4-BE49-F238E27FC236}">
              <a16:creationId xmlns:a16="http://schemas.microsoft.com/office/drawing/2014/main" id="{E5C403A8-EF75-4968-845B-7C2A8A310D0B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820510</xdr:colOff>
      <xdr:row>16</xdr:row>
      <xdr:rowOff>0</xdr:rowOff>
    </xdr:from>
    <xdr:ext cx="326243" cy="204671"/>
    <xdr:sp macro="" textlink="">
      <xdr:nvSpPr>
        <xdr:cNvPr id="1358" name="텍스트 15">
          <a:extLst>
            <a:ext uri="{FF2B5EF4-FFF2-40B4-BE49-F238E27FC236}">
              <a16:creationId xmlns:a16="http://schemas.microsoft.com/office/drawing/2014/main" id="{DC3248BB-5D65-4DF6-9830-D30EF628FBFC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210827" cy="204671"/>
    <xdr:sp macro="" textlink="">
      <xdr:nvSpPr>
        <xdr:cNvPr id="1359" name="텍스트 1">
          <a:extLst>
            <a:ext uri="{FF2B5EF4-FFF2-40B4-BE49-F238E27FC236}">
              <a16:creationId xmlns:a16="http://schemas.microsoft.com/office/drawing/2014/main" id="{3EA2FF00-103D-497F-8535-1F80CB6CFC1B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56939" cy="204671"/>
    <xdr:sp macro="" textlink="">
      <xdr:nvSpPr>
        <xdr:cNvPr id="1360" name="텍스트 2">
          <a:extLst>
            <a:ext uri="{FF2B5EF4-FFF2-40B4-BE49-F238E27FC236}">
              <a16:creationId xmlns:a16="http://schemas.microsoft.com/office/drawing/2014/main" id="{CF042778-D8F7-4CA6-852A-43A844DDD290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210827" cy="204671"/>
    <xdr:sp macro="" textlink="">
      <xdr:nvSpPr>
        <xdr:cNvPr id="1361" name="텍스트 1">
          <a:extLst>
            <a:ext uri="{FF2B5EF4-FFF2-40B4-BE49-F238E27FC236}">
              <a16:creationId xmlns:a16="http://schemas.microsoft.com/office/drawing/2014/main" id="{AB212F19-B70B-4002-ABC7-4F671E73E616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56939" cy="204671"/>
    <xdr:sp macro="" textlink="">
      <xdr:nvSpPr>
        <xdr:cNvPr id="1362" name="텍스트 2">
          <a:extLst>
            <a:ext uri="{FF2B5EF4-FFF2-40B4-BE49-F238E27FC236}">
              <a16:creationId xmlns:a16="http://schemas.microsoft.com/office/drawing/2014/main" id="{CD11E415-3CFC-424A-9759-7D16AB5C4289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363" name="텍스트 23">
          <a:extLst>
            <a:ext uri="{FF2B5EF4-FFF2-40B4-BE49-F238E27FC236}">
              <a16:creationId xmlns:a16="http://schemas.microsoft.com/office/drawing/2014/main" id="{8339B592-B1F5-4878-9D59-C6FFEDC8748F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364" name="텍스트 23">
          <a:extLst>
            <a:ext uri="{FF2B5EF4-FFF2-40B4-BE49-F238E27FC236}">
              <a16:creationId xmlns:a16="http://schemas.microsoft.com/office/drawing/2014/main" id="{D2A46050-8F0F-468B-B782-FD6B2E1D16E7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365" name="텍스트 23">
          <a:extLst>
            <a:ext uri="{FF2B5EF4-FFF2-40B4-BE49-F238E27FC236}">
              <a16:creationId xmlns:a16="http://schemas.microsoft.com/office/drawing/2014/main" id="{A1FC03AC-DDAC-4459-AF60-8972DD09D420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366" name="텍스트 23">
          <a:extLst>
            <a:ext uri="{FF2B5EF4-FFF2-40B4-BE49-F238E27FC236}">
              <a16:creationId xmlns:a16="http://schemas.microsoft.com/office/drawing/2014/main" id="{AD9DE641-6302-4B56-867B-467E616F0914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367" name="텍스트 23">
          <a:extLst>
            <a:ext uri="{FF2B5EF4-FFF2-40B4-BE49-F238E27FC236}">
              <a16:creationId xmlns:a16="http://schemas.microsoft.com/office/drawing/2014/main" id="{67EB2F5F-5058-4248-A992-48B1DBC73BBE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287771" cy="204671"/>
    <xdr:sp macro="" textlink="">
      <xdr:nvSpPr>
        <xdr:cNvPr id="1368" name="텍스트 9">
          <a:extLst>
            <a:ext uri="{FF2B5EF4-FFF2-40B4-BE49-F238E27FC236}">
              <a16:creationId xmlns:a16="http://schemas.microsoft.com/office/drawing/2014/main" id="{9AA3A9D7-DA17-41D4-9837-0D8172910789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326243" cy="204671"/>
    <xdr:sp macro="" textlink="">
      <xdr:nvSpPr>
        <xdr:cNvPr id="1369" name="텍스트 11">
          <a:extLst>
            <a:ext uri="{FF2B5EF4-FFF2-40B4-BE49-F238E27FC236}">
              <a16:creationId xmlns:a16="http://schemas.microsoft.com/office/drawing/2014/main" id="{77F20CD7-680E-4EF4-8654-86A2A5986856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249299" cy="204671"/>
    <xdr:sp macro="" textlink="">
      <xdr:nvSpPr>
        <xdr:cNvPr id="1370" name="텍스트 13">
          <a:extLst>
            <a:ext uri="{FF2B5EF4-FFF2-40B4-BE49-F238E27FC236}">
              <a16:creationId xmlns:a16="http://schemas.microsoft.com/office/drawing/2014/main" id="{F7405D97-2F12-4A86-B91F-DAECACBC8BAD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326243" cy="204671"/>
    <xdr:sp macro="" textlink="">
      <xdr:nvSpPr>
        <xdr:cNvPr id="1371" name="텍스트 15">
          <a:extLst>
            <a:ext uri="{FF2B5EF4-FFF2-40B4-BE49-F238E27FC236}">
              <a16:creationId xmlns:a16="http://schemas.microsoft.com/office/drawing/2014/main" id="{C205074F-5163-4092-9C20-B78E242D497F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372" name="텍스트 5">
          <a:extLst>
            <a:ext uri="{FF2B5EF4-FFF2-40B4-BE49-F238E27FC236}">
              <a16:creationId xmlns:a16="http://schemas.microsoft.com/office/drawing/2014/main" id="{3FDDA6A6-047E-4EF0-AE8A-35EBFC6F2E2B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373" name="텍스트 7">
          <a:extLst>
            <a:ext uri="{FF2B5EF4-FFF2-40B4-BE49-F238E27FC236}">
              <a16:creationId xmlns:a16="http://schemas.microsoft.com/office/drawing/2014/main" id="{043A5931-42D2-4ABF-B805-E45750EF3F9E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374" name="텍스트 17">
          <a:extLst>
            <a:ext uri="{FF2B5EF4-FFF2-40B4-BE49-F238E27FC236}">
              <a16:creationId xmlns:a16="http://schemas.microsoft.com/office/drawing/2014/main" id="{12F29FEF-9690-4B09-B2B2-DC348276C541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441659" cy="204671"/>
    <xdr:sp macro="" textlink="">
      <xdr:nvSpPr>
        <xdr:cNvPr id="1375" name="텍스트 19">
          <a:extLst>
            <a:ext uri="{FF2B5EF4-FFF2-40B4-BE49-F238E27FC236}">
              <a16:creationId xmlns:a16="http://schemas.microsoft.com/office/drawing/2014/main" id="{B5E3AF39-79D2-47F4-9877-4F53973D3E00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326243" cy="204671"/>
    <xdr:sp macro="" textlink="">
      <xdr:nvSpPr>
        <xdr:cNvPr id="1376" name="텍스트 21">
          <a:extLst>
            <a:ext uri="{FF2B5EF4-FFF2-40B4-BE49-F238E27FC236}">
              <a16:creationId xmlns:a16="http://schemas.microsoft.com/office/drawing/2014/main" id="{72FA6ED7-442B-4BE2-B589-1F0293016EF9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377" name="텍스트 5">
          <a:extLst>
            <a:ext uri="{FF2B5EF4-FFF2-40B4-BE49-F238E27FC236}">
              <a16:creationId xmlns:a16="http://schemas.microsoft.com/office/drawing/2014/main" id="{CA6BFBDC-3162-4DCB-8131-4BEDACDB4124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378" name="텍스트 7">
          <a:extLst>
            <a:ext uri="{FF2B5EF4-FFF2-40B4-BE49-F238E27FC236}">
              <a16:creationId xmlns:a16="http://schemas.microsoft.com/office/drawing/2014/main" id="{4405C5D0-0D40-4946-BF13-218EC79F4318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249299" cy="204671"/>
    <xdr:sp macro="" textlink="">
      <xdr:nvSpPr>
        <xdr:cNvPr id="1379" name="텍스트 17">
          <a:extLst>
            <a:ext uri="{FF2B5EF4-FFF2-40B4-BE49-F238E27FC236}">
              <a16:creationId xmlns:a16="http://schemas.microsoft.com/office/drawing/2014/main" id="{8EFA7DAF-C8F9-4B8F-A248-21ADCAE02F77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441659" cy="204671"/>
    <xdr:sp macro="" textlink="">
      <xdr:nvSpPr>
        <xdr:cNvPr id="1380" name="텍스트 19">
          <a:extLst>
            <a:ext uri="{FF2B5EF4-FFF2-40B4-BE49-F238E27FC236}">
              <a16:creationId xmlns:a16="http://schemas.microsoft.com/office/drawing/2014/main" id="{87669A81-B3A4-422C-AB37-30930A310941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9</xdr:col>
      <xdr:colOff>820511</xdr:colOff>
      <xdr:row>15</xdr:row>
      <xdr:rowOff>0</xdr:rowOff>
    </xdr:from>
    <xdr:ext cx="326243" cy="204671"/>
    <xdr:sp macro="" textlink="">
      <xdr:nvSpPr>
        <xdr:cNvPr id="1381" name="텍스트 21">
          <a:extLst>
            <a:ext uri="{FF2B5EF4-FFF2-40B4-BE49-F238E27FC236}">
              <a16:creationId xmlns:a16="http://schemas.microsoft.com/office/drawing/2014/main" id="{79D25518-B42A-4CF5-8816-DDA92E19FF99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287771" cy="204671"/>
    <xdr:sp macro="" textlink="">
      <xdr:nvSpPr>
        <xdr:cNvPr id="1382" name="텍스트 9">
          <a:extLst>
            <a:ext uri="{FF2B5EF4-FFF2-40B4-BE49-F238E27FC236}">
              <a16:creationId xmlns:a16="http://schemas.microsoft.com/office/drawing/2014/main" id="{7BED3DE2-EA36-4484-9C62-53C9890BA697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326243" cy="204671"/>
    <xdr:sp macro="" textlink="">
      <xdr:nvSpPr>
        <xdr:cNvPr id="1383" name="텍스트 11">
          <a:extLst>
            <a:ext uri="{FF2B5EF4-FFF2-40B4-BE49-F238E27FC236}">
              <a16:creationId xmlns:a16="http://schemas.microsoft.com/office/drawing/2014/main" id="{71F9930B-8DED-4CA4-90FC-06DD5737E59A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249299" cy="204671"/>
    <xdr:sp macro="" textlink="">
      <xdr:nvSpPr>
        <xdr:cNvPr id="1384" name="텍스트 13">
          <a:extLst>
            <a:ext uri="{FF2B5EF4-FFF2-40B4-BE49-F238E27FC236}">
              <a16:creationId xmlns:a16="http://schemas.microsoft.com/office/drawing/2014/main" id="{2646DB63-B9E9-4542-91AC-A5345B90BCF4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820511</xdr:colOff>
      <xdr:row>16</xdr:row>
      <xdr:rowOff>0</xdr:rowOff>
    </xdr:from>
    <xdr:ext cx="326243" cy="204671"/>
    <xdr:sp macro="" textlink="">
      <xdr:nvSpPr>
        <xdr:cNvPr id="1385" name="텍스트 15">
          <a:extLst>
            <a:ext uri="{FF2B5EF4-FFF2-40B4-BE49-F238E27FC236}">
              <a16:creationId xmlns:a16="http://schemas.microsoft.com/office/drawing/2014/main" id="{1C762AF8-9D49-4BF3-BF91-44AF09357A64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210827" cy="204671"/>
    <xdr:sp macro="" textlink="">
      <xdr:nvSpPr>
        <xdr:cNvPr id="1386" name="텍스트 1">
          <a:extLst>
            <a:ext uri="{FF2B5EF4-FFF2-40B4-BE49-F238E27FC236}">
              <a16:creationId xmlns:a16="http://schemas.microsoft.com/office/drawing/2014/main" id="{6E0DA824-288B-4C1F-B8C0-ABA32B31A90F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56939" cy="204671"/>
    <xdr:sp macro="" textlink="">
      <xdr:nvSpPr>
        <xdr:cNvPr id="1387" name="텍스트 2">
          <a:extLst>
            <a:ext uri="{FF2B5EF4-FFF2-40B4-BE49-F238E27FC236}">
              <a16:creationId xmlns:a16="http://schemas.microsoft.com/office/drawing/2014/main" id="{B42C8CF5-FC52-4011-9DBF-7ED966994E6D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388" name="텍스트 23">
          <a:extLst>
            <a:ext uri="{FF2B5EF4-FFF2-40B4-BE49-F238E27FC236}">
              <a16:creationId xmlns:a16="http://schemas.microsoft.com/office/drawing/2014/main" id="{24F630E7-4753-448F-B688-F3637C93FC91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389" name="텍스트 23">
          <a:extLst>
            <a:ext uri="{FF2B5EF4-FFF2-40B4-BE49-F238E27FC236}">
              <a16:creationId xmlns:a16="http://schemas.microsoft.com/office/drawing/2014/main" id="{79638B44-C911-45E6-9BCA-ECBC371210A9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210827" cy="204671"/>
    <xdr:sp macro="" textlink="">
      <xdr:nvSpPr>
        <xdr:cNvPr id="1390" name="텍스트 1">
          <a:extLst>
            <a:ext uri="{FF2B5EF4-FFF2-40B4-BE49-F238E27FC236}">
              <a16:creationId xmlns:a16="http://schemas.microsoft.com/office/drawing/2014/main" id="{40CD46FA-97F7-4690-8F31-53465493BA91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56939" cy="204671"/>
    <xdr:sp macro="" textlink="">
      <xdr:nvSpPr>
        <xdr:cNvPr id="1391" name="텍스트 2">
          <a:extLst>
            <a:ext uri="{FF2B5EF4-FFF2-40B4-BE49-F238E27FC236}">
              <a16:creationId xmlns:a16="http://schemas.microsoft.com/office/drawing/2014/main" id="{9660BF61-03DD-46E6-ACA7-6DE9B2F0217F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172355" cy="204671"/>
    <xdr:sp macro="" textlink="">
      <xdr:nvSpPr>
        <xdr:cNvPr id="1392" name="텍스트 3">
          <a:extLst>
            <a:ext uri="{FF2B5EF4-FFF2-40B4-BE49-F238E27FC236}">
              <a16:creationId xmlns:a16="http://schemas.microsoft.com/office/drawing/2014/main" id="{72A06E98-ED86-41E5-8A85-02513572BB3A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393" name="텍스트 4">
          <a:extLst>
            <a:ext uri="{FF2B5EF4-FFF2-40B4-BE49-F238E27FC236}">
              <a16:creationId xmlns:a16="http://schemas.microsoft.com/office/drawing/2014/main" id="{1437FDEF-C79B-4DFB-80E2-2EAF3FE8176E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394" name="텍스트 5">
          <a:extLst>
            <a:ext uri="{FF2B5EF4-FFF2-40B4-BE49-F238E27FC236}">
              <a16:creationId xmlns:a16="http://schemas.microsoft.com/office/drawing/2014/main" id="{EFDFC97F-24B6-4F97-8AA8-56628040E9F6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395" name="텍스트 6">
          <a:extLst>
            <a:ext uri="{FF2B5EF4-FFF2-40B4-BE49-F238E27FC236}">
              <a16:creationId xmlns:a16="http://schemas.microsoft.com/office/drawing/2014/main" id="{337D0C92-FB63-43D2-8CE5-BBE7FB6FE924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396" name="텍스트 7">
          <a:extLst>
            <a:ext uri="{FF2B5EF4-FFF2-40B4-BE49-F238E27FC236}">
              <a16:creationId xmlns:a16="http://schemas.microsoft.com/office/drawing/2014/main" id="{7303C768-4099-43C2-9E4D-B3AAAB30893B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397" name="텍스트 8">
          <a:extLst>
            <a:ext uri="{FF2B5EF4-FFF2-40B4-BE49-F238E27FC236}">
              <a16:creationId xmlns:a16="http://schemas.microsoft.com/office/drawing/2014/main" id="{F52069CD-C3FC-4F8F-B2E1-45A3287703FD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87771" cy="204671"/>
    <xdr:sp macro="" textlink="">
      <xdr:nvSpPr>
        <xdr:cNvPr id="1398" name="텍스트 9">
          <a:extLst>
            <a:ext uri="{FF2B5EF4-FFF2-40B4-BE49-F238E27FC236}">
              <a16:creationId xmlns:a16="http://schemas.microsoft.com/office/drawing/2014/main" id="{C777304A-0449-414F-AD43-C018E2D5D4FB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399" name="텍스트 10">
          <a:extLst>
            <a:ext uri="{FF2B5EF4-FFF2-40B4-BE49-F238E27FC236}">
              <a16:creationId xmlns:a16="http://schemas.microsoft.com/office/drawing/2014/main" id="{60941582-B57D-46F3-A2C8-6B8A9011AE35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400" name="텍스트 11">
          <a:extLst>
            <a:ext uri="{FF2B5EF4-FFF2-40B4-BE49-F238E27FC236}">
              <a16:creationId xmlns:a16="http://schemas.microsoft.com/office/drawing/2014/main" id="{5CB258FF-E66E-4189-819A-D586A41DA819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01" name="텍스트 12">
          <a:extLst>
            <a:ext uri="{FF2B5EF4-FFF2-40B4-BE49-F238E27FC236}">
              <a16:creationId xmlns:a16="http://schemas.microsoft.com/office/drawing/2014/main" id="{CEE0A5B0-C3C2-477E-BA1D-96898D7E7967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49299" cy="204671"/>
    <xdr:sp macro="" textlink="">
      <xdr:nvSpPr>
        <xdr:cNvPr id="1402" name="텍스트 13">
          <a:extLst>
            <a:ext uri="{FF2B5EF4-FFF2-40B4-BE49-F238E27FC236}">
              <a16:creationId xmlns:a16="http://schemas.microsoft.com/office/drawing/2014/main" id="{BE097676-3462-4EEF-9DDC-BAFA32213905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03" name="텍스트 14">
          <a:extLst>
            <a:ext uri="{FF2B5EF4-FFF2-40B4-BE49-F238E27FC236}">
              <a16:creationId xmlns:a16="http://schemas.microsoft.com/office/drawing/2014/main" id="{08C9FEB2-4ED1-4FB9-A384-0409DD442BEA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404" name="텍스트 15">
          <a:extLst>
            <a:ext uri="{FF2B5EF4-FFF2-40B4-BE49-F238E27FC236}">
              <a16:creationId xmlns:a16="http://schemas.microsoft.com/office/drawing/2014/main" id="{6C4F28C6-CAB4-4150-A885-E831A40AFF7E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05" name="텍스트 16">
          <a:extLst>
            <a:ext uri="{FF2B5EF4-FFF2-40B4-BE49-F238E27FC236}">
              <a16:creationId xmlns:a16="http://schemas.microsoft.com/office/drawing/2014/main" id="{641697D5-57C9-4117-81CE-E23096360411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406" name="텍스트 17">
          <a:extLst>
            <a:ext uri="{FF2B5EF4-FFF2-40B4-BE49-F238E27FC236}">
              <a16:creationId xmlns:a16="http://schemas.microsoft.com/office/drawing/2014/main" id="{1282E2D4-DB0C-4B3C-9842-77BA1797E207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07" name="텍스트 18">
          <a:extLst>
            <a:ext uri="{FF2B5EF4-FFF2-40B4-BE49-F238E27FC236}">
              <a16:creationId xmlns:a16="http://schemas.microsoft.com/office/drawing/2014/main" id="{4B769EEA-B51E-44E7-94F9-33E426A01BD0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08" name="텍스트 20">
          <a:extLst>
            <a:ext uri="{FF2B5EF4-FFF2-40B4-BE49-F238E27FC236}">
              <a16:creationId xmlns:a16="http://schemas.microsoft.com/office/drawing/2014/main" id="{8E0A57AF-1D86-4269-84F2-69D9823BD3B5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09" name="텍스트 22">
          <a:extLst>
            <a:ext uri="{FF2B5EF4-FFF2-40B4-BE49-F238E27FC236}">
              <a16:creationId xmlns:a16="http://schemas.microsoft.com/office/drawing/2014/main" id="{93518092-CB65-4D0F-BD51-7F2D4343DBE5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410" name="텍스트 23">
          <a:extLst>
            <a:ext uri="{FF2B5EF4-FFF2-40B4-BE49-F238E27FC236}">
              <a16:creationId xmlns:a16="http://schemas.microsoft.com/office/drawing/2014/main" id="{EBFA3357-B825-44E9-B924-BADE10027BF4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87771" cy="204671"/>
    <xdr:sp macro="" textlink="">
      <xdr:nvSpPr>
        <xdr:cNvPr id="1411" name="텍스트 9">
          <a:extLst>
            <a:ext uri="{FF2B5EF4-FFF2-40B4-BE49-F238E27FC236}">
              <a16:creationId xmlns:a16="http://schemas.microsoft.com/office/drawing/2014/main" id="{3C2F6DF5-84A3-4AD5-B82D-896094F4ACCD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12" name="텍스트 10">
          <a:extLst>
            <a:ext uri="{FF2B5EF4-FFF2-40B4-BE49-F238E27FC236}">
              <a16:creationId xmlns:a16="http://schemas.microsoft.com/office/drawing/2014/main" id="{CE018FA9-47AA-40EC-AED6-A3F0182331C6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413" name="텍스트 11">
          <a:extLst>
            <a:ext uri="{FF2B5EF4-FFF2-40B4-BE49-F238E27FC236}">
              <a16:creationId xmlns:a16="http://schemas.microsoft.com/office/drawing/2014/main" id="{21E32A94-4E19-416E-9E9A-02D8C780A821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14" name="텍스트 12">
          <a:extLst>
            <a:ext uri="{FF2B5EF4-FFF2-40B4-BE49-F238E27FC236}">
              <a16:creationId xmlns:a16="http://schemas.microsoft.com/office/drawing/2014/main" id="{EA4346CB-1A9C-4BA8-B9CF-9781114CC988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49299" cy="204671"/>
    <xdr:sp macro="" textlink="">
      <xdr:nvSpPr>
        <xdr:cNvPr id="1415" name="텍스트 13">
          <a:extLst>
            <a:ext uri="{FF2B5EF4-FFF2-40B4-BE49-F238E27FC236}">
              <a16:creationId xmlns:a16="http://schemas.microsoft.com/office/drawing/2014/main" id="{65326C64-0CED-46BE-B4E2-321FF58763E1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16" name="텍스트 14">
          <a:extLst>
            <a:ext uri="{FF2B5EF4-FFF2-40B4-BE49-F238E27FC236}">
              <a16:creationId xmlns:a16="http://schemas.microsoft.com/office/drawing/2014/main" id="{6E2926C5-CB63-463B-B475-312C451CDFC8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417" name="텍스트 15">
          <a:extLst>
            <a:ext uri="{FF2B5EF4-FFF2-40B4-BE49-F238E27FC236}">
              <a16:creationId xmlns:a16="http://schemas.microsoft.com/office/drawing/2014/main" id="{9194BC3D-2F0C-43B5-AD97-8C7528225B21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18" name="텍스트 16">
          <a:extLst>
            <a:ext uri="{FF2B5EF4-FFF2-40B4-BE49-F238E27FC236}">
              <a16:creationId xmlns:a16="http://schemas.microsoft.com/office/drawing/2014/main" id="{DA72E6B8-C1F8-41A0-822A-57E5FE150BD2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172355" cy="204671"/>
    <xdr:sp macro="" textlink="">
      <xdr:nvSpPr>
        <xdr:cNvPr id="1419" name="텍스트 3">
          <a:extLst>
            <a:ext uri="{FF2B5EF4-FFF2-40B4-BE49-F238E27FC236}">
              <a16:creationId xmlns:a16="http://schemas.microsoft.com/office/drawing/2014/main" id="{2A0B5C31-FC62-4C18-BF48-0C80D7320EEF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20" name="텍스트 4">
          <a:extLst>
            <a:ext uri="{FF2B5EF4-FFF2-40B4-BE49-F238E27FC236}">
              <a16:creationId xmlns:a16="http://schemas.microsoft.com/office/drawing/2014/main" id="{D202E9D2-2CED-4404-A38B-7F95EE8D67EE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421" name="텍스트 5">
          <a:extLst>
            <a:ext uri="{FF2B5EF4-FFF2-40B4-BE49-F238E27FC236}">
              <a16:creationId xmlns:a16="http://schemas.microsoft.com/office/drawing/2014/main" id="{8E020857-0329-4B7D-A00F-950C9D104659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22" name="텍스트 6">
          <a:extLst>
            <a:ext uri="{FF2B5EF4-FFF2-40B4-BE49-F238E27FC236}">
              <a16:creationId xmlns:a16="http://schemas.microsoft.com/office/drawing/2014/main" id="{6D39A095-3E9E-46D2-AAB8-28C8BF8A20A7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423" name="텍스트 7">
          <a:extLst>
            <a:ext uri="{FF2B5EF4-FFF2-40B4-BE49-F238E27FC236}">
              <a16:creationId xmlns:a16="http://schemas.microsoft.com/office/drawing/2014/main" id="{12900A37-91F8-4898-9753-F970E01B5065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24" name="텍스트 8">
          <a:extLst>
            <a:ext uri="{FF2B5EF4-FFF2-40B4-BE49-F238E27FC236}">
              <a16:creationId xmlns:a16="http://schemas.microsoft.com/office/drawing/2014/main" id="{F6370B9A-A4FF-44FF-B90F-C2F11BAAA6B2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425" name="텍스트 17">
          <a:extLst>
            <a:ext uri="{FF2B5EF4-FFF2-40B4-BE49-F238E27FC236}">
              <a16:creationId xmlns:a16="http://schemas.microsoft.com/office/drawing/2014/main" id="{955F45D8-3F05-4F87-B41A-84FAE71C0DA1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26" name="텍스트 18">
          <a:extLst>
            <a:ext uri="{FF2B5EF4-FFF2-40B4-BE49-F238E27FC236}">
              <a16:creationId xmlns:a16="http://schemas.microsoft.com/office/drawing/2014/main" id="{D026B6B6-ED09-4E1A-8255-C21B74FCEC70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27" name="텍스트 20">
          <a:extLst>
            <a:ext uri="{FF2B5EF4-FFF2-40B4-BE49-F238E27FC236}">
              <a16:creationId xmlns:a16="http://schemas.microsoft.com/office/drawing/2014/main" id="{D75DD7F4-A38E-44C6-ADE5-B610E3EA4CE5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28" name="텍스트 22">
          <a:extLst>
            <a:ext uri="{FF2B5EF4-FFF2-40B4-BE49-F238E27FC236}">
              <a16:creationId xmlns:a16="http://schemas.microsoft.com/office/drawing/2014/main" id="{A0CE321A-8603-4311-B240-FEADBD6AD009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87771" cy="204671"/>
    <xdr:sp macro="" textlink="">
      <xdr:nvSpPr>
        <xdr:cNvPr id="1429" name="텍스트 9">
          <a:extLst>
            <a:ext uri="{FF2B5EF4-FFF2-40B4-BE49-F238E27FC236}">
              <a16:creationId xmlns:a16="http://schemas.microsoft.com/office/drawing/2014/main" id="{BA38DF95-DDD3-42E2-8811-98773AE651E9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30" name="텍스트 10">
          <a:extLst>
            <a:ext uri="{FF2B5EF4-FFF2-40B4-BE49-F238E27FC236}">
              <a16:creationId xmlns:a16="http://schemas.microsoft.com/office/drawing/2014/main" id="{365FBAD8-2299-4043-A59F-9E69CC8ED5C3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431" name="텍스트 11">
          <a:extLst>
            <a:ext uri="{FF2B5EF4-FFF2-40B4-BE49-F238E27FC236}">
              <a16:creationId xmlns:a16="http://schemas.microsoft.com/office/drawing/2014/main" id="{3BE745EB-6622-4D6B-8D07-08815F4CD987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32" name="텍스트 12">
          <a:extLst>
            <a:ext uri="{FF2B5EF4-FFF2-40B4-BE49-F238E27FC236}">
              <a16:creationId xmlns:a16="http://schemas.microsoft.com/office/drawing/2014/main" id="{3095CF5C-EE43-4061-B40D-EFC52613D03B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49299" cy="204671"/>
    <xdr:sp macro="" textlink="">
      <xdr:nvSpPr>
        <xdr:cNvPr id="1433" name="텍스트 13">
          <a:extLst>
            <a:ext uri="{FF2B5EF4-FFF2-40B4-BE49-F238E27FC236}">
              <a16:creationId xmlns:a16="http://schemas.microsoft.com/office/drawing/2014/main" id="{5AF340E0-DD48-42B6-8F35-0606C713F11D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34" name="텍스트 14">
          <a:extLst>
            <a:ext uri="{FF2B5EF4-FFF2-40B4-BE49-F238E27FC236}">
              <a16:creationId xmlns:a16="http://schemas.microsoft.com/office/drawing/2014/main" id="{4E1F1B71-4CFD-4688-99C8-3277C4288B82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435" name="텍스트 15">
          <a:extLst>
            <a:ext uri="{FF2B5EF4-FFF2-40B4-BE49-F238E27FC236}">
              <a16:creationId xmlns:a16="http://schemas.microsoft.com/office/drawing/2014/main" id="{7E8BD413-E545-4FB6-983D-0242DE71C3F5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36" name="텍스트 16">
          <a:extLst>
            <a:ext uri="{FF2B5EF4-FFF2-40B4-BE49-F238E27FC236}">
              <a16:creationId xmlns:a16="http://schemas.microsoft.com/office/drawing/2014/main" id="{3D29DB29-8BAE-4BCB-8CAB-22234D571E64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87771" cy="204671"/>
    <xdr:sp macro="" textlink="">
      <xdr:nvSpPr>
        <xdr:cNvPr id="1437" name="텍스트 9">
          <a:extLst>
            <a:ext uri="{FF2B5EF4-FFF2-40B4-BE49-F238E27FC236}">
              <a16:creationId xmlns:a16="http://schemas.microsoft.com/office/drawing/2014/main" id="{D01433D7-5BD4-4C77-832B-BB9570B7E236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38" name="텍스트 10">
          <a:extLst>
            <a:ext uri="{FF2B5EF4-FFF2-40B4-BE49-F238E27FC236}">
              <a16:creationId xmlns:a16="http://schemas.microsoft.com/office/drawing/2014/main" id="{E2B68E4C-87C9-43C0-9F05-A33B7F5F2FDD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439" name="텍스트 11">
          <a:extLst>
            <a:ext uri="{FF2B5EF4-FFF2-40B4-BE49-F238E27FC236}">
              <a16:creationId xmlns:a16="http://schemas.microsoft.com/office/drawing/2014/main" id="{DFDE3769-293B-42F5-B2B9-343E802886F7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40" name="텍스트 12">
          <a:extLst>
            <a:ext uri="{FF2B5EF4-FFF2-40B4-BE49-F238E27FC236}">
              <a16:creationId xmlns:a16="http://schemas.microsoft.com/office/drawing/2014/main" id="{EEB68110-2323-4922-855C-13C2A9D7484C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49299" cy="204671"/>
    <xdr:sp macro="" textlink="">
      <xdr:nvSpPr>
        <xdr:cNvPr id="1441" name="텍스트 13">
          <a:extLst>
            <a:ext uri="{FF2B5EF4-FFF2-40B4-BE49-F238E27FC236}">
              <a16:creationId xmlns:a16="http://schemas.microsoft.com/office/drawing/2014/main" id="{5507F629-91BB-4E4E-985F-F743CA59A030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42" name="텍스트 14">
          <a:extLst>
            <a:ext uri="{FF2B5EF4-FFF2-40B4-BE49-F238E27FC236}">
              <a16:creationId xmlns:a16="http://schemas.microsoft.com/office/drawing/2014/main" id="{C000F63C-5EB5-4D96-B938-83673600F069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443" name="텍스트 15">
          <a:extLst>
            <a:ext uri="{FF2B5EF4-FFF2-40B4-BE49-F238E27FC236}">
              <a16:creationId xmlns:a16="http://schemas.microsoft.com/office/drawing/2014/main" id="{6A781CC5-13F4-4180-93BA-3C90F25D354E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44" name="텍스트 16">
          <a:extLst>
            <a:ext uri="{FF2B5EF4-FFF2-40B4-BE49-F238E27FC236}">
              <a16:creationId xmlns:a16="http://schemas.microsoft.com/office/drawing/2014/main" id="{070A466B-18E1-4F33-BA89-D96DDD5CA27B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210827" cy="204671"/>
    <xdr:sp macro="" textlink="">
      <xdr:nvSpPr>
        <xdr:cNvPr id="1445" name="텍스트 1">
          <a:extLst>
            <a:ext uri="{FF2B5EF4-FFF2-40B4-BE49-F238E27FC236}">
              <a16:creationId xmlns:a16="http://schemas.microsoft.com/office/drawing/2014/main" id="{F6A8843F-9039-4E13-A67B-13C9EB0C6E4C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12</xdr:row>
      <xdr:rowOff>0</xdr:rowOff>
    </xdr:from>
    <xdr:ext cx="56939" cy="204671"/>
    <xdr:sp macro="" textlink="">
      <xdr:nvSpPr>
        <xdr:cNvPr id="1446" name="텍스트 2">
          <a:extLst>
            <a:ext uri="{FF2B5EF4-FFF2-40B4-BE49-F238E27FC236}">
              <a16:creationId xmlns:a16="http://schemas.microsoft.com/office/drawing/2014/main" id="{E3B81305-4143-4C4A-A91D-A8F3302E2CE4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172355" cy="204671"/>
    <xdr:sp macro="" textlink="">
      <xdr:nvSpPr>
        <xdr:cNvPr id="1447" name="텍스트 3">
          <a:extLst>
            <a:ext uri="{FF2B5EF4-FFF2-40B4-BE49-F238E27FC236}">
              <a16:creationId xmlns:a16="http://schemas.microsoft.com/office/drawing/2014/main" id="{4A3004E8-661E-4F99-9DDF-AAF2F9CCE461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48" name="텍스트 4">
          <a:extLst>
            <a:ext uri="{FF2B5EF4-FFF2-40B4-BE49-F238E27FC236}">
              <a16:creationId xmlns:a16="http://schemas.microsoft.com/office/drawing/2014/main" id="{135F9574-925D-4B18-B2F1-BC29D581E947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449" name="텍스트 5">
          <a:extLst>
            <a:ext uri="{FF2B5EF4-FFF2-40B4-BE49-F238E27FC236}">
              <a16:creationId xmlns:a16="http://schemas.microsoft.com/office/drawing/2014/main" id="{83D94059-37B3-407C-912C-F2E41B25E3CB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50" name="텍스트 6">
          <a:extLst>
            <a:ext uri="{FF2B5EF4-FFF2-40B4-BE49-F238E27FC236}">
              <a16:creationId xmlns:a16="http://schemas.microsoft.com/office/drawing/2014/main" id="{C5ED580A-9AA3-4338-93A5-26E16DA64DB5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451" name="텍스트 7">
          <a:extLst>
            <a:ext uri="{FF2B5EF4-FFF2-40B4-BE49-F238E27FC236}">
              <a16:creationId xmlns:a16="http://schemas.microsoft.com/office/drawing/2014/main" id="{583B4D9B-9563-448A-9E33-4DDD063E955C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52" name="텍스트 8">
          <a:extLst>
            <a:ext uri="{FF2B5EF4-FFF2-40B4-BE49-F238E27FC236}">
              <a16:creationId xmlns:a16="http://schemas.microsoft.com/office/drawing/2014/main" id="{9D5789A2-83C8-4164-8882-6FAFB374DD53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87771" cy="204671"/>
    <xdr:sp macro="" textlink="">
      <xdr:nvSpPr>
        <xdr:cNvPr id="1453" name="텍스트 9">
          <a:extLst>
            <a:ext uri="{FF2B5EF4-FFF2-40B4-BE49-F238E27FC236}">
              <a16:creationId xmlns:a16="http://schemas.microsoft.com/office/drawing/2014/main" id="{851E3B44-0954-4D36-AE8E-C6ED74F1A83A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54" name="텍스트 10">
          <a:extLst>
            <a:ext uri="{FF2B5EF4-FFF2-40B4-BE49-F238E27FC236}">
              <a16:creationId xmlns:a16="http://schemas.microsoft.com/office/drawing/2014/main" id="{4E5CC32E-45AC-4B45-96AB-9B047D72C4D1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455" name="텍스트 11">
          <a:extLst>
            <a:ext uri="{FF2B5EF4-FFF2-40B4-BE49-F238E27FC236}">
              <a16:creationId xmlns:a16="http://schemas.microsoft.com/office/drawing/2014/main" id="{5411020B-F57D-465E-9895-0ED02C6CCDA9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56" name="텍스트 12">
          <a:extLst>
            <a:ext uri="{FF2B5EF4-FFF2-40B4-BE49-F238E27FC236}">
              <a16:creationId xmlns:a16="http://schemas.microsoft.com/office/drawing/2014/main" id="{2DDC1552-2E25-4690-8DE9-1D7DDC6BB7BC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49299" cy="204671"/>
    <xdr:sp macro="" textlink="">
      <xdr:nvSpPr>
        <xdr:cNvPr id="1457" name="텍스트 13">
          <a:extLst>
            <a:ext uri="{FF2B5EF4-FFF2-40B4-BE49-F238E27FC236}">
              <a16:creationId xmlns:a16="http://schemas.microsoft.com/office/drawing/2014/main" id="{97E3BD11-0CAC-4A9E-9503-5F59322BF583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58" name="텍스트 14">
          <a:extLst>
            <a:ext uri="{FF2B5EF4-FFF2-40B4-BE49-F238E27FC236}">
              <a16:creationId xmlns:a16="http://schemas.microsoft.com/office/drawing/2014/main" id="{03DBCBA2-D74A-49CB-BCEB-FAA9FB35F55C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459" name="텍스트 15">
          <a:extLst>
            <a:ext uri="{FF2B5EF4-FFF2-40B4-BE49-F238E27FC236}">
              <a16:creationId xmlns:a16="http://schemas.microsoft.com/office/drawing/2014/main" id="{3811FBDB-FE92-407D-A466-721139F86698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60" name="텍스트 16">
          <a:extLst>
            <a:ext uri="{FF2B5EF4-FFF2-40B4-BE49-F238E27FC236}">
              <a16:creationId xmlns:a16="http://schemas.microsoft.com/office/drawing/2014/main" id="{3114BB95-2F66-4F5B-A9FA-BB390B1FACDB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461" name="텍스트 17">
          <a:extLst>
            <a:ext uri="{FF2B5EF4-FFF2-40B4-BE49-F238E27FC236}">
              <a16:creationId xmlns:a16="http://schemas.microsoft.com/office/drawing/2014/main" id="{1DAC13AE-3E33-4DEA-B7EE-E8A4BB31F416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62" name="텍스트 18">
          <a:extLst>
            <a:ext uri="{FF2B5EF4-FFF2-40B4-BE49-F238E27FC236}">
              <a16:creationId xmlns:a16="http://schemas.microsoft.com/office/drawing/2014/main" id="{C15B44B1-9A51-469F-8644-95865F15E656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63" name="텍스트 20">
          <a:extLst>
            <a:ext uri="{FF2B5EF4-FFF2-40B4-BE49-F238E27FC236}">
              <a16:creationId xmlns:a16="http://schemas.microsoft.com/office/drawing/2014/main" id="{F4962DF4-AA91-4F8D-BE29-D66256C6CD46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64" name="텍스트 22">
          <a:extLst>
            <a:ext uri="{FF2B5EF4-FFF2-40B4-BE49-F238E27FC236}">
              <a16:creationId xmlns:a16="http://schemas.microsoft.com/office/drawing/2014/main" id="{FF957F59-23C1-479E-AA71-1B3FB863BA60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465" name="텍스트 23">
          <a:extLst>
            <a:ext uri="{FF2B5EF4-FFF2-40B4-BE49-F238E27FC236}">
              <a16:creationId xmlns:a16="http://schemas.microsoft.com/office/drawing/2014/main" id="{89773626-E99A-4411-8944-76A7C04E9368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87771" cy="204671"/>
    <xdr:sp macro="" textlink="">
      <xdr:nvSpPr>
        <xdr:cNvPr id="1466" name="텍스트 9">
          <a:extLst>
            <a:ext uri="{FF2B5EF4-FFF2-40B4-BE49-F238E27FC236}">
              <a16:creationId xmlns:a16="http://schemas.microsoft.com/office/drawing/2014/main" id="{7C39E044-8138-4BD3-A975-A6C97FCE53F7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67" name="텍스트 10">
          <a:extLst>
            <a:ext uri="{FF2B5EF4-FFF2-40B4-BE49-F238E27FC236}">
              <a16:creationId xmlns:a16="http://schemas.microsoft.com/office/drawing/2014/main" id="{4CD03C7E-570F-4692-954D-E2C25A4916F2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468" name="텍스트 11">
          <a:extLst>
            <a:ext uri="{FF2B5EF4-FFF2-40B4-BE49-F238E27FC236}">
              <a16:creationId xmlns:a16="http://schemas.microsoft.com/office/drawing/2014/main" id="{B46EE981-FEE4-4334-BA84-1F5785A352FE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69" name="텍스트 12">
          <a:extLst>
            <a:ext uri="{FF2B5EF4-FFF2-40B4-BE49-F238E27FC236}">
              <a16:creationId xmlns:a16="http://schemas.microsoft.com/office/drawing/2014/main" id="{18AC252C-2CC8-41F6-9604-899D2058FB23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49299" cy="204671"/>
    <xdr:sp macro="" textlink="">
      <xdr:nvSpPr>
        <xdr:cNvPr id="1470" name="텍스트 13">
          <a:extLst>
            <a:ext uri="{FF2B5EF4-FFF2-40B4-BE49-F238E27FC236}">
              <a16:creationId xmlns:a16="http://schemas.microsoft.com/office/drawing/2014/main" id="{87CCEBC9-DD2C-4953-A941-9FA71A5B29B1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71" name="텍스트 14">
          <a:extLst>
            <a:ext uri="{FF2B5EF4-FFF2-40B4-BE49-F238E27FC236}">
              <a16:creationId xmlns:a16="http://schemas.microsoft.com/office/drawing/2014/main" id="{B1945B39-680C-44F7-B8FB-4CC9FE87F4A1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472" name="텍스트 15">
          <a:extLst>
            <a:ext uri="{FF2B5EF4-FFF2-40B4-BE49-F238E27FC236}">
              <a16:creationId xmlns:a16="http://schemas.microsoft.com/office/drawing/2014/main" id="{6F80EA01-A9A6-4CE8-B1F3-8C066DB01073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473" name="텍스트 16">
          <a:extLst>
            <a:ext uri="{FF2B5EF4-FFF2-40B4-BE49-F238E27FC236}">
              <a16:creationId xmlns:a16="http://schemas.microsoft.com/office/drawing/2014/main" id="{2F95455D-65F2-4C61-801D-06BE25626498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287771" cy="204671"/>
    <xdr:sp macro="" textlink="">
      <xdr:nvSpPr>
        <xdr:cNvPr id="1474" name="텍스트 9">
          <a:extLst>
            <a:ext uri="{FF2B5EF4-FFF2-40B4-BE49-F238E27FC236}">
              <a16:creationId xmlns:a16="http://schemas.microsoft.com/office/drawing/2014/main" id="{D7F50285-E050-497B-9723-85650AD4979E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56939" cy="204671"/>
    <xdr:sp macro="" textlink="">
      <xdr:nvSpPr>
        <xdr:cNvPr id="1475" name="텍스트 10">
          <a:extLst>
            <a:ext uri="{FF2B5EF4-FFF2-40B4-BE49-F238E27FC236}">
              <a16:creationId xmlns:a16="http://schemas.microsoft.com/office/drawing/2014/main" id="{4E59F0ED-D808-4909-A04E-45BEF8B02BB0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326243" cy="204671"/>
    <xdr:sp macro="" textlink="">
      <xdr:nvSpPr>
        <xdr:cNvPr id="1476" name="텍스트 11">
          <a:extLst>
            <a:ext uri="{FF2B5EF4-FFF2-40B4-BE49-F238E27FC236}">
              <a16:creationId xmlns:a16="http://schemas.microsoft.com/office/drawing/2014/main" id="{4356C484-D45A-4D0E-AAC4-7368FBBE9BD3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56939" cy="204671"/>
    <xdr:sp macro="" textlink="">
      <xdr:nvSpPr>
        <xdr:cNvPr id="1477" name="텍스트 12">
          <a:extLst>
            <a:ext uri="{FF2B5EF4-FFF2-40B4-BE49-F238E27FC236}">
              <a16:creationId xmlns:a16="http://schemas.microsoft.com/office/drawing/2014/main" id="{CA8085E0-8B6F-4BFF-876B-B97F82A0264F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249299" cy="204671"/>
    <xdr:sp macro="" textlink="">
      <xdr:nvSpPr>
        <xdr:cNvPr id="1478" name="텍스트 13">
          <a:extLst>
            <a:ext uri="{FF2B5EF4-FFF2-40B4-BE49-F238E27FC236}">
              <a16:creationId xmlns:a16="http://schemas.microsoft.com/office/drawing/2014/main" id="{F17A0906-F8C7-453C-8B56-583E8259CB63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56939" cy="204671"/>
    <xdr:sp macro="" textlink="">
      <xdr:nvSpPr>
        <xdr:cNvPr id="1479" name="텍스트 14">
          <a:extLst>
            <a:ext uri="{FF2B5EF4-FFF2-40B4-BE49-F238E27FC236}">
              <a16:creationId xmlns:a16="http://schemas.microsoft.com/office/drawing/2014/main" id="{4467FD45-D59E-4D59-B2CE-AD3A1634C039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326243" cy="204671"/>
    <xdr:sp macro="" textlink="">
      <xdr:nvSpPr>
        <xdr:cNvPr id="1480" name="텍스트 15">
          <a:extLst>
            <a:ext uri="{FF2B5EF4-FFF2-40B4-BE49-F238E27FC236}">
              <a16:creationId xmlns:a16="http://schemas.microsoft.com/office/drawing/2014/main" id="{ACA159F1-DB61-4BDD-88D7-BB2FECCACB30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172355" cy="204671"/>
    <xdr:sp macro="" textlink="">
      <xdr:nvSpPr>
        <xdr:cNvPr id="1481" name="텍스트 3">
          <a:extLst>
            <a:ext uri="{FF2B5EF4-FFF2-40B4-BE49-F238E27FC236}">
              <a16:creationId xmlns:a16="http://schemas.microsoft.com/office/drawing/2014/main" id="{FCE1153E-086B-4DDD-8049-D7789A9407DD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482" name="텍스트 4">
          <a:extLst>
            <a:ext uri="{FF2B5EF4-FFF2-40B4-BE49-F238E27FC236}">
              <a16:creationId xmlns:a16="http://schemas.microsoft.com/office/drawing/2014/main" id="{6134F53D-B197-4B1F-A86E-CF13A25E265C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483" name="텍스트 5">
          <a:extLst>
            <a:ext uri="{FF2B5EF4-FFF2-40B4-BE49-F238E27FC236}">
              <a16:creationId xmlns:a16="http://schemas.microsoft.com/office/drawing/2014/main" id="{9B917F5D-E8A3-4EC4-8DB8-5D09C2835D19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484" name="텍스트 6">
          <a:extLst>
            <a:ext uri="{FF2B5EF4-FFF2-40B4-BE49-F238E27FC236}">
              <a16:creationId xmlns:a16="http://schemas.microsoft.com/office/drawing/2014/main" id="{F5CDB1AD-E669-42B3-AA50-BE084049D9BF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485" name="텍스트 7">
          <a:extLst>
            <a:ext uri="{FF2B5EF4-FFF2-40B4-BE49-F238E27FC236}">
              <a16:creationId xmlns:a16="http://schemas.microsoft.com/office/drawing/2014/main" id="{E059D220-DA51-470A-94F0-608EB5E8688B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486" name="텍스트 8">
          <a:extLst>
            <a:ext uri="{FF2B5EF4-FFF2-40B4-BE49-F238E27FC236}">
              <a16:creationId xmlns:a16="http://schemas.microsoft.com/office/drawing/2014/main" id="{0445C5DD-6056-4BA2-928A-314FCF149583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487" name="텍스트 17">
          <a:extLst>
            <a:ext uri="{FF2B5EF4-FFF2-40B4-BE49-F238E27FC236}">
              <a16:creationId xmlns:a16="http://schemas.microsoft.com/office/drawing/2014/main" id="{DF6EB1E1-8249-489A-ABC6-9AB4C37A3D4D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488" name="텍스트 18">
          <a:extLst>
            <a:ext uri="{FF2B5EF4-FFF2-40B4-BE49-F238E27FC236}">
              <a16:creationId xmlns:a16="http://schemas.microsoft.com/office/drawing/2014/main" id="{710EB526-2CC4-4BCC-832A-80D5C0108E0E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441659" cy="204671"/>
    <xdr:sp macro="" textlink="">
      <xdr:nvSpPr>
        <xdr:cNvPr id="1489" name="텍스트 19">
          <a:extLst>
            <a:ext uri="{FF2B5EF4-FFF2-40B4-BE49-F238E27FC236}">
              <a16:creationId xmlns:a16="http://schemas.microsoft.com/office/drawing/2014/main" id="{7419292C-ECC8-445D-9E50-BC71D8E4D1A3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490" name="텍스트 20">
          <a:extLst>
            <a:ext uri="{FF2B5EF4-FFF2-40B4-BE49-F238E27FC236}">
              <a16:creationId xmlns:a16="http://schemas.microsoft.com/office/drawing/2014/main" id="{28E9401D-45DF-4B07-A854-1B11DD80A2B5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326243" cy="204671"/>
    <xdr:sp macro="" textlink="">
      <xdr:nvSpPr>
        <xdr:cNvPr id="1491" name="텍스트 21">
          <a:extLst>
            <a:ext uri="{FF2B5EF4-FFF2-40B4-BE49-F238E27FC236}">
              <a16:creationId xmlns:a16="http://schemas.microsoft.com/office/drawing/2014/main" id="{F01C46DB-EA70-45A6-B122-D4CE320105B0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492" name="텍스트 22">
          <a:extLst>
            <a:ext uri="{FF2B5EF4-FFF2-40B4-BE49-F238E27FC236}">
              <a16:creationId xmlns:a16="http://schemas.microsoft.com/office/drawing/2014/main" id="{52825F30-0141-4ECE-9B56-B90BCA34D5C0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172355" cy="204671"/>
    <xdr:sp macro="" textlink="">
      <xdr:nvSpPr>
        <xdr:cNvPr id="1493" name="텍스트 3">
          <a:extLst>
            <a:ext uri="{FF2B5EF4-FFF2-40B4-BE49-F238E27FC236}">
              <a16:creationId xmlns:a16="http://schemas.microsoft.com/office/drawing/2014/main" id="{C20DFFAE-7FCB-4633-AAD0-D2933031999D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94" name="텍스트 4">
          <a:extLst>
            <a:ext uri="{FF2B5EF4-FFF2-40B4-BE49-F238E27FC236}">
              <a16:creationId xmlns:a16="http://schemas.microsoft.com/office/drawing/2014/main" id="{83C7E6D9-17C9-4788-8E19-5AB4F141B7FB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495" name="텍스트 5">
          <a:extLst>
            <a:ext uri="{FF2B5EF4-FFF2-40B4-BE49-F238E27FC236}">
              <a16:creationId xmlns:a16="http://schemas.microsoft.com/office/drawing/2014/main" id="{ABDFDF8B-747F-4723-8F5A-A129EE9EDD32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96" name="텍스트 6">
          <a:extLst>
            <a:ext uri="{FF2B5EF4-FFF2-40B4-BE49-F238E27FC236}">
              <a16:creationId xmlns:a16="http://schemas.microsoft.com/office/drawing/2014/main" id="{5D51A9DA-498F-4C5C-A141-C4473040524B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497" name="텍스트 7">
          <a:extLst>
            <a:ext uri="{FF2B5EF4-FFF2-40B4-BE49-F238E27FC236}">
              <a16:creationId xmlns:a16="http://schemas.microsoft.com/office/drawing/2014/main" id="{ED3C17ED-92E8-49D8-BB93-BF05F75E396D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498" name="텍스트 8">
          <a:extLst>
            <a:ext uri="{FF2B5EF4-FFF2-40B4-BE49-F238E27FC236}">
              <a16:creationId xmlns:a16="http://schemas.microsoft.com/office/drawing/2014/main" id="{ACF3BD51-C01D-4B51-BEE0-08C3FAA28844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249299" cy="204671"/>
    <xdr:sp macro="" textlink="">
      <xdr:nvSpPr>
        <xdr:cNvPr id="1499" name="텍스트 17">
          <a:extLst>
            <a:ext uri="{FF2B5EF4-FFF2-40B4-BE49-F238E27FC236}">
              <a16:creationId xmlns:a16="http://schemas.microsoft.com/office/drawing/2014/main" id="{9B80E68F-01E1-482C-8200-5E487936B021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500" name="텍스트 18">
          <a:extLst>
            <a:ext uri="{FF2B5EF4-FFF2-40B4-BE49-F238E27FC236}">
              <a16:creationId xmlns:a16="http://schemas.microsoft.com/office/drawing/2014/main" id="{9CD48D8F-9D26-4E6B-9966-14A6E6615E03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501" name="텍스트 20">
          <a:extLst>
            <a:ext uri="{FF2B5EF4-FFF2-40B4-BE49-F238E27FC236}">
              <a16:creationId xmlns:a16="http://schemas.microsoft.com/office/drawing/2014/main" id="{C824CA98-F3D1-42F2-BF26-3131DA345C18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15</xdr:row>
      <xdr:rowOff>0</xdr:rowOff>
    </xdr:from>
    <xdr:ext cx="56939" cy="204671"/>
    <xdr:sp macro="" textlink="">
      <xdr:nvSpPr>
        <xdr:cNvPr id="1502" name="텍스트 22">
          <a:extLst>
            <a:ext uri="{FF2B5EF4-FFF2-40B4-BE49-F238E27FC236}">
              <a16:creationId xmlns:a16="http://schemas.microsoft.com/office/drawing/2014/main" id="{1D7B5FFD-877C-4AD8-B619-A331B702076E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172355" cy="204671"/>
    <xdr:sp macro="" textlink="">
      <xdr:nvSpPr>
        <xdr:cNvPr id="1503" name="텍스트 3">
          <a:extLst>
            <a:ext uri="{FF2B5EF4-FFF2-40B4-BE49-F238E27FC236}">
              <a16:creationId xmlns:a16="http://schemas.microsoft.com/office/drawing/2014/main" id="{6E7A04D0-2E22-4574-853F-91E62A492DCC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504" name="텍스트 4">
          <a:extLst>
            <a:ext uri="{FF2B5EF4-FFF2-40B4-BE49-F238E27FC236}">
              <a16:creationId xmlns:a16="http://schemas.microsoft.com/office/drawing/2014/main" id="{60C96A78-9277-4E6D-9CB4-C6281D244C64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05" name="텍스트 5">
          <a:extLst>
            <a:ext uri="{FF2B5EF4-FFF2-40B4-BE49-F238E27FC236}">
              <a16:creationId xmlns:a16="http://schemas.microsoft.com/office/drawing/2014/main" id="{96EB424C-ECB2-4190-AAD8-6635B3D21390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506" name="텍스트 6">
          <a:extLst>
            <a:ext uri="{FF2B5EF4-FFF2-40B4-BE49-F238E27FC236}">
              <a16:creationId xmlns:a16="http://schemas.microsoft.com/office/drawing/2014/main" id="{B63989AA-0809-4743-B88C-F9E54275D0A3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07" name="텍스트 7">
          <a:extLst>
            <a:ext uri="{FF2B5EF4-FFF2-40B4-BE49-F238E27FC236}">
              <a16:creationId xmlns:a16="http://schemas.microsoft.com/office/drawing/2014/main" id="{677D1BC9-14CD-4EA4-8CFC-538547646434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508" name="텍스트 8">
          <a:extLst>
            <a:ext uri="{FF2B5EF4-FFF2-40B4-BE49-F238E27FC236}">
              <a16:creationId xmlns:a16="http://schemas.microsoft.com/office/drawing/2014/main" id="{456244B6-F6EF-4ED5-8A46-0909A97FB197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09" name="텍스트 17">
          <a:extLst>
            <a:ext uri="{FF2B5EF4-FFF2-40B4-BE49-F238E27FC236}">
              <a16:creationId xmlns:a16="http://schemas.microsoft.com/office/drawing/2014/main" id="{D735853F-7C16-4D18-8238-3F3B0206C700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510" name="텍스트 18">
          <a:extLst>
            <a:ext uri="{FF2B5EF4-FFF2-40B4-BE49-F238E27FC236}">
              <a16:creationId xmlns:a16="http://schemas.microsoft.com/office/drawing/2014/main" id="{1D56595E-B427-4050-8EFE-E57873D8FA70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441659" cy="204671"/>
    <xdr:sp macro="" textlink="">
      <xdr:nvSpPr>
        <xdr:cNvPr id="1511" name="텍스트 19">
          <a:extLst>
            <a:ext uri="{FF2B5EF4-FFF2-40B4-BE49-F238E27FC236}">
              <a16:creationId xmlns:a16="http://schemas.microsoft.com/office/drawing/2014/main" id="{51F4815C-2362-4456-A267-4C3ABA9C41FD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56939" cy="204671"/>
    <xdr:sp macro="" textlink="">
      <xdr:nvSpPr>
        <xdr:cNvPr id="1512" name="텍스트 20">
          <a:extLst>
            <a:ext uri="{FF2B5EF4-FFF2-40B4-BE49-F238E27FC236}">
              <a16:creationId xmlns:a16="http://schemas.microsoft.com/office/drawing/2014/main" id="{E13F0F9F-3411-43DD-A7DD-0AC6CFADF1F7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326243" cy="204671"/>
    <xdr:sp macro="" textlink="">
      <xdr:nvSpPr>
        <xdr:cNvPr id="1513" name="텍스트 21">
          <a:extLst>
            <a:ext uri="{FF2B5EF4-FFF2-40B4-BE49-F238E27FC236}">
              <a16:creationId xmlns:a16="http://schemas.microsoft.com/office/drawing/2014/main" id="{1F5FA1E5-4083-43C1-A8F6-214C887D7810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87771" cy="204671"/>
    <xdr:sp macro="" textlink="">
      <xdr:nvSpPr>
        <xdr:cNvPr id="1514" name="텍스트 9">
          <a:extLst>
            <a:ext uri="{FF2B5EF4-FFF2-40B4-BE49-F238E27FC236}">
              <a16:creationId xmlns:a16="http://schemas.microsoft.com/office/drawing/2014/main" id="{64CFD3D9-6DC1-46C1-AB7A-931737442268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515" name="텍스트 10">
          <a:extLst>
            <a:ext uri="{FF2B5EF4-FFF2-40B4-BE49-F238E27FC236}">
              <a16:creationId xmlns:a16="http://schemas.microsoft.com/office/drawing/2014/main" id="{58D4382A-A7F2-4018-ACC4-B660C7018EB5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516" name="텍스트 11">
          <a:extLst>
            <a:ext uri="{FF2B5EF4-FFF2-40B4-BE49-F238E27FC236}">
              <a16:creationId xmlns:a16="http://schemas.microsoft.com/office/drawing/2014/main" id="{1DA2CFA0-65D5-4F04-AA5E-E4E98AFD19DC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517" name="텍스트 12">
          <a:extLst>
            <a:ext uri="{FF2B5EF4-FFF2-40B4-BE49-F238E27FC236}">
              <a16:creationId xmlns:a16="http://schemas.microsoft.com/office/drawing/2014/main" id="{5056E515-1B4D-42F9-B541-084F73F4495C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49299" cy="204671"/>
    <xdr:sp macro="" textlink="">
      <xdr:nvSpPr>
        <xdr:cNvPr id="1518" name="텍스트 13">
          <a:extLst>
            <a:ext uri="{FF2B5EF4-FFF2-40B4-BE49-F238E27FC236}">
              <a16:creationId xmlns:a16="http://schemas.microsoft.com/office/drawing/2014/main" id="{F0DAAB77-B614-4CE0-B9E4-48E0EFF6765C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519" name="텍스트 14">
          <a:extLst>
            <a:ext uri="{FF2B5EF4-FFF2-40B4-BE49-F238E27FC236}">
              <a16:creationId xmlns:a16="http://schemas.microsoft.com/office/drawing/2014/main" id="{3B425BDD-3223-47BB-9593-01E5F03EC6C9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520" name="텍스트 15">
          <a:extLst>
            <a:ext uri="{FF2B5EF4-FFF2-40B4-BE49-F238E27FC236}">
              <a16:creationId xmlns:a16="http://schemas.microsoft.com/office/drawing/2014/main" id="{77E5C6F3-90BF-4447-9DB6-B49B4FBA7149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521" name="텍스트 16">
          <a:extLst>
            <a:ext uri="{FF2B5EF4-FFF2-40B4-BE49-F238E27FC236}">
              <a16:creationId xmlns:a16="http://schemas.microsoft.com/office/drawing/2014/main" id="{6D65FF9E-B708-4956-BD82-E337FA87AD5F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87771" cy="204671"/>
    <xdr:sp macro="" textlink="">
      <xdr:nvSpPr>
        <xdr:cNvPr id="1522" name="텍스트 9">
          <a:extLst>
            <a:ext uri="{FF2B5EF4-FFF2-40B4-BE49-F238E27FC236}">
              <a16:creationId xmlns:a16="http://schemas.microsoft.com/office/drawing/2014/main" id="{9F4C00C8-1EDC-4F0F-9508-C2F7314F889C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523" name="텍스트 10">
          <a:extLst>
            <a:ext uri="{FF2B5EF4-FFF2-40B4-BE49-F238E27FC236}">
              <a16:creationId xmlns:a16="http://schemas.microsoft.com/office/drawing/2014/main" id="{DA86C5A3-2CF9-4CC8-9144-1A64A1170CC4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524" name="텍스트 11">
          <a:extLst>
            <a:ext uri="{FF2B5EF4-FFF2-40B4-BE49-F238E27FC236}">
              <a16:creationId xmlns:a16="http://schemas.microsoft.com/office/drawing/2014/main" id="{BE69FB51-CD6A-4A81-93CC-25A6BFDD9D18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525" name="텍스트 12">
          <a:extLst>
            <a:ext uri="{FF2B5EF4-FFF2-40B4-BE49-F238E27FC236}">
              <a16:creationId xmlns:a16="http://schemas.microsoft.com/office/drawing/2014/main" id="{E10984E3-21BA-4861-897A-63DBDAA93D5E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249299" cy="204671"/>
    <xdr:sp macro="" textlink="">
      <xdr:nvSpPr>
        <xdr:cNvPr id="1526" name="텍스트 13">
          <a:extLst>
            <a:ext uri="{FF2B5EF4-FFF2-40B4-BE49-F238E27FC236}">
              <a16:creationId xmlns:a16="http://schemas.microsoft.com/office/drawing/2014/main" id="{7597DF29-E851-4379-87D4-636706739695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527" name="텍스트 14">
          <a:extLst>
            <a:ext uri="{FF2B5EF4-FFF2-40B4-BE49-F238E27FC236}">
              <a16:creationId xmlns:a16="http://schemas.microsoft.com/office/drawing/2014/main" id="{47BA1F8B-D023-4F95-9382-78B6CDA55E41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326243" cy="204671"/>
    <xdr:sp macro="" textlink="">
      <xdr:nvSpPr>
        <xdr:cNvPr id="1528" name="텍스트 15">
          <a:extLst>
            <a:ext uri="{FF2B5EF4-FFF2-40B4-BE49-F238E27FC236}">
              <a16:creationId xmlns:a16="http://schemas.microsoft.com/office/drawing/2014/main" id="{907CF224-699F-41FB-8340-BA1A2EFE52B5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16</xdr:row>
      <xdr:rowOff>0</xdr:rowOff>
    </xdr:from>
    <xdr:ext cx="56939" cy="204671"/>
    <xdr:sp macro="" textlink="">
      <xdr:nvSpPr>
        <xdr:cNvPr id="1529" name="텍스트 16">
          <a:extLst>
            <a:ext uri="{FF2B5EF4-FFF2-40B4-BE49-F238E27FC236}">
              <a16:creationId xmlns:a16="http://schemas.microsoft.com/office/drawing/2014/main" id="{8857ED3B-EBC4-479C-985F-E09E7C0FB888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287771" cy="204671"/>
    <xdr:sp macro="" textlink="">
      <xdr:nvSpPr>
        <xdr:cNvPr id="1530" name="텍스트 9">
          <a:extLst>
            <a:ext uri="{FF2B5EF4-FFF2-40B4-BE49-F238E27FC236}">
              <a16:creationId xmlns:a16="http://schemas.microsoft.com/office/drawing/2014/main" id="{22537133-AE6E-45C7-B758-F39245F376BD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56939" cy="204671"/>
    <xdr:sp macro="" textlink="">
      <xdr:nvSpPr>
        <xdr:cNvPr id="1531" name="텍스트 10">
          <a:extLst>
            <a:ext uri="{FF2B5EF4-FFF2-40B4-BE49-F238E27FC236}">
              <a16:creationId xmlns:a16="http://schemas.microsoft.com/office/drawing/2014/main" id="{0ACFFB6E-A4D1-4A48-9E98-890177CD7E43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326243" cy="204671"/>
    <xdr:sp macro="" textlink="">
      <xdr:nvSpPr>
        <xdr:cNvPr id="1532" name="텍스트 11">
          <a:extLst>
            <a:ext uri="{FF2B5EF4-FFF2-40B4-BE49-F238E27FC236}">
              <a16:creationId xmlns:a16="http://schemas.microsoft.com/office/drawing/2014/main" id="{B96BCADF-E444-4F91-98A3-C818956AD1E2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56939" cy="204671"/>
    <xdr:sp macro="" textlink="">
      <xdr:nvSpPr>
        <xdr:cNvPr id="1533" name="텍스트 12">
          <a:extLst>
            <a:ext uri="{FF2B5EF4-FFF2-40B4-BE49-F238E27FC236}">
              <a16:creationId xmlns:a16="http://schemas.microsoft.com/office/drawing/2014/main" id="{9ED25816-62A7-40B5-9C57-96CE07E2246B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249299" cy="204671"/>
    <xdr:sp macro="" textlink="">
      <xdr:nvSpPr>
        <xdr:cNvPr id="1534" name="텍스트 13">
          <a:extLst>
            <a:ext uri="{FF2B5EF4-FFF2-40B4-BE49-F238E27FC236}">
              <a16:creationId xmlns:a16="http://schemas.microsoft.com/office/drawing/2014/main" id="{44CECB55-0DA6-4436-B369-91F6FAE3CA9C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56939" cy="204671"/>
    <xdr:sp macro="" textlink="">
      <xdr:nvSpPr>
        <xdr:cNvPr id="1535" name="텍스트 14">
          <a:extLst>
            <a:ext uri="{FF2B5EF4-FFF2-40B4-BE49-F238E27FC236}">
              <a16:creationId xmlns:a16="http://schemas.microsoft.com/office/drawing/2014/main" id="{B42C17AE-75B7-4C8E-A9D1-A8FAB9B3E12C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326243" cy="204671"/>
    <xdr:sp macro="" textlink="">
      <xdr:nvSpPr>
        <xdr:cNvPr id="1536" name="텍스트 15">
          <a:extLst>
            <a:ext uri="{FF2B5EF4-FFF2-40B4-BE49-F238E27FC236}">
              <a16:creationId xmlns:a16="http://schemas.microsoft.com/office/drawing/2014/main" id="{45CEC592-D7A2-42B4-BAEC-AF1DEA76865B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537" name="텍스트 23">
          <a:extLst>
            <a:ext uri="{FF2B5EF4-FFF2-40B4-BE49-F238E27FC236}">
              <a16:creationId xmlns:a16="http://schemas.microsoft.com/office/drawing/2014/main" id="{F8E1D530-8C65-41FB-8597-16F5F1ABFBB3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538" name="텍스트 23">
          <a:extLst>
            <a:ext uri="{FF2B5EF4-FFF2-40B4-BE49-F238E27FC236}">
              <a16:creationId xmlns:a16="http://schemas.microsoft.com/office/drawing/2014/main" id="{059AB125-0A53-4229-8F25-B93DC7A91DF5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539" name="텍스트 23">
          <a:extLst>
            <a:ext uri="{FF2B5EF4-FFF2-40B4-BE49-F238E27FC236}">
              <a16:creationId xmlns:a16="http://schemas.microsoft.com/office/drawing/2014/main" id="{CCC7AB37-2025-4F5F-A95E-04029532F310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540" name="텍스트 23">
          <a:extLst>
            <a:ext uri="{FF2B5EF4-FFF2-40B4-BE49-F238E27FC236}">
              <a16:creationId xmlns:a16="http://schemas.microsoft.com/office/drawing/2014/main" id="{B374DA20-0AA2-4C15-8737-35DADD36D6E0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541" name="텍스트 23">
          <a:extLst>
            <a:ext uri="{FF2B5EF4-FFF2-40B4-BE49-F238E27FC236}">
              <a16:creationId xmlns:a16="http://schemas.microsoft.com/office/drawing/2014/main" id="{C68AEA20-0F17-4885-82A4-6B5CD3B0FD86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542" name="텍스트 23">
          <a:extLst>
            <a:ext uri="{FF2B5EF4-FFF2-40B4-BE49-F238E27FC236}">
              <a16:creationId xmlns:a16="http://schemas.microsoft.com/office/drawing/2014/main" id="{877E765A-46C9-49DE-95D5-A33033189BC4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543" name="텍스트 23">
          <a:extLst>
            <a:ext uri="{FF2B5EF4-FFF2-40B4-BE49-F238E27FC236}">
              <a16:creationId xmlns:a16="http://schemas.microsoft.com/office/drawing/2014/main" id="{7B0D109D-A806-47E0-8BFD-55D45132CA4B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544" name="텍스트 23">
          <a:extLst>
            <a:ext uri="{FF2B5EF4-FFF2-40B4-BE49-F238E27FC236}">
              <a16:creationId xmlns:a16="http://schemas.microsoft.com/office/drawing/2014/main" id="{79966A91-7908-4B0F-B158-E3D934D52988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545" name="텍스트 23">
          <a:extLst>
            <a:ext uri="{FF2B5EF4-FFF2-40B4-BE49-F238E27FC236}">
              <a16:creationId xmlns:a16="http://schemas.microsoft.com/office/drawing/2014/main" id="{8CABA116-FE31-4484-A0C5-FAE247550916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546" name="텍스트 23">
          <a:extLst>
            <a:ext uri="{FF2B5EF4-FFF2-40B4-BE49-F238E27FC236}">
              <a16:creationId xmlns:a16="http://schemas.microsoft.com/office/drawing/2014/main" id="{E893C3F7-4718-4BCD-97F5-3BC37B981687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547" name="텍스트 23">
          <a:extLst>
            <a:ext uri="{FF2B5EF4-FFF2-40B4-BE49-F238E27FC236}">
              <a16:creationId xmlns:a16="http://schemas.microsoft.com/office/drawing/2014/main" id="{74EEBFCF-C38C-4B9E-AA55-282967DE435B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9</xdr:col>
      <xdr:colOff>2121353</xdr:colOff>
      <xdr:row>18</xdr:row>
      <xdr:rowOff>0</xdr:rowOff>
    </xdr:from>
    <xdr:ext cx="210827" cy="204671"/>
    <xdr:sp macro="" textlink="">
      <xdr:nvSpPr>
        <xdr:cNvPr id="1548" name="텍스트 23">
          <a:extLst>
            <a:ext uri="{FF2B5EF4-FFF2-40B4-BE49-F238E27FC236}">
              <a16:creationId xmlns:a16="http://schemas.microsoft.com/office/drawing/2014/main" id="{96FD9267-4F8F-4290-BB66-7FA630CE6368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49" name="텍스트 5">
          <a:extLst>
            <a:ext uri="{FF2B5EF4-FFF2-40B4-BE49-F238E27FC236}">
              <a16:creationId xmlns:a16="http://schemas.microsoft.com/office/drawing/2014/main" id="{03E63B54-6223-42FC-847C-5865A519D90D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50" name="텍스트 7">
          <a:extLst>
            <a:ext uri="{FF2B5EF4-FFF2-40B4-BE49-F238E27FC236}">
              <a16:creationId xmlns:a16="http://schemas.microsoft.com/office/drawing/2014/main" id="{0020A5D6-0E36-43F6-B307-934000770964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51" name="텍스트 17">
          <a:extLst>
            <a:ext uri="{FF2B5EF4-FFF2-40B4-BE49-F238E27FC236}">
              <a16:creationId xmlns:a16="http://schemas.microsoft.com/office/drawing/2014/main" id="{4C09FA14-D733-40A8-B8DD-7F3C72325C08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441659" cy="204671"/>
    <xdr:sp macro="" textlink="">
      <xdr:nvSpPr>
        <xdr:cNvPr id="1552" name="텍스트 19">
          <a:extLst>
            <a:ext uri="{FF2B5EF4-FFF2-40B4-BE49-F238E27FC236}">
              <a16:creationId xmlns:a16="http://schemas.microsoft.com/office/drawing/2014/main" id="{C04193EC-C462-465D-8F2E-D0EDE520DD1F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326243" cy="204671"/>
    <xdr:sp macro="" textlink="">
      <xdr:nvSpPr>
        <xdr:cNvPr id="1553" name="텍스트 21">
          <a:extLst>
            <a:ext uri="{FF2B5EF4-FFF2-40B4-BE49-F238E27FC236}">
              <a16:creationId xmlns:a16="http://schemas.microsoft.com/office/drawing/2014/main" id="{0A081334-D2EA-408A-AB6E-9FC90B2267CE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54" name="텍스트 5">
          <a:extLst>
            <a:ext uri="{FF2B5EF4-FFF2-40B4-BE49-F238E27FC236}">
              <a16:creationId xmlns:a16="http://schemas.microsoft.com/office/drawing/2014/main" id="{77C3B07C-2A93-4785-977D-1529A9880FA4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55" name="텍스트 7">
          <a:extLst>
            <a:ext uri="{FF2B5EF4-FFF2-40B4-BE49-F238E27FC236}">
              <a16:creationId xmlns:a16="http://schemas.microsoft.com/office/drawing/2014/main" id="{00681438-E664-49B4-84E0-BF95D1391119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56" name="텍스트 17">
          <a:extLst>
            <a:ext uri="{FF2B5EF4-FFF2-40B4-BE49-F238E27FC236}">
              <a16:creationId xmlns:a16="http://schemas.microsoft.com/office/drawing/2014/main" id="{F56CEAD1-C752-4B1C-804C-C5B7CEFB5038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441659" cy="204671"/>
    <xdr:sp macro="" textlink="">
      <xdr:nvSpPr>
        <xdr:cNvPr id="1557" name="텍스트 19">
          <a:extLst>
            <a:ext uri="{FF2B5EF4-FFF2-40B4-BE49-F238E27FC236}">
              <a16:creationId xmlns:a16="http://schemas.microsoft.com/office/drawing/2014/main" id="{99FC42B1-FFB4-44D5-A840-CC0B7F5AE720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326243" cy="204671"/>
    <xdr:sp macro="" textlink="">
      <xdr:nvSpPr>
        <xdr:cNvPr id="1558" name="텍스트 21">
          <a:extLst>
            <a:ext uri="{FF2B5EF4-FFF2-40B4-BE49-F238E27FC236}">
              <a16:creationId xmlns:a16="http://schemas.microsoft.com/office/drawing/2014/main" id="{9828CE35-1107-4F70-BD58-6A5D08E223C2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12</xdr:row>
      <xdr:rowOff>0</xdr:rowOff>
    </xdr:from>
    <xdr:ext cx="210827" cy="204671"/>
    <xdr:sp macro="" textlink="">
      <xdr:nvSpPr>
        <xdr:cNvPr id="1559" name="텍스트 1">
          <a:extLst>
            <a:ext uri="{FF2B5EF4-FFF2-40B4-BE49-F238E27FC236}">
              <a16:creationId xmlns:a16="http://schemas.microsoft.com/office/drawing/2014/main" id="{4603B022-A382-48FC-A9A5-87978EF89F44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12</xdr:row>
      <xdr:rowOff>0</xdr:rowOff>
    </xdr:from>
    <xdr:ext cx="56939" cy="204671"/>
    <xdr:sp macro="" textlink="">
      <xdr:nvSpPr>
        <xdr:cNvPr id="1560" name="텍스트 2">
          <a:extLst>
            <a:ext uri="{FF2B5EF4-FFF2-40B4-BE49-F238E27FC236}">
              <a16:creationId xmlns:a16="http://schemas.microsoft.com/office/drawing/2014/main" id="{AA5C3D11-040D-4C39-9D51-49868E2D7D95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561" name="텍스트 23">
          <a:extLst>
            <a:ext uri="{FF2B5EF4-FFF2-40B4-BE49-F238E27FC236}">
              <a16:creationId xmlns:a16="http://schemas.microsoft.com/office/drawing/2014/main" id="{4D06E560-283A-443C-8259-5D0665FAF92D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562" name="텍스트 23">
          <a:extLst>
            <a:ext uri="{FF2B5EF4-FFF2-40B4-BE49-F238E27FC236}">
              <a16:creationId xmlns:a16="http://schemas.microsoft.com/office/drawing/2014/main" id="{D598441D-0E24-4192-8B01-9D616DBF01EE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563" name="텍스트 23">
          <a:extLst>
            <a:ext uri="{FF2B5EF4-FFF2-40B4-BE49-F238E27FC236}">
              <a16:creationId xmlns:a16="http://schemas.microsoft.com/office/drawing/2014/main" id="{4DECF24B-A8C4-40A3-BA34-89CCD4B62E7E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64" name="텍스트 5">
          <a:extLst>
            <a:ext uri="{FF2B5EF4-FFF2-40B4-BE49-F238E27FC236}">
              <a16:creationId xmlns:a16="http://schemas.microsoft.com/office/drawing/2014/main" id="{22823EB4-6571-4532-98AA-8F82B0815E30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65" name="텍스트 7">
          <a:extLst>
            <a:ext uri="{FF2B5EF4-FFF2-40B4-BE49-F238E27FC236}">
              <a16:creationId xmlns:a16="http://schemas.microsoft.com/office/drawing/2014/main" id="{1F49DA63-E90E-4F24-989A-B35B8398BB60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66" name="텍스트 17">
          <a:extLst>
            <a:ext uri="{FF2B5EF4-FFF2-40B4-BE49-F238E27FC236}">
              <a16:creationId xmlns:a16="http://schemas.microsoft.com/office/drawing/2014/main" id="{D18BA4C9-B7B2-4A67-844B-36476C6462EA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441659" cy="204671"/>
    <xdr:sp macro="" textlink="">
      <xdr:nvSpPr>
        <xdr:cNvPr id="1567" name="텍스트 19">
          <a:extLst>
            <a:ext uri="{FF2B5EF4-FFF2-40B4-BE49-F238E27FC236}">
              <a16:creationId xmlns:a16="http://schemas.microsoft.com/office/drawing/2014/main" id="{9CCCDDD5-88DC-4364-94BC-C410E0B31E46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326243" cy="204671"/>
    <xdr:sp macro="" textlink="">
      <xdr:nvSpPr>
        <xdr:cNvPr id="1568" name="텍스트 21">
          <a:extLst>
            <a:ext uri="{FF2B5EF4-FFF2-40B4-BE49-F238E27FC236}">
              <a16:creationId xmlns:a16="http://schemas.microsoft.com/office/drawing/2014/main" id="{3379CEAF-5A6A-42CA-B697-1199809934B4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69" name="텍스트 5">
          <a:extLst>
            <a:ext uri="{FF2B5EF4-FFF2-40B4-BE49-F238E27FC236}">
              <a16:creationId xmlns:a16="http://schemas.microsoft.com/office/drawing/2014/main" id="{B71F5DE3-24BB-47B4-8811-B068ACAC1306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70" name="텍스트 7">
          <a:extLst>
            <a:ext uri="{FF2B5EF4-FFF2-40B4-BE49-F238E27FC236}">
              <a16:creationId xmlns:a16="http://schemas.microsoft.com/office/drawing/2014/main" id="{EFA8A26B-6727-48C4-B4FB-ED9E11BFA9DF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571" name="텍스트 17">
          <a:extLst>
            <a:ext uri="{FF2B5EF4-FFF2-40B4-BE49-F238E27FC236}">
              <a16:creationId xmlns:a16="http://schemas.microsoft.com/office/drawing/2014/main" id="{CFBEB1EC-E30D-4800-ACDD-19D5D3574E3E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441659" cy="204671"/>
    <xdr:sp macro="" textlink="">
      <xdr:nvSpPr>
        <xdr:cNvPr id="1572" name="텍스트 19">
          <a:extLst>
            <a:ext uri="{FF2B5EF4-FFF2-40B4-BE49-F238E27FC236}">
              <a16:creationId xmlns:a16="http://schemas.microsoft.com/office/drawing/2014/main" id="{73D3C422-F4C9-447E-B912-172579DE18AE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326243" cy="204671"/>
    <xdr:sp macro="" textlink="">
      <xdr:nvSpPr>
        <xdr:cNvPr id="1573" name="텍스트 21">
          <a:extLst>
            <a:ext uri="{FF2B5EF4-FFF2-40B4-BE49-F238E27FC236}">
              <a16:creationId xmlns:a16="http://schemas.microsoft.com/office/drawing/2014/main" id="{74B875CF-F1CA-4E08-815F-5B29932F877D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820510</xdr:colOff>
      <xdr:row>16</xdr:row>
      <xdr:rowOff>0</xdr:rowOff>
    </xdr:from>
    <xdr:ext cx="287771" cy="204671"/>
    <xdr:sp macro="" textlink="">
      <xdr:nvSpPr>
        <xdr:cNvPr id="1574" name="텍스트 9">
          <a:extLst>
            <a:ext uri="{FF2B5EF4-FFF2-40B4-BE49-F238E27FC236}">
              <a16:creationId xmlns:a16="http://schemas.microsoft.com/office/drawing/2014/main" id="{C36EBC70-0E87-42CE-AF77-F07F7053399D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10</xdr:col>
      <xdr:colOff>820510</xdr:colOff>
      <xdr:row>16</xdr:row>
      <xdr:rowOff>0</xdr:rowOff>
    </xdr:from>
    <xdr:ext cx="326243" cy="204671"/>
    <xdr:sp macro="" textlink="">
      <xdr:nvSpPr>
        <xdr:cNvPr id="1575" name="텍스트 11">
          <a:extLst>
            <a:ext uri="{FF2B5EF4-FFF2-40B4-BE49-F238E27FC236}">
              <a16:creationId xmlns:a16="http://schemas.microsoft.com/office/drawing/2014/main" id="{FF0D5F49-F866-44F8-B014-13E0A7251CC4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820510</xdr:colOff>
      <xdr:row>16</xdr:row>
      <xdr:rowOff>0</xdr:rowOff>
    </xdr:from>
    <xdr:ext cx="249299" cy="204671"/>
    <xdr:sp macro="" textlink="">
      <xdr:nvSpPr>
        <xdr:cNvPr id="1576" name="텍스트 13">
          <a:extLst>
            <a:ext uri="{FF2B5EF4-FFF2-40B4-BE49-F238E27FC236}">
              <a16:creationId xmlns:a16="http://schemas.microsoft.com/office/drawing/2014/main" id="{BA4FFC01-886C-4E78-B2D4-8BF7B82D283E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820510</xdr:colOff>
      <xdr:row>16</xdr:row>
      <xdr:rowOff>0</xdr:rowOff>
    </xdr:from>
    <xdr:ext cx="326243" cy="204671"/>
    <xdr:sp macro="" textlink="">
      <xdr:nvSpPr>
        <xdr:cNvPr id="1577" name="텍스트 15">
          <a:extLst>
            <a:ext uri="{FF2B5EF4-FFF2-40B4-BE49-F238E27FC236}">
              <a16:creationId xmlns:a16="http://schemas.microsoft.com/office/drawing/2014/main" id="{179A70F9-C1DC-44C0-828C-17D8344A68D3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820510</xdr:colOff>
      <xdr:row>15</xdr:row>
      <xdr:rowOff>0</xdr:rowOff>
    </xdr:from>
    <xdr:ext cx="249299" cy="204671"/>
    <xdr:sp macro="" textlink="">
      <xdr:nvSpPr>
        <xdr:cNvPr id="1578" name="텍스트 5">
          <a:extLst>
            <a:ext uri="{FF2B5EF4-FFF2-40B4-BE49-F238E27FC236}">
              <a16:creationId xmlns:a16="http://schemas.microsoft.com/office/drawing/2014/main" id="{965B414E-F5E9-4336-8918-F7D654F18CEF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820510</xdr:colOff>
      <xdr:row>15</xdr:row>
      <xdr:rowOff>0</xdr:rowOff>
    </xdr:from>
    <xdr:ext cx="249299" cy="204671"/>
    <xdr:sp macro="" textlink="">
      <xdr:nvSpPr>
        <xdr:cNvPr id="1579" name="텍스트 7">
          <a:extLst>
            <a:ext uri="{FF2B5EF4-FFF2-40B4-BE49-F238E27FC236}">
              <a16:creationId xmlns:a16="http://schemas.microsoft.com/office/drawing/2014/main" id="{9D043655-3053-46A2-8FBD-ED40FAAAEEF7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820510</xdr:colOff>
      <xdr:row>15</xdr:row>
      <xdr:rowOff>0</xdr:rowOff>
    </xdr:from>
    <xdr:ext cx="249299" cy="204671"/>
    <xdr:sp macro="" textlink="">
      <xdr:nvSpPr>
        <xdr:cNvPr id="1580" name="텍스트 17">
          <a:extLst>
            <a:ext uri="{FF2B5EF4-FFF2-40B4-BE49-F238E27FC236}">
              <a16:creationId xmlns:a16="http://schemas.microsoft.com/office/drawing/2014/main" id="{2B788E80-F813-42E4-8D2B-BAE784E093BF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820510</xdr:colOff>
      <xdr:row>15</xdr:row>
      <xdr:rowOff>0</xdr:rowOff>
    </xdr:from>
    <xdr:ext cx="441659" cy="204671"/>
    <xdr:sp macro="" textlink="">
      <xdr:nvSpPr>
        <xdr:cNvPr id="1581" name="텍스트 19">
          <a:extLst>
            <a:ext uri="{FF2B5EF4-FFF2-40B4-BE49-F238E27FC236}">
              <a16:creationId xmlns:a16="http://schemas.microsoft.com/office/drawing/2014/main" id="{F2945C51-EB24-4B06-BCB5-B205C1FBE332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10</xdr:col>
      <xdr:colOff>820510</xdr:colOff>
      <xdr:row>15</xdr:row>
      <xdr:rowOff>0</xdr:rowOff>
    </xdr:from>
    <xdr:ext cx="326243" cy="204671"/>
    <xdr:sp macro="" textlink="">
      <xdr:nvSpPr>
        <xdr:cNvPr id="1582" name="텍스트 21">
          <a:extLst>
            <a:ext uri="{FF2B5EF4-FFF2-40B4-BE49-F238E27FC236}">
              <a16:creationId xmlns:a16="http://schemas.microsoft.com/office/drawing/2014/main" id="{D0BAA597-FADD-4726-A18E-339ECA8CF968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172355" cy="204671"/>
    <xdr:sp macro="" textlink="">
      <xdr:nvSpPr>
        <xdr:cNvPr id="1583" name="텍스트 3">
          <a:extLst>
            <a:ext uri="{FF2B5EF4-FFF2-40B4-BE49-F238E27FC236}">
              <a16:creationId xmlns:a16="http://schemas.microsoft.com/office/drawing/2014/main" id="{6D3090DA-3D00-4ADB-BEFA-01FDBBA496DC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584" name="텍스트 4">
          <a:extLst>
            <a:ext uri="{FF2B5EF4-FFF2-40B4-BE49-F238E27FC236}">
              <a16:creationId xmlns:a16="http://schemas.microsoft.com/office/drawing/2014/main" id="{00F48BE6-957B-4CB4-A9D0-33446C2BA55A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585" name="텍스트 5">
          <a:extLst>
            <a:ext uri="{FF2B5EF4-FFF2-40B4-BE49-F238E27FC236}">
              <a16:creationId xmlns:a16="http://schemas.microsoft.com/office/drawing/2014/main" id="{D93F9378-0E48-436C-8350-65B7A18098F1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586" name="텍스트 6">
          <a:extLst>
            <a:ext uri="{FF2B5EF4-FFF2-40B4-BE49-F238E27FC236}">
              <a16:creationId xmlns:a16="http://schemas.microsoft.com/office/drawing/2014/main" id="{8A4B4602-1813-43BD-A30F-596595922D62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587" name="텍스트 7">
          <a:extLst>
            <a:ext uri="{FF2B5EF4-FFF2-40B4-BE49-F238E27FC236}">
              <a16:creationId xmlns:a16="http://schemas.microsoft.com/office/drawing/2014/main" id="{83049E14-F94D-4C1B-A6B5-E8DAF2C50F04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588" name="텍스트 8">
          <a:extLst>
            <a:ext uri="{FF2B5EF4-FFF2-40B4-BE49-F238E27FC236}">
              <a16:creationId xmlns:a16="http://schemas.microsoft.com/office/drawing/2014/main" id="{CFD33E63-48AF-4DCB-A386-A1193900B4B9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589" name="텍스트 17">
          <a:extLst>
            <a:ext uri="{FF2B5EF4-FFF2-40B4-BE49-F238E27FC236}">
              <a16:creationId xmlns:a16="http://schemas.microsoft.com/office/drawing/2014/main" id="{885F63AC-16E6-4020-B4B4-11F14E3EF513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590" name="텍스트 18">
          <a:extLst>
            <a:ext uri="{FF2B5EF4-FFF2-40B4-BE49-F238E27FC236}">
              <a16:creationId xmlns:a16="http://schemas.microsoft.com/office/drawing/2014/main" id="{55A4A578-F74E-4497-830F-77EFF61F9987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441659" cy="204671"/>
    <xdr:sp macro="" textlink="">
      <xdr:nvSpPr>
        <xdr:cNvPr id="1591" name="텍스트 19">
          <a:extLst>
            <a:ext uri="{FF2B5EF4-FFF2-40B4-BE49-F238E27FC236}">
              <a16:creationId xmlns:a16="http://schemas.microsoft.com/office/drawing/2014/main" id="{E79F16EE-0803-4C35-829E-B77F544A7AC2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592" name="텍스트 20">
          <a:extLst>
            <a:ext uri="{FF2B5EF4-FFF2-40B4-BE49-F238E27FC236}">
              <a16:creationId xmlns:a16="http://schemas.microsoft.com/office/drawing/2014/main" id="{EC791BAA-5684-48AE-A16E-67A3C69F0C16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326243" cy="204671"/>
    <xdr:sp macro="" textlink="">
      <xdr:nvSpPr>
        <xdr:cNvPr id="1593" name="텍스트 21">
          <a:extLst>
            <a:ext uri="{FF2B5EF4-FFF2-40B4-BE49-F238E27FC236}">
              <a16:creationId xmlns:a16="http://schemas.microsoft.com/office/drawing/2014/main" id="{0C938E4F-08C5-4E5A-BE3B-0D755C817CB0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594" name="텍스트 22">
          <a:extLst>
            <a:ext uri="{FF2B5EF4-FFF2-40B4-BE49-F238E27FC236}">
              <a16:creationId xmlns:a16="http://schemas.microsoft.com/office/drawing/2014/main" id="{59ACA020-8245-48D2-A0A5-76FDEDEE7A5C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820510</xdr:colOff>
      <xdr:row>15</xdr:row>
      <xdr:rowOff>0</xdr:rowOff>
    </xdr:from>
    <xdr:ext cx="249299" cy="204671"/>
    <xdr:sp macro="" textlink="">
      <xdr:nvSpPr>
        <xdr:cNvPr id="1595" name="텍스트 5">
          <a:extLst>
            <a:ext uri="{FF2B5EF4-FFF2-40B4-BE49-F238E27FC236}">
              <a16:creationId xmlns:a16="http://schemas.microsoft.com/office/drawing/2014/main" id="{6A44EE74-BE3B-4104-BA2B-2348C350F3F6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820510</xdr:colOff>
      <xdr:row>15</xdr:row>
      <xdr:rowOff>0</xdr:rowOff>
    </xdr:from>
    <xdr:ext cx="249299" cy="204671"/>
    <xdr:sp macro="" textlink="">
      <xdr:nvSpPr>
        <xdr:cNvPr id="1596" name="텍스트 7">
          <a:extLst>
            <a:ext uri="{FF2B5EF4-FFF2-40B4-BE49-F238E27FC236}">
              <a16:creationId xmlns:a16="http://schemas.microsoft.com/office/drawing/2014/main" id="{A0F6F554-87E1-46E2-B8DA-56237E029085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820510</xdr:colOff>
      <xdr:row>15</xdr:row>
      <xdr:rowOff>0</xdr:rowOff>
    </xdr:from>
    <xdr:ext cx="249299" cy="204671"/>
    <xdr:sp macro="" textlink="">
      <xdr:nvSpPr>
        <xdr:cNvPr id="1597" name="텍스트 17">
          <a:extLst>
            <a:ext uri="{FF2B5EF4-FFF2-40B4-BE49-F238E27FC236}">
              <a16:creationId xmlns:a16="http://schemas.microsoft.com/office/drawing/2014/main" id="{F65FB12D-9A64-4A69-9F74-6880C7EF18AE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820510</xdr:colOff>
      <xdr:row>15</xdr:row>
      <xdr:rowOff>0</xdr:rowOff>
    </xdr:from>
    <xdr:ext cx="441659" cy="204671"/>
    <xdr:sp macro="" textlink="">
      <xdr:nvSpPr>
        <xdr:cNvPr id="1598" name="텍스트 19">
          <a:extLst>
            <a:ext uri="{FF2B5EF4-FFF2-40B4-BE49-F238E27FC236}">
              <a16:creationId xmlns:a16="http://schemas.microsoft.com/office/drawing/2014/main" id="{A12C1017-8ED4-4DC4-85FB-95F23F167B1A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10</xdr:col>
      <xdr:colOff>820510</xdr:colOff>
      <xdr:row>15</xdr:row>
      <xdr:rowOff>0</xdr:rowOff>
    </xdr:from>
    <xdr:ext cx="326243" cy="204671"/>
    <xdr:sp macro="" textlink="">
      <xdr:nvSpPr>
        <xdr:cNvPr id="1599" name="텍스트 21">
          <a:extLst>
            <a:ext uri="{FF2B5EF4-FFF2-40B4-BE49-F238E27FC236}">
              <a16:creationId xmlns:a16="http://schemas.microsoft.com/office/drawing/2014/main" id="{9FB87A16-F584-4C55-9F27-2DEC0B56BDDC}"/>
            </a:ext>
          </a:extLst>
        </xdr:cNvPr>
        <xdr:cNvSpPr txBox="1">
          <a:spLocks noChangeArrowheads="1"/>
        </xdr:cNvSpPr>
      </xdr:nvSpPr>
      <xdr:spPr bwMode="auto">
        <a:xfrm>
          <a:off x="7145110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172355" cy="204671"/>
    <xdr:sp macro="" textlink="">
      <xdr:nvSpPr>
        <xdr:cNvPr id="1600" name="텍스트 3">
          <a:extLst>
            <a:ext uri="{FF2B5EF4-FFF2-40B4-BE49-F238E27FC236}">
              <a16:creationId xmlns:a16="http://schemas.microsoft.com/office/drawing/2014/main" id="{BBDC6A5F-4237-45D7-95C6-B01CBC211F8C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601" name="텍스트 4">
          <a:extLst>
            <a:ext uri="{FF2B5EF4-FFF2-40B4-BE49-F238E27FC236}">
              <a16:creationId xmlns:a16="http://schemas.microsoft.com/office/drawing/2014/main" id="{030D8245-4515-4B32-9FE3-8E7C334E32C6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602" name="텍스트 5">
          <a:extLst>
            <a:ext uri="{FF2B5EF4-FFF2-40B4-BE49-F238E27FC236}">
              <a16:creationId xmlns:a16="http://schemas.microsoft.com/office/drawing/2014/main" id="{EA98B2E1-65B9-41EF-A092-505B2842A0A5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603" name="텍스트 6">
          <a:extLst>
            <a:ext uri="{FF2B5EF4-FFF2-40B4-BE49-F238E27FC236}">
              <a16:creationId xmlns:a16="http://schemas.microsoft.com/office/drawing/2014/main" id="{872D93E1-B1B8-4911-875D-E15ADBEF8750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604" name="텍스트 7">
          <a:extLst>
            <a:ext uri="{FF2B5EF4-FFF2-40B4-BE49-F238E27FC236}">
              <a16:creationId xmlns:a16="http://schemas.microsoft.com/office/drawing/2014/main" id="{5337F0F3-9F24-410F-9915-101B438F4EAA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605" name="텍스트 8">
          <a:extLst>
            <a:ext uri="{FF2B5EF4-FFF2-40B4-BE49-F238E27FC236}">
              <a16:creationId xmlns:a16="http://schemas.microsoft.com/office/drawing/2014/main" id="{97F4B58D-2BF7-4A64-85D2-46E752973CE2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606" name="텍스트 17">
          <a:extLst>
            <a:ext uri="{FF2B5EF4-FFF2-40B4-BE49-F238E27FC236}">
              <a16:creationId xmlns:a16="http://schemas.microsoft.com/office/drawing/2014/main" id="{F6F82C49-7E46-48EE-B927-00B9ECCED4A5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607" name="텍스트 18">
          <a:extLst>
            <a:ext uri="{FF2B5EF4-FFF2-40B4-BE49-F238E27FC236}">
              <a16:creationId xmlns:a16="http://schemas.microsoft.com/office/drawing/2014/main" id="{F2F8719D-658F-4F41-AA17-61EB67102F7C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441659" cy="204671"/>
    <xdr:sp macro="" textlink="">
      <xdr:nvSpPr>
        <xdr:cNvPr id="1608" name="텍스트 19">
          <a:extLst>
            <a:ext uri="{FF2B5EF4-FFF2-40B4-BE49-F238E27FC236}">
              <a16:creationId xmlns:a16="http://schemas.microsoft.com/office/drawing/2014/main" id="{466E623A-0F6C-4B37-8180-8B203664A443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609" name="텍스트 20">
          <a:extLst>
            <a:ext uri="{FF2B5EF4-FFF2-40B4-BE49-F238E27FC236}">
              <a16:creationId xmlns:a16="http://schemas.microsoft.com/office/drawing/2014/main" id="{AB718692-B5B1-4C72-8845-DA438CC582C2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326243" cy="204671"/>
    <xdr:sp macro="" textlink="">
      <xdr:nvSpPr>
        <xdr:cNvPr id="1610" name="텍스트 21">
          <a:extLst>
            <a:ext uri="{FF2B5EF4-FFF2-40B4-BE49-F238E27FC236}">
              <a16:creationId xmlns:a16="http://schemas.microsoft.com/office/drawing/2014/main" id="{C3EC49F4-C6E2-4481-B431-14FBDF62FFCD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611" name="텍스트 22">
          <a:extLst>
            <a:ext uri="{FF2B5EF4-FFF2-40B4-BE49-F238E27FC236}">
              <a16:creationId xmlns:a16="http://schemas.microsoft.com/office/drawing/2014/main" id="{02E3FE8B-1428-4BC5-AB88-B59CD9153F09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820510</xdr:colOff>
      <xdr:row>16</xdr:row>
      <xdr:rowOff>0</xdr:rowOff>
    </xdr:from>
    <xdr:ext cx="287771" cy="204671"/>
    <xdr:sp macro="" textlink="">
      <xdr:nvSpPr>
        <xdr:cNvPr id="1612" name="텍스트 9">
          <a:extLst>
            <a:ext uri="{FF2B5EF4-FFF2-40B4-BE49-F238E27FC236}">
              <a16:creationId xmlns:a16="http://schemas.microsoft.com/office/drawing/2014/main" id="{4830FD50-24F5-4E5A-835E-9F9A51F51DAC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10</xdr:col>
      <xdr:colOff>820510</xdr:colOff>
      <xdr:row>16</xdr:row>
      <xdr:rowOff>0</xdr:rowOff>
    </xdr:from>
    <xdr:ext cx="326243" cy="204671"/>
    <xdr:sp macro="" textlink="">
      <xdr:nvSpPr>
        <xdr:cNvPr id="1613" name="텍스트 11">
          <a:extLst>
            <a:ext uri="{FF2B5EF4-FFF2-40B4-BE49-F238E27FC236}">
              <a16:creationId xmlns:a16="http://schemas.microsoft.com/office/drawing/2014/main" id="{241904BB-51F8-493A-B43A-1E28B72A37FA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820510</xdr:colOff>
      <xdr:row>16</xdr:row>
      <xdr:rowOff>0</xdr:rowOff>
    </xdr:from>
    <xdr:ext cx="249299" cy="204671"/>
    <xdr:sp macro="" textlink="">
      <xdr:nvSpPr>
        <xdr:cNvPr id="1614" name="텍스트 13">
          <a:extLst>
            <a:ext uri="{FF2B5EF4-FFF2-40B4-BE49-F238E27FC236}">
              <a16:creationId xmlns:a16="http://schemas.microsoft.com/office/drawing/2014/main" id="{EB6F4905-00BF-43A4-AE9E-ED210F4D52C0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820510</xdr:colOff>
      <xdr:row>16</xdr:row>
      <xdr:rowOff>0</xdr:rowOff>
    </xdr:from>
    <xdr:ext cx="326243" cy="204671"/>
    <xdr:sp macro="" textlink="">
      <xdr:nvSpPr>
        <xdr:cNvPr id="1615" name="텍스트 15">
          <a:extLst>
            <a:ext uri="{FF2B5EF4-FFF2-40B4-BE49-F238E27FC236}">
              <a16:creationId xmlns:a16="http://schemas.microsoft.com/office/drawing/2014/main" id="{7373F990-0858-4CF8-B382-3411575D1753}"/>
            </a:ext>
          </a:extLst>
        </xdr:cNvPr>
        <xdr:cNvSpPr txBox="1">
          <a:spLocks noChangeArrowheads="1"/>
        </xdr:cNvSpPr>
      </xdr:nvSpPr>
      <xdr:spPr bwMode="auto">
        <a:xfrm>
          <a:off x="7145110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12</xdr:row>
      <xdr:rowOff>0</xdr:rowOff>
    </xdr:from>
    <xdr:ext cx="210827" cy="204671"/>
    <xdr:sp macro="" textlink="">
      <xdr:nvSpPr>
        <xdr:cNvPr id="1616" name="텍스트 1">
          <a:extLst>
            <a:ext uri="{FF2B5EF4-FFF2-40B4-BE49-F238E27FC236}">
              <a16:creationId xmlns:a16="http://schemas.microsoft.com/office/drawing/2014/main" id="{31C7AF2D-03EA-481F-9F21-28832A92A284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12</xdr:row>
      <xdr:rowOff>0</xdr:rowOff>
    </xdr:from>
    <xdr:ext cx="56939" cy="204671"/>
    <xdr:sp macro="" textlink="">
      <xdr:nvSpPr>
        <xdr:cNvPr id="1617" name="텍스트 2">
          <a:extLst>
            <a:ext uri="{FF2B5EF4-FFF2-40B4-BE49-F238E27FC236}">
              <a16:creationId xmlns:a16="http://schemas.microsoft.com/office/drawing/2014/main" id="{71263124-E8F5-4038-BED4-D0B4A8B12CDF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12</xdr:row>
      <xdr:rowOff>0</xdr:rowOff>
    </xdr:from>
    <xdr:ext cx="210827" cy="204671"/>
    <xdr:sp macro="" textlink="">
      <xdr:nvSpPr>
        <xdr:cNvPr id="1618" name="텍스트 1">
          <a:extLst>
            <a:ext uri="{FF2B5EF4-FFF2-40B4-BE49-F238E27FC236}">
              <a16:creationId xmlns:a16="http://schemas.microsoft.com/office/drawing/2014/main" id="{F5AA34AC-B014-43B6-8259-4957111B0AA6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12</xdr:row>
      <xdr:rowOff>0</xdr:rowOff>
    </xdr:from>
    <xdr:ext cx="56939" cy="204671"/>
    <xdr:sp macro="" textlink="">
      <xdr:nvSpPr>
        <xdr:cNvPr id="1619" name="텍스트 2">
          <a:extLst>
            <a:ext uri="{FF2B5EF4-FFF2-40B4-BE49-F238E27FC236}">
              <a16:creationId xmlns:a16="http://schemas.microsoft.com/office/drawing/2014/main" id="{B960622F-CB56-4123-9A5B-2E822D643222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620" name="텍스트 23">
          <a:extLst>
            <a:ext uri="{FF2B5EF4-FFF2-40B4-BE49-F238E27FC236}">
              <a16:creationId xmlns:a16="http://schemas.microsoft.com/office/drawing/2014/main" id="{127E57E0-4544-42D4-95D4-59846D08CFCD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621" name="텍스트 23">
          <a:extLst>
            <a:ext uri="{FF2B5EF4-FFF2-40B4-BE49-F238E27FC236}">
              <a16:creationId xmlns:a16="http://schemas.microsoft.com/office/drawing/2014/main" id="{7471DB5B-DEBB-4620-A8E0-BC8D35B4AA23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622" name="텍스트 23">
          <a:extLst>
            <a:ext uri="{FF2B5EF4-FFF2-40B4-BE49-F238E27FC236}">
              <a16:creationId xmlns:a16="http://schemas.microsoft.com/office/drawing/2014/main" id="{18A74C15-6F51-4105-BE92-AB0F2EEAB060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623" name="텍스트 23">
          <a:extLst>
            <a:ext uri="{FF2B5EF4-FFF2-40B4-BE49-F238E27FC236}">
              <a16:creationId xmlns:a16="http://schemas.microsoft.com/office/drawing/2014/main" id="{16E10C80-F77C-4E71-9310-743322285DAD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624" name="텍스트 23">
          <a:extLst>
            <a:ext uri="{FF2B5EF4-FFF2-40B4-BE49-F238E27FC236}">
              <a16:creationId xmlns:a16="http://schemas.microsoft.com/office/drawing/2014/main" id="{AC8F2102-005F-4870-B10F-18CB12912AE6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287771" cy="204671"/>
    <xdr:sp macro="" textlink="">
      <xdr:nvSpPr>
        <xdr:cNvPr id="1625" name="텍스트 9">
          <a:extLst>
            <a:ext uri="{FF2B5EF4-FFF2-40B4-BE49-F238E27FC236}">
              <a16:creationId xmlns:a16="http://schemas.microsoft.com/office/drawing/2014/main" id="{D6BFD45F-AAFD-4791-B6AC-1794C105E552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326243" cy="204671"/>
    <xdr:sp macro="" textlink="">
      <xdr:nvSpPr>
        <xdr:cNvPr id="1626" name="텍스트 11">
          <a:extLst>
            <a:ext uri="{FF2B5EF4-FFF2-40B4-BE49-F238E27FC236}">
              <a16:creationId xmlns:a16="http://schemas.microsoft.com/office/drawing/2014/main" id="{D564A53A-C46F-4105-B74A-2586628A2C35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249299" cy="204671"/>
    <xdr:sp macro="" textlink="">
      <xdr:nvSpPr>
        <xdr:cNvPr id="1627" name="텍스트 13">
          <a:extLst>
            <a:ext uri="{FF2B5EF4-FFF2-40B4-BE49-F238E27FC236}">
              <a16:creationId xmlns:a16="http://schemas.microsoft.com/office/drawing/2014/main" id="{040B291B-468E-447A-B03B-9B6DAB7C6A69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326243" cy="204671"/>
    <xdr:sp macro="" textlink="">
      <xdr:nvSpPr>
        <xdr:cNvPr id="1628" name="텍스트 15">
          <a:extLst>
            <a:ext uri="{FF2B5EF4-FFF2-40B4-BE49-F238E27FC236}">
              <a16:creationId xmlns:a16="http://schemas.microsoft.com/office/drawing/2014/main" id="{0CB0453D-A80A-472F-A011-3D83B269C7A1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629" name="텍스트 5">
          <a:extLst>
            <a:ext uri="{FF2B5EF4-FFF2-40B4-BE49-F238E27FC236}">
              <a16:creationId xmlns:a16="http://schemas.microsoft.com/office/drawing/2014/main" id="{CB27DCA9-9BE9-4439-9F97-8E30C607C5CC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630" name="텍스트 7">
          <a:extLst>
            <a:ext uri="{FF2B5EF4-FFF2-40B4-BE49-F238E27FC236}">
              <a16:creationId xmlns:a16="http://schemas.microsoft.com/office/drawing/2014/main" id="{24AF056C-FDA1-4573-96A8-F4B51027B1F1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631" name="텍스트 17">
          <a:extLst>
            <a:ext uri="{FF2B5EF4-FFF2-40B4-BE49-F238E27FC236}">
              <a16:creationId xmlns:a16="http://schemas.microsoft.com/office/drawing/2014/main" id="{C469C287-75C7-404F-A7A0-6D142DC615DA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441659" cy="204671"/>
    <xdr:sp macro="" textlink="">
      <xdr:nvSpPr>
        <xdr:cNvPr id="1632" name="텍스트 19">
          <a:extLst>
            <a:ext uri="{FF2B5EF4-FFF2-40B4-BE49-F238E27FC236}">
              <a16:creationId xmlns:a16="http://schemas.microsoft.com/office/drawing/2014/main" id="{AF8D072B-8B48-46D2-8EC8-524565DC7211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326243" cy="204671"/>
    <xdr:sp macro="" textlink="">
      <xdr:nvSpPr>
        <xdr:cNvPr id="1633" name="텍스트 21">
          <a:extLst>
            <a:ext uri="{FF2B5EF4-FFF2-40B4-BE49-F238E27FC236}">
              <a16:creationId xmlns:a16="http://schemas.microsoft.com/office/drawing/2014/main" id="{1956F5D8-864A-4C97-BFFF-7B78CD5457D5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634" name="텍스트 5">
          <a:extLst>
            <a:ext uri="{FF2B5EF4-FFF2-40B4-BE49-F238E27FC236}">
              <a16:creationId xmlns:a16="http://schemas.microsoft.com/office/drawing/2014/main" id="{F2137912-0CF5-46C3-B2DE-2E862EA07B9C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635" name="텍스트 7">
          <a:extLst>
            <a:ext uri="{FF2B5EF4-FFF2-40B4-BE49-F238E27FC236}">
              <a16:creationId xmlns:a16="http://schemas.microsoft.com/office/drawing/2014/main" id="{7B12E011-724A-4E43-AB28-45BB5E3BA3EA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249299" cy="204671"/>
    <xdr:sp macro="" textlink="">
      <xdr:nvSpPr>
        <xdr:cNvPr id="1636" name="텍스트 17">
          <a:extLst>
            <a:ext uri="{FF2B5EF4-FFF2-40B4-BE49-F238E27FC236}">
              <a16:creationId xmlns:a16="http://schemas.microsoft.com/office/drawing/2014/main" id="{0AA1A057-2877-4474-B0B2-DF867632281D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441659" cy="204671"/>
    <xdr:sp macro="" textlink="">
      <xdr:nvSpPr>
        <xdr:cNvPr id="1637" name="텍스트 19">
          <a:extLst>
            <a:ext uri="{FF2B5EF4-FFF2-40B4-BE49-F238E27FC236}">
              <a16:creationId xmlns:a16="http://schemas.microsoft.com/office/drawing/2014/main" id="{2A05A78D-C920-452B-A57E-FC2A9089D549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10</xdr:col>
      <xdr:colOff>820511</xdr:colOff>
      <xdr:row>15</xdr:row>
      <xdr:rowOff>0</xdr:rowOff>
    </xdr:from>
    <xdr:ext cx="326243" cy="204671"/>
    <xdr:sp macro="" textlink="">
      <xdr:nvSpPr>
        <xdr:cNvPr id="1638" name="텍스트 21">
          <a:extLst>
            <a:ext uri="{FF2B5EF4-FFF2-40B4-BE49-F238E27FC236}">
              <a16:creationId xmlns:a16="http://schemas.microsoft.com/office/drawing/2014/main" id="{C4851B06-AFA1-493A-BC5E-ACAB8C4F86C5}"/>
            </a:ext>
          </a:extLst>
        </xdr:cNvPr>
        <xdr:cNvSpPr txBox="1">
          <a:spLocks noChangeArrowheads="1"/>
        </xdr:cNvSpPr>
      </xdr:nvSpPr>
      <xdr:spPr bwMode="auto">
        <a:xfrm>
          <a:off x="7145111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287771" cy="204671"/>
    <xdr:sp macro="" textlink="">
      <xdr:nvSpPr>
        <xdr:cNvPr id="1639" name="텍스트 9">
          <a:extLst>
            <a:ext uri="{FF2B5EF4-FFF2-40B4-BE49-F238E27FC236}">
              <a16:creationId xmlns:a16="http://schemas.microsoft.com/office/drawing/2014/main" id="{634DDC83-707B-4334-8465-A785DB24BB13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326243" cy="204671"/>
    <xdr:sp macro="" textlink="">
      <xdr:nvSpPr>
        <xdr:cNvPr id="1640" name="텍스트 11">
          <a:extLst>
            <a:ext uri="{FF2B5EF4-FFF2-40B4-BE49-F238E27FC236}">
              <a16:creationId xmlns:a16="http://schemas.microsoft.com/office/drawing/2014/main" id="{561BCF0E-9815-45B8-9008-A3193DD4F835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249299" cy="204671"/>
    <xdr:sp macro="" textlink="">
      <xdr:nvSpPr>
        <xdr:cNvPr id="1641" name="텍스트 13">
          <a:extLst>
            <a:ext uri="{FF2B5EF4-FFF2-40B4-BE49-F238E27FC236}">
              <a16:creationId xmlns:a16="http://schemas.microsoft.com/office/drawing/2014/main" id="{117B8078-ED26-4EA3-B6B9-F7EAE6B8AFFA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820511</xdr:colOff>
      <xdr:row>16</xdr:row>
      <xdr:rowOff>0</xdr:rowOff>
    </xdr:from>
    <xdr:ext cx="326243" cy="204671"/>
    <xdr:sp macro="" textlink="">
      <xdr:nvSpPr>
        <xdr:cNvPr id="1642" name="텍스트 15">
          <a:extLst>
            <a:ext uri="{FF2B5EF4-FFF2-40B4-BE49-F238E27FC236}">
              <a16:creationId xmlns:a16="http://schemas.microsoft.com/office/drawing/2014/main" id="{07B0354F-8F01-4FE0-9871-3C0B7E26DBDB}"/>
            </a:ext>
          </a:extLst>
        </xdr:cNvPr>
        <xdr:cNvSpPr txBox="1">
          <a:spLocks noChangeArrowheads="1"/>
        </xdr:cNvSpPr>
      </xdr:nvSpPr>
      <xdr:spPr bwMode="auto">
        <a:xfrm>
          <a:off x="7145111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12</xdr:row>
      <xdr:rowOff>0</xdr:rowOff>
    </xdr:from>
    <xdr:ext cx="210827" cy="204671"/>
    <xdr:sp macro="" textlink="">
      <xdr:nvSpPr>
        <xdr:cNvPr id="1643" name="텍스트 1">
          <a:extLst>
            <a:ext uri="{FF2B5EF4-FFF2-40B4-BE49-F238E27FC236}">
              <a16:creationId xmlns:a16="http://schemas.microsoft.com/office/drawing/2014/main" id="{DC630452-80BB-44E4-994D-7227654010FC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12</xdr:row>
      <xdr:rowOff>0</xdr:rowOff>
    </xdr:from>
    <xdr:ext cx="56939" cy="204671"/>
    <xdr:sp macro="" textlink="">
      <xdr:nvSpPr>
        <xdr:cNvPr id="1644" name="텍스트 2">
          <a:extLst>
            <a:ext uri="{FF2B5EF4-FFF2-40B4-BE49-F238E27FC236}">
              <a16:creationId xmlns:a16="http://schemas.microsoft.com/office/drawing/2014/main" id="{B9ED51B1-A754-4A56-80E8-6C1EED8D2E69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645" name="텍스트 23">
          <a:extLst>
            <a:ext uri="{FF2B5EF4-FFF2-40B4-BE49-F238E27FC236}">
              <a16:creationId xmlns:a16="http://schemas.microsoft.com/office/drawing/2014/main" id="{57D45D4D-D530-4C3C-AF74-8A070BF5588C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646" name="텍스트 23">
          <a:extLst>
            <a:ext uri="{FF2B5EF4-FFF2-40B4-BE49-F238E27FC236}">
              <a16:creationId xmlns:a16="http://schemas.microsoft.com/office/drawing/2014/main" id="{F998AB15-E567-4B52-BABF-A3E5D1443614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12</xdr:row>
      <xdr:rowOff>0</xdr:rowOff>
    </xdr:from>
    <xdr:ext cx="210827" cy="204671"/>
    <xdr:sp macro="" textlink="">
      <xdr:nvSpPr>
        <xdr:cNvPr id="1647" name="텍스트 1">
          <a:extLst>
            <a:ext uri="{FF2B5EF4-FFF2-40B4-BE49-F238E27FC236}">
              <a16:creationId xmlns:a16="http://schemas.microsoft.com/office/drawing/2014/main" id="{209967BB-0CAE-4F89-83D7-F4E9871BE3DA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12</xdr:row>
      <xdr:rowOff>0</xdr:rowOff>
    </xdr:from>
    <xdr:ext cx="56939" cy="204671"/>
    <xdr:sp macro="" textlink="">
      <xdr:nvSpPr>
        <xdr:cNvPr id="1648" name="텍스트 2">
          <a:extLst>
            <a:ext uri="{FF2B5EF4-FFF2-40B4-BE49-F238E27FC236}">
              <a16:creationId xmlns:a16="http://schemas.microsoft.com/office/drawing/2014/main" id="{F09911F3-6923-4E93-8B35-4A77A940025A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172355" cy="204671"/>
    <xdr:sp macro="" textlink="">
      <xdr:nvSpPr>
        <xdr:cNvPr id="1649" name="텍스트 3">
          <a:extLst>
            <a:ext uri="{FF2B5EF4-FFF2-40B4-BE49-F238E27FC236}">
              <a16:creationId xmlns:a16="http://schemas.microsoft.com/office/drawing/2014/main" id="{80C3B92B-DED3-4804-9A15-FCA1EEF1577C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650" name="텍스트 4">
          <a:extLst>
            <a:ext uri="{FF2B5EF4-FFF2-40B4-BE49-F238E27FC236}">
              <a16:creationId xmlns:a16="http://schemas.microsoft.com/office/drawing/2014/main" id="{A91E54FD-E1AD-4C80-BA4E-B68FE7F933CD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249299" cy="204671"/>
    <xdr:sp macro="" textlink="">
      <xdr:nvSpPr>
        <xdr:cNvPr id="1651" name="텍스트 5">
          <a:extLst>
            <a:ext uri="{FF2B5EF4-FFF2-40B4-BE49-F238E27FC236}">
              <a16:creationId xmlns:a16="http://schemas.microsoft.com/office/drawing/2014/main" id="{714ECF66-C4AC-49DA-8ECF-ABA2F15FD2A3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652" name="텍스트 6">
          <a:extLst>
            <a:ext uri="{FF2B5EF4-FFF2-40B4-BE49-F238E27FC236}">
              <a16:creationId xmlns:a16="http://schemas.microsoft.com/office/drawing/2014/main" id="{D7136131-8874-43DB-8DAF-5E06E78EB1F4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249299" cy="204671"/>
    <xdr:sp macro="" textlink="">
      <xdr:nvSpPr>
        <xdr:cNvPr id="1653" name="텍스트 7">
          <a:extLst>
            <a:ext uri="{FF2B5EF4-FFF2-40B4-BE49-F238E27FC236}">
              <a16:creationId xmlns:a16="http://schemas.microsoft.com/office/drawing/2014/main" id="{ED471D5F-0596-409F-B511-0288B18AD22A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654" name="텍스트 8">
          <a:extLst>
            <a:ext uri="{FF2B5EF4-FFF2-40B4-BE49-F238E27FC236}">
              <a16:creationId xmlns:a16="http://schemas.microsoft.com/office/drawing/2014/main" id="{B2BA54E3-6E64-41CF-8C78-3E2E2C15AA9A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87771" cy="204671"/>
    <xdr:sp macro="" textlink="">
      <xdr:nvSpPr>
        <xdr:cNvPr id="1655" name="텍스트 9">
          <a:extLst>
            <a:ext uri="{FF2B5EF4-FFF2-40B4-BE49-F238E27FC236}">
              <a16:creationId xmlns:a16="http://schemas.microsoft.com/office/drawing/2014/main" id="{B810E1F5-E3CD-4916-8ACF-2AFF4975332C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56" name="텍스트 10">
          <a:extLst>
            <a:ext uri="{FF2B5EF4-FFF2-40B4-BE49-F238E27FC236}">
              <a16:creationId xmlns:a16="http://schemas.microsoft.com/office/drawing/2014/main" id="{ECE1FB9F-3EF8-4106-8DE0-0C6FB8A40AA8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657" name="텍스트 11">
          <a:extLst>
            <a:ext uri="{FF2B5EF4-FFF2-40B4-BE49-F238E27FC236}">
              <a16:creationId xmlns:a16="http://schemas.microsoft.com/office/drawing/2014/main" id="{B281AF12-A58D-4B24-842F-2C4C3EBE44DC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58" name="텍스트 12">
          <a:extLst>
            <a:ext uri="{FF2B5EF4-FFF2-40B4-BE49-F238E27FC236}">
              <a16:creationId xmlns:a16="http://schemas.microsoft.com/office/drawing/2014/main" id="{FF64B977-5459-4027-9C52-A1650CF72026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49299" cy="204671"/>
    <xdr:sp macro="" textlink="">
      <xdr:nvSpPr>
        <xdr:cNvPr id="1659" name="텍스트 13">
          <a:extLst>
            <a:ext uri="{FF2B5EF4-FFF2-40B4-BE49-F238E27FC236}">
              <a16:creationId xmlns:a16="http://schemas.microsoft.com/office/drawing/2014/main" id="{AE2AD1B0-8034-45DD-B6FB-14157EA2DD26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60" name="텍스트 14">
          <a:extLst>
            <a:ext uri="{FF2B5EF4-FFF2-40B4-BE49-F238E27FC236}">
              <a16:creationId xmlns:a16="http://schemas.microsoft.com/office/drawing/2014/main" id="{5DCC480A-D9D3-49B1-9351-9FC294880F4D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661" name="텍스트 15">
          <a:extLst>
            <a:ext uri="{FF2B5EF4-FFF2-40B4-BE49-F238E27FC236}">
              <a16:creationId xmlns:a16="http://schemas.microsoft.com/office/drawing/2014/main" id="{4FE2B383-F607-464B-A135-8985FC44276B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62" name="텍스트 16">
          <a:extLst>
            <a:ext uri="{FF2B5EF4-FFF2-40B4-BE49-F238E27FC236}">
              <a16:creationId xmlns:a16="http://schemas.microsoft.com/office/drawing/2014/main" id="{F5F8B627-223C-457B-869A-30DEFF40D488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249299" cy="204671"/>
    <xdr:sp macro="" textlink="">
      <xdr:nvSpPr>
        <xdr:cNvPr id="1663" name="텍스트 17">
          <a:extLst>
            <a:ext uri="{FF2B5EF4-FFF2-40B4-BE49-F238E27FC236}">
              <a16:creationId xmlns:a16="http://schemas.microsoft.com/office/drawing/2014/main" id="{1F8943BC-6832-409C-B96B-CAD417EE60AA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664" name="텍스트 18">
          <a:extLst>
            <a:ext uri="{FF2B5EF4-FFF2-40B4-BE49-F238E27FC236}">
              <a16:creationId xmlns:a16="http://schemas.microsoft.com/office/drawing/2014/main" id="{A232814F-764A-412E-AD94-C1DB7CA56EAA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665" name="텍스트 20">
          <a:extLst>
            <a:ext uri="{FF2B5EF4-FFF2-40B4-BE49-F238E27FC236}">
              <a16:creationId xmlns:a16="http://schemas.microsoft.com/office/drawing/2014/main" id="{C037AA06-7F48-4612-BE03-3E9010C23D4A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666" name="텍스트 22">
          <a:extLst>
            <a:ext uri="{FF2B5EF4-FFF2-40B4-BE49-F238E27FC236}">
              <a16:creationId xmlns:a16="http://schemas.microsoft.com/office/drawing/2014/main" id="{60782C11-7C92-44C0-9370-A248B702EB04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667" name="텍스트 23">
          <a:extLst>
            <a:ext uri="{FF2B5EF4-FFF2-40B4-BE49-F238E27FC236}">
              <a16:creationId xmlns:a16="http://schemas.microsoft.com/office/drawing/2014/main" id="{011335D0-C537-4A7D-9CB7-5C9B93E788B2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87771" cy="204671"/>
    <xdr:sp macro="" textlink="">
      <xdr:nvSpPr>
        <xdr:cNvPr id="1668" name="텍스트 9">
          <a:extLst>
            <a:ext uri="{FF2B5EF4-FFF2-40B4-BE49-F238E27FC236}">
              <a16:creationId xmlns:a16="http://schemas.microsoft.com/office/drawing/2014/main" id="{BE39B33E-8E9B-46EE-8A0F-44B92FF4E60C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69" name="텍스트 10">
          <a:extLst>
            <a:ext uri="{FF2B5EF4-FFF2-40B4-BE49-F238E27FC236}">
              <a16:creationId xmlns:a16="http://schemas.microsoft.com/office/drawing/2014/main" id="{7A017551-0172-43C8-9FDC-57A51758A347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670" name="텍스트 11">
          <a:extLst>
            <a:ext uri="{FF2B5EF4-FFF2-40B4-BE49-F238E27FC236}">
              <a16:creationId xmlns:a16="http://schemas.microsoft.com/office/drawing/2014/main" id="{2FAC3754-270B-4678-B606-197F94514E15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71" name="텍스트 12">
          <a:extLst>
            <a:ext uri="{FF2B5EF4-FFF2-40B4-BE49-F238E27FC236}">
              <a16:creationId xmlns:a16="http://schemas.microsoft.com/office/drawing/2014/main" id="{6A2611D0-546C-4CBA-9E2E-6FE4C86BF81D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49299" cy="204671"/>
    <xdr:sp macro="" textlink="">
      <xdr:nvSpPr>
        <xdr:cNvPr id="1672" name="텍스트 13">
          <a:extLst>
            <a:ext uri="{FF2B5EF4-FFF2-40B4-BE49-F238E27FC236}">
              <a16:creationId xmlns:a16="http://schemas.microsoft.com/office/drawing/2014/main" id="{9E44EA74-FB05-4E3A-9E23-80E99EBC8B46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73" name="텍스트 14">
          <a:extLst>
            <a:ext uri="{FF2B5EF4-FFF2-40B4-BE49-F238E27FC236}">
              <a16:creationId xmlns:a16="http://schemas.microsoft.com/office/drawing/2014/main" id="{6560521F-B4E4-41E6-8B1F-7A686CD1FD40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674" name="텍스트 15">
          <a:extLst>
            <a:ext uri="{FF2B5EF4-FFF2-40B4-BE49-F238E27FC236}">
              <a16:creationId xmlns:a16="http://schemas.microsoft.com/office/drawing/2014/main" id="{44F65852-4265-4DC9-8414-282D0C725C90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75" name="텍스트 16">
          <a:extLst>
            <a:ext uri="{FF2B5EF4-FFF2-40B4-BE49-F238E27FC236}">
              <a16:creationId xmlns:a16="http://schemas.microsoft.com/office/drawing/2014/main" id="{1337ED41-1E77-48C9-ADC7-BB3F9E89E8A4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172355" cy="204671"/>
    <xdr:sp macro="" textlink="">
      <xdr:nvSpPr>
        <xdr:cNvPr id="1676" name="텍스트 3">
          <a:extLst>
            <a:ext uri="{FF2B5EF4-FFF2-40B4-BE49-F238E27FC236}">
              <a16:creationId xmlns:a16="http://schemas.microsoft.com/office/drawing/2014/main" id="{F1EC0DAE-EFD1-443F-AB14-99403D87DB17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677" name="텍스트 4">
          <a:extLst>
            <a:ext uri="{FF2B5EF4-FFF2-40B4-BE49-F238E27FC236}">
              <a16:creationId xmlns:a16="http://schemas.microsoft.com/office/drawing/2014/main" id="{CF77F1B1-9FC3-4C61-BFE3-DDB9A0C45D9A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249299" cy="204671"/>
    <xdr:sp macro="" textlink="">
      <xdr:nvSpPr>
        <xdr:cNvPr id="1678" name="텍스트 5">
          <a:extLst>
            <a:ext uri="{FF2B5EF4-FFF2-40B4-BE49-F238E27FC236}">
              <a16:creationId xmlns:a16="http://schemas.microsoft.com/office/drawing/2014/main" id="{014F785A-0AF4-4989-9097-519561F63225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679" name="텍스트 6">
          <a:extLst>
            <a:ext uri="{FF2B5EF4-FFF2-40B4-BE49-F238E27FC236}">
              <a16:creationId xmlns:a16="http://schemas.microsoft.com/office/drawing/2014/main" id="{6D0524AF-4298-4B7D-B9ED-D88EC0D85751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249299" cy="204671"/>
    <xdr:sp macro="" textlink="">
      <xdr:nvSpPr>
        <xdr:cNvPr id="1680" name="텍스트 7">
          <a:extLst>
            <a:ext uri="{FF2B5EF4-FFF2-40B4-BE49-F238E27FC236}">
              <a16:creationId xmlns:a16="http://schemas.microsoft.com/office/drawing/2014/main" id="{41A87F46-B511-46F1-8DFE-7A3268351352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681" name="텍스트 8">
          <a:extLst>
            <a:ext uri="{FF2B5EF4-FFF2-40B4-BE49-F238E27FC236}">
              <a16:creationId xmlns:a16="http://schemas.microsoft.com/office/drawing/2014/main" id="{7E3AFBF6-2323-4B7C-AE75-9F8C5CA75359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249299" cy="204671"/>
    <xdr:sp macro="" textlink="">
      <xdr:nvSpPr>
        <xdr:cNvPr id="1682" name="텍스트 17">
          <a:extLst>
            <a:ext uri="{FF2B5EF4-FFF2-40B4-BE49-F238E27FC236}">
              <a16:creationId xmlns:a16="http://schemas.microsoft.com/office/drawing/2014/main" id="{8FC805D4-674A-450C-A800-9CBF64DA9B30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683" name="텍스트 18">
          <a:extLst>
            <a:ext uri="{FF2B5EF4-FFF2-40B4-BE49-F238E27FC236}">
              <a16:creationId xmlns:a16="http://schemas.microsoft.com/office/drawing/2014/main" id="{A7DE344D-F590-4A12-9B17-D9610FFC5937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684" name="텍스트 20">
          <a:extLst>
            <a:ext uri="{FF2B5EF4-FFF2-40B4-BE49-F238E27FC236}">
              <a16:creationId xmlns:a16="http://schemas.microsoft.com/office/drawing/2014/main" id="{E0858176-C6A2-4692-A81A-08B6C4F2AAE5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685" name="텍스트 22">
          <a:extLst>
            <a:ext uri="{FF2B5EF4-FFF2-40B4-BE49-F238E27FC236}">
              <a16:creationId xmlns:a16="http://schemas.microsoft.com/office/drawing/2014/main" id="{2DE10D3E-95E3-46AB-B112-71829B2C1497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87771" cy="204671"/>
    <xdr:sp macro="" textlink="">
      <xdr:nvSpPr>
        <xdr:cNvPr id="1686" name="텍스트 9">
          <a:extLst>
            <a:ext uri="{FF2B5EF4-FFF2-40B4-BE49-F238E27FC236}">
              <a16:creationId xmlns:a16="http://schemas.microsoft.com/office/drawing/2014/main" id="{CFCBEFF7-0231-44F2-8000-8B04A3DA15D5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87" name="텍스트 10">
          <a:extLst>
            <a:ext uri="{FF2B5EF4-FFF2-40B4-BE49-F238E27FC236}">
              <a16:creationId xmlns:a16="http://schemas.microsoft.com/office/drawing/2014/main" id="{4119F2B5-0513-44C1-A1D6-9909F06F6A58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688" name="텍스트 11">
          <a:extLst>
            <a:ext uri="{FF2B5EF4-FFF2-40B4-BE49-F238E27FC236}">
              <a16:creationId xmlns:a16="http://schemas.microsoft.com/office/drawing/2014/main" id="{6C05F24F-31D8-45D8-8A29-F7122AC49146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89" name="텍스트 12">
          <a:extLst>
            <a:ext uri="{FF2B5EF4-FFF2-40B4-BE49-F238E27FC236}">
              <a16:creationId xmlns:a16="http://schemas.microsoft.com/office/drawing/2014/main" id="{3A76BF93-4C0B-446D-99A5-B523DDEE8F8D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49299" cy="204671"/>
    <xdr:sp macro="" textlink="">
      <xdr:nvSpPr>
        <xdr:cNvPr id="1690" name="텍스트 13">
          <a:extLst>
            <a:ext uri="{FF2B5EF4-FFF2-40B4-BE49-F238E27FC236}">
              <a16:creationId xmlns:a16="http://schemas.microsoft.com/office/drawing/2014/main" id="{018686EC-0AF1-44C8-A66F-A68B030AFAE3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91" name="텍스트 14">
          <a:extLst>
            <a:ext uri="{FF2B5EF4-FFF2-40B4-BE49-F238E27FC236}">
              <a16:creationId xmlns:a16="http://schemas.microsoft.com/office/drawing/2014/main" id="{D6227B50-5A6B-432F-BA1A-4A7696039CF9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692" name="텍스트 15">
          <a:extLst>
            <a:ext uri="{FF2B5EF4-FFF2-40B4-BE49-F238E27FC236}">
              <a16:creationId xmlns:a16="http://schemas.microsoft.com/office/drawing/2014/main" id="{69240929-61B6-40B6-8987-3C0D3CA18C35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93" name="텍스트 16">
          <a:extLst>
            <a:ext uri="{FF2B5EF4-FFF2-40B4-BE49-F238E27FC236}">
              <a16:creationId xmlns:a16="http://schemas.microsoft.com/office/drawing/2014/main" id="{3AAD0841-5F67-4A7F-BC1E-A9F691B29ADA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87771" cy="204671"/>
    <xdr:sp macro="" textlink="">
      <xdr:nvSpPr>
        <xdr:cNvPr id="1694" name="텍스트 9">
          <a:extLst>
            <a:ext uri="{FF2B5EF4-FFF2-40B4-BE49-F238E27FC236}">
              <a16:creationId xmlns:a16="http://schemas.microsoft.com/office/drawing/2014/main" id="{ADAB33FC-E366-4901-8B98-D72FD440BD91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95" name="텍스트 10">
          <a:extLst>
            <a:ext uri="{FF2B5EF4-FFF2-40B4-BE49-F238E27FC236}">
              <a16:creationId xmlns:a16="http://schemas.microsoft.com/office/drawing/2014/main" id="{EF2786E6-96F3-46FC-9E22-FE702DA28FE3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696" name="텍스트 11">
          <a:extLst>
            <a:ext uri="{FF2B5EF4-FFF2-40B4-BE49-F238E27FC236}">
              <a16:creationId xmlns:a16="http://schemas.microsoft.com/office/drawing/2014/main" id="{F3492CDC-A808-4DC1-BA23-93DDC151206E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97" name="텍스트 12">
          <a:extLst>
            <a:ext uri="{FF2B5EF4-FFF2-40B4-BE49-F238E27FC236}">
              <a16:creationId xmlns:a16="http://schemas.microsoft.com/office/drawing/2014/main" id="{437AD43E-B730-43F1-BA83-30B9B1CCA2DA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49299" cy="204671"/>
    <xdr:sp macro="" textlink="">
      <xdr:nvSpPr>
        <xdr:cNvPr id="1698" name="텍스트 13">
          <a:extLst>
            <a:ext uri="{FF2B5EF4-FFF2-40B4-BE49-F238E27FC236}">
              <a16:creationId xmlns:a16="http://schemas.microsoft.com/office/drawing/2014/main" id="{09B5B979-1EBE-4D74-A20F-96D554E4E977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699" name="텍스트 14">
          <a:extLst>
            <a:ext uri="{FF2B5EF4-FFF2-40B4-BE49-F238E27FC236}">
              <a16:creationId xmlns:a16="http://schemas.microsoft.com/office/drawing/2014/main" id="{05D46B07-200E-47E5-B07A-9B107676952B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700" name="텍스트 15">
          <a:extLst>
            <a:ext uri="{FF2B5EF4-FFF2-40B4-BE49-F238E27FC236}">
              <a16:creationId xmlns:a16="http://schemas.microsoft.com/office/drawing/2014/main" id="{BB7F1D4C-2C08-405F-8C58-517161C42D26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01" name="텍스트 16">
          <a:extLst>
            <a:ext uri="{FF2B5EF4-FFF2-40B4-BE49-F238E27FC236}">
              <a16:creationId xmlns:a16="http://schemas.microsoft.com/office/drawing/2014/main" id="{9D471A08-E9DC-4B7B-8C8E-25236EC64A38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12</xdr:row>
      <xdr:rowOff>0</xdr:rowOff>
    </xdr:from>
    <xdr:ext cx="210827" cy="204671"/>
    <xdr:sp macro="" textlink="">
      <xdr:nvSpPr>
        <xdr:cNvPr id="1702" name="텍스트 1">
          <a:extLst>
            <a:ext uri="{FF2B5EF4-FFF2-40B4-BE49-F238E27FC236}">
              <a16:creationId xmlns:a16="http://schemas.microsoft.com/office/drawing/2014/main" id="{2A2AD939-BF20-4528-A77F-0C9689D0C7A0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12</xdr:row>
      <xdr:rowOff>0</xdr:rowOff>
    </xdr:from>
    <xdr:ext cx="56939" cy="204671"/>
    <xdr:sp macro="" textlink="">
      <xdr:nvSpPr>
        <xdr:cNvPr id="1703" name="텍스트 2">
          <a:extLst>
            <a:ext uri="{FF2B5EF4-FFF2-40B4-BE49-F238E27FC236}">
              <a16:creationId xmlns:a16="http://schemas.microsoft.com/office/drawing/2014/main" id="{E1451C6C-0AAA-4362-A367-33EDFC9224E2}"/>
            </a:ext>
          </a:extLst>
        </xdr:cNvPr>
        <xdr:cNvSpPr txBox="1">
          <a:spLocks noChangeArrowheads="1"/>
        </xdr:cNvSpPr>
      </xdr:nvSpPr>
      <xdr:spPr bwMode="auto">
        <a:xfrm>
          <a:off x="7382328" y="30861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172355" cy="204671"/>
    <xdr:sp macro="" textlink="">
      <xdr:nvSpPr>
        <xdr:cNvPr id="1704" name="텍스트 3">
          <a:extLst>
            <a:ext uri="{FF2B5EF4-FFF2-40B4-BE49-F238E27FC236}">
              <a16:creationId xmlns:a16="http://schemas.microsoft.com/office/drawing/2014/main" id="{15D16D13-BA25-4651-ACBA-93C39DFA404A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705" name="텍스트 4">
          <a:extLst>
            <a:ext uri="{FF2B5EF4-FFF2-40B4-BE49-F238E27FC236}">
              <a16:creationId xmlns:a16="http://schemas.microsoft.com/office/drawing/2014/main" id="{ED67C1B5-CF63-4A7A-A7E5-F1C0BF722575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249299" cy="204671"/>
    <xdr:sp macro="" textlink="">
      <xdr:nvSpPr>
        <xdr:cNvPr id="1706" name="텍스트 5">
          <a:extLst>
            <a:ext uri="{FF2B5EF4-FFF2-40B4-BE49-F238E27FC236}">
              <a16:creationId xmlns:a16="http://schemas.microsoft.com/office/drawing/2014/main" id="{4DCA46DB-6389-4547-BFB4-32A5237D985C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707" name="텍스트 6">
          <a:extLst>
            <a:ext uri="{FF2B5EF4-FFF2-40B4-BE49-F238E27FC236}">
              <a16:creationId xmlns:a16="http://schemas.microsoft.com/office/drawing/2014/main" id="{0078ED47-FA17-4E2C-B2CF-747DD6AC61E2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249299" cy="204671"/>
    <xdr:sp macro="" textlink="">
      <xdr:nvSpPr>
        <xdr:cNvPr id="1708" name="텍스트 7">
          <a:extLst>
            <a:ext uri="{FF2B5EF4-FFF2-40B4-BE49-F238E27FC236}">
              <a16:creationId xmlns:a16="http://schemas.microsoft.com/office/drawing/2014/main" id="{3420FA2B-A26D-4BD5-BA55-CF810224C36E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709" name="텍스트 8">
          <a:extLst>
            <a:ext uri="{FF2B5EF4-FFF2-40B4-BE49-F238E27FC236}">
              <a16:creationId xmlns:a16="http://schemas.microsoft.com/office/drawing/2014/main" id="{AE2AA754-46E5-4B85-A35A-155573A779A2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87771" cy="204671"/>
    <xdr:sp macro="" textlink="">
      <xdr:nvSpPr>
        <xdr:cNvPr id="1710" name="텍스트 9">
          <a:extLst>
            <a:ext uri="{FF2B5EF4-FFF2-40B4-BE49-F238E27FC236}">
              <a16:creationId xmlns:a16="http://schemas.microsoft.com/office/drawing/2014/main" id="{867C2700-F876-455A-81CB-1EA9830619A4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11" name="텍스트 10">
          <a:extLst>
            <a:ext uri="{FF2B5EF4-FFF2-40B4-BE49-F238E27FC236}">
              <a16:creationId xmlns:a16="http://schemas.microsoft.com/office/drawing/2014/main" id="{025597E5-7F90-4301-A270-3C2C7C65C88E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712" name="텍스트 11">
          <a:extLst>
            <a:ext uri="{FF2B5EF4-FFF2-40B4-BE49-F238E27FC236}">
              <a16:creationId xmlns:a16="http://schemas.microsoft.com/office/drawing/2014/main" id="{71128DCF-7068-4F03-B489-71E4CF55709E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13" name="텍스트 12">
          <a:extLst>
            <a:ext uri="{FF2B5EF4-FFF2-40B4-BE49-F238E27FC236}">
              <a16:creationId xmlns:a16="http://schemas.microsoft.com/office/drawing/2014/main" id="{7702AD2D-5549-4B0A-A1ED-1B81E4F7A98A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49299" cy="204671"/>
    <xdr:sp macro="" textlink="">
      <xdr:nvSpPr>
        <xdr:cNvPr id="1714" name="텍스트 13">
          <a:extLst>
            <a:ext uri="{FF2B5EF4-FFF2-40B4-BE49-F238E27FC236}">
              <a16:creationId xmlns:a16="http://schemas.microsoft.com/office/drawing/2014/main" id="{ABBB0688-794F-434D-A2D1-48D7023E4ACD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15" name="텍스트 14">
          <a:extLst>
            <a:ext uri="{FF2B5EF4-FFF2-40B4-BE49-F238E27FC236}">
              <a16:creationId xmlns:a16="http://schemas.microsoft.com/office/drawing/2014/main" id="{BEFD357A-D2D6-463D-A2C3-FFC70DF6B445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716" name="텍스트 15">
          <a:extLst>
            <a:ext uri="{FF2B5EF4-FFF2-40B4-BE49-F238E27FC236}">
              <a16:creationId xmlns:a16="http://schemas.microsoft.com/office/drawing/2014/main" id="{2C10C85F-0815-4697-865C-434F00E1F84A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17" name="텍스트 16">
          <a:extLst>
            <a:ext uri="{FF2B5EF4-FFF2-40B4-BE49-F238E27FC236}">
              <a16:creationId xmlns:a16="http://schemas.microsoft.com/office/drawing/2014/main" id="{307C588D-2756-47CA-8EB3-2219214C0E2C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249299" cy="204671"/>
    <xdr:sp macro="" textlink="">
      <xdr:nvSpPr>
        <xdr:cNvPr id="1718" name="텍스트 17">
          <a:extLst>
            <a:ext uri="{FF2B5EF4-FFF2-40B4-BE49-F238E27FC236}">
              <a16:creationId xmlns:a16="http://schemas.microsoft.com/office/drawing/2014/main" id="{BE627A46-7ED3-4EF4-8E1F-4534AD9CE709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719" name="텍스트 18">
          <a:extLst>
            <a:ext uri="{FF2B5EF4-FFF2-40B4-BE49-F238E27FC236}">
              <a16:creationId xmlns:a16="http://schemas.microsoft.com/office/drawing/2014/main" id="{36EFA9C5-6DE3-4A88-801C-B120E027F943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720" name="텍스트 20">
          <a:extLst>
            <a:ext uri="{FF2B5EF4-FFF2-40B4-BE49-F238E27FC236}">
              <a16:creationId xmlns:a16="http://schemas.microsoft.com/office/drawing/2014/main" id="{0D9A06D9-E5ED-4275-9DE6-DF4A413E52BA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721" name="텍스트 22">
          <a:extLst>
            <a:ext uri="{FF2B5EF4-FFF2-40B4-BE49-F238E27FC236}">
              <a16:creationId xmlns:a16="http://schemas.microsoft.com/office/drawing/2014/main" id="{62FD9C94-9981-4745-80DB-406803637F7C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722" name="텍스트 23">
          <a:extLst>
            <a:ext uri="{FF2B5EF4-FFF2-40B4-BE49-F238E27FC236}">
              <a16:creationId xmlns:a16="http://schemas.microsoft.com/office/drawing/2014/main" id="{A7F5BBFA-0947-40BD-B5DE-3B8368A7C90D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87771" cy="204671"/>
    <xdr:sp macro="" textlink="">
      <xdr:nvSpPr>
        <xdr:cNvPr id="1723" name="텍스트 9">
          <a:extLst>
            <a:ext uri="{FF2B5EF4-FFF2-40B4-BE49-F238E27FC236}">
              <a16:creationId xmlns:a16="http://schemas.microsoft.com/office/drawing/2014/main" id="{E6DE439A-1876-4050-AFC5-B3B1DD6BDE6D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24" name="텍스트 10">
          <a:extLst>
            <a:ext uri="{FF2B5EF4-FFF2-40B4-BE49-F238E27FC236}">
              <a16:creationId xmlns:a16="http://schemas.microsoft.com/office/drawing/2014/main" id="{0D672F17-F4C3-426E-8272-7A86743D13D6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725" name="텍스트 11">
          <a:extLst>
            <a:ext uri="{FF2B5EF4-FFF2-40B4-BE49-F238E27FC236}">
              <a16:creationId xmlns:a16="http://schemas.microsoft.com/office/drawing/2014/main" id="{EFD294D3-4351-4537-8FA5-4F787CA873C8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26" name="텍스트 12">
          <a:extLst>
            <a:ext uri="{FF2B5EF4-FFF2-40B4-BE49-F238E27FC236}">
              <a16:creationId xmlns:a16="http://schemas.microsoft.com/office/drawing/2014/main" id="{7F0E9A02-E7BC-4E29-8783-6A69E2674FBE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49299" cy="204671"/>
    <xdr:sp macro="" textlink="">
      <xdr:nvSpPr>
        <xdr:cNvPr id="1727" name="텍스트 13">
          <a:extLst>
            <a:ext uri="{FF2B5EF4-FFF2-40B4-BE49-F238E27FC236}">
              <a16:creationId xmlns:a16="http://schemas.microsoft.com/office/drawing/2014/main" id="{8706EA9E-0D9F-4591-BFA2-F42C2AC47394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28" name="텍스트 14">
          <a:extLst>
            <a:ext uri="{FF2B5EF4-FFF2-40B4-BE49-F238E27FC236}">
              <a16:creationId xmlns:a16="http://schemas.microsoft.com/office/drawing/2014/main" id="{669C30C6-3C32-4DFE-A1D6-E61EC91A7545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729" name="텍스트 15">
          <a:extLst>
            <a:ext uri="{FF2B5EF4-FFF2-40B4-BE49-F238E27FC236}">
              <a16:creationId xmlns:a16="http://schemas.microsoft.com/office/drawing/2014/main" id="{DD2FE779-0D4A-4C00-B921-3F432149A665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30" name="텍스트 16">
          <a:extLst>
            <a:ext uri="{FF2B5EF4-FFF2-40B4-BE49-F238E27FC236}">
              <a16:creationId xmlns:a16="http://schemas.microsoft.com/office/drawing/2014/main" id="{A5111833-28B1-41F6-B571-09EDFFDF1A30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287771" cy="204671"/>
    <xdr:sp macro="" textlink="">
      <xdr:nvSpPr>
        <xdr:cNvPr id="1731" name="텍스트 9">
          <a:extLst>
            <a:ext uri="{FF2B5EF4-FFF2-40B4-BE49-F238E27FC236}">
              <a16:creationId xmlns:a16="http://schemas.microsoft.com/office/drawing/2014/main" id="{FD4B7756-E39D-4C25-8EC3-E80BBFD7DC75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56939" cy="204671"/>
    <xdr:sp macro="" textlink="">
      <xdr:nvSpPr>
        <xdr:cNvPr id="1732" name="텍스트 10">
          <a:extLst>
            <a:ext uri="{FF2B5EF4-FFF2-40B4-BE49-F238E27FC236}">
              <a16:creationId xmlns:a16="http://schemas.microsoft.com/office/drawing/2014/main" id="{6827F81F-B7A1-47B8-ADC6-1ACB5AE2FDC5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326243" cy="204671"/>
    <xdr:sp macro="" textlink="">
      <xdr:nvSpPr>
        <xdr:cNvPr id="1733" name="텍스트 11">
          <a:extLst>
            <a:ext uri="{FF2B5EF4-FFF2-40B4-BE49-F238E27FC236}">
              <a16:creationId xmlns:a16="http://schemas.microsoft.com/office/drawing/2014/main" id="{500722A6-F56E-40E5-B15A-7823C0D2D871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56939" cy="204671"/>
    <xdr:sp macro="" textlink="">
      <xdr:nvSpPr>
        <xdr:cNvPr id="1734" name="텍스트 12">
          <a:extLst>
            <a:ext uri="{FF2B5EF4-FFF2-40B4-BE49-F238E27FC236}">
              <a16:creationId xmlns:a16="http://schemas.microsoft.com/office/drawing/2014/main" id="{74CE726E-4AC3-450A-8D1B-C77950C48B95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249299" cy="204671"/>
    <xdr:sp macro="" textlink="">
      <xdr:nvSpPr>
        <xdr:cNvPr id="1735" name="텍스트 13">
          <a:extLst>
            <a:ext uri="{FF2B5EF4-FFF2-40B4-BE49-F238E27FC236}">
              <a16:creationId xmlns:a16="http://schemas.microsoft.com/office/drawing/2014/main" id="{64357F7B-50F1-4173-B4D0-35E7A894DC71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56939" cy="204671"/>
    <xdr:sp macro="" textlink="">
      <xdr:nvSpPr>
        <xdr:cNvPr id="1736" name="텍스트 14">
          <a:extLst>
            <a:ext uri="{FF2B5EF4-FFF2-40B4-BE49-F238E27FC236}">
              <a16:creationId xmlns:a16="http://schemas.microsoft.com/office/drawing/2014/main" id="{F6F04FE4-D683-411B-BEDE-9492FDF450A6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326243" cy="204671"/>
    <xdr:sp macro="" textlink="">
      <xdr:nvSpPr>
        <xdr:cNvPr id="1737" name="텍스트 15">
          <a:extLst>
            <a:ext uri="{FF2B5EF4-FFF2-40B4-BE49-F238E27FC236}">
              <a16:creationId xmlns:a16="http://schemas.microsoft.com/office/drawing/2014/main" id="{B11B36DC-6EC2-4957-AB2F-52AB8C481996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172355" cy="204671"/>
    <xdr:sp macro="" textlink="">
      <xdr:nvSpPr>
        <xdr:cNvPr id="1738" name="텍스트 3">
          <a:extLst>
            <a:ext uri="{FF2B5EF4-FFF2-40B4-BE49-F238E27FC236}">
              <a16:creationId xmlns:a16="http://schemas.microsoft.com/office/drawing/2014/main" id="{F8923D35-6E8A-4AD9-BA44-E2A530588CEF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739" name="텍스트 4">
          <a:extLst>
            <a:ext uri="{FF2B5EF4-FFF2-40B4-BE49-F238E27FC236}">
              <a16:creationId xmlns:a16="http://schemas.microsoft.com/office/drawing/2014/main" id="{96335BB9-7705-45AB-8D23-1E795D07518D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740" name="텍스트 5">
          <a:extLst>
            <a:ext uri="{FF2B5EF4-FFF2-40B4-BE49-F238E27FC236}">
              <a16:creationId xmlns:a16="http://schemas.microsoft.com/office/drawing/2014/main" id="{C7CCA780-D809-424B-9DA9-53A38D8766C3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741" name="텍스트 6">
          <a:extLst>
            <a:ext uri="{FF2B5EF4-FFF2-40B4-BE49-F238E27FC236}">
              <a16:creationId xmlns:a16="http://schemas.microsoft.com/office/drawing/2014/main" id="{D827849E-3734-4BFB-9649-76FC31008DCA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742" name="텍스트 7">
          <a:extLst>
            <a:ext uri="{FF2B5EF4-FFF2-40B4-BE49-F238E27FC236}">
              <a16:creationId xmlns:a16="http://schemas.microsoft.com/office/drawing/2014/main" id="{74AC4040-2E45-4CAB-B00E-BB8E3E679191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743" name="텍스트 8">
          <a:extLst>
            <a:ext uri="{FF2B5EF4-FFF2-40B4-BE49-F238E27FC236}">
              <a16:creationId xmlns:a16="http://schemas.microsoft.com/office/drawing/2014/main" id="{39FBE877-C9AE-4B87-9A6B-C13102E80DF2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744" name="텍스트 17">
          <a:extLst>
            <a:ext uri="{FF2B5EF4-FFF2-40B4-BE49-F238E27FC236}">
              <a16:creationId xmlns:a16="http://schemas.microsoft.com/office/drawing/2014/main" id="{250E6A37-539C-4786-8E2D-40E44658CE8F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745" name="텍스트 18">
          <a:extLst>
            <a:ext uri="{FF2B5EF4-FFF2-40B4-BE49-F238E27FC236}">
              <a16:creationId xmlns:a16="http://schemas.microsoft.com/office/drawing/2014/main" id="{DED3E76A-FD42-40E0-A31A-55B422DDF0CD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441659" cy="204671"/>
    <xdr:sp macro="" textlink="">
      <xdr:nvSpPr>
        <xdr:cNvPr id="1746" name="텍스트 19">
          <a:extLst>
            <a:ext uri="{FF2B5EF4-FFF2-40B4-BE49-F238E27FC236}">
              <a16:creationId xmlns:a16="http://schemas.microsoft.com/office/drawing/2014/main" id="{4C2D9B60-1311-4555-B724-D662441242AE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747" name="텍스트 20">
          <a:extLst>
            <a:ext uri="{FF2B5EF4-FFF2-40B4-BE49-F238E27FC236}">
              <a16:creationId xmlns:a16="http://schemas.microsoft.com/office/drawing/2014/main" id="{A665A00B-79E4-4442-9A51-14437E45232B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326243" cy="204671"/>
    <xdr:sp macro="" textlink="">
      <xdr:nvSpPr>
        <xdr:cNvPr id="1748" name="텍스트 21">
          <a:extLst>
            <a:ext uri="{FF2B5EF4-FFF2-40B4-BE49-F238E27FC236}">
              <a16:creationId xmlns:a16="http://schemas.microsoft.com/office/drawing/2014/main" id="{E7BEE9AA-A727-4E21-A741-68BF0CA63544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749" name="텍스트 22">
          <a:extLst>
            <a:ext uri="{FF2B5EF4-FFF2-40B4-BE49-F238E27FC236}">
              <a16:creationId xmlns:a16="http://schemas.microsoft.com/office/drawing/2014/main" id="{A28699E4-4385-435C-A463-32225C69D6F9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172355" cy="204671"/>
    <xdr:sp macro="" textlink="">
      <xdr:nvSpPr>
        <xdr:cNvPr id="1750" name="텍스트 3">
          <a:extLst>
            <a:ext uri="{FF2B5EF4-FFF2-40B4-BE49-F238E27FC236}">
              <a16:creationId xmlns:a16="http://schemas.microsoft.com/office/drawing/2014/main" id="{C564521B-1AAF-4D52-AB70-728C61BD0B17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751" name="텍스트 4">
          <a:extLst>
            <a:ext uri="{FF2B5EF4-FFF2-40B4-BE49-F238E27FC236}">
              <a16:creationId xmlns:a16="http://schemas.microsoft.com/office/drawing/2014/main" id="{39B36119-700A-4964-99CA-829B5F22EFC1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249299" cy="204671"/>
    <xdr:sp macro="" textlink="">
      <xdr:nvSpPr>
        <xdr:cNvPr id="1752" name="텍스트 5">
          <a:extLst>
            <a:ext uri="{FF2B5EF4-FFF2-40B4-BE49-F238E27FC236}">
              <a16:creationId xmlns:a16="http://schemas.microsoft.com/office/drawing/2014/main" id="{AC1002B6-0625-4BF9-BB9D-37FCC0C7ACA8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753" name="텍스트 6">
          <a:extLst>
            <a:ext uri="{FF2B5EF4-FFF2-40B4-BE49-F238E27FC236}">
              <a16:creationId xmlns:a16="http://schemas.microsoft.com/office/drawing/2014/main" id="{8C167ACF-E7E2-4BE6-96D6-C0D62024BA28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249299" cy="204671"/>
    <xdr:sp macro="" textlink="">
      <xdr:nvSpPr>
        <xdr:cNvPr id="1754" name="텍스트 7">
          <a:extLst>
            <a:ext uri="{FF2B5EF4-FFF2-40B4-BE49-F238E27FC236}">
              <a16:creationId xmlns:a16="http://schemas.microsoft.com/office/drawing/2014/main" id="{72E624E0-52BE-4131-9AD0-1FE18176A440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755" name="텍스트 8">
          <a:extLst>
            <a:ext uri="{FF2B5EF4-FFF2-40B4-BE49-F238E27FC236}">
              <a16:creationId xmlns:a16="http://schemas.microsoft.com/office/drawing/2014/main" id="{1B955259-6ABD-4308-AA68-158B50F4426A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249299" cy="204671"/>
    <xdr:sp macro="" textlink="">
      <xdr:nvSpPr>
        <xdr:cNvPr id="1756" name="텍스트 17">
          <a:extLst>
            <a:ext uri="{FF2B5EF4-FFF2-40B4-BE49-F238E27FC236}">
              <a16:creationId xmlns:a16="http://schemas.microsoft.com/office/drawing/2014/main" id="{29533A18-0186-42E9-B61F-8033E80D1008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757" name="텍스트 18">
          <a:extLst>
            <a:ext uri="{FF2B5EF4-FFF2-40B4-BE49-F238E27FC236}">
              <a16:creationId xmlns:a16="http://schemas.microsoft.com/office/drawing/2014/main" id="{8615E950-0E53-4C8C-8D61-285A401AA052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758" name="텍스트 20">
          <a:extLst>
            <a:ext uri="{FF2B5EF4-FFF2-40B4-BE49-F238E27FC236}">
              <a16:creationId xmlns:a16="http://schemas.microsoft.com/office/drawing/2014/main" id="{69A5D98C-D76C-41BE-B5EE-05797DD23809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15</xdr:row>
      <xdr:rowOff>0</xdr:rowOff>
    </xdr:from>
    <xdr:ext cx="56939" cy="204671"/>
    <xdr:sp macro="" textlink="">
      <xdr:nvSpPr>
        <xdr:cNvPr id="1759" name="텍스트 22">
          <a:extLst>
            <a:ext uri="{FF2B5EF4-FFF2-40B4-BE49-F238E27FC236}">
              <a16:creationId xmlns:a16="http://schemas.microsoft.com/office/drawing/2014/main" id="{187B748C-968E-46D6-BFBA-AF040E1EE8D1}"/>
            </a:ext>
          </a:extLst>
        </xdr:cNvPr>
        <xdr:cNvSpPr txBox="1">
          <a:spLocks noChangeArrowheads="1"/>
        </xdr:cNvSpPr>
      </xdr:nvSpPr>
      <xdr:spPr bwMode="auto">
        <a:xfrm>
          <a:off x="7382328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172355" cy="204671"/>
    <xdr:sp macro="" textlink="">
      <xdr:nvSpPr>
        <xdr:cNvPr id="1760" name="텍스트 3">
          <a:extLst>
            <a:ext uri="{FF2B5EF4-FFF2-40B4-BE49-F238E27FC236}">
              <a16:creationId xmlns:a16="http://schemas.microsoft.com/office/drawing/2014/main" id="{7BE9C2A7-626A-4ED0-A38C-1BCA1FC5AA92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172355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761" name="텍스트 4">
          <a:extLst>
            <a:ext uri="{FF2B5EF4-FFF2-40B4-BE49-F238E27FC236}">
              <a16:creationId xmlns:a16="http://schemas.microsoft.com/office/drawing/2014/main" id="{DD0A8798-D572-4E10-9A46-777CBB7C1876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762" name="텍스트 5">
          <a:extLst>
            <a:ext uri="{FF2B5EF4-FFF2-40B4-BE49-F238E27FC236}">
              <a16:creationId xmlns:a16="http://schemas.microsoft.com/office/drawing/2014/main" id="{31690E9B-B8BE-4DFD-9C15-CFBE74CDAB6A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763" name="텍스트 6">
          <a:extLst>
            <a:ext uri="{FF2B5EF4-FFF2-40B4-BE49-F238E27FC236}">
              <a16:creationId xmlns:a16="http://schemas.microsoft.com/office/drawing/2014/main" id="{37B1B408-1EA7-438A-AB94-C4D29A09729B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764" name="텍스트 7">
          <a:extLst>
            <a:ext uri="{FF2B5EF4-FFF2-40B4-BE49-F238E27FC236}">
              <a16:creationId xmlns:a16="http://schemas.microsoft.com/office/drawing/2014/main" id="{7B420494-390F-417A-963F-46AD29B9FB87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765" name="텍스트 8">
          <a:extLst>
            <a:ext uri="{FF2B5EF4-FFF2-40B4-BE49-F238E27FC236}">
              <a16:creationId xmlns:a16="http://schemas.microsoft.com/office/drawing/2014/main" id="{66B67562-B834-47DB-8B10-DCBBED11660E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766" name="텍스트 17">
          <a:extLst>
            <a:ext uri="{FF2B5EF4-FFF2-40B4-BE49-F238E27FC236}">
              <a16:creationId xmlns:a16="http://schemas.microsoft.com/office/drawing/2014/main" id="{76B5075F-A927-40B1-9ED7-F41C39DD4219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767" name="텍스트 18">
          <a:extLst>
            <a:ext uri="{FF2B5EF4-FFF2-40B4-BE49-F238E27FC236}">
              <a16:creationId xmlns:a16="http://schemas.microsoft.com/office/drawing/2014/main" id="{05857FDC-983A-4324-8744-E9E582B5D0A0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441659" cy="204671"/>
    <xdr:sp macro="" textlink="">
      <xdr:nvSpPr>
        <xdr:cNvPr id="1768" name="텍스트 19">
          <a:extLst>
            <a:ext uri="{FF2B5EF4-FFF2-40B4-BE49-F238E27FC236}">
              <a16:creationId xmlns:a16="http://schemas.microsoft.com/office/drawing/2014/main" id="{72C0AEE7-CBCE-41CE-BD54-03E0F87E5415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56939" cy="204671"/>
    <xdr:sp macro="" textlink="">
      <xdr:nvSpPr>
        <xdr:cNvPr id="1769" name="텍스트 20">
          <a:extLst>
            <a:ext uri="{FF2B5EF4-FFF2-40B4-BE49-F238E27FC236}">
              <a16:creationId xmlns:a16="http://schemas.microsoft.com/office/drawing/2014/main" id="{825B51A9-B6D7-42BF-996F-C3EFF1A3B01D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326243" cy="204671"/>
    <xdr:sp macro="" textlink="">
      <xdr:nvSpPr>
        <xdr:cNvPr id="1770" name="텍스트 21">
          <a:extLst>
            <a:ext uri="{FF2B5EF4-FFF2-40B4-BE49-F238E27FC236}">
              <a16:creationId xmlns:a16="http://schemas.microsoft.com/office/drawing/2014/main" id="{8D5F3120-5ECE-49FB-B0DC-8F6B4A53BE04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87771" cy="204671"/>
    <xdr:sp macro="" textlink="">
      <xdr:nvSpPr>
        <xdr:cNvPr id="1771" name="텍스트 9">
          <a:extLst>
            <a:ext uri="{FF2B5EF4-FFF2-40B4-BE49-F238E27FC236}">
              <a16:creationId xmlns:a16="http://schemas.microsoft.com/office/drawing/2014/main" id="{477CA30B-2414-4FC7-8114-00359BD02C94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72" name="텍스트 10">
          <a:extLst>
            <a:ext uri="{FF2B5EF4-FFF2-40B4-BE49-F238E27FC236}">
              <a16:creationId xmlns:a16="http://schemas.microsoft.com/office/drawing/2014/main" id="{427601A7-E096-49CD-B2B4-E46CDC73CB59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773" name="텍스트 11">
          <a:extLst>
            <a:ext uri="{FF2B5EF4-FFF2-40B4-BE49-F238E27FC236}">
              <a16:creationId xmlns:a16="http://schemas.microsoft.com/office/drawing/2014/main" id="{C4E26485-442B-4E14-9A47-3C4537E46FC4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74" name="텍스트 12">
          <a:extLst>
            <a:ext uri="{FF2B5EF4-FFF2-40B4-BE49-F238E27FC236}">
              <a16:creationId xmlns:a16="http://schemas.microsoft.com/office/drawing/2014/main" id="{384C30FC-183E-44CE-9683-5527A9B6D911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49299" cy="204671"/>
    <xdr:sp macro="" textlink="">
      <xdr:nvSpPr>
        <xdr:cNvPr id="1775" name="텍스트 13">
          <a:extLst>
            <a:ext uri="{FF2B5EF4-FFF2-40B4-BE49-F238E27FC236}">
              <a16:creationId xmlns:a16="http://schemas.microsoft.com/office/drawing/2014/main" id="{CD14DB57-81B6-48DB-BF78-CE5125209041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76" name="텍스트 14">
          <a:extLst>
            <a:ext uri="{FF2B5EF4-FFF2-40B4-BE49-F238E27FC236}">
              <a16:creationId xmlns:a16="http://schemas.microsoft.com/office/drawing/2014/main" id="{2E0D2D7E-A07F-4D93-A680-F97D90C0E886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777" name="텍스트 15">
          <a:extLst>
            <a:ext uri="{FF2B5EF4-FFF2-40B4-BE49-F238E27FC236}">
              <a16:creationId xmlns:a16="http://schemas.microsoft.com/office/drawing/2014/main" id="{A72FAC44-33BF-4458-BFE6-4D10A9D54DA4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78" name="텍스트 16">
          <a:extLst>
            <a:ext uri="{FF2B5EF4-FFF2-40B4-BE49-F238E27FC236}">
              <a16:creationId xmlns:a16="http://schemas.microsoft.com/office/drawing/2014/main" id="{607EB62C-B68F-4795-A82A-CA16FEF4E524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87771" cy="204671"/>
    <xdr:sp macro="" textlink="">
      <xdr:nvSpPr>
        <xdr:cNvPr id="1779" name="텍스트 9">
          <a:extLst>
            <a:ext uri="{FF2B5EF4-FFF2-40B4-BE49-F238E27FC236}">
              <a16:creationId xmlns:a16="http://schemas.microsoft.com/office/drawing/2014/main" id="{ECFA212E-DC18-49EF-BAC5-0E3924003026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80" name="텍스트 10">
          <a:extLst>
            <a:ext uri="{FF2B5EF4-FFF2-40B4-BE49-F238E27FC236}">
              <a16:creationId xmlns:a16="http://schemas.microsoft.com/office/drawing/2014/main" id="{E4C93EC5-62DD-4F0C-B35B-D043DF1B6477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781" name="텍스트 11">
          <a:extLst>
            <a:ext uri="{FF2B5EF4-FFF2-40B4-BE49-F238E27FC236}">
              <a16:creationId xmlns:a16="http://schemas.microsoft.com/office/drawing/2014/main" id="{5753E453-7D02-4CF8-952B-0A4BC0A1D901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82" name="텍스트 12">
          <a:extLst>
            <a:ext uri="{FF2B5EF4-FFF2-40B4-BE49-F238E27FC236}">
              <a16:creationId xmlns:a16="http://schemas.microsoft.com/office/drawing/2014/main" id="{5EB4A681-EB0A-4EF8-9D56-FE20F94D0F81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249299" cy="204671"/>
    <xdr:sp macro="" textlink="">
      <xdr:nvSpPr>
        <xdr:cNvPr id="1783" name="텍스트 13">
          <a:extLst>
            <a:ext uri="{FF2B5EF4-FFF2-40B4-BE49-F238E27FC236}">
              <a16:creationId xmlns:a16="http://schemas.microsoft.com/office/drawing/2014/main" id="{0B3C4E9D-9EBB-46E7-BA1F-DC655174601B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84" name="텍스트 14">
          <a:extLst>
            <a:ext uri="{FF2B5EF4-FFF2-40B4-BE49-F238E27FC236}">
              <a16:creationId xmlns:a16="http://schemas.microsoft.com/office/drawing/2014/main" id="{A04095BE-E253-402C-B680-AA636F1A106D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326243" cy="204671"/>
    <xdr:sp macro="" textlink="">
      <xdr:nvSpPr>
        <xdr:cNvPr id="1785" name="텍스트 15">
          <a:extLst>
            <a:ext uri="{FF2B5EF4-FFF2-40B4-BE49-F238E27FC236}">
              <a16:creationId xmlns:a16="http://schemas.microsoft.com/office/drawing/2014/main" id="{C9F3F62B-2A9E-446D-8D53-0C2AA470E071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16</xdr:row>
      <xdr:rowOff>0</xdr:rowOff>
    </xdr:from>
    <xdr:ext cx="56939" cy="204671"/>
    <xdr:sp macro="" textlink="">
      <xdr:nvSpPr>
        <xdr:cNvPr id="1786" name="텍스트 16">
          <a:extLst>
            <a:ext uri="{FF2B5EF4-FFF2-40B4-BE49-F238E27FC236}">
              <a16:creationId xmlns:a16="http://schemas.microsoft.com/office/drawing/2014/main" id="{B74A6BED-D30D-4703-9E68-50875C8ABB14}"/>
            </a:ext>
          </a:extLst>
        </xdr:cNvPr>
        <xdr:cNvSpPr txBox="1">
          <a:spLocks noChangeArrowheads="1"/>
        </xdr:cNvSpPr>
      </xdr:nvSpPr>
      <xdr:spPr bwMode="auto">
        <a:xfrm>
          <a:off x="7382328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287771" cy="204671"/>
    <xdr:sp macro="" textlink="">
      <xdr:nvSpPr>
        <xdr:cNvPr id="1787" name="텍스트 9">
          <a:extLst>
            <a:ext uri="{FF2B5EF4-FFF2-40B4-BE49-F238E27FC236}">
              <a16:creationId xmlns:a16="http://schemas.microsoft.com/office/drawing/2014/main" id="{0782E269-7634-41F7-91AC-ABFAA7838A75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56939" cy="204671"/>
    <xdr:sp macro="" textlink="">
      <xdr:nvSpPr>
        <xdr:cNvPr id="1788" name="텍스트 10">
          <a:extLst>
            <a:ext uri="{FF2B5EF4-FFF2-40B4-BE49-F238E27FC236}">
              <a16:creationId xmlns:a16="http://schemas.microsoft.com/office/drawing/2014/main" id="{D429A869-AE16-41CE-9C2F-DA62459BC117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326243" cy="204671"/>
    <xdr:sp macro="" textlink="">
      <xdr:nvSpPr>
        <xdr:cNvPr id="1789" name="텍스트 11">
          <a:extLst>
            <a:ext uri="{FF2B5EF4-FFF2-40B4-BE49-F238E27FC236}">
              <a16:creationId xmlns:a16="http://schemas.microsoft.com/office/drawing/2014/main" id="{16B27843-2674-4C65-BDA0-571E3D79EAB2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56939" cy="204671"/>
    <xdr:sp macro="" textlink="">
      <xdr:nvSpPr>
        <xdr:cNvPr id="1790" name="텍스트 12">
          <a:extLst>
            <a:ext uri="{FF2B5EF4-FFF2-40B4-BE49-F238E27FC236}">
              <a16:creationId xmlns:a16="http://schemas.microsoft.com/office/drawing/2014/main" id="{B9A1570D-FC15-494A-B248-401F5CCC23C2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249299" cy="204671"/>
    <xdr:sp macro="" textlink="">
      <xdr:nvSpPr>
        <xdr:cNvPr id="1791" name="텍스트 13">
          <a:extLst>
            <a:ext uri="{FF2B5EF4-FFF2-40B4-BE49-F238E27FC236}">
              <a16:creationId xmlns:a16="http://schemas.microsoft.com/office/drawing/2014/main" id="{E192EBC6-1BB8-461F-92B1-416F3FCDE619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56939" cy="204671"/>
    <xdr:sp macro="" textlink="">
      <xdr:nvSpPr>
        <xdr:cNvPr id="1792" name="텍스트 14">
          <a:extLst>
            <a:ext uri="{FF2B5EF4-FFF2-40B4-BE49-F238E27FC236}">
              <a16:creationId xmlns:a16="http://schemas.microsoft.com/office/drawing/2014/main" id="{DA1E91C8-1FF3-40F6-82D0-466A386452EC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5693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326243" cy="204671"/>
    <xdr:sp macro="" textlink="">
      <xdr:nvSpPr>
        <xdr:cNvPr id="1793" name="텍스트 15">
          <a:extLst>
            <a:ext uri="{FF2B5EF4-FFF2-40B4-BE49-F238E27FC236}">
              <a16:creationId xmlns:a16="http://schemas.microsoft.com/office/drawing/2014/main" id="{4475D171-AC69-404E-97DC-0C086F8ECFBA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794" name="텍스트 23">
          <a:extLst>
            <a:ext uri="{FF2B5EF4-FFF2-40B4-BE49-F238E27FC236}">
              <a16:creationId xmlns:a16="http://schemas.microsoft.com/office/drawing/2014/main" id="{180F7B03-73A1-4E20-B708-69F03338CD0A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795" name="텍스트 23">
          <a:extLst>
            <a:ext uri="{FF2B5EF4-FFF2-40B4-BE49-F238E27FC236}">
              <a16:creationId xmlns:a16="http://schemas.microsoft.com/office/drawing/2014/main" id="{6287804E-6024-464C-9BB1-DCC65099E2D0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796" name="텍스트 23">
          <a:extLst>
            <a:ext uri="{FF2B5EF4-FFF2-40B4-BE49-F238E27FC236}">
              <a16:creationId xmlns:a16="http://schemas.microsoft.com/office/drawing/2014/main" id="{1BE61608-ACE7-4837-BD8F-9834F66C509C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797" name="텍스트 23">
          <a:extLst>
            <a:ext uri="{FF2B5EF4-FFF2-40B4-BE49-F238E27FC236}">
              <a16:creationId xmlns:a16="http://schemas.microsoft.com/office/drawing/2014/main" id="{0A245BC3-0F85-47F4-8304-00664618F1FA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798" name="텍스트 23">
          <a:extLst>
            <a:ext uri="{FF2B5EF4-FFF2-40B4-BE49-F238E27FC236}">
              <a16:creationId xmlns:a16="http://schemas.microsoft.com/office/drawing/2014/main" id="{E1B1830F-5CAE-4F91-B465-7CEA34D2C6DF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799" name="텍스트 23">
          <a:extLst>
            <a:ext uri="{FF2B5EF4-FFF2-40B4-BE49-F238E27FC236}">
              <a16:creationId xmlns:a16="http://schemas.microsoft.com/office/drawing/2014/main" id="{C698F9F6-A61F-49E0-AE3E-9AF930F99556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800" name="텍스트 23">
          <a:extLst>
            <a:ext uri="{FF2B5EF4-FFF2-40B4-BE49-F238E27FC236}">
              <a16:creationId xmlns:a16="http://schemas.microsoft.com/office/drawing/2014/main" id="{6840A392-01E7-43CA-8EBD-9B37348FB221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801" name="텍스트 23">
          <a:extLst>
            <a:ext uri="{FF2B5EF4-FFF2-40B4-BE49-F238E27FC236}">
              <a16:creationId xmlns:a16="http://schemas.microsoft.com/office/drawing/2014/main" id="{5A53C1FE-F122-4D3D-BAF8-A562A56B8E50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802" name="텍스트 23">
          <a:extLst>
            <a:ext uri="{FF2B5EF4-FFF2-40B4-BE49-F238E27FC236}">
              <a16:creationId xmlns:a16="http://schemas.microsoft.com/office/drawing/2014/main" id="{45F8ECC3-5A2A-4D83-A545-5F017CADD6EB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803" name="텍스트 23">
          <a:extLst>
            <a:ext uri="{FF2B5EF4-FFF2-40B4-BE49-F238E27FC236}">
              <a16:creationId xmlns:a16="http://schemas.microsoft.com/office/drawing/2014/main" id="{DDC4E096-3444-436E-8435-2471D04C2675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804" name="텍스트 23">
          <a:extLst>
            <a:ext uri="{FF2B5EF4-FFF2-40B4-BE49-F238E27FC236}">
              <a16:creationId xmlns:a16="http://schemas.microsoft.com/office/drawing/2014/main" id="{34CCE719-7241-491E-BC22-3C7E95035222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10</xdr:col>
      <xdr:colOff>2121353</xdr:colOff>
      <xdr:row>18</xdr:row>
      <xdr:rowOff>0</xdr:rowOff>
    </xdr:from>
    <xdr:ext cx="210827" cy="204671"/>
    <xdr:sp macro="" textlink="">
      <xdr:nvSpPr>
        <xdr:cNvPr id="1805" name="텍스트 23">
          <a:extLst>
            <a:ext uri="{FF2B5EF4-FFF2-40B4-BE49-F238E27FC236}">
              <a16:creationId xmlns:a16="http://schemas.microsoft.com/office/drawing/2014/main" id="{31076D59-562F-4BF1-BD0B-F7C63C64CF0E}"/>
            </a:ext>
          </a:extLst>
        </xdr:cNvPr>
        <xdr:cNvSpPr txBox="1">
          <a:spLocks noChangeArrowheads="1"/>
        </xdr:cNvSpPr>
      </xdr:nvSpPr>
      <xdr:spPr bwMode="auto">
        <a:xfrm>
          <a:off x="7382328" y="4629150"/>
          <a:ext cx="210827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06" name="텍스트 5">
          <a:extLst>
            <a:ext uri="{FF2B5EF4-FFF2-40B4-BE49-F238E27FC236}">
              <a16:creationId xmlns:a16="http://schemas.microsoft.com/office/drawing/2014/main" id="{9D32BA55-0701-4363-8791-8F1F0FFBDBD2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07" name="텍스트 7">
          <a:extLst>
            <a:ext uri="{FF2B5EF4-FFF2-40B4-BE49-F238E27FC236}">
              <a16:creationId xmlns:a16="http://schemas.microsoft.com/office/drawing/2014/main" id="{A155C8D7-2DA4-4B6C-A84B-5521FB1EC385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08" name="텍스트 17">
          <a:extLst>
            <a:ext uri="{FF2B5EF4-FFF2-40B4-BE49-F238E27FC236}">
              <a16:creationId xmlns:a16="http://schemas.microsoft.com/office/drawing/2014/main" id="{03A064ED-C40F-4A1A-A571-6FBAA8C8C106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441659" cy="204671"/>
    <xdr:sp macro="" textlink="">
      <xdr:nvSpPr>
        <xdr:cNvPr id="1809" name="텍스트 19">
          <a:extLst>
            <a:ext uri="{FF2B5EF4-FFF2-40B4-BE49-F238E27FC236}">
              <a16:creationId xmlns:a16="http://schemas.microsoft.com/office/drawing/2014/main" id="{F7181B77-E681-42E1-8ECC-24D30B6DEB73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326243" cy="204671"/>
    <xdr:sp macro="" textlink="">
      <xdr:nvSpPr>
        <xdr:cNvPr id="1810" name="텍스트 21">
          <a:extLst>
            <a:ext uri="{FF2B5EF4-FFF2-40B4-BE49-F238E27FC236}">
              <a16:creationId xmlns:a16="http://schemas.microsoft.com/office/drawing/2014/main" id="{EAABFA77-D268-4AFA-9F07-5929D2DF17B1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11" name="텍스트 5">
          <a:extLst>
            <a:ext uri="{FF2B5EF4-FFF2-40B4-BE49-F238E27FC236}">
              <a16:creationId xmlns:a16="http://schemas.microsoft.com/office/drawing/2014/main" id="{081D2F9D-F2D0-4BC2-AC73-09EEC87CB913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12" name="텍스트 7">
          <a:extLst>
            <a:ext uri="{FF2B5EF4-FFF2-40B4-BE49-F238E27FC236}">
              <a16:creationId xmlns:a16="http://schemas.microsoft.com/office/drawing/2014/main" id="{27DF02B2-5EA7-4D67-81A8-8CA5319D7797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13" name="텍스트 17">
          <a:extLst>
            <a:ext uri="{FF2B5EF4-FFF2-40B4-BE49-F238E27FC236}">
              <a16:creationId xmlns:a16="http://schemas.microsoft.com/office/drawing/2014/main" id="{949A46A2-8376-4EBF-B7D8-5E034E5AB2A6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441659" cy="204671"/>
    <xdr:sp macro="" textlink="">
      <xdr:nvSpPr>
        <xdr:cNvPr id="1814" name="텍스트 19">
          <a:extLst>
            <a:ext uri="{FF2B5EF4-FFF2-40B4-BE49-F238E27FC236}">
              <a16:creationId xmlns:a16="http://schemas.microsoft.com/office/drawing/2014/main" id="{63353B5C-8A51-4383-B8EE-E7C855F32C8A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326243" cy="204671"/>
    <xdr:sp macro="" textlink="">
      <xdr:nvSpPr>
        <xdr:cNvPr id="1815" name="텍스트 21">
          <a:extLst>
            <a:ext uri="{FF2B5EF4-FFF2-40B4-BE49-F238E27FC236}">
              <a16:creationId xmlns:a16="http://schemas.microsoft.com/office/drawing/2014/main" id="{0F5046BE-F342-4BED-8B03-955654E706F5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16" name="텍스트 5">
          <a:extLst>
            <a:ext uri="{FF2B5EF4-FFF2-40B4-BE49-F238E27FC236}">
              <a16:creationId xmlns:a16="http://schemas.microsoft.com/office/drawing/2014/main" id="{C75574E7-B0FE-43F6-A2A5-462D2DF332D6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17" name="텍스트 7">
          <a:extLst>
            <a:ext uri="{FF2B5EF4-FFF2-40B4-BE49-F238E27FC236}">
              <a16:creationId xmlns:a16="http://schemas.microsoft.com/office/drawing/2014/main" id="{2A28B9A0-2560-4EB1-A809-251FA3F17EE6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18" name="텍스트 17">
          <a:extLst>
            <a:ext uri="{FF2B5EF4-FFF2-40B4-BE49-F238E27FC236}">
              <a16:creationId xmlns:a16="http://schemas.microsoft.com/office/drawing/2014/main" id="{6FE6E1A2-9E03-45D2-ADB5-B85E8DE98F06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441659" cy="204671"/>
    <xdr:sp macro="" textlink="">
      <xdr:nvSpPr>
        <xdr:cNvPr id="1819" name="텍스트 19">
          <a:extLst>
            <a:ext uri="{FF2B5EF4-FFF2-40B4-BE49-F238E27FC236}">
              <a16:creationId xmlns:a16="http://schemas.microsoft.com/office/drawing/2014/main" id="{CD853D67-B828-4121-95D5-D20EA0A4AB47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326243" cy="204671"/>
    <xdr:sp macro="" textlink="">
      <xdr:nvSpPr>
        <xdr:cNvPr id="1820" name="텍스트 21">
          <a:extLst>
            <a:ext uri="{FF2B5EF4-FFF2-40B4-BE49-F238E27FC236}">
              <a16:creationId xmlns:a16="http://schemas.microsoft.com/office/drawing/2014/main" id="{578CFDA1-5B36-4EF5-9FED-9056E89105D3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21" name="텍스트 5">
          <a:extLst>
            <a:ext uri="{FF2B5EF4-FFF2-40B4-BE49-F238E27FC236}">
              <a16:creationId xmlns:a16="http://schemas.microsoft.com/office/drawing/2014/main" id="{3A2474FF-9506-4816-8842-8A5784835FC9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22" name="텍스트 7">
          <a:extLst>
            <a:ext uri="{FF2B5EF4-FFF2-40B4-BE49-F238E27FC236}">
              <a16:creationId xmlns:a16="http://schemas.microsoft.com/office/drawing/2014/main" id="{C9554B06-F369-4B38-BBD3-1C877B8E32CD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23" name="텍스트 17">
          <a:extLst>
            <a:ext uri="{FF2B5EF4-FFF2-40B4-BE49-F238E27FC236}">
              <a16:creationId xmlns:a16="http://schemas.microsoft.com/office/drawing/2014/main" id="{6AA5664F-8D58-498C-9544-BECCCC29B742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441659" cy="204671"/>
    <xdr:sp macro="" textlink="">
      <xdr:nvSpPr>
        <xdr:cNvPr id="1824" name="텍스트 19">
          <a:extLst>
            <a:ext uri="{FF2B5EF4-FFF2-40B4-BE49-F238E27FC236}">
              <a16:creationId xmlns:a16="http://schemas.microsoft.com/office/drawing/2014/main" id="{17AFE814-33D4-4BE8-8BFE-B7D284ACED3E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326243" cy="204671"/>
    <xdr:sp macro="" textlink="">
      <xdr:nvSpPr>
        <xdr:cNvPr id="1825" name="텍스트 21">
          <a:extLst>
            <a:ext uri="{FF2B5EF4-FFF2-40B4-BE49-F238E27FC236}">
              <a16:creationId xmlns:a16="http://schemas.microsoft.com/office/drawing/2014/main" id="{5B15BF72-77CD-4B36-A62C-36DFA5528334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820510</xdr:colOff>
      <xdr:row>16</xdr:row>
      <xdr:rowOff>0</xdr:rowOff>
    </xdr:from>
    <xdr:ext cx="287771" cy="204671"/>
    <xdr:sp macro="" textlink="">
      <xdr:nvSpPr>
        <xdr:cNvPr id="1826" name="텍스트 9">
          <a:extLst>
            <a:ext uri="{FF2B5EF4-FFF2-40B4-BE49-F238E27FC236}">
              <a16:creationId xmlns:a16="http://schemas.microsoft.com/office/drawing/2014/main" id="{83EC169F-7520-426F-8B9A-419AD98400F1}"/>
            </a:ext>
          </a:extLst>
        </xdr:cNvPr>
        <xdr:cNvSpPr txBox="1">
          <a:spLocks noChangeArrowheads="1"/>
        </xdr:cNvSpPr>
      </xdr:nvSpPr>
      <xdr:spPr bwMode="auto">
        <a:xfrm>
          <a:off x="8202385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11</xdr:col>
      <xdr:colOff>820510</xdr:colOff>
      <xdr:row>16</xdr:row>
      <xdr:rowOff>0</xdr:rowOff>
    </xdr:from>
    <xdr:ext cx="326243" cy="204671"/>
    <xdr:sp macro="" textlink="">
      <xdr:nvSpPr>
        <xdr:cNvPr id="1827" name="텍스트 11">
          <a:extLst>
            <a:ext uri="{FF2B5EF4-FFF2-40B4-BE49-F238E27FC236}">
              <a16:creationId xmlns:a16="http://schemas.microsoft.com/office/drawing/2014/main" id="{EC8F8AD5-C6B8-42AD-A279-6AD59EC36962}"/>
            </a:ext>
          </a:extLst>
        </xdr:cNvPr>
        <xdr:cNvSpPr txBox="1">
          <a:spLocks noChangeArrowheads="1"/>
        </xdr:cNvSpPr>
      </xdr:nvSpPr>
      <xdr:spPr bwMode="auto">
        <a:xfrm>
          <a:off x="8202385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820510</xdr:colOff>
      <xdr:row>16</xdr:row>
      <xdr:rowOff>0</xdr:rowOff>
    </xdr:from>
    <xdr:ext cx="249299" cy="204671"/>
    <xdr:sp macro="" textlink="">
      <xdr:nvSpPr>
        <xdr:cNvPr id="1828" name="텍스트 13">
          <a:extLst>
            <a:ext uri="{FF2B5EF4-FFF2-40B4-BE49-F238E27FC236}">
              <a16:creationId xmlns:a16="http://schemas.microsoft.com/office/drawing/2014/main" id="{2211451E-0094-4CC4-B4C6-2DE0D087EB1F}"/>
            </a:ext>
          </a:extLst>
        </xdr:cNvPr>
        <xdr:cNvSpPr txBox="1">
          <a:spLocks noChangeArrowheads="1"/>
        </xdr:cNvSpPr>
      </xdr:nvSpPr>
      <xdr:spPr bwMode="auto">
        <a:xfrm>
          <a:off x="8202385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820510</xdr:colOff>
      <xdr:row>16</xdr:row>
      <xdr:rowOff>0</xdr:rowOff>
    </xdr:from>
    <xdr:ext cx="326243" cy="204671"/>
    <xdr:sp macro="" textlink="">
      <xdr:nvSpPr>
        <xdr:cNvPr id="1829" name="텍스트 15">
          <a:extLst>
            <a:ext uri="{FF2B5EF4-FFF2-40B4-BE49-F238E27FC236}">
              <a16:creationId xmlns:a16="http://schemas.microsoft.com/office/drawing/2014/main" id="{3EC799CA-AA65-4763-81BB-2FD436567BB3}"/>
            </a:ext>
          </a:extLst>
        </xdr:cNvPr>
        <xdr:cNvSpPr txBox="1">
          <a:spLocks noChangeArrowheads="1"/>
        </xdr:cNvSpPr>
      </xdr:nvSpPr>
      <xdr:spPr bwMode="auto">
        <a:xfrm>
          <a:off x="8202385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820510</xdr:colOff>
      <xdr:row>15</xdr:row>
      <xdr:rowOff>0</xdr:rowOff>
    </xdr:from>
    <xdr:ext cx="249299" cy="204671"/>
    <xdr:sp macro="" textlink="">
      <xdr:nvSpPr>
        <xdr:cNvPr id="1830" name="텍스트 5">
          <a:extLst>
            <a:ext uri="{FF2B5EF4-FFF2-40B4-BE49-F238E27FC236}">
              <a16:creationId xmlns:a16="http://schemas.microsoft.com/office/drawing/2014/main" id="{096BE2E0-6EE5-449E-AFAD-480DF4D50499}"/>
            </a:ext>
          </a:extLst>
        </xdr:cNvPr>
        <xdr:cNvSpPr txBox="1">
          <a:spLocks noChangeArrowheads="1"/>
        </xdr:cNvSpPr>
      </xdr:nvSpPr>
      <xdr:spPr bwMode="auto">
        <a:xfrm>
          <a:off x="8202385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820510</xdr:colOff>
      <xdr:row>15</xdr:row>
      <xdr:rowOff>0</xdr:rowOff>
    </xdr:from>
    <xdr:ext cx="249299" cy="204671"/>
    <xdr:sp macro="" textlink="">
      <xdr:nvSpPr>
        <xdr:cNvPr id="1831" name="텍스트 7">
          <a:extLst>
            <a:ext uri="{FF2B5EF4-FFF2-40B4-BE49-F238E27FC236}">
              <a16:creationId xmlns:a16="http://schemas.microsoft.com/office/drawing/2014/main" id="{2D4644D5-0691-4C78-891B-08AF1B55D13F}"/>
            </a:ext>
          </a:extLst>
        </xdr:cNvPr>
        <xdr:cNvSpPr txBox="1">
          <a:spLocks noChangeArrowheads="1"/>
        </xdr:cNvSpPr>
      </xdr:nvSpPr>
      <xdr:spPr bwMode="auto">
        <a:xfrm>
          <a:off x="8202385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820510</xdr:colOff>
      <xdr:row>15</xdr:row>
      <xdr:rowOff>0</xdr:rowOff>
    </xdr:from>
    <xdr:ext cx="249299" cy="204671"/>
    <xdr:sp macro="" textlink="">
      <xdr:nvSpPr>
        <xdr:cNvPr id="1832" name="텍스트 17">
          <a:extLst>
            <a:ext uri="{FF2B5EF4-FFF2-40B4-BE49-F238E27FC236}">
              <a16:creationId xmlns:a16="http://schemas.microsoft.com/office/drawing/2014/main" id="{FC0774DC-CB03-44F4-8336-171863A9892A}"/>
            </a:ext>
          </a:extLst>
        </xdr:cNvPr>
        <xdr:cNvSpPr txBox="1">
          <a:spLocks noChangeArrowheads="1"/>
        </xdr:cNvSpPr>
      </xdr:nvSpPr>
      <xdr:spPr bwMode="auto">
        <a:xfrm>
          <a:off x="8202385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820510</xdr:colOff>
      <xdr:row>15</xdr:row>
      <xdr:rowOff>0</xdr:rowOff>
    </xdr:from>
    <xdr:ext cx="441659" cy="204671"/>
    <xdr:sp macro="" textlink="">
      <xdr:nvSpPr>
        <xdr:cNvPr id="1833" name="텍스트 19">
          <a:extLst>
            <a:ext uri="{FF2B5EF4-FFF2-40B4-BE49-F238E27FC236}">
              <a16:creationId xmlns:a16="http://schemas.microsoft.com/office/drawing/2014/main" id="{1EE01CD3-4D03-4A3F-8AA9-1EC33A62BDFE}"/>
            </a:ext>
          </a:extLst>
        </xdr:cNvPr>
        <xdr:cNvSpPr txBox="1">
          <a:spLocks noChangeArrowheads="1"/>
        </xdr:cNvSpPr>
      </xdr:nvSpPr>
      <xdr:spPr bwMode="auto">
        <a:xfrm>
          <a:off x="8202385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11</xdr:col>
      <xdr:colOff>820510</xdr:colOff>
      <xdr:row>15</xdr:row>
      <xdr:rowOff>0</xdr:rowOff>
    </xdr:from>
    <xdr:ext cx="326243" cy="204671"/>
    <xdr:sp macro="" textlink="">
      <xdr:nvSpPr>
        <xdr:cNvPr id="1834" name="텍스트 21">
          <a:extLst>
            <a:ext uri="{FF2B5EF4-FFF2-40B4-BE49-F238E27FC236}">
              <a16:creationId xmlns:a16="http://schemas.microsoft.com/office/drawing/2014/main" id="{D2415FC5-7BBD-4540-9E5A-C4C979E3B5DA}"/>
            </a:ext>
          </a:extLst>
        </xdr:cNvPr>
        <xdr:cNvSpPr txBox="1">
          <a:spLocks noChangeArrowheads="1"/>
        </xdr:cNvSpPr>
      </xdr:nvSpPr>
      <xdr:spPr bwMode="auto">
        <a:xfrm>
          <a:off x="8202385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820510</xdr:colOff>
      <xdr:row>15</xdr:row>
      <xdr:rowOff>0</xdr:rowOff>
    </xdr:from>
    <xdr:ext cx="249299" cy="204671"/>
    <xdr:sp macro="" textlink="">
      <xdr:nvSpPr>
        <xdr:cNvPr id="1835" name="텍스트 5">
          <a:extLst>
            <a:ext uri="{FF2B5EF4-FFF2-40B4-BE49-F238E27FC236}">
              <a16:creationId xmlns:a16="http://schemas.microsoft.com/office/drawing/2014/main" id="{6DA64031-7500-410B-B578-8378781AFC7A}"/>
            </a:ext>
          </a:extLst>
        </xdr:cNvPr>
        <xdr:cNvSpPr txBox="1">
          <a:spLocks noChangeArrowheads="1"/>
        </xdr:cNvSpPr>
      </xdr:nvSpPr>
      <xdr:spPr bwMode="auto">
        <a:xfrm>
          <a:off x="8202385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820510</xdr:colOff>
      <xdr:row>15</xdr:row>
      <xdr:rowOff>0</xdr:rowOff>
    </xdr:from>
    <xdr:ext cx="249299" cy="204671"/>
    <xdr:sp macro="" textlink="">
      <xdr:nvSpPr>
        <xdr:cNvPr id="1836" name="텍스트 7">
          <a:extLst>
            <a:ext uri="{FF2B5EF4-FFF2-40B4-BE49-F238E27FC236}">
              <a16:creationId xmlns:a16="http://schemas.microsoft.com/office/drawing/2014/main" id="{68508BBD-8ED1-421C-BE00-1FDD87802B10}"/>
            </a:ext>
          </a:extLst>
        </xdr:cNvPr>
        <xdr:cNvSpPr txBox="1">
          <a:spLocks noChangeArrowheads="1"/>
        </xdr:cNvSpPr>
      </xdr:nvSpPr>
      <xdr:spPr bwMode="auto">
        <a:xfrm>
          <a:off x="8202385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820510</xdr:colOff>
      <xdr:row>15</xdr:row>
      <xdr:rowOff>0</xdr:rowOff>
    </xdr:from>
    <xdr:ext cx="249299" cy="204671"/>
    <xdr:sp macro="" textlink="">
      <xdr:nvSpPr>
        <xdr:cNvPr id="1837" name="텍스트 17">
          <a:extLst>
            <a:ext uri="{FF2B5EF4-FFF2-40B4-BE49-F238E27FC236}">
              <a16:creationId xmlns:a16="http://schemas.microsoft.com/office/drawing/2014/main" id="{89C2BA10-B7D2-4B12-8A7E-ACAE16AAD944}"/>
            </a:ext>
          </a:extLst>
        </xdr:cNvPr>
        <xdr:cNvSpPr txBox="1">
          <a:spLocks noChangeArrowheads="1"/>
        </xdr:cNvSpPr>
      </xdr:nvSpPr>
      <xdr:spPr bwMode="auto">
        <a:xfrm>
          <a:off x="8202385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820510</xdr:colOff>
      <xdr:row>15</xdr:row>
      <xdr:rowOff>0</xdr:rowOff>
    </xdr:from>
    <xdr:ext cx="441659" cy="204671"/>
    <xdr:sp macro="" textlink="">
      <xdr:nvSpPr>
        <xdr:cNvPr id="1838" name="텍스트 19">
          <a:extLst>
            <a:ext uri="{FF2B5EF4-FFF2-40B4-BE49-F238E27FC236}">
              <a16:creationId xmlns:a16="http://schemas.microsoft.com/office/drawing/2014/main" id="{52B88FF1-30F8-46EE-89E0-8388F47A4458}"/>
            </a:ext>
          </a:extLst>
        </xdr:cNvPr>
        <xdr:cNvSpPr txBox="1">
          <a:spLocks noChangeArrowheads="1"/>
        </xdr:cNvSpPr>
      </xdr:nvSpPr>
      <xdr:spPr bwMode="auto">
        <a:xfrm>
          <a:off x="8202385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11</xdr:col>
      <xdr:colOff>820510</xdr:colOff>
      <xdr:row>15</xdr:row>
      <xdr:rowOff>0</xdr:rowOff>
    </xdr:from>
    <xdr:ext cx="326243" cy="204671"/>
    <xdr:sp macro="" textlink="">
      <xdr:nvSpPr>
        <xdr:cNvPr id="1839" name="텍스트 21">
          <a:extLst>
            <a:ext uri="{FF2B5EF4-FFF2-40B4-BE49-F238E27FC236}">
              <a16:creationId xmlns:a16="http://schemas.microsoft.com/office/drawing/2014/main" id="{519CAA99-A1A4-49A9-9504-FCAEEB666A9C}"/>
            </a:ext>
          </a:extLst>
        </xdr:cNvPr>
        <xdr:cNvSpPr txBox="1">
          <a:spLocks noChangeArrowheads="1"/>
        </xdr:cNvSpPr>
      </xdr:nvSpPr>
      <xdr:spPr bwMode="auto">
        <a:xfrm>
          <a:off x="8202385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820510</xdr:colOff>
      <xdr:row>16</xdr:row>
      <xdr:rowOff>0</xdr:rowOff>
    </xdr:from>
    <xdr:ext cx="287771" cy="204671"/>
    <xdr:sp macro="" textlink="">
      <xdr:nvSpPr>
        <xdr:cNvPr id="1840" name="텍스트 9">
          <a:extLst>
            <a:ext uri="{FF2B5EF4-FFF2-40B4-BE49-F238E27FC236}">
              <a16:creationId xmlns:a16="http://schemas.microsoft.com/office/drawing/2014/main" id="{02044D5A-0F8B-4882-8DC8-F2CDFD0CCC66}"/>
            </a:ext>
          </a:extLst>
        </xdr:cNvPr>
        <xdr:cNvSpPr txBox="1">
          <a:spLocks noChangeArrowheads="1"/>
        </xdr:cNvSpPr>
      </xdr:nvSpPr>
      <xdr:spPr bwMode="auto">
        <a:xfrm>
          <a:off x="8202385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11</xdr:col>
      <xdr:colOff>820510</xdr:colOff>
      <xdr:row>16</xdr:row>
      <xdr:rowOff>0</xdr:rowOff>
    </xdr:from>
    <xdr:ext cx="326243" cy="204671"/>
    <xdr:sp macro="" textlink="">
      <xdr:nvSpPr>
        <xdr:cNvPr id="1841" name="텍스트 11">
          <a:extLst>
            <a:ext uri="{FF2B5EF4-FFF2-40B4-BE49-F238E27FC236}">
              <a16:creationId xmlns:a16="http://schemas.microsoft.com/office/drawing/2014/main" id="{EE1CFB9E-CFE7-4E7D-BFF4-0AE9BCAA59D5}"/>
            </a:ext>
          </a:extLst>
        </xdr:cNvPr>
        <xdr:cNvSpPr txBox="1">
          <a:spLocks noChangeArrowheads="1"/>
        </xdr:cNvSpPr>
      </xdr:nvSpPr>
      <xdr:spPr bwMode="auto">
        <a:xfrm>
          <a:off x="8202385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820510</xdr:colOff>
      <xdr:row>16</xdr:row>
      <xdr:rowOff>0</xdr:rowOff>
    </xdr:from>
    <xdr:ext cx="249299" cy="204671"/>
    <xdr:sp macro="" textlink="">
      <xdr:nvSpPr>
        <xdr:cNvPr id="1842" name="텍스트 13">
          <a:extLst>
            <a:ext uri="{FF2B5EF4-FFF2-40B4-BE49-F238E27FC236}">
              <a16:creationId xmlns:a16="http://schemas.microsoft.com/office/drawing/2014/main" id="{60CDE107-84B2-48D8-BF31-09EA2C770162}"/>
            </a:ext>
          </a:extLst>
        </xdr:cNvPr>
        <xdr:cNvSpPr txBox="1">
          <a:spLocks noChangeArrowheads="1"/>
        </xdr:cNvSpPr>
      </xdr:nvSpPr>
      <xdr:spPr bwMode="auto">
        <a:xfrm>
          <a:off x="8202385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820510</xdr:colOff>
      <xdr:row>16</xdr:row>
      <xdr:rowOff>0</xdr:rowOff>
    </xdr:from>
    <xdr:ext cx="326243" cy="204671"/>
    <xdr:sp macro="" textlink="">
      <xdr:nvSpPr>
        <xdr:cNvPr id="1843" name="텍스트 15">
          <a:extLst>
            <a:ext uri="{FF2B5EF4-FFF2-40B4-BE49-F238E27FC236}">
              <a16:creationId xmlns:a16="http://schemas.microsoft.com/office/drawing/2014/main" id="{B7A94057-C6F5-4220-8B87-742DD5D969D9}"/>
            </a:ext>
          </a:extLst>
        </xdr:cNvPr>
        <xdr:cNvSpPr txBox="1">
          <a:spLocks noChangeArrowheads="1"/>
        </xdr:cNvSpPr>
      </xdr:nvSpPr>
      <xdr:spPr bwMode="auto">
        <a:xfrm>
          <a:off x="8202385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287771" cy="204671"/>
    <xdr:sp macro="" textlink="">
      <xdr:nvSpPr>
        <xdr:cNvPr id="1844" name="텍스트 9">
          <a:extLst>
            <a:ext uri="{FF2B5EF4-FFF2-40B4-BE49-F238E27FC236}">
              <a16:creationId xmlns:a16="http://schemas.microsoft.com/office/drawing/2014/main" id="{71AB17BA-EBA7-4053-A66F-218CBB653C88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326243" cy="204671"/>
    <xdr:sp macro="" textlink="">
      <xdr:nvSpPr>
        <xdr:cNvPr id="1845" name="텍스트 11">
          <a:extLst>
            <a:ext uri="{FF2B5EF4-FFF2-40B4-BE49-F238E27FC236}">
              <a16:creationId xmlns:a16="http://schemas.microsoft.com/office/drawing/2014/main" id="{7F0D57B2-30E1-4596-9F46-E786D003B46F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249299" cy="204671"/>
    <xdr:sp macro="" textlink="">
      <xdr:nvSpPr>
        <xdr:cNvPr id="1846" name="텍스트 13">
          <a:extLst>
            <a:ext uri="{FF2B5EF4-FFF2-40B4-BE49-F238E27FC236}">
              <a16:creationId xmlns:a16="http://schemas.microsoft.com/office/drawing/2014/main" id="{CC591A03-D0B2-4ED0-913D-8DC5D56C11C2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326243" cy="204671"/>
    <xdr:sp macro="" textlink="">
      <xdr:nvSpPr>
        <xdr:cNvPr id="1847" name="텍스트 15">
          <a:extLst>
            <a:ext uri="{FF2B5EF4-FFF2-40B4-BE49-F238E27FC236}">
              <a16:creationId xmlns:a16="http://schemas.microsoft.com/office/drawing/2014/main" id="{4583610E-28BC-45A1-99B9-91B9EC1BB9B0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48" name="텍스트 5">
          <a:extLst>
            <a:ext uri="{FF2B5EF4-FFF2-40B4-BE49-F238E27FC236}">
              <a16:creationId xmlns:a16="http://schemas.microsoft.com/office/drawing/2014/main" id="{0B3AE031-43F3-4F4C-BD01-3737CC83A3D0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49" name="텍스트 7">
          <a:extLst>
            <a:ext uri="{FF2B5EF4-FFF2-40B4-BE49-F238E27FC236}">
              <a16:creationId xmlns:a16="http://schemas.microsoft.com/office/drawing/2014/main" id="{090E8ED6-F3FF-4E90-99FA-E59195C92F29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50" name="텍스트 17">
          <a:extLst>
            <a:ext uri="{FF2B5EF4-FFF2-40B4-BE49-F238E27FC236}">
              <a16:creationId xmlns:a16="http://schemas.microsoft.com/office/drawing/2014/main" id="{DD523AF4-57A1-44CE-8B7A-6E4A244845D0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441659" cy="204671"/>
    <xdr:sp macro="" textlink="">
      <xdr:nvSpPr>
        <xdr:cNvPr id="1851" name="텍스트 19">
          <a:extLst>
            <a:ext uri="{FF2B5EF4-FFF2-40B4-BE49-F238E27FC236}">
              <a16:creationId xmlns:a16="http://schemas.microsoft.com/office/drawing/2014/main" id="{8CE9A29D-4013-45EB-965B-56BD6B716369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326243" cy="204671"/>
    <xdr:sp macro="" textlink="">
      <xdr:nvSpPr>
        <xdr:cNvPr id="1852" name="텍스트 21">
          <a:extLst>
            <a:ext uri="{FF2B5EF4-FFF2-40B4-BE49-F238E27FC236}">
              <a16:creationId xmlns:a16="http://schemas.microsoft.com/office/drawing/2014/main" id="{2CBC6D1C-CAD2-4859-BC25-2B548FF55533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53" name="텍스트 5">
          <a:extLst>
            <a:ext uri="{FF2B5EF4-FFF2-40B4-BE49-F238E27FC236}">
              <a16:creationId xmlns:a16="http://schemas.microsoft.com/office/drawing/2014/main" id="{39E736E0-2BA1-4872-9A73-B658D183CE39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54" name="텍스트 7">
          <a:extLst>
            <a:ext uri="{FF2B5EF4-FFF2-40B4-BE49-F238E27FC236}">
              <a16:creationId xmlns:a16="http://schemas.microsoft.com/office/drawing/2014/main" id="{5824DF5B-A10B-46C5-A80D-F0EA298E836E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249299" cy="204671"/>
    <xdr:sp macro="" textlink="">
      <xdr:nvSpPr>
        <xdr:cNvPr id="1855" name="텍스트 17">
          <a:extLst>
            <a:ext uri="{FF2B5EF4-FFF2-40B4-BE49-F238E27FC236}">
              <a16:creationId xmlns:a16="http://schemas.microsoft.com/office/drawing/2014/main" id="{F45BB12D-CA1F-4D9E-9F8C-849CC64B3C25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441659" cy="204671"/>
    <xdr:sp macro="" textlink="">
      <xdr:nvSpPr>
        <xdr:cNvPr id="1856" name="텍스트 19">
          <a:extLst>
            <a:ext uri="{FF2B5EF4-FFF2-40B4-BE49-F238E27FC236}">
              <a16:creationId xmlns:a16="http://schemas.microsoft.com/office/drawing/2014/main" id="{FEC0C12B-8719-4285-99F6-80013239BB1E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44165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</a:t>
          </a:r>
        </a:p>
      </xdr:txBody>
    </xdr:sp>
    <xdr:clientData/>
  </xdr:oneCellAnchor>
  <xdr:oneCellAnchor>
    <xdr:from>
      <xdr:col>11</xdr:col>
      <xdr:colOff>820511</xdr:colOff>
      <xdr:row>15</xdr:row>
      <xdr:rowOff>0</xdr:rowOff>
    </xdr:from>
    <xdr:ext cx="326243" cy="204671"/>
    <xdr:sp macro="" textlink="">
      <xdr:nvSpPr>
        <xdr:cNvPr id="1857" name="텍스트 21">
          <a:extLst>
            <a:ext uri="{FF2B5EF4-FFF2-40B4-BE49-F238E27FC236}">
              <a16:creationId xmlns:a16="http://schemas.microsoft.com/office/drawing/2014/main" id="{4E3CDE53-A4C6-4E86-A589-D8544F839A5C}"/>
            </a:ext>
          </a:extLst>
        </xdr:cNvPr>
        <xdr:cNvSpPr txBox="1">
          <a:spLocks noChangeArrowheads="1"/>
        </xdr:cNvSpPr>
      </xdr:nvSpPr>
      <xdr:spPr bwMode="auto">
        <a:xfrm>
          <a:off x="8202386" y="3857625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287771" cy="204671"/>
    <xdr:sp macro="" textlink="">
      <xdr:nvSpPr>
        <xdr:cNvPr id="1858" name="텍스트 9">
          <a:extLst>
            <a:ext uri="{FF2B5EF4-FFF2-40B4-BE49-F238E27FC236}">
              <a16:creationId xmlns:a16="http://schemas.microsoft.com/office/drawing/2014/main" id="{F439D3D9-869F-4B90-8589-5884332A66D0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287771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326243" cy="204671"/>
    <xdr:sp macro="" textlink="">
      <xdr:nvSpPr>
        <xdr:cNvPr id="1859" name="텍스트 11">
          <a:extLst>
            <a:ext uri="{FF2B5EF4-FFF2-40B4-BE49-F238E27FC236}">
              <a16:creationId xmlns:a16="http://schemas.microsoft.com/office/drawing/2014/main" id="{553F992D-8CA0-4B0D-A6C4-BB4BB340424F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249299" cy="204671"/>
    <xdr:sp macro="" textlink="">
      <xdr:nvSpPr>
        <xdr:cNvPr id="1860" name="텍스트 13">
          <a:extLst>
            <a:ext uri="{FF2B5EF4-FFF2-40B4-BE49-F238E27FC236}">
              <a16:creationId xmlns:a16="http://schemas.microsoft.com/office/drawing/2014/main" id="{F914130D-617C-4A3B-B64A-7ED3B2741BE2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249299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</a:p>
      </xdr:txBody>
    </xdr:sp>
    <xdr:clientData/>
  </xdr:oneCellAnchor>
  <xdr:oneCellAnchor>
    <xdr:from>
      <xdr:col>11</xdr:col>
      <xdr:colOff>820511</xdr:colOff>
      <xdr:row>16</xdr:row>
      <xdr:rowOff>0</xdr:rowOff>
    </xdr:from>
    <xdr:ext cx="326243" cy="204671"/>
    <xdr:sp macro="" textlink="">
      <xdr:nvSpPr>
        <xdr:cNvPr id="1861" name="텍스트 15">
          <a:extLst>
            <a:ext uri="{FF2B5EF4-FFF2-40B4-BE49-F238E27FC236}">
              <a16:creationId xmlns:a16="http://schemas.microsoft.com/office/drawing/2014/main" id="{58F448F6-A68B-4AF7-AA54-FBD13AB899EA}"/>
            </a:ext>
          </a:extLst>
        </xdr:cNvPr>
        <xdr:cNvSpPr txBox="1">
          <a:spLocks noChangeArrowheads="1"/>
        </xdr:cNvSpPr>
      </xdr:nvSpPr>
      <xdr:spPr bwMode="auto">
        <a:xfrm>
          <a:off x="8202386" y="4114800"/>
          <a:ext cx="326243" cy="204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968D-F335-4523-B2B1-B33C482A994D}">
  <sheetPr codeName="Sheet1">
    <tabColor rgb="FFFF0000"/>
    <pageSetUpPr autoPageBreaks="0"/>
  </sheetPr>
  <dimension ref="B4:D329"/>
  <sheetViews>
    <sheetView showGridLines="0" tabSelected="1" workbookViewId="0"/>
  </sheetViews>
  <sheetFormatPr defaultColWidth="9" defaultRowHeight="16.5" x14ac:dyDescent="0.3"/>
  <cols>
    <col min="1" max="1" width="2.25" style="1" customWidth="1"/>
    <col min="2" max="2" width="11.125" style="429" bestFit="1" customWidth="1"/>
    <col min="3" max="3" width="22.375" style="1" bestFit="1" customWidth="1"/>
    <col min="4" max="4" width="64.75" style="1" customWidth="1"/>
    <col min="5" max="8" width="9" style="1"/>
    <col min="9" max="9" width="9" style="1" customWidth="1"/>
    <col min="10" max="16384" width="9" style="1"/>
  </cols>
  <sheetData>
    <row r="4" spans="2:4" x14ac:dyDescent="0.3">
      <c r="B4" s="996"/>
      <c r="C4" s="997"/>
      <c r="D4" s="997"/>
    </row>
    <row r="5" spans="2:4" x14ac:dyDescent="0.3">
      <c r="B5" s="996"/>
    </row>
    <row r="81" spans="2:2" s="62" customFormat="1" ht="13.5" x14ac:dyDescent="0.3">
      <c r="B81" s="881"/>
    </row>
    <row r="112" spans="2:2" s="177" customFormat="1" x14ac:dyDescent="0.3">
      <c r="B112" s="882"/>
    </row>
    <row r="113" spans="2:2" s="177" customFormat="1" x14ac:dyDescent="0.3">
      <c r="B113" s="882"/>
    </row>
    <row r="114" spans="2:2" s="177" customFormat="1" x14ac:dyDescent="0.3">
      <c r="B114" s="882"/>
    </row>
    <row r="115" spans="2:2" s="177" customFormat="1" x14ac:dyDescent="0.3">
      <c r="B115" s="882"/>
    </row>
    <row r="116" spans="2:2" s="177" customFormat="1" x14ac:dyDescent="0.3">
      <c r="B116" s="882"/>
    </row>
    <row r="117" spans="2:2" s="177" customFormat="1" x14ac:dyDescent="0.3">
      <c r="B117" s="882"/>
    </row>
    <row r="118" spans="2:2" s="177" customFormat="1" x14ac:dyDescent="0.3">
      <c r="B118" s="882"/>
    </row>
    <row r="119" spans="2:2" s="177" customFormat="1" x14ac:dyDescent="0.3">
      <c r="B119" s="882"/>
    </row>
    <row r="120" spans="2:2" s="177" customFormat="1" x14ac:dyDescent="0.3">
      <c r="B120" s="882"/>
    </row>
    <row r="121" spans="2:2" s="177" customFormat="1" x14ac:dyDescent="0.3">
      <c r="B121" s="882"/>
    </row>
    <row r="122" spans="2:2" s="177" customFormat="1" x14ac:dyDescent="0.3">
      <c r="B122" s="882"/>
    </row>
    <row r="123" spans="2:2" s="175" customFormat="1" x14ac:dyDescent="0.3">
      <c r="B123" s="883"/>
    </row>
    <row r="124" spans="2:2" s="175" customFormat="1" x14ac:dyDescent="0.3">
      <c r="B124" s="883"/>
    </row>
    <row r="125" spans="2:2" ht="17.100000000000001" customHeight="1" x14ac:dyDescent="0.3"/>
    <row r="126" spans="2:2" ht="17.100000000000001" customHeight="1" x14ac:dyDescent="0.3"/>
    <row r="127" spans="2:2" ht="17.100000000000001" customHeight="1" x14ac:dyDescent="0.3"/>
    <row r="128" spans="2:2" ht="17.100000000000001" customHeight="1" x14ac:dyDescent="0.3"/>
    <row r="129" ht="17.100000000000001" customHeight="1" x14ac:dyDescent="0.3"/>
    <row r="130" ht="17.100000000000001" customHeight="1" x14ac:dyDescent="0.3"/>
    <row r="131" ht="17.100000000000001" customHeight="1" x14ac:dyDescent="0.3"/>
    <row r="132" ht="17.100000000000001" customHeight="1" x14ac:dyDescent="0.3"/>
    <row r="133" ht="17.100000000000001" customHeight="1" x14ac:dyDescent="0.3"/>
    <row r="134" ht="17.100000000000001" customHeight="1" x14ac:dyDescent="0.3"/>
    <row r="135" ht="17.100000000000001" customHeight="1" x14ac:dyDescent="0.3"/>
    <row r="136" ht="17.100000000000001" customHeight="1" x14ac:dyDescent="0.3"/>
    <row r="137" ht="17.100000000000001" customHeight="1" x14ac:dyDescent="0.3"/>
    <row r="138" ht="17.100000000000001" customHeight="1" x14ac:dyDescent="0.3"/>
    <row r="139" ht="17.100000000000001" customHeight="1" x14ac:dyDescent="0.3"/>
    <row r="140" ht="17.100000000000001" customHeight="1" x14ac:dyDescent="0.3"/>
    <row r="141" ht="17.100000000000001" customHeight="1" x14ac:dyDescent="0.3"/>
    <row r="142" ht="17.100000000000001" customHeight="1" x14ac:dyDescent="0.3"/>
    <row r="143" ht="17.100000000000001" customHeight="1" x14ac:dyDescent="0.3"/>
    <row r="144" ht="17.100000000000001" customHeight="1" x14ac:dyDescent="0.3"/>
    <row r="145" ht="17.100000000000001" customHeight="1" x14ac:dyDescent="0.3"/>
    <row r="196" spans="2:2" ht="17.100000000000001" customHeight="1" x14ac:dyDescent="0.3"/>
    <row r="197" spans="2:2" ht="17.100000000000001" customHeight="1" x14ac:dyDescent="0.3"/>
    <row r="198" spans="2:2" ht="17.100000000000001" customHeight="1" x14ac:dyDescent="0.3"/>
    <row r="199" spans="2:2" ht="17.100000000000001" customHeight="1" x14ac:dyDescent="0.3"/>
    <row r="200" spans="2:2" ht="17.100000000000001" customHeight="1" x14ac:dyDescent="0.3"/>
    <row r="201" spans="2:2" ht="17.100000000000001" customHeight="1" x14ac:dyDescent="0.3"/>
    <row r="202" spans="2:2" ht="17.100000000000001" customHeight="1" x14ac:dyDescent="0.3"/>
    <row r="203" spans="2:2" ht="17.100000000000001" customHeight="1" x14ac:dyDescent="0.3"/>
    <row r="204" spans="2:2" ht="17.100000000000001" customHeight="1" x14ac:dyDescent="0.3"/>
    <row r="205" spans="2:2" s="176" customFormat="1" ht="17.100000000000001" customHeight="1" x14ac:dyDescent="0.3">
      <c r="B205" s="884"/>
    </row>
    <row r="206" spans="2:2" s="176" customFormat="1" ht="17.100000000000001" customHeight="1" x14ac:dyDescent="0.3">
      <c r="B206" s="884"/>
    </row>
    <row r="207" spans="2:2" s="176" customFormat="1" ht="17.100000000000001" customHeight="1" x14ac:dyDescent="0.3">
      <c r="B207" s="884"/>
    </row>
    <row r="208" spans="2:2" ht="17.100000000000001" customHeight="1" x14ac:dyDescent="0.3"/>
    <row r="209" ht="17.100000000000001" customHeight="1" x14ac:dyDescent="0.3"/>
    <row r="210" ht="17.100000000000001" customHeight="1" x14ac:dyDescent="0.3"/>
    <row r="211" ht="17.100000000000001" customHeight="1" x14ac:dyDescent="0.3"/>
    <row r="212" ht="17.100000000000001" customHeight="1" x14ac:dyDescent="0.3"/>
    <row r="213" ht="17.100000000000001" customHeight="1" x14ac:dyDescent="0.3"/>
    <row r="214" ht="17.100000000000001" customHeight="1" x14ac:dyDescent="0.3"/>
    <row r="215" ht="17.100000000000001" customHeight="1" x14ac:dyDescent="0.3"/>
    <row r="216" ht="17.100000000000001" customHeight="1" x14ac:dyDescent="0.3"/>
    <row r="217" ht="17.100000000000001" customHeight="1" x14ac:dyDescent="0.3"/>
    <row r="218" ht="17.100000000000001" customHeight="1" x14ac:dyDescent="0.3"/>
    <row r="219" ht="17.100000000000001" customHeight="1" x14ac:dyDescent="0.3"/>
    <row r="220" ht="17.100000000000001" customHeight="1" x14ac:dyDescent="0.3"/>
    <row r="221" ht="16.5" customHeight="1" x14ac:dyDescent="0.3"/>
    <row r="222" ht="17.100000000000001" customHeight="1" x14ac:dyDescent="0.3"/>
    <row r="223" ht="17.100000000000001" customHeight="1" x14ac:dyDescent="0.3"/>
    <row r="224" ht="17.100000000000001" customHeight="1" x14ac:dyDescent="0.3"/>
    <row r="225" ht="17.100000000000001" customHeight="1" x14ac:dyDescent="0.3"/>
    <row r="226" ht="16.5" customHeight="1" x14ac:dyDescent="0.3"/>
    <row r="227" ht="17.100000000000001" customHeight="1" x14ac:dyDescent="0.3"/>
    <row r="228" ht="17.100000000000001" customHeight="1" x14ac:dyDescent="0.3"/>
    <row r="229" ht="17.100000000000001" customHeight="1" x14ac:dyDescent="0.3"/>
    <row r="230" ht="17.100000000000001" customHeight="1" x14ac:dyDescent="0.3"/>
    <row r="231" ht="17.100000000000001" customHeight="1" x14ac:dyDescent="0.3"/>
    <row r="232" ht="17.100000000000001" customHeight="1" x14ac:dyDescent="0.3"/>
    <row r="233" ht="17.100000000000001" customHeight="1" x14ac:dyDescent="0.3"/>
    <row r="234" ht="17.100000000000001" customHeight="1" x14ac:dyDescent="0.3"/>
    <row r="235" ht="17.100000000000001" customHeight="1" x14ac:dyDescent="0.3"/>
    <row r="236" ht="17.100000000000001" customHeight="1" x14ac:dyDescent="0.3"/>
    <row r="237" ht="17.100000000000001" customHeight="1" x14ac:dyDescent="0.3"/>
    <row r="238" ht="17.100000000000001" customHeight="1" x14ac:dyDescent="0.3"/>
    <row r="239" ht="17.100000000000001" customHeight="1" x14ac:dyDescent="0.3"/>
    <row r="240" ht="17.100000000000001" customHeight="1" x14ac:dyDescent="0.3"/>
    <row r="241" ht="17.100000000000001" customHeight="1" x14ac:dyDescent="0.3"/>
    <row r="242" ht="17.100000000000001" customHeight="1" x14ac:dyDescent="0.3"/>
    <row r="243" ht="17.100000000000001" customHeight="1" x14ac:dyDescent="0.3"/>
    <row r="244" ht="17.100000000000001" customHeight="1" x14ac:dyDescent="0.3"/>
    <row r="245" ht="17.100000000000001" customHeight="1" x14ac:dyDescent="0.3"/>
    <row r="246" ht="17.100000000000001" customHeight="1" x14ac:dyDescent="0.3"/>
    <row r="247" ht="17.100000000000001" customHeight="1" x14ac:dyDescent="0.3"/>
    <row r="248" ht="17.100000000000001" customHeight="1" x14ac:dyDescent="0.3"/>
    <row r="249" ht="17.100000000000001" customHeight="1" x14ac:dyDescent="0.3"/>
    <row r="250" ht="17.100000000000001" customHeight="1" x14ac:dyDescent="0.3"/>
    <row r="251" ht="17.100000000000001" customHeight="1" x14ac:dyDescent="0.3"/>
    <row r="252" ht="17.100000000000001" customHeight="1" x14ac:dyDescent="0.3"/>
    <row r="253" ht="17.100000000000001" customHeight="1" x14ac:dyDescent="0.3"/>
    <row r="254" ht="17.100000000000001" customHeight="1" x14ac:dyDescent="0.3"/>
    <row r="255" ht="17.100000000000001" customHeight="1" x14ac:dyDescent="0.3"/>
    <row r="256" ht="17.100000000000001" customHeight="1" x14ac:dyDescent="0.3"/>
    <row r="257" ht="17.100000000000001" customHeight="1" x14ac:dyDescent="0.3"/>
    <row r="258" ht="17.100000000000001" customHeight="1" x14ac:dyDescent="0.3"/>
    <row r="259" ht="17.100000000000001" customHeight="1" x14ac:dyDescent="0.3"/>
    <row r="260" ht="17.100000000000001" customHeight="1" x14ac:dyDescent="0.3"/>
    <row r="261" ht="17.100000000000001" customHeight="1" x14ac:dyDescent="0.3"/>
    <row r="262" ht="17.100000000000001" customHeight="1" x14ac:dyDescent="0.3"/>
    <row r="263" ht="17.100000000000001" customHeight="1" x14ac:dyDescent="0.3"/>
    <row r="264" ht="17.100000000000001" customHeight="1" x14ac:dyDescent="0.3"/>
    <row r="265" ht="17.100000000000001" customHeight="1" x14ac:dyDescent="0.3"/>
    <row r="266" ht="17.100000000000001" customHeight="1" x14ac:dyDescent="0.3"/>
    <row r="267" ht="17.100000000000001" customHeight="1" x14ac:dyDescent="0.3"/>
    <row r="268" ht="17.100000000000001" customHeight="1" x14ac:dyDescent="0.3"/>
    <row r="269" ht="17.100000000000001" customHeight="1" x14ac:dyDescent="0.3"/>
    <row r="270" ht="17.100000000000001" customHeight="1" x14ac:dyDescent="0.3"/>
    <row r="271" ht="17.100000000000001" customHeight="1" x14ac:dyDescent="0.3"/>
    <row r="272" ht="17.100000000000001" customHeight="1" x14ac:dyDescent="0.3"/>
    <row r="273" ht="17.100000000000001" customHeight="1" x14ac:dyDescent="0.3"/>
    <row r="274" ht="17.100000000000001" customHeight="1" x14ac:dyDescent="0.3"/>
    <row r="275" ht="17.100000000000001" customHeight="1" x14ac:dyDescent="0.3"/>
    <row r="276" ht="17.100000000000001" customHeight="1" x14ac:dyDescent="0.3"/>
    <row r="277" ht="17.100000000000001" customHeight="1" x14ac:dyDescent="0.3"/>
    <row r="278" ht="17.100000000000001" customHeight="1" x14ac:dyDescent="0.3"/>
    <row r="279" ht="17.100000000000001" customHeight="1" x14ac:dyDescent="0.3"/>
    <row r="280" ht="17.100000000000001" customHeight="1" x14ac:dyDescent="0.3"/>
    <row r="281" ht="17.100000000000001" customHeight="1" x14ac:dyDescent="0.3"/>
    <row r="282" ht="17.100000000000001" customHeight="1" x14ac:dyDescent="0.3"/>
    <row r="283" ht="17.100000000000001" customHeight="1" x14ac:dyDescent="0.3"/>
    <row r="284" ht="17.100000000000001" customHeight="1" x14ac:dyDescent="0.3"/>
    <row r="285" ht="17.100000000000001" customHeight="1" x14ac:dyDescent="0.3"/>
    <row r="286" ht="17.100000000000001" customHeight="1" x14ac:dyDescent="0.3"/>
    <row r="287" ht="17.100000000000001" customHeight="1" x14ac:dyDescent="0.3"/>
    <row r="288" ht="17.100000000000001" customHeight="1" x14ac:dyDescent="0.3"/>
    <row r="289" ht="17.100000000000001" customHeight="1" x14ac:dyDescent="0.3"/>
    <row r="290" ht="17.100000000000001" customHeight="1" x14ac:dyDescent="0.3"/>
    <row r="291" ht="17.100000000000001" customHeight="1" x14ac:dyDescent="0.3"/>
    <row r="292" ht="17.100000000000001" customHeight="1" x14ac:dyDescent="0.3"/>
    <row r="293" ht="17.100000000000001" customHeight="1" x14ac:dyDescent="0.3"/>
    <row r="294" ht="17.100000000000001" customHeight="1" x14ac:dyDescent="0.3"/>
    <row r="295" ht="17.100000000000001" customHeight="1" x14ac:dyDescent="0.3"/>
    <row r="296" ht="17.100000000000001" customHeight="1" x14ac:dyDescent="0.3"/>
    <row r="297" ht="17.100000000000001" customHeight="1" x14ac:dyDescent="0.3"/>
    <row r="298" ht="17.100000000000001" customHeight="1" x14ac:dyDescent="0.3"/>
    <row r="299" ht="17.100000000000001" customHeight="1" x14ac:dyDescent="0.3"/>
    <row r="300" ht="17.100000000000001" customHeight="1" x14ac:dyDescent="0.3"/>
    <row r="301" ht="17.100000000000001" customHeight="1" x14ac:dyDescent="0.3"/>
    <row r="302" ht="17.100000000000001" customHeight="1" x14ac:dyDescent="0.3"/>
    <row r="303" ht="17.100000000000001" customHeight="1" x14ac:dyDescent="0.3"/>
    <row r="304" ht="17.100000000000001" customHeight="1" x14ac:dyDescent="0.3"/>
    <row r="305" ht="17.100000000000001" customHeight="1" x14ac:dyDescent="0.3"/>
    <row r="306" ht="17.100000000000001" customHeight="1" x14ac:dyDescent="0.3"/>
    <row r="307" ht="17.100000000000001" customHeight="1" x14ac:dyDescent="0.3"/>
    <row r="308" ht="17.100000000000001" customHeight="1" x14ac:dyDescent="0.3"/>
    <row r="309" ht="17.100000000000001" customHeight="1" x14ac:dyDescent="0.3"/>
    <row r="310" ht="17.100000000000001" customHeight="1" x14ac:dyDescent="0.3"/>
    <row r="311" ht="17.100000000000001" customHeight="1" x14ac:dyDescent="0.3"/>
    <row r="312" ht="17.100000000000001" customHeight="1" x14ac:dyDescent="0.3"/>
    <row r="313" ht="17.100000000000001" customHeight="1" x14ac:dyDescent="0.3"/>
    <row r="314" ht="17.100000000000001" customHeight="1" x14ac:dyDescent="0.3"/>
    <row r="315" ht="17.100000000000001" customHeight="1" x14ac:dyDescent="0.3"/>
    <row r="316" ht="17.100000000000001" customHeight="1" x14ac:dyDescent="0.3"/>
    <row r="317" ht="17.100000000000001" customHeight="1" x14ac:dyDescent="0.3"/>
    <row r="318" ht="17.100000000000001" customHeight="1" x14ac:dyDescent="0.3"/>
    <row r="319" ht="17.100000000000001" customHeight="1" x14ac:dyDescent="0.3"/>
    <row r="320" ht="17.100000000000001" customHeight="1" x14ac:dyDescent="0.3"/>
    <row r="321" ht="17.100000000000001" customHeight="1" x14ac:dyDescent="0.3"/>
    <row r="322" ht="17.100000000000001" customHeight="1" x14ac:dyDescent="0.3"/>
    <row r="323" ht="17.100000000000001" customHeight="1" x14ac:dyDescent="0.3"/>
    <row r="324" ht="17.100000000000001" customHeight="1" x14ac:dyDescent="0.3"/>
    <row r="325" ht="17.100000000000001" customHeight="1" x14ac:dyDescent="0.3"/>
    <row r="326" ht="17.100000000000001" customHeight="1" x14ac:dyDescent="0.3"/>
    <row r="327" ht="17.100000000000001" customHeight="1" x14ac:dyDescent="0.3"/>
    <row r="328" ht="17.100000000000001" customHeight="1" x14ac:dyDescent="0.3"/>
    <row r="329" ht="17.100000000000001" customHeight="1" x14ac:dyDescent="0.3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C58C-79F4-442F-B4D0-BC483679E33F}">
  <sheetPr codeName="Sheet2">
    <pageSetUpPr fitToPage="1"/>
  </sheetPr>
  <dimension ref="A1:BQ51"/>
  <sheetViews>
    <sheetView showGridLines="0" zoomScale="85" zoomScaleNormal="85" workbookViewId="0"/>
  </sheetViews>
  <sheetFormatPr defaultColWidth="9" defaultRowHeight="13.5" outlineLevelCol="1" x14ac:dyDescent="0.3"/>
  <cols>
    <col min="1" max="1" width="16.25" style="5" customWidth="1"/>
    <col min="2" max="2" width="2.5" style="5" bestFit="1" customWidth="1"/>
    <col min="3" max="3" width="1.75" style="5" bestFit="1" customWidth="1"/>
    <col min="4" max="4" width="21" style="5" customWidth="1"/>
    <col min="5" max="5" width="10.625" style="6" hidden="1" customWidth="1" outlineLevel="1"/>
    <col min="6" max="6" width="10.625" style="5" hidden="1" customWidth="1" outlineLevel="1"/>
    <col min="7" max="7" width="10.625" style="6" customWidth="1" collapsed="1"/>
    <col min="8" max="8" width="10.625" style="5" customWidth="1"/>
    <col min="9" max="9" width="10.625" style="6" customWidth="1"/>
    <col min="10" max="10" width="10.625" style="5" customWidth="1"/>
    <col min="11" max="11" width="10.625" style="6" customWidth="1"/>
    <col min="12" max="12" width="10.625" style="5" customWidth="1"/>
    <col min="13" max="13" width="10.625" style="6" customWidth="1"/>
    <col min="14" max="14" width="10.625" style="5" customWidth="1"/>
    <col min="15" max="15" width="10.625" style="6" customWidth="1"/>
    <col min="16" max="16" width="10.625" style="5" customWidth="1"/>
    <col min="17" max="17" width="42" style="5" customWidth="1"/>
    <col min="18" max="19" width="9" style="5" customWidth="1"/>
    <col min="20" max="20" width="7.625" style="5" hidden="1" customWidth="1" outlineLevel="1"/>
    <col min="21" max="22" width="4.5" style="5" hidden="1" customWidth="1" outlineLevel="1"/>
    <col min="23" max="23" width="11.125" style="5" hidden="1" customWidth="1" outlineLevel="1"/>
    <col min="24" max="24" width="9" style="5" hidden="1" customWidth="1" outlineLevel="1"/>
    <col min="25" max="25" width="7.75" style="5" hidden="1" customWidth="1" outlineLevel="1"/>
    <col min="26" max="26" width="9" style="5" hidden="1" customWidth="1" outlineLevel="1"/>
    <col min="27" max="27" width="7.75" style="5" hidden="1" customWidth="1" outlineLevel="1"/>
    <col min="28" max="28" width="9" style="5" hidden="1" customWidth="1" outlineLevel="1"/>
    <col min="29" max="29" width="7.75" style="5" hidden="1" customWidth="1" outlineLevel="1"/>
    <col min="30" max="30" width="9" style="5" hidden="1" customWidth="1" outlineLevel="1"/>
    <col min="31" max="31" width="7.75" style="5" hidden="1" customWidth="1" outlineLevel="1"/>
    <col min="32" max="33" width="9" style="5" hidden="1" customWidth="1" outlineLevel="1"/>
    <col min="34" max="34" width="4.5" style="5" hidden="1" customWidth="1" outlineLevel="1"/>
    <col min="35" max="36" width="6.125" style="5" hidden="1" customWidth="1" outlineLevel="1"/>
    <col min="37" max="37" width="9.625" style="5" hidden="1" customWidth="1" outlineLevel="1"/>
    <col min="38" max="39" width="11.125" style="5" hidden="1" customWidth="1" outlineLevel="1"/>
    <col min="40" max="40" width="6.375" style="5" hidden="1" customWidth="1" outlineLevel="1"/>
    <col min="41" max="41" width="10" style="5" hidden="1" customWidth="1" outlineLevel="1"/>
    <col min="42" max="42" width="7.75" style="5" hidden="1" customWidth="1" outlineLevel="1"/>
    <col min="43" max="43" width="4.5" style="5" hidden="1" customWidth="1" outlineLevel="1"/>
    <col min="44" max="44" width="19.25" style="5" hidden="1" customWidth="1" outlineLevel="1"/>
    <col min="45" max="45" width="24.125" style="5" hidden="1" customWidth="1" outlineLevel="1"/>
    <col min="46" max="46" width="3.25" style="59" hidden="1" customWidth="1" outlineLevel="1"/>
    <col min="47" max="47" width="24.125" style="5" hidden="1" customWidth="1" outlineLevel="1"/>
    <col min="48" max="48" width="3.25" style="59" hidden="1" customWidth="1" outlineLevel="1"/>
    <col min="49" max="49" width="24.125" style="5" hidden="1" customWidth="1" outlineLevel="1"/>
    <col min="50" max="50" width="4.125" style="59" hidden="1" customWidth="1" outlineLevel="1"/>
    <col min="51" max="51" width="24.125" style="59" hidden="1" customWidth="1" outlineLevel="1"/>
    <col min="52" max="52" width="3.25" style="59" hidden="1" customWidth="1" outlineLevel="1"/>
    <col min="53" max="53" width="24.125" style="59" hidden="1" customWidth="1" outlineLevel="1"/>
    <col min="54" max="54" width="23.875" style="59" hidden="1" customWidth="1" outlineLevel="1"/>
    <col min="55" max="55" width="4.5" style="5" hidden="1" customWidth="1" outlineLevel="1"/>
    <col min="56" max="56" width="33.5" style="244" hidden="1" customWidth="1" outlineLevel="1"/>
    <col min="57" max="57" width="24.625" style="244" hidden="1" customWidth="1" outlineLevel="1"/>
    <col min="58" max="58" width="4.5" style="244" hidden="1" customWidth="1" outlineLevel="1"/>
    <col min="59" max="59" width="18.875" style="244" hidden="1" customWidth="1" outlineLevel="1"/>
    <col min="60" max="60" width="4.5" style="244" hidden="1" customWidth="1" outlineLevel="1"/>
    <col min="61" max="61" width="18.875" style="244" hidden="1" customWidth="1" outlineLevel="1"/>
    <col min="62" max="62" width="4.5" style="244" hidden="1" customWidth="1" outlineLevel="1"/>
    <col min="63" max="63" width="3.625" style="244" hidden="1" customWidth="1" outlineLevel="1"/>
    <col min="64" max="64" width="4.5" style="244" hidden="1" customWidth="1" outlineLevel="1"/>
    <col min="65" max="65" width="3.625" style="244" hidden="1" customWidth="1" outlineLevel="1"/>
    <col min="66" max="66" width="4.5" style="244" hidden="1" customWidth="1" outlineLevel="1"/>
    <col min="67" max="67" width="3.625" style="244" hidden="1" customWidth="1" outlineLevel="1"/>
    <col min="68" max="68" width="4.5" style="244" hidden="1" customWidth="1" outlineLevel="1"/>
    <col min="69" max="69" width="9" style="5" collapsed="1"/>
    <col min="70" max="16384" width="9" style="5"/>
  </cols>
  <sheetData>
    <row r="1" spans="1:68" ht="25.35" customHeight="1" x14ac:dyDescent="0.3">
      <c r="E1" s="225" t="s">
        <v>727</v>
      </c>
      <c r="F1" s="7"/>
      <c r="G1" s="5"/>
      <c r="S1" s="43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61"/>
      <c r="AU1" s="7"/>
      <c r="AV1" s="61"/>
      <c r="AW1" s="7"/>
      <c r="AX1" s="61"/>
      <c r="AY1" s="61"/>
      <c r="AZ1" s="61"/>
      <c r="BA1" s="61"/>
      <c r="BB1" s="61"/>
      <c r="BC1" s="7"/>
      <c r="BD1" s="245"/>
      <c r="BE1" s="245"/>
      <c r="BF1" s="245"/>
      <c r="BG1" s="245"/>
      <c r="BH1" s="245"/>
      <c r="BI1" s="245"/>
      <c r="BJ1" s="245"/>
      <c r="BK1" s="245"/>
      <c r="BL1" s="245"/>
      <c r="BM1" s="245"/>
      <c r="BN1" s="245"/>
      <c r="BO1" s="245"/>
      <c r="BP1" s="245"/>
    </row>
    <row r="2" spans="1:68" ht="25.35" customHeight="1" x14ac:dyDescent="0.3">
      <c r="A2" s="4" t="s">
        <v>514</v>
      </c>
      <c r="E2" s="225"/>
      <c r="F2" s="7"/>
      <c r="G2" s="5"/>
      <c r="N2" s="8"/>
      <c r="P2" s="6"/>
      <c r="S2" s="43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61"/>
      <c r="AU2" s="7"/>
      <c r="AV2" s="61"/>
      <c r="AW2" s="7"/>
      <c r="AX2" s="61"/>
      <c r="AY2" s="61"/>
      <c r="AZ2" s="61"/>
      <c r="BA2" s="61"/>
      <c r="BB2" s="61"/>
      <c r="BC2" s="7"/>
      <c r="BD2" s="245"/>
      <c r="BE2" s="245"/>
      <c r="BF2" s="245"/>
      <c r="BG2" s="245"/>
      <c r="BH2" s="245"/>
      <c r="BI2" s="245"/>
      <c r="BJ2" s="245"/>
      <c r="BK2" s="245"/>
      <c r="BL2" s="245"/>
      <c r="BM2" s="245"/>
      <c r="BN2" s="245"/>
      <c r="BO2" s="245"/>
      <c r="BP2" s="245"/>
    </row>
    <row r="3" spans="1:68" ht="25.35" customHeight="1" x14ac:dyDescent="0.3">
      <c r="E3" s="449"/>
      <c r="F3" s="437"/>
      <c r="G3" s="5"/>
      <c r="N3" s="8"/>
      <c r="P3" s="6"/>
      <c r="Q3" s="791" t="s">
        <v>429</v>
      </c>
      <c r="S3" s="437"/>
      <c r="T3" s="437"/>
      <c r="U3" s="437"/>
      <c r="V3" s="437"/>
      <c r="W3" s="437"/>
      <c r="X3" s="437"/>
      <c r="Y3" s="437"/>
      <c r="Z3" s="437"/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437"/>
      <c r="AO3" s="437"/>
      <c r="AP3" s="437"/>
      <c r="AQ3" s="437"/>
      <c r="AR3" s="437"/>
      <c r="AS3" s="437"/>
      <c r="AT3" s="438"/>
      <c r="AU3" s="437"/>
      <c r="AV3" s="438"/>
      <c r="AW3" s="437"/>
      <c r="AX3" s="438"/>
      <c r="AY3" s="438"/>
      <c r="AZ3" s="438"/>
      <c r="BA3" s="438"/>
      <c r="BB3" s="438"/>
      <c r="BC3" s="437"/>
      <c r="BD3" s="450"/>
      <c r="BE3" s="450"/>
      <c r="BF3" s="450"/>
    </row>
    <row r="4" spans="1:68" ht="25.35" customHeight="1" thickBot="1" x14ac:dyDescent="0.35">
      <c r="A4" s="1012" t="s">
        <v>323</v>
      </c>
      <c r="B4" s="1027"/>
      <c r="C4" s="1027"/>
      <c r="D4" s="1013"/>
      <c r="E4" s="1012" t="s">
        <v>889</v>
      </c>
      <c r="F4" s="1013"/>
      <c r="G4" s="1012" t="s">
        <v>387</v>
      </c>
      <c r="H4" s="1013"/>
      <c r="I4" s="1012" t="s">
        <v>360</v>
      </c>
      <c r="J4" s="1013"/>
      <c r="K4" s="1012" t="s">
        <v>361</v>
      </c>
      <c r="L4" s="1013"/>
      <c r="M4" s="1012" t="s">
        <v>362</v>
      </c>
      <c r="N4" s="1013"/>
      <c r="O4" s="1012" t="s">
        <v>363</v>
      </c>
      <c r="P4" s="1013"/>
      <c r="Q4" s="1052" t="s">
        <v>235</v>
      </c>
      <c r="T4" s="1053" t="s">
        <v>323</v>
      </c>
      <c r="U4" s="1054"/>
      <c r="V4" s="1054"/>
      <c r="W4" s="1055"/>
      <c r="X4" s="1033">
        <v>2016</v>
      </c>
      <c r="Y4" s="1034"/>
      <c r="Z4" s="1033">
        <v>2017</v>
      </c>
      <c r="AA4" s="1034"/>
      <c r="AB4" s="1033">
        <v>2018</v>
      </c>
      <c r="AC4" s="1034"/>
      <c r="AD4" s="1033">
        <v>2019</v>
      </c>
      <c r="AE4" s="1034"/>
      <c r="AF4" s="1033">
        <v>2020</v>
      </c>
      <c r="AG4" s="1035"/>
    </row>
    <row r="5" spans="1:68" ht="25.35" customHeight="1" thickBot="1" x14ac:dyDescent="0.35">
      <c r="A5" s="1028"/>
      <c r="B5" s="1029"/>
      <c r="C5" s="1029"/>
      <c r="D5" s="1030"/>
      <c r="E5" s="9" t="s">
        <v>324</v>
      </c>
      <c r="F5" s="10" t="s">
        <v>325</v>
      </c>
      <c r="G5" s="9" t="s">
        <v>324</v>
      </c>
      <c r="H5" s="10" t="s">
        <v>325</v>
      </c>
      <c r="I5" s="9" t="s">
        <v>324</v>
      </c>
      <c r="J5" s="10" t="s">
        <v>325</v>
      </c>
      <c r="K5" s="9" t="s">
        <v>324</v>
      </c>
      <c r="L5" s="10" t="s">
        <v>325</v>
      </c>
      <c r="M5" s="9" t="s">
        <v>324</v>
      </c>
      <c r="N5" s="11" t="s">
        <v>325</v>
      </c>
      <c r="O5" s="9" t="s">
        <v>324</v>
      </c>
      <c r="P5" s="11" t="s">
        <v>325</v>
      </c>
      <c r="Q5" s="1052"/>
      <c r="T5" s="1056"/>
      <c r="U5" s="1057"/>
      <c r="V5" s="1057"/>
      <c r="W5" s="1058"/>
      <c r="X5" s="454" t="s">
        <v>326</v>
      </c>
      <c r="Y5" s="454" t="s">
        <v>325</v>
      </c>
      <c r="Z5" s="454" t="s">
        <v>326</v>
      </c>
      <c r="AA5" s="454" t="s">
        <v>325</v>
      </c>
      <c r="AB5" s="454" t="s">
        <v>326</v>
      </c>
      <c r="AC5" s="454" t="s">
        <v>325</v>
      </c>
      <c r="AD5" s="454" t="s">
        <v>326</v>
      </c>
      <c r="AE5" s="454" t="s">
        <v>325</v>
      </c>
      <c r="AF5" s="454" t="s">
        <v>326</v>
      </c>
      <c r="AG5" s="455" t="s">
        <v>325</v>
      </c>
      <c r="AR5" s="456"/>
      <c r="AS5" s="457">
        <v>2021</v>
      </c>
      <c r="AU5" s="458">
        <v>2022</v>
      </c>
      <c r="AW5" s="458">
        <v>2023</v>
      </c>
      <c r="AY5" s="458">
        <v>2024</v>
      </c>
      <c r="BA5" s="458">
        <v>2025</v>
      </c>
      <c r="BE5" s="244" t="s">
        <v>8971</v>
      </c>
    </row>
    <row r="6" spans="1:68" ht="25.35" customHeight="1" thickTop="1" thickBot="1" x14ac:dyDescent="0.35">
      <c r="A6" s="1036" t="s">
        <v>515</v>
      </c>
      <c r="B6" s="1038" t="s">
        <v>327</v>
      </c>
      <c r="C6" s="1039"/>
      <c r="D6" s="1040"/>
      <c r="E6" s="12">
        <f>SUM(E7:E8)</f>
        <v>1561615.40252</v>
      </c>
      <c r="F6" s="13"/>
      <c r="G6" s="12">
        <f>SUM(G7:G8)</f>
        <v>7678930.2546640001</v>
      </c>
      <c r="H6" s="13">
        <f>IF(OR(E6&lt;=0,G6&lt;=0),0,G6/E6-1)</f>
        <v>3.9172992545234928</v>
      </c>
      <c r="I6" s="12">
        <f>SUM(I7:I8)</f>
        <v>7951326.7089289995</v>
      </c>
      <c r="J6" s="13">
        <f>IF(OR(G6&lt;=0,I6&lt;=0),0,I6/G6-1)</f>
        <v>3.5473229373264914E-2</v>
      </c>
      <c r="K6" s="12">
        <f>SUM(K7:K8)</f>
        <v>8218723.2364600003</v>
      </c>
      <c r="L6" s="13">
        <f>IF(OR(I6&lt;=0,K6&lt;=0),0,K6/I6-1)</f>
        <v>3.3629171246444489E-2</v>
      </c>
      <c r="M6" s="12">
        <f>SUM(M7:M8)</f>
        <v>7155550.4861650001</v>
      </c>
      <c r="N6" s="13">
        <f>IF(OR(K6&lt;=0,M6&lt;=0),0,M6/K6-1)</f>
        <v>-0.1293598433365587</v>
      </c>
      <c r="O6" s="12">
        <f>SUM(O7:O8)</f>
        <v>7121336.8558380008</v>
      </c>
      <c r="P6" s="13">
        <f>IF(OR(M6&lt;=0,O6&lt;=0),0,O6/M6-1)</f>
        <v>-4.7814113523690915E-3</v>
      </c>
      <c r="Q6" s="14"/>
      <c r="T6" s="459" t="s">
        <v>516</v>
      </c>
      <c r="U6" s="1041" t="s">
        <v>327</v>
      </c>
      <c r="V6" s="1042"/>
      <c r="W6" s="1043"/>
      <c r="X6" s="463">
        <v>1355211</v>
      </c>
      <c r="Y6" s="464">
        <v>9.4</v>
      </c>
      <c r="Z6" s="465">
        <v>1424846</v>
      </c>
      <c r="AA6" s="464">
        <v>5.0999999999999996</v>
      </c>
      <c r="AB6" s="465">
        <v>1384202</v>
      </c>
      <c r="AC6" s="464">
        <v>-2.9</v>
      </c>
      <c r="AD6" s="465">
        <v>1426568</v>
      </c>
      <c r="AE6" s="464">
        <v>3.1</v>
      </c>
      <c r="AF6" s="466">
        <v>1561615</v>
      </c>
      <c r="AG6" s="467">
        <v>9.5</v>
      </c>
      <c r="AI6" s="15" t="e">
        <f>#REF!-X6</f>
        <v>#REF!</v>
      </c>
      <c r="AJ6" s="15" t="e">
        <f>#REF!-Z6</f>
        <v>#REF!</v>
      </c>
      <c r="AK6" s="15">
        <f>E6-AB6</f>
        <v>177413.40252</v>
      </c>
      <c r="AL6" s="15">
        <f>G6-AD6</f>
        <v>6252362.2546640001</v>
      </c>
      <c r="AM6" s="15">
        <f>I6-AF6</f>
        <v>6389711.7089289995</v>
      </c>
      <c r="AN6" s="16">
        <f t="shared" ref="AN6:AN38" si="0">(AF6-AD6)/AD6</f>
        <v>9.4665659120350382E-2</v>
      </c>
      <c r="AO6" s="17">
        <f>AN6*100</f>
        <v>9.4665659120350387</v>
      </c>
      <c r="AP6" s="18">
        <f t="shared" ref="AP6:AP38" si="1">AG6-AO6</f>
        <v>3.3434087964961279E-2</v>
      </c>
      <c r="AR6" s="468" t="s">
        <v>406</v>
      </c>
      <c r="AS6" s="469">
        <v>7678930254664</v>
      </c>
      <c r="AT6" s="200">
        <f t="shared" ref="AT6:AT17" si="2">G6*1000000-AS6</f>
        <v>0</v>
      </c>
      <c r="AU6" s="470">
        <v>7951326708929</v>
      </c>
      <c r="AV6" s="200">
        <f t="shared" ref="AV6:AV17" si="3">I6*1000000-AU6</f>
        <v>0</v>
      </c>
      <c r="AW6" s="470">
        <v>8218723236460</v>
      </c>
      <c r="AX6" s="200">
        <f t="shared" ref="AX6:AX17" si="4">K6*1000000-AW6</f>
        <v>0</v>
      </c>
      <c r="AY6" s="470">
        <v>7155550486165</v>
      </c>
      <c r="AZ6" s="200">
        <f t="shared" ref="AZ6:AZ17" si="5">M6*1000000-AY6</f>
        <v>0</v>
      </c>
      <c r="BA6" s="470">
        <f>'SAP BS'!G13</f>
        <v>7121336855838</v>
      </c>
      <c r="BB6" s="200">
        <f>O6*1000000-BA6</f>
        <v>0</v>
      </c>
      <c r="BD6" s="920" t="s">
        <v>8961</v>
      </c>
      <c r="BE6" s="918">
        <v>7121336855838</v>
      </c>
      <c r="BG6" s="244">
        <f>BA6-BE6</f>
        <v>0</v>
      </c>
    </row>
    <row r="7" spans="1:68" ht="25.35" customHeight="1" x14ac:dyDescent="0.3">
      <c r="A7" s="1037"/>
      <c r="B7" s="19" t="s">
        <v>324</v>
      </c>
      <c r="C7" s="1044" t="s">
        <v>88</v>
      </c>
      <c r="D7" s="1045"/>
      <c r="E7" s="20">
        <v>740920.78476499999</v>
      </c>
      <c r="F7" s="21"/>
      <c r="G7" s="20">
        <f>AS7/1000000</f>
        <v>955684.40333500004</v>
      </c>
      <c r="H7" s="21">
        <f t="shared" ref="H7:H37" si="6">IF(OR(E7&lt;=0,G7&lt;=0),0,G7/E7-1)</f>
        <v>0.28986043175738052</v>
      </c>
      <c r="I7" s="20">
        <f>AU7/1000000</f>
        <v>1219864.8828769999</v>
      </c>
      <c r="J7" s="21">
        <f t="shared" ref="J7:J37" si="7">IF(OR(G7&lt;=0,I7&lt;=0),0,I7/G7-1)</f>
        <v>0.27643066960191409</v>
      </c>
      <c r="K7" s="20">
        <f>AW7/1000000</f>
        <v>1716841.5960210001</v>
      </c>
      <c r="L7" s="21">
        <f t="shared" ref="L7:L37" si="8">IF(OR(I7&lt;=0,K7&lt;=0),0,K7/I7-1)</f>
        <v>0.40740308219374399</v>
      </c>
      <c r="M7" s="20">
        <f>AY7/1000000</f>
        <v>1422091.5581489999</v>
      </c>
      <c r="N7" s="21">
        <f t="shared" ref="N7:N37" si="9">IF(OR(K7&lt;=0,M7&lt;=0),0,M7/K7-1)</f>
        <v>-0.17168155673483276</v>
      </c>
      <c r="O7" s="20">
        <f>BA7/1000000</f>
        <v>1670298.9750689999</v>
      </c>
      <c r="P7" s="21">
        <f t="shared" ref="P7:P37" si="10">IF(OR(M7&lt;=0,O7&lt;=0),0,O7/M7-1)</f>
        <v>0.17453687527902062</v>
      </c>
      <c r="Q7" s="14"/>
      <c r="T7" s="471" t="s">
        <v>328</v>
      </c>
      <c r="U7" s="472"/>
      <c r="V7" s="1046" t="s">
        <v>88</v>
      </c>
      <c r="W7" s="1047"/>
      <c r="X7" s="473">
        <v>811777</v>
      </c>
      <c r="Y7" s="474">
        <v>14.9</v>
      </c>
      <c r="Z7" s="475">
        <v>733619</v>
      </c>
      <c r="AA7" s="474">
        <v>-9.6</v>
      </c>
      <c r="AB7" s="475">
        <v>710950</v>
      </c>
      <c r="AC7" s="474">
        <v>-3.1</v>
      </c>
      <c r="AD7" s="475">
        <v>642134</v>
      </c>
      <c r="AE7" s="474">
        <v>-9.6999999999999993</v>
      </c>
      <c r="AF7" s="476">
        <v>740921</v>
      </c>
      <c r="AG7" s="477">
        <v>15.4</v>
      </c>
      <c r="AI7" s="15" t="e">
        <f>#REF!-X7</f>
        <v>#REF!</v>
      </c>
      <c r="AJ7" s="15" t="e">
        <f>#REF!-Z7</f>
        <v>#REF!</v>
      </c>
      <c r="AK7" s="15">
        <f t="shared" ref="AK7:AK38" si="11">E7-AB7</f>
        <v>29970.784764999989</v>
      </c>
      <c r="AL7" s="15">
        <f t="shared" ref="AL7:AL38" si="12">G7-AD7</f>
        <v>313550.40333500004</v>
      </c>
      <c r="AM7" s="15">
        <f t="shared" ref="AM7:AM38" si="13">I7-AF7</f>
        <v>478943.88287699991</v>
      </c>
      <c r="AN7" s="16">
        <f t="shared" si="0"/>
        <v>0.15384172150984063</v>
      </c>
      <c r="AO7" s="17">
        <f t="shared" ref="AO7:AO38" si="14">AN7*100</f>
        <v>15.384172150984062</v>
      </c>
      <c r="AP7" s="18">
        <f t="shared" si="1"/>
        <v>1.5827849015938256E-2</v>
      </c>
      <c r="AR7" s="468" t="s">
        <v>404</v>
      </c>
      <c r="AS7" s="469">
        <v>955684403335</v>
      </c>
      <c r="AT7" s="200">
        <f t="shared" si="2"/>
        <v>0</v>
      </c>
      <c r="AU7" s="470">
        <v>1219864882877</v>
      </c>
      <c r="AV7" s="200">
        <f t="shared" si="3"/>
        <v>0</v>
      </c>
      <c r="AW7" s="470">
        <v>1716841596021</v>
      </c>
      <c r="AX7" s="200">
        <f t="shared" si="4"/>
        <v>0</v>
      </c>
      <c r="AY7" s="470">
        <v>1422091558149</v>
      </c>
      <c r="AZ7" s="200">
        <f t="shared" si="5"/>
        <v>0</v>
      </c>
      <c r="BA7" s="470">
        <f>'SAP BS'!G14</f>
        <v>1670298975069</v>
      </c>
      <c r="BB7" s="200">
        <f t="shared" ref="BB7:BB18" si="15">O7*1000000-BA7</f>
        <v>0</v>
      </c>
      <c r="BD7" s="917" t="s">
        <v>8959</v>
      </c>
      <c r="BE7" s="918">
        <v>1670298975069</v>
      </c>
      <c r="BG7" s="244">
        <f t="shared" ref="BG7:BG18" si="16">BA7-BE7</f>
        <v>0</v>
      </c>
    </row>
    <row r="8" spans="1:68" ht="25.35" customHeight="1" thickBot="1" x14ac:dyDescent="0.35">
      <c r="A8" s="1037"/>
      <c r="B8" s="22" t="s">
        <v>324</v>
      </c>
      <c r="C8" s="1048" t="s">
        <v>115</v>
      </c>
      <c r="D8" s="1049"/>
      <c r="E8" s="23">
        <v>820694.61775500001</v>
      </c>
      <c r="F8" s="24"/>
      <c r="G8" s="23">
        <f>AS8/1000000</f>
        <v>6723245.8513289997</v>
      </c>
      <c r="H8" s="24">
        <f t="shared" si="6"/>
        <v>7.1921407864478937</v>
      </c>
      <c r="I8" s="23">
        <f>AU8/1000000</f>
        <v>6731461.8260519998</v>
      </c>
      <c r="J8" s="24">
        <f t="shared" si="7"/>
        <v>1.2220250314625147E-3</v>
      </c>
      <c r="K8" s="23">
        <f>AW8/1000000</f>
        <v>6501881.640439</v>
      </c>
      <c r="L8" s="24">
        <f t="shared" si="8"/>
        <v>-3.4105546691876376E-2</v>
      </c>
      <c r="M8" s="23">
        <f>AY8/1000000</f>
        <v>5733458.9280160004</v>
      </c>
      <c r="N8" s="24">
        <f t="shared" si="9"/>
        <v>-0.11818466636546099</v>
      </c>
      <c r="O8" s="23">
        <f>BA8/1000000</f>
        <v>5451037.8807690004</v>
      </c>
      <c r="P8" s="24">
        <f t="shared" si="10"/>
        <v>-4.9258405927873006E-2</v>
      </c>
      <c r="Q8" s="14"/>
      <c r="T8" s="471" t="s">
        <v>329</v>
      </c>
      <c r="U8" s="478"/>
      <c r="V8" s="1050" t="s">
        <v>115</v>
      </c>
      <c r="W8" s="1051"/>
      <c r="X8" s="479">
        <v>543434</v>
      </c>
      <c r="Y8" s="480">
        <v>2</v>
      </c>
      <c r="Z8" s="481">
        <v>691227</v>
      </c>
      <c r="AA8" s="480">
        <v>27.2</v>
      </c>
      <c r="AB8" s="481">
        <v>673252</v>
      </c>
      <c r="AC8" s="480">
        <v>-2.6</v>
      </c>
      <c r="AD8" s="481">
        <v>784435</v>
      </c>
      <c r="AE8" s="480">
        <v>16.5</v>
      </c>
      <c r="AF8" s="482">
        <v>820694</v>
      </c>
      <c r="AG8" s="483">
        <v>4.5999999999999996</v>
      </c>
      <c r="AI8" s="15" t="e">
        <f>#REF!-X8</f>
        <v>#REF!</v>
      </c>
      <c r="AJ8" s="15" t="e">
        <f>#REF!-Z8</f>
        <v>#REF!</v>
      </c>
      <c r="AK8" s="15">
        <f t="shared" si="11"/>
        <v>147442.61775500001</v>
      </c>
      <c r="AL8" s="15">
        <f t="shared" si="12"/>
        <v>5938810.8513289997</v>
      </c>
      <c r="AM8" s="15">
        <f t="shared" si="13"/>
        <v>5910767.8260519998</v>
      </c>
      <c r="AN8" s="16">
        <f t="shared" si="0"/>
        <v>4.6223077756601887E-2</v>
      </c>
      <c r="AO8" s="17">
        <f t="shared" si="14"/>
        <v>4.6223077756601887</v>
      </c>
      <c r="AP8" s="18">
        <f t="shared" si="1"/>
        <v>-2.2307775660189044E-2</v>
      </c>
      <c r="AR8" s="468" t="s">
        <v>405</v>
      </c>
      <c r="AS8" s="469">
        <v>6723245851329</v>
      </c>
      <c r="AT8" s="200">
        <f t="shared" si="2"/>
        <v>0</v>
      </c>
      <c r="AU8" s="470">
        <v>6731461826052</v>
      </c>
      <c r="AV8" s="200">
        <f t="shared" si="3"/>
        <v>0</v>
      </c>
      <c r="AW8" s="470">
        <v>6501881640439</v>
      </c>
      <c r="AX8" s="200">
        <f t="shared" si="4"/>
        <v>0</v>
      </c>
      <c r="AY8" s="470">
        <v>5733458928016</v>
      </c>
      <c r="AZ8" s="200">
        <f t="shared" si="5"/>
        <v>0</v>
      </c>
      <c r="BA8" s="470">
        <f>'SAP BS'!G2698</f>
        <v>5451037880769</v>
      </c>
      <c r="BB8" s="200">
        <f t="shared" si="15"/>
        <v>0</v>
      </c>
      <c r="BD8" s="917" t="s">
        <v>8960</v>
      </c>
      <c r="BE8" s="918">
        <v>5451037880769</v>
      </c>
      <c r="BG8" s="244">
        <f t="shared" si="16"/>
        <v>0</v>
      </c>
    </row>
    <row r="9" spans="1:68" ht="25.35" customHeight="1" thickBot="1" x14ac:dyDescent="0.35">
      <c r="A9" s="1037"/>
      <c r="B9" s="1031" t="s">
        <v>330</v>
      </c>
      <c r="C9" s="1021"/>
      <c r="D9" s="1032"/>
      <c r="E9" s="25">
        <f>SUM(E10:E11)</f>
        <v>312867.67099299998</v>
      </c>
      <c r="F9" s="26"/>
      <c r="G9" s="25">
        <f>SUM(G10:G11)</f>
        <v>3567657.7525789998</v>
      </c>
      <c r="H9" s="26">
        <f t="shared" si="6"/>
        <v>10.403088536619117</v>
      </c>
      <c r="I9" s="25">
        <f>SUM(I10:I11)</f>
        <v>3841536.6541459998</v>
      </c>
      <c r="J9" s="26">
        <f t="shared" si="7"/>
        <v>7.6767145438493278E-2</v>
      </c>
      <c r="K9" s="25">
        <f>SUM(K10:K11)</f>
        <v>4136190.5606530001</v>
      </c>
      <c r="L9" s="26">
        <f t="shared" si="8"/>
        <v>7.670209424892338E-2</v>
      </c>
      <c r="M9" s="25">
        <f>SUM(M10:M11)</f>
        <v>3953186.4336970001</v>
      </c>
      <c r="N9" s="26">
        <f t="shared" si="9"/>
        <v>-4.424460727145707E-2</v>
      </c>
      <c r="O9" s="25">
        <f>SUM(O10:O11)</f>
        <v>3796297.1349189999</v>
      </c>
      <c r="P9" s="26">
        <f t="shared" si="10"/>
        <v>-3.9686794794364988E-2</v>
      </c>
      <c r="Q9" s="14"/>
      <c r="T9" s="484"/>
      <c r="U9" s="1041" t="s">
        <v>330</v>
      </c>
      <c r="V9" s="1042"/>
      <c r="W9" s="1043"/>
      <c r="X9" s="485">
        <v>363639</v>
      </c>
      <c r="Y9" s="486">
        <v>18.7</v>
      </c>
      <c r="Z9" s="487">
        <v>341693</v>
      </c>
      <c r="AA9" s="486">
        <v>-6</v>
      </c>
      <c r="AB9" s="487">
        <v>291047</v>
      </c>
      <c r="AC9" s="486">
        <v>-14.8</v>
      </c>
      <c r="AD9" s="487">
        <v>281309</v>
      </c>
      <c r="AE9" s="486">
        <v>-3.3</v>
      </c>
      <c r="AF9" s="488">
        <v>312868</v>
      </c>
      <c r="AG9" s="489">
        <v>11.2</v>
      </c>
      <c r="AI9" s="15" t="e">
        <f>#REF!-X9</f>
        <v>#REF!</v>
      </c>
      <c r="AJ9" s="15" t="e">
        <f>#REF!-Z9</f>
        <v>#REF!</v>
      </c>
      <c r="AK9" s="15">
        <f t="shared" si="11"/>
        <v>21820.670992999978</v>
      </c>
      <c r="AL9" s="15">
        <f t="shared" si="12"/>
        <v>3286348.7525789998</v>
      </c>
      <c r="AM9" s="15">
        <f t="shared" si="13"/>
        <v>3528668.6541459998</v>
      </c>
      <c r="AN9" s="16">
        <f t="shared" si="0"/>
        <v>0.11218624359689879</v>
      </c>
      <c r="AO9" s="17">
        <f t="shared" si="14"/>
        <v>11.218624359689878</v>
      </c>
      <c r="AP9" s="18">
        <f t="shared" si="1"/>
        <v>-1.8624359689878744E-2</v>
      </c>
      <c r="AR9" s="468" t="s">
        <v>409</v>
      </c>
      <c r="AS9" s="469">
        <v>3567657752579</v>
      </c>
      <c r="AT9" s="200">
        <f t="shared" si="2"/>
        <v>0</v>
      </c>
      <c r="AU9" s="470">
        <v>3841536654146</v>
      </c>
      <c r="AV9" s="200">
        <f t="shared" si="3"/>
        <v>0</v>
      </c>
      <c r="AW9" s="470">
        <v>4136190560653</v>
      </c>
      <c r="AX9" s="200">
        <f t="shared" si="4"/>
        <v>0</v>
      </c>
      <c r="AY9" s="470">
        <v>3953186433697</v>
      </c>
      <c r="AZ9" s="200">
        <f t="shared" si="5"/>
        <v>0</v>
      </c>
      <c r="BA9" s="470">
        <f>'SAP BS'!G2964</f>
        <v>3796297134919</v>
      </c>
      <c r="BB9" s="200">
        <f t="shared" si="15"/>
        <v>0</v>
      </c>
      <c r="BD9" s="920" t="s">
        <v>8964</v>
      </c>
      <c r="BE9" s="918">
        <v>3796297134919</v>
      </c>
      <c r="BG9" s="244">
        <f t="shared" si="16"/>
        <v>0</v>
      </c>
    </row>
    <row r="10" spans="1:68" ht="25.35" customHeight="1" x14ac:dyDescent="0.3">
      <c r="A10" s="1037"/>
      <c r="B10" s="19" t="s">
        <v>324</v>
      </c>
      <c r="C10" s="1044" t="s">
        <v>143</v>
      </c>
      <c r="D10" s="1045"/>
      <c r="E10" s="27">
        <v>285467.904431</v>
      </c>
      <c r="F10" s="28"/>
      <c r="G10" s="27">
        <f>AS10/1000000</f>
        <v>1569402.154384</v>
      </c>
      <c r="H10" s="28">
        <f t="shared" si="6"/>
        <v>4.4976483521401889</v>
      </c>
      <c r="I10" s="27">
        <f>AU10/1000000</f>
        <v>1726933.3416559999</v>
      </c>
      <c r="J10" s="28">
        <f t="shared" si="7"/>
        <v>0.10037655857165029</v>
      </c>
      <c r="K10" s="27">
        <f>AW10/1000000</f>
        <v>2077670.99404</v>
      </c>
      <c r="L10" s="28">
        <f t="shared" si="8"/>
        <v>0.20309854695819873</v>
      </c>
      <c r="M10" s="27">
        <f>AY10/1000000</f>
        <v>1747795.22966</v>
      </c>
      <c r="N10" s="28">
        <f t="shared" si="9"/>
        <v>-0.15877189667001201</v>
      </c>
      <c r="O10" s="27">
        <f>BA10/1000000</f>
        <v>1726694.8695489999</v>
      </c>
      <c r="P10" s="28">
        <f t="shared" si="10"/>
        <v>-1.2072558474201078E-2</v>
      </c>
      <c r="Q10" s="14"/>
      <c r="T10" s="484"/>
      <c r="U10" s="472"/>
      <c r="V10" s="1046" t="s">
        <v>143</v>
      </c>
      <c r="W10" s="1047"/>
      <c r="X10" s="473">
        <v>357757</v>
      </c>
      <c r="Y10" s="474">
        <v>20.100000000000001</v>
      </c>
      <c r="Z10" s="475">
        <v>336445</v>
      </c>
      <c r="AA10" s="474">
        <v>-6</v>
      </c>
      <c r="AB10" s="475">
        <v>284163</v>
      </c>
      <c r="AC10" s="474">
        <v>-15.5</v>
      </c>
      <c r="AD10" s="475">
        <v>267281</v>
      </c>
      <c r="AE10" s="474">
        <v>-5.9</v>
      </c>
      <c r="AF10" s="476">
        <v>285467</v>
      </c>
      <c r="AG10" s="477">
        <v>6.8</v>
      </c>
      <c r="AI10" s="15" t="e">
        <f>#REF!-X10</f>
        <v>#REF!</v>
      </c>
      <c r="AJ10" s="15" t="e">
        <f>#REF!-Z10</f>
        <v>#REF!</v>
      </c>
      <c r="AK10" s="15">
        <f t="shared" si="11"/>
        <v>1304.9044310000027</v>
      </c>
      <c r="AL10" s="15">
        <f t="shared" si="12"/>
        <v>1302121.154384</v>
      </c>
      <c r="AM10" s="15">
        <f t="shared" si="13"/>
        <v>1441466.3416559999</v>
      </c>
      <c r="AN10" s="16">
        <f t="shared" si="0"/>
        <v>6.8040751119608209E-2</v>
      </c>
      <c r="AO10" s="17">
        <f t="shared" si="14"/>
        <v>6.8040751119608212</v>
      </c>
      <c r="AP10" s="18">
        <f t="shared" si="1"/>
        <v>-4.0751119608213315E-3</v>
      </c>
      <c r="AR10" s="468" t="s">
        <v>407</v>
      </c>
      <c r="AS10" s="469">
        <v>1569402154384</v>
      </c>
      <c r="AT10" s="200">
        <f t="shared" si="2"/>
        <v>0</v>
      </c>
      <c r="AU10" s="470">
        <v>1726933341656</v>
      </c>
      <c r="AV10" s="200">
        <f t="shared" si="3"/>
        <v>0</v>
      </c>
      <c r="AW10" s="470">
        <v>2077670994040</v>
      </c>
      <c r="AX10" s="200">
        <f t="shared" si="4"/>
        <v>0</v>
      </c>
      <c r="AY10" s="470">
        <v>1747795229660</v>
      </c>
      <c r="AZ10" s="200">
        <f t="shared" si="5"/>
        <v>0</v>
      </c>
      <c r="BA10" s="470">
        <f>'SAP BS'!G2965</f>
        <v>1726694869549</v>
      </c>
      <c r="BB10" s="200">
        <f t="shared" si="15"/>
        <v>0</v>
      </c>
      <c r="BD10" s="917" t="s">
        <v>8962</v>
      </c>
      <c r="BE10" s="918">
        <v>1726694869549</v>
      </c>
      <c r="BG10" s="244">
        <f t="shared" si="16"/>
        <v>0</v>
      </c>
    </row>
    <row r="11" spans="1:68" ht="25.35" customHeight="1" thickBot="1" x14ac:dyDescent="0.35">
      <c r="A11" s="1037"/>
      <c r="B11" s="22" t="s">
        <v>324</v>
      </c>
      <c r="C11" s="1048" t="s">
        <v>165</v>
      </c>
      <c r="D11" s="1049"/>
      <c r="E11" s="23">
        <v>27399.766562000001</v>
      </c>
      <c r="F11" s="24"/>
      <c r="G11" s="23">
        <f>AS11/1000000</f>
        <v>1998255.5981950001</v>
      </c>
      <c r="H11" s="24">
        <f t="shared" si="6"/>
        <v>71.929657764541943</v>
      </c>
      <c r="I11" s="23">
        <f>AU11/1000000</f>
        <v>2114603.3124899999</v>
      </c>
      <c r="J11" s="24">
        <f t="shared" si="7"/>
        <v>5.8224640731693755E-2</v>
      </c>
      <c r="K11" s="23">
        <f>AW11/1000000</f>
        <v>2058519.5666129999</v>
      </c>
      <c r="L11" s="24">
        <f t="shared" si="8"/>
        <v>-2.6522111994121467E-2</v>
      </c>
      <c r="M11" s="23">
        <f>AY11/1000000</f>
        <v>2205391.204037</v>
      </c>
      <c r="N11" s="24">
        <f t="shared" si="9"/>
        <v>7.1348186243211931E-2</v>
      </c>
      <c r="O11" s="23">
        <f>BA11/1000000</f>
        <v>2069602.2653699999</v>
      </c>
      <c r="P11" s="24">
        <f t="shared" si="10"/>
        <v>-6.1571361316049678E-2</v>
      </c>
      <c r="Q11" s="14"/>
      <c r="T11" s="484"/>
      <c r="U11" s="478"/>
      <c r="V11" s="1050" t="s">
        <v>165</v>
      </c>
      <c r="W11" s="1051"/>
      <c r="X11" s="479">
        <v>5881</v>
      </c>
      <c r="Y11" s="480">
        <v>-31.2</v>
      </c>
      <c r="Z11" s="481">
        <v>5248</v>
      </c>
      <c r="AA11" s="480">
        <v>-10.8</v>
      </c>
      <c r="AB11" s="481">
        <v>6884</v>
      </c>
      <c r="AC11" s="480">
        <v>31.2</v>
      </c>
      <c r="AD11" s="481">
        <v>14028</v>
      </c>
      <c r="AE11" s="480">
        <v>103.8</v>
      </c>
      <c r="AF11" s="482">
        <v>27401</v>
      </c>
      <c r="AG11" s="483">
        <v>95.3</v>
      </c>
      <c r="AI11" s="15" t="e">
        <f>#REF!-X11</f>
        <v>#REF!</v>
      </c>
      <c r="AJ11" s="15" t="e">
        <f>#REF!-Z11</f>
        <v>#REF!</v>
      </c>
      <c r="AK11" s="15">
        <f t="shared" si="11"/>
        <v>20515.766562000001</v>
      </c>
      <c r="AL11" s="15">
        <f t="shared" si="12"/>
        <v>1984227.5981950001</v>
      </c>
      <c r="AM11" s="15">
        <f t="shared" si="13"/>
        <v>2087202.3124899999</v>
      </c>
      <c r="AN11" s="16">
        <f t="shared" si="0"/>
        <v>0.95330767037353858</v>
      </c>
      <c r="AO11" s="17">
        <f t="shared" si="14"/>
        <v>95.330767037353866</v>
      </c>
      <c r="AP11" s="18">
        <f t="shared" si="1"/>
        <v>-3.0767037353868432E-2</v>
      </c>
      <c r="AR11" s="468" t="s">
        <v>408</v>
      </c>
      <c r="AS11" s="469">
        <v>1998255598195</v>
      </c>
      <c r="AT11" s="200">
        <f t="shared" si="2"/>
        <v>0</v>
      </c>
      <c r="AU11" s="470">
        <v>2114603312490</v>
      </c>
      <c r="AV11" s="200">
        <f t="shared" si="3"/>
        <v>0</v>
      </c>
      <c r="AW11" s="470">
        <v>2058519566613</v>
      </c>
      <c r="AX11" s="200">
        <f t="shared" si="4"/>
        <v>0</v>
      </c>
      <c r="AY11" s="470">
        <v>2205391204037</v>
      </c>
      <c r="AZ11" s="200">
        <f t="shared" si="5"/>
        <v>0</v>
      </c>
      <c r="BA11" s="470">
        <f>'SAP BS'!G3169</f>
        <v>2069602265370</v>
      </c>
      <c r="BB11" s="200">
        <f t="shared" si="15"/>
        <v>0</v>
      </c>
      <c r="BD11" s="917" t="s">
        <v>8963</v>
      </c>
      <c r="BE11" s="921">
        <v>2069602265370</v>
      </c>
      <c r="BG11" s="244">
        <f t="shared" si="16"/>
        <v>0</v>
      </c>
    </row>
    <row r="12" spans="1:68" ht="25.35" customHeight="1" thickBot="1" x14ac:dyDescent="0.35">
      <c r="A12" s="1037"/>
      <c r="B12" s="1031" t="s">
        <v>331</v>
      </c>
      <c r="C12" s="1021"/>
      <c r="D12" s="1032"/>
      <c r="E12" s="25">
        <f>SUM(E13:E17)</f>
        <v>1248747.7315270002</v>
      </c>
      <c r="F12" s="26"/>
      <c r="G12" s="25">
        <f>SUM(G13:G17)</f>
        <v>4111272.5020849998</v>
      </c>
      <c r="H12" s="26">
        <f t="shared" si="6"/>
        <v>2.2923162927852787</v>
      </c>
      <c r="I12" s="25">
        <f>SUM(I13:I17)</f>
        <v>4109790.0547830001</v>
      </c>
      <c r="J12" s="26">
        <f t="shared" si="7"/>
        <v>-3.6058113424686233E-4</v>
      </c>
      <c r="K12" s="25">
        <f>SUM(K13:K17)</f>
        <v>4082532.6758070001</v>
      </c>
      <c r="L12" s="26">
        <f t="shared" si="8"/>
        <v>-6.6323044760590033E-3</v>
      </c>
      <c r="M12" s="25">
        <f>SUM(M13:M17)</f>
        <v>3202364.052468</v>
      </c>
      <c r="N12" s="26">
        <f t="shared" si="9"/>
        <v>-0.21559377308964611</v>
      </c>
      <c r="O12" s="25">
        <f>SUM(O13:O17)</f>
        <v>3325039.720919</v>
      </c>
      <c r="P12" s="26">
        <f t="shared" si="10"/>
        <v>3.8307845841716981E-2</v>
      </c>
      <c r="Q12" s="14"/>
      <c r="T12" s="484"/>
      <c r="U12" s="1041" t="s">
        <v>331</v>
      </c>
      <c r="V12" s="1042"/>
      <c r="W12" s="1043"/>
      <c r="X12" s="485">
        <v>991573</v>
      </c>
      <c r="Y12" s="486">
        <v>6.3</v>
      </c>
      <c r="Z12" s="487">
        <v>1083153</v>
      </c>
      <c r="AA12" s="486">
        <v>9.1999999999999993</v>
      </c>
      <c r="AB12" s="487">
        <v>1093155</v>
      </c>
      <c r="AC12" s="486">
        <v>0.9</v>
      </c>
      <c r="AD12" s="487">
        <v>1145259</v>
      </c>
      <c r="AE12" s="486">
        <v>4.8</v>
      </c>
      <c r="AF12" s="488">
        <v>1248747</v>
      </c>
      <c r="AG12" s="489">
        <v>9</v>
      </c>
      <c r="AI12" s="15" t="e">
        <f>#REF!-X12</f>
        <v>#REF!</v>
      </c>
      <c r="AJ12" s="15" t="e">
        <f>#REF!-Z12</f>
        <v>#REF!</v>
      </c>
      <c r="AK12" s="15">
        <f t="shared" si="11"/>
        <v>155592.7315270002</v>
      </c>
      <c r="AL12" s="15">
        <f t="shared" si="12"/>
        <v>2966013.5020849998</v>
      </c>
      <c r="AM12" s="15">
        <f t="shared" si="13"/>
        <v>2861043.0547830001</v>
      </c>
      <c r="AN12" s="16">
        <f t="shared" si="0"/>
        <v>9.0362092766788998E-2</v>
      </c>
      <c r="AO12" s="17">
        <f t="shared" si="14"/>
        <v>9.0362092766788997</v>
      </c>
      <c r="AP12" s="18">
        <f t="shared" si="1"/>
        <v>-3.6209276678899727E-2</v>
      </c>
      <c r="AR12" s="468" t="s">
        <v>415</v>
      </c>
      <c r="AS12" s="469">
        <v>4111272502085</v>
      </c>
      <c r="AT12" s="200">
        <f t="shared" si="2"/>
        <v>0</v>
      </c>
      <c r="AU12" s="470">
        <v>4109790054783</v>
      </c>
      <c r="AV12" s="200">
        <f t="shared" si="3"/>
        <v>0</v>
      </c>
      <c r="AW12" s="470">
        <v>4082532675807</v>
      </c>
      <c r="AX12" s="200">
        <f t="shared" si="4"/>
        <v>0</v>
      </c>
      <c r="AY12" s="470">
        <v>3202364052468</v>
      </c>
      <c r="AZ12" s="200">
        <f t="shared" si="5"/>
        <v>0</v>
      </c>
      <c r="BA12" s="470">
        <f>'SAP BS'!G3237</f>
        <v>3325039720919</v>
      </c>
      <c r="BB12" s="200">
        <f t="shared" si="15"/>
        <v>0</v>
      </c>
      <c r="BD12" s="925" t="s">
        <v>8970</v>
      </c>
      <c r="BE12" s="916">
        <v>3325039720919</v>
      </c>
      <c r="BG12" s="244">
        <f t="shared" si="16"/>
        <v>0</v>
      </c>
    </row>
    <row r="13" spans="1:68" ht="25.35" customHeight="1" x14ac:dyDescent="0.3">
      <c r="A13" s="1037"/>
      <c r="B13" s="19" t="s">
        <v>324</v>
      </c>
      <c r="C13" s="1044" t="s">
        <v>186</v>
      </c>
      <c r="D13" s="1059"/>
      <c r="E13" s="29">
        <v>32812.5</v>
      </c>
      <c r="F13" s="30"/>
      <c r="G13" s="29">
        <f t="shared" ref="G13:O17" si="17">AS13/1000000</f>
        <v>104717.92200000001</v>
      </c>
      <c r="H13" s="30">
        <f t="shared" si="6"/>
        <v>2.1914033371428574</v>
      </c>
      <c r="I13" s="29">
        <f t="shared" si="17"/>
        <v>104717.92200000001</v>
      </c>
      <c r="J13" s="30">
        <f t="shared" si="7"/>
        <v>0</v>
      </c>
      <c r="K13" s="29">
        <f t="shared" si="17"/>
        <v>104717.92200000001</v>
      </c>
      <c r="L13" s="30">
        <f t="shared" si="8"/>
        <v>0</v>
      </c>
      <c r="M13" s="29">
        <f t="shared" si="17"/>
        <v>83607.414999999994</v>
      </c>
      <c r="N13" s="30">
        <f t="shared" si="9"/>
        <v>-0.20159402131757365</v>
      </c>
      <c r="O13" s="29">
        <f t="shared" si="17"/>
        <v>83607.414999999994</v>
      </c>
      <c r="P13" s="30">
        <f t="shared" si="10"/>
        <v>0</v>
      </c>
      <c r="Q13" s="14"/>
      <c r="T13" s="484"/>
      <c r="U13" s="472"/>
      <c r="V13" s="1046" t="s">
        <v>186</v>
      </c>
      <c r="W13" s="1047"/>
      <c r="X13" s="473">
        <v>32813</v>
      </c>
      <c r="Y13" s="474">
        <v>0</v>
      </c>
      <c r="Z13" s="475">
        <v>32813</v>
      </c>
      <c r="AA13" s="474">
        <v>0</v>
      </c>
      <c r="AB13" s="475">
        <v>32813</v>
      </c>
      <c r="AC13" s="474">
        <v>0</v>
      </c>
      <c r="AD13" s="475">
        <v>32813</v>
      </c>
      <c r="AE13" s="474">
        <v>0</v>
      </c>
      <c r="AF13" s="476">
        <v>32813</v>
      </c>
      <c r="AG13" s="477">
        <v>0</v>
      </c>
      <c r="AI13" s="15" t="e">
        <f>#REF!-X13</f>
        <v>#REF!</v>
      </c>
      <c r="AJ13" s="15" t="e">
        <f>#REF!-Z13</f>
        <v>#REF!</v>
      </c>
      <c r="AK13" s="15">
        <f t="shared" si="11"/>
        <v>-0.5</v>
      </c>
      <c r="AL13" s="15">
        <f t="shared" si="12"/>
        <v>71904.922000000006</v>
      </c>
      <c r="AM13" s="15">
        <f t="shared" si="13"/>
        <v>71904.922000000006</v>
      </c>
      <c r="AN13" s="16">
        <f t="shared" si="0"/>
        <v>0</v>
      </c>
      <c r="AO13" s="17">
        <f t="shared" si="14"/>
        <v>0</v>
      </c>
      <c r="AP13" s="18">
        <f t="shared" si="1"/>
        <v>0</v>
      </c>
      <c r="AR13" s="468" t="s">
        <v>410</v>
      </c>
      <c r="AS13" s="469">
        <v>104717922000</v>
      </c>
      <c r="AT13" s="200">
        <f t="shared" si="2"/>
        <v>0</v>
      </c>
      <c r="AU13" s="470">
        <v>104717922000</v>
      </c>
      <c r="AV13" s="200">
        <f t="shared" si="3"/>
        <v>0</v>
      </c>
      <c r="AW13" s="470">
        <v>104717922000</v>
      </c>
      <c r="AX13" s="200">
        <f t="shared" si="4"/>
        <v>0</v>
      </c>
      <c r="AY13" s="470">
        <v>83607415000</v>
      </c>
      <c r="AZ13" s="200">
        <f t="shared" si="5"/>
        <v>0</v>
      </c>
      <c r="BA13" s="470">
        <f>'SAP BS'!G3238</f>
        <v>83607415000</v>
      </c>
      <c r="BB13" s="200">
        <f t="shared" si="15"/>
        <v>0</v>
      </c>
      <c r="BD13" s="922" t="s">
        <v>8965</v>
      </c>
      <c r="BE13" s="923">
        <v>83607415000</v>
      </c>
      <c r="BG13" s="244">
        <f t="shared" si="16"/>
        <v>0</v>
      </c>
    </row>
    <row r="14" spans="1:68" ht="25.35" customHeight="1" x14ac:dyDescent="0.3">
      <c r="A14" s="1037"/>
      <c r="B14" s="19" t="s">
        <v>324</v>
      </c>
      <c r="C14" s="1060" t="s">
        <v>192</v>
      </c>
      <c r="D14" s="1061"/>
      <c r="E14" s="31">
        <v>110531.907852</v>
      </c>
      <c r="F14" s="32"/>
      <c r="G14" s="31">
        <f t="shared" si="17"/>
        <v>1195692.464341</v>
      </c>
      <c r="H14" s="32">
        <f t="shared" si="6"/>
        <v>9.8176225994579589</v>
      </c>
      <c r="I14" s="31">
        <f t="shared" si="17"/>
        <v>1195692.464341</v>
      </c>
      <c r="J14" s="32">
        <f t="shared" si="7"/>
        <v>0</v>
      </c>
      <c r="K14" s="31">
        <f t="shared" si="17"/>
        <v>1195692.464341</v>
      </c>
      <c r="L14" s="32">
        <f t="shared" si="8"/>
        <v>0</v>
      </c>
      <c r="M14" s="31">
        <f t="shared" si="17"/>
        <v>966458.25086300005</v>
      </c>
      <c r="N14" s="32">
        <f t="shared" si="9"/>
        <v>-0.19171669999972885</v>
      </c>
      <c r="O14" s="31">
        <f t="shared" si="17"/>
        <v>966458.25086300005</v>
      </c>
      <c r="P14" s="32">
        <f t="shared" si="10"/>
        <v>0</v>
      </c>
      <c r="Q14" s="14"/>
      <c r="T14" s="484"/>
      <c r="U14" s="472"/>
      <c r="V14" s="1062" t="s">
        <v>192</v>
      </c>
      <c r="W14" s="1063"/>
      <c r="X14" s="490">
        <v>79915</v>
      </c>
      <c r="Y14" s="491">
        <v>0</v>
      </c>
      <c r="Z14" s="492">
        <v>110532</v>
      </c>
      <c r="AA14" s="491">
        <v>38.299999999999997</v>
      </c>
      <c r="AB14" s="492">
        <v>110532</v>
      </c>
      <c r="AC14" s="491">
        <v>0</v>
      </c>
      <c r="AD14" s="492">
        <v>110532</v>
      </c>
      <c r="AE14" s="491">
        <v>0</v>
      </c>
      <c r="AF14" s="493">
        <v>110531</v>
      </c>
      <c r="AG14" s="494">
        <v>0</v>
      </c>
      <c r="AI14" s="15" t="e">
        <f>#REF!-X14</f>
        <v>#REF!</v>
      </c>
      <c r="AJ14" s="15" t="e">
        <f>#REF!-Z14</f>
        <v>#REF!</v>
      </c>
      <c r="AK14" s="15">
        <f t="shared" si="11"/>
        <v>-9.2147999996086583E-2</v>
      </c>
      <c r="AL14" s="15">
        <f t="shared" si="12"/>
        <v>1085160.464341</v>
      </c>
      <c r="AM14" s="15">
        <f t="shared" si="13"/>
        <v>1085161.464341</v>
      </c>
      <c r="AN14" s="16">
        <f t="shared" si="0"/>
        <v>-9.0471537654253972E-6</v>
      </c>
      <c r="AO14" s="17">
        <f t="shared" si="14"/>
        <v>-9.0471537654253972E-4</v>
      </c>
      <c r="AP14" s="18">
        <f t="shared" si="1"/>
        <v>9.0471537654253972E-4</v>
      </c>
      <c r="AR14" s="468" t="s">
        <v>411</v>
      </c>
      <c r="AS14" s="469">
        <v>1195692464341</v>
      </c>
      <c r="AT14" s="200">
        <f t="shared" si="2"/>
        <v>0</v>
      </c>
      <c r="AU14" s="470">
        <v>1195692464341</v>
      </c>
      <c r="AV14" s="200">
        <f t="shared" si="3"/>
        <v>0</v>
      </c>
      <c r="AW14" s="470">
        <v>1195692464341</v>
      </c>
      <c r="AX14" s="200">
        <f t="shared" si="4"/>
        <v>0</v>
      </c>
      <c r="AY14" s="470">
        <v>966458250863</v>
      </c>
      <c r="AZ14" s="200">
        <f t="shared" si="5"/>
        <v>0</v>
      </c>
      <c r="BA14" s="470">
        <f>'SAP BS'!G3247</f>
        <v>966458250863</v>
      </c>
      <c r="BB14" s="200">
        <f t="shared" si="15"/>
        <v>0</v>
      </c>
      <c r="BD14" s="924" t="s">
        <v>8966</v>
      </c>
      <c r="BE14" s="916">
        <v>966458250863</v>
      </c>
      <c r="BG14" s="244">
        <f t="shared" si="16"/>
        <v>0</v>
      </c>
    </row>
    <row r="15" spans="1:68" ht="25.35" customHeight="1" x14ac:dyDescent="0.3">
      <c r="A15" s="1037"/>
      <c r="B15" s="19"/>
      <c r="C15" s="1060" t="s">
        <v>200</v>
      </c>
      <c r="D15" s="1064"/>
      <c r="E15" s="31">
        <v>14954.211906</v>
      </c>
      <c r="F15" s="32"/>
      <c r="G15" s="31">
        <f t="shared" si="17"/>
        <v>15250.511103999999</v>
      </c>
      <c r="H15" s="32">
        <f t="shared" si="6"/>
        <v>1.9813762160285853E-2</v>
      </c>
      <c r="I15" s="31">
        <f t="shared" si="17"/>
        <v>44541.119291000003</v>
      </c>
      <c r="J15" s="32">
        <f t="shared" si="7"/>
        <v>1.920631248831882</v>
      </c>
      <c r="K15" s="31">
        <f t="shared" si="17"/>
        <v>61372.766388999997</v>
      </c>
      <c r="L15" s="32">
        <f t="shared" si="8"/>
        <v>0.37789007923294382</v>
      </c>
      <c r="M15" s="31">
        <f t="shared" si="17"/>
        <v>86173.492345999999</v>
      </c>
      <c r="N15" s="32">
        <f t="shared" si="9"/>
        <v>0.40409985431983242</v>
      </c>
      <c r="O15" s="31">
        <f t="shared" si="17"/>
        <v>125770.589507</v>
      </c>
      <c r="P15" s="32">
        <f t="shared" si="10"/>
        <v>0.45950437986209813</v>
      </c>
      <c r="Q15" s="33"/>
      <c r="T15" s="484"/>
      <c r="U15" s="472"/>
      <c r="V15" s="1062" t="s">
        <v>200</v>
      </c>
      <c r="W15" s="1063"/>
      <c r="X15" s="490">
        <v>21496</v>
      </c>
      <c r="Y15" s="491">
        <v>29.1</v>
      </c>
      <c r="Z15" s="492">
        <v>18404</v>
      </c>
      <c r="AA15" s="491">
        <v>-14.4</v>
      </c>
      <c r="AB15" s="495">
        <v>195</v>
      </c>
      <c r="AC15" s="491">
        <v>-98.9</v>
      </c>
      <c r="AD15" s="495">
        <v>66</v>
      </c>
      <c r="AE15" s="491">
        <v>-66.3</v>
      </c>
      <c r="AF15" s="493">
        <v>14954</v>
      </c>
      <c r="AG15" s="496">
        <v>22631.5</v>
      </c>
      <c r="AI15" s="15" t="e">
        <f>#REF!-X15</f>
        <v>#REF!</v>
      </c>
      <c r="AJ15" s="15" t="e">
        <f>#REF!-Z15</f>
        <v>#REF!</v>
      </c>
      <c r="AK15" s="15">
        <f t="shared" si="11"/>
        <v>14759.211906</v>
      </c>
      <c r="AL15" s="15">
        <f t="shared" si="12"/>
        <v>15184.511103999999</v>
      </c>
      <c r="AM15" s="15">
        <f t="shared" si="13"/>
        <v>29587.119291000003</v>
      </c>
      <c r="AN15" s="16">
        <f t="shared" si="0"/>
        <v>225.57575757575756</v>
      </c>
      <c r="AO15" s="17">
        <f>AN15*100</f>
        <v>22557.575757575756</v>
      </c>
      <c r="AP15" s="18">
        <f t="shared" si="1"/>
        <v>73.924242424243857</v>
      </c>
      <c r="AR15" s="468" t="s">
        <v>413</v>
      </c>
      <c r="AS15" s="469">
        <v>15250511104</v>
      </c>
      <c r="AT15" s="200">
        <f t="shared" si="2"/>
        <v>0</v>
      </c>
      <c r="AU15" s="470">
        <v>44541119291</v>
      </c>
      <c r="AV15" s="200">
        <f t="shared" si="3"/>
        <v>0</v>
      </c>
      <c r="AW15" s="470">
        <v>61372766389</v>
      </c>
      <c r="AX15" s="200">
        <f t="shared" si="4"/>
        <v>0</v>
      </c>
      <c r="AY15" s="470">
        <v>86173492346</v>
      </c>
      <c r="AZ15" s="200">
        <f t="shared" si="5"/>
        <v>0</v>
      </c>
      <c r="BA15" s="470">
        <f>'SAP BS'!G3272</f>
        <v>125770589507</v>
      </c>
      <c r="BB15" s="200">
        <f t="shared" si="15"/>
        <v>0</v>
      </c>
      <c r="BD15" s="924" t="s">
        <v>8968</v>
      </c>
      <c r="BE15" s="916">
        <v>125770589507</v>
      </c>
      <c r="BG15" s="244">
        <f t="shared" si="16"/>
        <v>0</v>
      </c>
    </row>
    <row r="16" spans="1:68" ht="25.35" customHeight="1" x14ac:dyDescent="0.3">
      <c r="A16" s="1037"/>
      <c r="B16" s="19"/>
      <c r="C16" s="1060" t="s">
        <v>205</v>
      </c>
      <c r="D16" s="1061"/>
      <c r="E16" s="31">
        <v>1199178.805036</v>
      </c>
      <c r="F16" s="32"/>
      <c r="G16" s="31">
        <f t="shared" si="17"/>
        <v>2893795.2216440002</v>
      </c>
      <c r="H16" s="32">
        <f t="shared" si="6"/>
        <v>1.4131474051170598</v>
      </c>
      <c r="I16" s="31">
        <f t="shared" si="17"/>
        <v>2863022.1661550002</v>
      </c>
      <c r="J16" s="32">
        <f t="shared" si="7"/>
        <v>-1.063415104801968E-2</v>
      </c>
      <c r="K16" s="31">
        <f t="shared" si="17"/>
        <v>2788933.1383480001</v>
      </c>
      <c r="L16" s="32">
        <f t="shared" si="8"/>
        <v>-2.5877909253668396E-2</v>
      </c>
      <c r="M16" s="31">
        <f t="shared" si="17"/>
        <v>2667658.8442310002</v>
      </c>
      <c r="N16" s="32">
        <f t="shared" si="9"/>
        <v>-4.3484116721720922E-2</v>
      </c>
      <c r="O16" s="31">
        <f t="shared" si="17"/>
        <v>2750737.415521</v>
      </c>
      <c r="P16" s="32">
        <f t="shared" si="10"/>
        <v>3.1142877009803227E-2</v>
      </c>
      <c r="Q16" s="14"/>
      <c r="T16" s="484"/>
      <c r="U16" s="472"/>
      <c r="V16" s="1062" t="s">
        <v>205</v>
      </c>
      <c r="W16" s="1063"/>
      <c r="X16" s="490">
        <v>912971</v>
      </c>
      <c r="Y16" s="491">
        <v>8.6999999999999993</v>
      </c>
      <c r="Z16" s="492">
        <v>967275</v>
      </c>
      <c r="AA16" s="491">
        <v>5.9</v>
      </c>
      <c r="AB16" s="492">
        <v>1046486</v>
      </c>
      <c r="AC16" s="491">
        <v>8.1999999999999993</v>
      </c>
      <c r="AD16" s="492">
        <v>1109958</v>
      </c>
      <c r="AE16" s="491">
        <v>6.1</v>
      </c>
      <c r="AF16" s="493">
        <v>1199179</v>
      </c>
      <c r="AG16" s="494">
        <v>8</v>
      </c>
      <c r="AI16" s="15" t="e">
        <f>#REF!-X16</f>
        <v>#REF!</v>
      </c>
      <c r="AJ16" s="15" t="e">
        <f>#REF!-Z16</f>
        <v>#REF!</v>
      </c>
      <c r="AK16" s="15">
        <f t="shared" si="11"/>
        <v>152692.80503599998</v>
      </c>
      <c r="AL16" s="15">
        <f t="shared" si="12"/>
        <v>1783837.2216440002</v>
      </c>
      <c r="AM16" s="15">
        <f t="shared" si="13"/>
        <v>1663843.1661550002</v>
      </c>
      <c r="AN16" s="16">
        <f t="shared" si="0"/>
        <v>8.0382320772497698E-2</v>
      </c>
      <c r="AO16" s="17">
        <f t="shared" si="14"/>
        <v>8.03823207724977</v>
      </c>
      <c r="AP16" s="18">
        <f t="shared" si="1"/>
        <v>-3.8232077249769958E-2</v>
      </c>
      <c r="AR16" s="468" t="s">
        <v>414</v>
      </c>
      <c r="AS16" s="469">
        <v>2893795221644</v>
      </c>
      <c r="AT16" s="200">
        <f t="shared" si="2"/>
        <v>0</v>
      </c>
      <c r="AU16" s="470">
        <v>2863022166155</v>
      </c>
      <c r="AV16" s="200">
        <f t="shared" si="3"/>
        <v>0</v>
      </c>
      <c r="AW16" s="470">
        <v>2788933138348</v>
      </c>
      <c r="AX16" s="200">
        <f t="shared" si="4"/>
        <v>0</v>
      </c>
      <c r="AY16" s="470">
        <v>2667658844231</v>
      </c>
      <c r="AZ16" s="200">
        <f t="shared" si="5"/>
        <v>0</v>
      </c>
      <c r="BA16" s="470">
        <f>'SAP BS'!G3291</f>
        <v>2750737415521</v>
      </c>
      <c r="BB16" s="200">
        <f t="shared" si="15"/>
        <v>0</v>
      </c>
      <c r="BD16" s="924" t="s">
        <v>8969</v>
      </c>
      <c r="BE16" s="916">
        <v>2750737415521</v>
      </c>
      <c r="BG16" s="244">
        <f t="shared" si="16"/>
        <v>0</v>
      </c>
    </row>
    <row r="17" spans="1:67" ht="25.35" customHeight="1" thickBot="1" x14ac:dyDescent="0.35">
      <c r="A17" s="1037"/>
      <c r="B17" s="19" t="s">
        <v>324</v>
      </c>
      <c r="C17" s="1060" t="s">
        <v>867</v>
      </c>
      <c r="D17" s="1064"/>
      <c r="E17" s="31">
        <v>-108729.693267</v>
      </c>
      <c r="F17" s="32"/>
      <c r="G17" s="1002">
        <f t="shared" si="17"/>
        <v>-98183.617004</v>
      </c>
      <c r="H17" s="46">
        <f>(G17-E17)/E17</f>
        <v>-9.6993525375839371E-2</v>
      </c>
      <c r="I17" s="1002">
        <f t="shared" si="17"/>
        <v>-98183.617004</v>
      </c>
      <c r="J17" s="46">
        <f>(I17-G17)/G17</f>
        <v>0</v>
      </c>
      <c r="K17" s="1002">
        <f t="shared" si="17"/>
        <v>-68183.615271000002</v>
      </c>
      <c r="L17" s="46">
        <f>(K17-I17)/I17</f>
        <v>-0.30554997512240556</v>
      </c>
      <c r="M17" s="1002">
        <f t="shared" si="17"/>
        <v>-601533.94997199997</v>
      </c>
      <c r="N17" s="46">
        <f>(M17-K17)/K17</f>
        <v>7.8222654017562148</v>
      </c>
      <c r="O17" s="1002">
        <f t="shared" si="17"/>
        <v>-601533.94997199997</v>
      </c>
      <c r="P17" s="46">
        <f>(O17-M17)/M17</f>
        <v>0</v>
      </c>
      <c r="Q17" s="14" t="s">
        <v>8998</v>
      </c>
      <c r="T17" s="497"/>
      <c r="U17" s="478"/>
      <c r="V17" s="1050" t="s">
        <v>332</v>
      </c>
      <c r="W17" s="1051"/>
      <c r="X17" s="479">
        <v>-55622</v>
      </c>
      <c r="Y17" s="480">
        <v>51</v>
      </c>
      <c r="Z17" s="481">
        <v>-45871</v>
      </c>
      <c r="AA17" s="480">
        <v>-17.5</v>
      </c>
      <c r="AB17" s="481">
        <v>-96870</v>
      </c>
      <c r="AC17" s="480">
        <v>111.2</v>
      </c>
      <c r="AD17" s="481">
        <v>-108109</v>
      </c>
      <c r="AE17" s="480">
        <v>11.6</v>
      </c>
      <c r="AF17" s="482">
        <v>-108730</v>
      </c>
      <c r="AG17" s="483">
        <v>0.6</v>
      </c>
      <c r="AI17" s="15" t="e">
        <f>#REF!-X17</f>
        <v>#REF!</v>
      </c>
      <c r="AJ17" s="15" t="e">
        <f>#REF!-Z17</f>
        <v>#REF!</v>
      </c>
      <c r="AK17" s="15">
        <f t="shared" si="11"/>
        <v>-11859.693266999995</v>
      </c>
      <c r="AL17" s="15">
        <f t="shared" si="12"/>
        <v>9925.3829960000003</v>
      </c>
      <c r="AM17" s="15">
        <f t="shared" si="13"/>
        <v>10546.382996</v>
      </c>
      <c r="AN17" s="16">
        <f t="shared" si="0"/>
        <v>5.7442026103284652E-3</v>
      </c>
      <c r="AO17" s="17">
        <f t="shared" si="14"/>
        <v>0.57442026103284649</v>
      </c>
      <c r="AP17" s="18">
        <f t="shared" si="1"/>
        <v>2.5579738967153487E-2</v>
      </c>
      <c r="AR17" s="468" t="s">
        <v>412</v>
      </c>
      <c r="AS17" s="469">
        <v>-98183617004</v>
      </c>
      <c r="AT17" s="200">
        <f t="shared" si="2"/>
        <v>0</v>
      </c>
      <c r="AU17" s="470">
        <v>-98183617004</v>
      </c>
      <c r="AV17" s="200">
        <f t="shared" si="3"/>
        <v>0</v>
      </c>
      <c r="AW17" s="470">
        <v>-68183615271</v>
      </c>
      <c r="AX17" s="200">
        <f t="shared" si="4"/>
        <v>0</v>
      </c>
      <c r="AY17" s="470">
        <v>-601533949972</v>
      </c>
      <c r="AZ17" s="200">
        <f t="shared" si="5"/>
        <v>0</v>
      </c>
      <c r="BA17" s="470">
        <f>'SAP BS'!G3258</f>
        <v>-601533949972</v>
      </c>
      <c r="BB17" s="200">
        <f t="shared" si="15"/>
        <v>0</v>
      </c>
      <c r="BD17" s="924" t="s">
        <v>8967</v>
      </c>
      <c r="BE17" s="916">
        <v>-601533949972</v>
      </c>
      <c r="BG17" s="244">
        <f t="shared" si="16"/>
        <v>0</v>
      </c>
    </row>
    <row r="18" spans="1:67" ht="25.35" customHeight="1" thickBot="1" x14ac:dyDescent="0.35">
      <c r="A18" s="1018" t="s">
        <v>517</v>
      </c>
      <c r="B18" s="1021" t="s">
        <v>286</v>
      </c>
      <c r="C18" s="1021"/>
      <c r="D18" s="1022"/>
      <c r="E18" s="221">
        <v>1206716.4268169999</v>
      </c>
      <c r="F18" s="222"/>
      <c r="G18" s="34">
        <f>AS18/1000000</f>
        <v>9118512.6268419996</v>
      </c>
      <c r="H18" s="222">
        <f t="shared" si="6"/>
        <v>6.5564668087714972</v>
      </c>
      <c r="I18" s="34">
        <f>AU18/1000000</f>
        <v>10409711.225601999</v>
      </c>
      <c r="J18" s="222">
        <f t="shared" si="7"/>
        <v>0.14160188745685587</v>
      </c>
      <c r="K18" s="34">
        <f>AW18/1000000</f>
        <v>10886894.680059001</v>
      </c>
      <c r="L18" s="222">
        <f t="shared" si="8"/>
        <v>4.5840220167049361E-2</v>
      </c>
      <c r="M18" s="34">
        <f>AY18/1000000</f>
        <v>11378032.037656</v>
      </c>
      <c r="N18" s="222">
        <f t="shared" si="9"/>
        <v>4.5112713223596446E-2</v>
      </c>
      <c r="O18" s="34">
        <f>BA18/1000000</f>
        <v>11774643.877002999</v>
      </c>
      <c r="P18" s="222">
        <f t="shared" si="10"/>
        <v>3.4857683475876922E-2</v>
      </c>
      <c r="Q18" s="36"/>
      <c r="T18" s="459" t="s">
        <v>333</v>
      </c>
      <c r="U18" s="1041" t="s">
        <v>286</v>
      </c>
      <c r="V18" s="1042"/>
      <c r="W18" s="1043"/>
      <c r="X18" s="485">
        <v>1065156</v>
      </c>
      <c r="Y18" s="486">
        <v>-2.4</v>
      </c>
      <c r="Z18" s="487">
        <v>1051658</v>
      </c>
      <c r="AA18" s="486">
        <v>-1.3</v>
      </c>
      <c r="AB18" s="487">
        <v>1073514</v>
      </c>
      <c r="AC18" s="486">
        <v>2.1</v>
      </c>
      <c r="AD18" s="487">
        <v>1194600</v>
      </c>
      <c r="AE18" s="486">
        <v>11.3</v>
      </c>
      <c r="AF18" s="488">
        <v>1206717</v>
      </c>
      <c r="AG18" s="489">
        <v>1</v>
      </c>
      <c r="AI18" s="15" t="e">
        <f>#REF!-X18</f>
        <v>#REF!</v>
      </c>
      <c r="AJ18" s="15" t="e">
        <f>#REF!-Z18</f>
        <v>#REF!</v>
      </c>
      <c r="AK18" s="15">
        <f t="shared" si="11"/>
        <v>133202.42681699991</v>
      </c>
      <c r="AL18" s="15">
        <f t="shared" si="12"/>
        <v>7923912.6268419996</v>
      </c>
      <c r="AM18" s="15">
        <f t="shared" si="13"/>
        <v>9202994.2256019991</v>
      </c>
      <c r="AN18" s="16">
        <f t="shared" si="0"/>
        <v>1.0143144148669011E-2</v>
      </c>
      <c r="AO18" s="17">
        <f t="shared" si="14"/>
        <v>1.014314414866901</v>
      </c>
      <c r="AP18" s="18">
        <f t="shared" si="1"/>
        <v>-1.4314414866900993E-2</v>
      </c>
      <c r="AR18" s="468" t="s">
        <v>286</v>
      </c>
      <c r="AS18" s="500">
        <v>9118512626842</v>
      </c>
      <c r="AU18" s="501">
        <v>10409711225602</v>
      </c>
      <c r="AV18" s="5"/>
      <c r="AW18" s="501">
        <v>10886894680059</v>
      </c>
      <c r="AY18" s="501">
        <v>11378032037656</v>
      </c>
      <c r="BA18" s="501">
        <f>'12. 추정 IS'!AZ19*1000</f>
        <v>11774643877003</v>
      </c>
      <c r="BB18" s="200">
        <f t="shared" si="15"/>
        <v>0</v>
      </c>
      <c r="BE18" s="926">
        <v>11774643877003</v>
      </c>
      <c r="BF18" s="919"/>
      <c r="BG18" s="244">
        <f t="shared" si="16"/>
        <v>0</v>
      </c>
    </row>
    <row r="19" spans="1:67" ht="25.35" customHeight="1" thickBot="1" x14ac:dyDescent="0.35">
      <c r="A19" s="1019"/>
      <c r="B19" s="157"/>
      <c r="C19" s="1014" t="s">
        <v>465</v>
      </c>
      <c r="D19" s="1015"/>
      <c r="E19" s="246">
        <f>SUM(E20:E22)</f>
        <v>1206716.4268169999</v>
      </c>
      <c r="F19" s="37"/>
      <c r="G19" s="246">
        <f>SUM(G20:G22)</f>
        <v>1227065</v>
      </c>
      <c r="H19" s="37">
        <f t="shared" si="6"/>
        <v>1.6862763057493346E-2</v>
      </c>
      <c r="I19" s="246">
        <f>SUM(I20:I22)</f>
        <v>1239315</v>
      </c>
      <c r="J19" s="37">
        <f t="shared" si="7"/>
        <v>9.9831712256481797E-3</v>
      </c>
      <c r="K19" s="246">
        <f>SUM(K20:K22)</f>
        <v>1131065.3932139999</v>
      </c>
      <c r="L19" s="37">
        <f t="shared" si="8"/>
        <v>-8.7346321787439063E-2</v>
      </c>
      <c r="M19" s="246">
        <f>SUM(M20:M22)</f>
        <v>1052079.3435569999</v>
      </c>
      <c r="N19" s="37">
        <f t="shared" si="9"/>
        <v>-6.9833318330565941E-2</v>
      </c>
      <c r="O19" s="246">
        <f>SUM(O20:O22)</f>
        <v>1049110.1877060002</v>
      </c>
      <c r="P19" s="37">
        <f t="shared" si="10"/>
        <v>-2.8221786400265403E-3</v>
      </c>
      <c r="Q19" s="36"/>
      <c r="T19" s="471"/>
      <c r="U19" s="504"/>
      <c r="V19" s="461"/>
      <c r="W19" s="462"/>
      <c r="X19" s="505"/>
      <c r="Y19" s="506"/>
      <c r="Z19" s="507"/>
      <c r="AA19" s="506"/>
      <c r="AB19" s="507"/>
      <c r="AC19" s="506"/>
      <c r="AD19" s="507"/>
      <c r="AE19" s="506"/>
      <c r="AF19" s="508"/>
      <c r="AG19" s="509"/>
      <c r="AI19" s="15"/>
      <c r="AJ19" s="15"/>
      <c r="AK19" s="15"/>
      <c r="AL19" s="15"/>
      <c r="AM19" s="15"/>
      <c r="AN19" s="16"/>
      <c r="AO19" s="17"/>
      <c r="AP19" s="18"/>
      <c r="AY19" s="5"/>
      <c r="BD19" s="510"/>
      <c r="BE19" s="511"/>
      <c r="BF19" s="512"/>
    </row>
    <row r="20" spans="1:67" ht="25.35" customHeight="1" x14ac:dyDescent="0.3">
      <c r="A20" s="1019"/>
      <c r="B20" s="157" t="s">
        <v>324</v>
      </c>
      <c r="C20" s="1023" t="s">
        <v>334</v>
      </c>
      <c r="D20" s="1024"/>
      <c r="E20" s="247">
        <v>368468</v>
      </c>
      <c r="F20" s="41"/>
      <c r="G20" s="42">
        <f>'9. 추정 IS'!F37+'9. 추정 IS'!F38</f>
        <v>370055</v>
      </c>
      <c r="H20" s="41">
        <f>(G20-E20)/E20</f>
        <v>4.3070225908355677E-3</v>
      </c>
      <c r="I20" s="42">
        <f>'9. 추정 IS'!G37+'9. 추정 IS'!G38</f>
        <v>367350</v>
      </c>
      <c r="J20" s="41">
        <f>(I20-G20)/G20</f>
        <v>-7.3097242301820003E-3</v>
      </c>
      <c r="K20" s="42">
        <f>'9. 추정 IS'!H37+'9. 추정 IS'!H38</f>
        <v>346760.92744228704</v>
      </c>
      <c r="L20" s="41">
        <f>(K20-I20)/I20</f>
        <v>-5.6047563788520383E-2</v>
      </c>
      <c r="M20" s="42">
        <f>'9. 추정 IS'!I37+'9. 추정 IS'!I38</f>
        <v>311281.54289369035</v>
      </c>
      <c r="N20" s="41">
        <f>(M20-K20)/K20</f>
        <v>-0.10231655801099933</v>
      </c>
      <c r="O20" s="42">
        <f>'9. 추정 IS'!J37+'9. 추정 IS'!J38</f>
        <v>333966.800422</v>
      </c>
      <c r="P20" s="41">
        <f t="shared" si="10"/>
        <v>7.2876975992300252E-2</v>
      </c>
      <c r="Q20" s="39" t="s">
        <v>868</v>
      </c>
      <c r="T20" s="471" t="s">
        <v>335</v>
      </c>
      <c r="U20" s="472"/>
      <c r="V20" s="1046" t="s">
        <v>336</v>
      </c>
      <c r="W20" s="1047"/>
      <c r="X20" s="473">
        <v>576892</v>
      </c>
      <c r="Y20" s="474">
        <v>-4.7</v>
      </c>
      <c r="Z20" s="475">
        <v>581503</v>
      </c>
      <c r="AA20" s="474">
        <v>0.8</v>
      </c>
      <c r="AB20" s="475">
        <v>494945</v>
      </c>
      <c r="AC20" s="474">
        <v>-14.9</v>
      </c>
      <c r="AD20" s="475">
        <v>378770</v>
      </c>
      <c r="AE20" s="474">
        <v>-23.5</v>
      </c>
      <c r="AF20" s="476">
        <v>368468</v>
      </c>
      <c r="AG20" s="477">
        <v>-2.7</v>
      </c>
      <c r="AI20" s="15" t="e">
        <f>#REF!-X20</f>
        <v>#REF!</v>
      </c>
      <c r="AJ20" s="15" t="e">
        <f>#REF!-Z20</f>
        <v>#REF!</v>
      </c>
      <c r="AK20" s="15">
        <f t="shared" si="11"/>
        <v>-126477</v>
      </c>
      <c r="AL20" s="15">
        <f t="shared" si="12"/>
        <v>-8715</v>
      </c>
      <c r="AM20" s="15">
        <f t="shared" si="13"/>
        <v>-1118</v>
      </c>
      <c r="AN20" s="16">
        <f t="shared" si="0"/>
        <v>-2.7198563772210048E-2</v>
      </c>
      <c r="AO20" s="17">
        <f t="shared" si="14"/>
        <v>-2.7198563772210047</v>
      </c>
      <c r="AP20" s="18">
        <f t="shared" si="1"/>
        <v>1.9856377221004529E-2</v>
      </c>
      <c r="AY20" s="5"/>
      <c r="BD20" s="510"/>
      <c r="BE20" s="511"/>
      <c r="BF20" s="512"/>
    </row>
    <row r="21" spans="1:67" ht="25.35" customHeight="1" x14ac:dyDescent="0.3">
      <c r="A21" s="1019"/>
      <c r="B21" s="157" t="s">
        <v>324</v>
      </c>
      <c r="C21" s="1023" t="s">
        <v>337</v>
      </c>
      <c r="D21" s="1024"/>
      <c r="E21" s="40">
        <v>105296</v>
      </c>
      <c r="F21" s="41"/>
      <c r="G21" s="42">
        <f>'9. 추정 IS'!F31+'9. 추정 IS'!F32</f>
        <v>97040</v>
      </c>
      <c r="H21" s="41">
        <f>(G21-E21)/E21</f>
        <v>-7.8407536848503268E-2</v>
      </c>
      <c r="I21" s="42">
        <f>'9. 추정 IS'!G31+'9. 추정 IS'!G32</f>
        <v>106344</v>
      </c>
      <c r="J21" s="41">
        <f>(I21-G21)/G21</f>
        <v>9.5877988458367688E-2</v>
      </c>
      <c r="K21" s="42">
        <f>'9. 추정 IS'!H31+'9. 추정 IS'!H32</f>
        <v>89694.98087040025</v>
      </c>
      <c r="L21" s="41">
        <f>(K21-I21)/I21</f>
        <v>-0.15655814272173088</v>
      </c>
      <c r="M21" s="42">
        <f>'9. 추정 IS'!I31+'9. 추정 IS'!I32</f>
        <v>76110.234655467328</v>
      </c>
      <c r="N21" s="41">
        <f>(M21-K21)/K21</f>
        <v>-0.15145492070020553</v>
      </c>
      <c r="O21" s="42">
        <f>'9. 추정 IS'!J31+'9. 추정 IS'!J32</f>
        <v>84255.337353999988</v>
      </c>
      <c r="P21" s="41">
        <f t="shared" si="10"/>
        <v>0.1070171802176616</v>
      </c>
      <c r="Q21" s="39" t="s">
        <v>871</v>
      </c>
      <c r="R21" s="43"/>
      <c r="T21" s="471" t="s">
        <v>338</v>
      </c>
      <c r="U21" s="472"/>
      <c r="V21" s="1062" t="s">
        <v>339</v>
      </c>
      <c r="W21" s="1063"/>
      <c r="X21" s="490">
        <v>72039</v>
      </c>
      <c r="Y21" s="491">
        <v>12.4</v>
      </c>
      <c r="Z21" s="492">
        <v>49666</v>
      </c>
      <c r="AA21" s="491">
        <v>-31.1</v>
      </c>
      <c r="AB21" s="492">
        <v>69393</v>
      </c>
      <c r="AC21" s="491">
        <v>39.700000000000003</v>
      </c>
      <c r="AD21" s="492">
        <v>143640</v>
      </c>
      <c r="AE21" s="491">
        <v>107</v>
      </c>
      <c r="AF21" s="493">
        <v>105296</v>
      </c>
      <c r="AG21" s="494">
        <v>-26.7</v>
      </c>
      <c r="AI21" s="15" t="e">
        <f>#REF!-X21</f>
        <v>#REF!</v>
      </c>
      <c r="AJ21" s="15" t="e">
        <f>#REF!-Z21</f>
        <v>#REF!</v>
      </c>
      <c r="AK21" s="15">
        <f t="shared" si="11"/>
        <v>35903</v>
      </c>
      <c r="AL21" s="15">
        <f t="shared" si="12"/>
        <v>-46600</v>
      </c>
      <c r="AM21" s="15">
        <f t="shared" si="13"/>
        <v>1048</v>
      </c>
      <c r="AN21" s="16">
        <f t="shared" si="0"/>
        <v>-0.26694514062935115</v>
      </c>
      <c r="AO21" s="17">
        <f t="shared" si="14"/>
        <v>-26.694514062935117</v>
      </c>
      <c r="AP21" s="18">
        <f t="shared" si="1"/>
        <v>-5.4859370648827621E-3</v>
      </c>
      <c r="AY21" s="5"/>
      <c r="BD21" s="510"/>
      <c r="BE21" s="511"/>
      <c r="BF21" s="512"/>
    </row>
    <row r="22" spans="1:67" ht="25.35" customHeight="1" x14ac:dyDescent="0.3">
      <c r="A22" s="1019"/>
      <c r="B22" s="157" t="s">
        <v>324</v>
      </c>
      <c r="C22" s="1023" t="s">
        <v>340</v>
      </c>
      <c r="D22" s="1024"/>
      <c r="E22" s="40">
        <f>SUM(E23:E25)</f>
        <v>732952.42681699991</v>
      </c>
      <c r="F22" s="41"/>
      <c r="G22" s="40">
        <f>SUM(G23:G25)</f>
        <v>759970</v>
      </c>
      <c r="H22" s="41">
        <f t="shared" si="6"/>
        <v>3.6861291667086293E-2</v>
      </c>
      <c r="I22" s="40">
        <f>SUM(I23:I25)</f>
        <v>765621</v>
      </c>
      <c r="J22" s="41">
        <f t="shared" si="7"/>
        <v>7.4358198349935289E-3</v>
      </c>
      <c r="K22" s="40">
        <f>SUM(K23:K25)</f>
        <v>694609.48490131274</v>
      </c>
      <c r="L22" s="41">
        <f t="shared" si="8"/>
        <v>-9.2750218579019217E-2</v>
      </c>
      <c r="M22" s="40">
        <f>SUM(M23:M25)</f>
        <v>664687.56600784231</v>
      </c>
      <c r="N22" s="41">
        <f t="shared" si="9"/>
        <v>-4.3077325524458754E-2</v>
      </c>
      <c r="O22" s="40">
        <f>SUM(O23:O25)</f>
        <v>630888.0499300001</v>
      </c>
      <c r="P22" s="41">
        <f t="shared" si="10"/>
        <v>-5.0850230704395982E-2</v>
      </c>
      <c r="Q22" s="44"/>
      <c r="T22" s="484"/>
      <c r="U22" s="472"/>
      <c r="V22" s="1065" t="s">
        <v>289</v>
      </c>
      <c r="W22" s="1066"/>
      <c r="X22" s="490">
        <v>416225</v>
      </c>
      <c r="Y22" s="491">
        <v>-1.3</v>
      </c>
      <c r="Z22" s="492">
        <v>420489</v>
      </c>
      <c r="AA22" s="491">
        <v>1</v>
      </c>
      <c r="AB22" s="492">
        <v>509176</v>
      </c>
      <c r="AC22" s="491">
        <v>21.1</v>
      </c>
      <c r="AD22" s="492">
        <v>672190</v>
      </c>
      <c r="AE22" s="491">
        <v>32</v>
      </c>
      <c r="AF22" s="493">
        <v>732953</v>
      </c>
      <c r="AG22" s="494">
        <v>9</v>
      </c>
      <c r="AI22" s="15" t="e">
        <f>#REF!-X22</f>
        <v>#REF!</v>
      </c>
      <c r="AJ22" s="15" t="e">
        <f>#REF!-Z22</f>
        <v>#REF!</v>
      </c>
      <c r="AK22" s="15">
        <f t="shared" si="11"/>
        <v>223776.42681699991</v>
      </c>
      <c r="AL22" s="15">
        <f t="shared" si="12"/>
        <v>87780</v>
      </c>
      <c r="AM22" s="15">
        <f t="shared" si="13"/>
        <v>32668</v>
      </c>
      <c r="AN22" s="16">
        <f t="shared" si="0"/>
        <v>9.0395572680343358E-2</v>
      </c>
      <c r="AO22" s="17">
        <f t="shared" si="14"/>
        <v>9.0395572680343363</v>
      </c>
      <c r="AP22" s="18">
        <f t="shared" si="1"/>
        <v>-3.9557268034336346E-2</v>
      </c>
      <c r="AY22" s="5"/>
      <c r="BD22" s="510"/>
      <c r="BE22" s="511"/>
      <c r="BF22" s="512"/>
    </row>
    <row r="23" spans="1:67" ht="25.35" customHeight="1" x14ac:dyDescent="0.3">
      <c r="A23" s="1019"/>
      <c r="B23" s="60" t="s">
        <v>324</v>
      </c>
      <c r="C23" s="164" t="s">
        <v>324</v>
      </c>
      <c r="D23" s="170" t="s">
        <v>341</v>
      </c>
      <c r="E23" s="223">
        <v>0</v>
      </c>
      <c r="F23" s="178"/>
      <c r="G23" s="223">
        <f>'9. 추정 IS'!F28</f>
        <v>0</v>
      </c>
      <c r="H23" s="178">
        <v>0</v>
      </c>
      <c r="I23" s="223">
        <f>'9. 추정 IS'!G28</f>
        <v>0</v>
      </c>
      <c r="J23" s="178">
        <v>0</v>
      </c>
      <c r="K23" s="223">
        <f>'9. 추정 IS'!H28</f>
        <v>0</v>
      </c>
      <c r="L23" s="178">
        <v>0</v>
      </c>
      <c r="M23" s="223">
        <f>'9. 추정 IS'!I28</f>
        <v>0</v>
      </c>
      <c r="N23" s="178">
        <v>0</v>
      </c>
      <c r="O23" s="223">
        <f>'9. 추정 IS'!J28</f>
        <v>0</v>
      </c>
      <c r="P23" s="178">
        <f t="shared" si="10"/>
        <v>0</v>
      </c>
      <c r="Q23" s="44"/>
      <c r="T23" s="484"/>
      <c r="U23" s="472"/>
      <c r="V23" s="513"/>
      <c r="W23" s="514" t="s">
        <v>342</v>
      </c>
      <c r="X23" s="490">
        <v>27288</v>
      </c>
      <c r="Y23" s="491">
        <v>-22.1</v>
      </c>
      <c r="Z23" s="492">
        <v>22721</v>
      </c>
      <c r="AA23" s="491">
        <v>-16.7</v>
      </c>
      <c r="AB23" s="492">
        <v>20728</v>
      </c>
      <c r="AC23" s="491">
        <v>-8.8000000000000007</v>
      </c>
      <c r="AD23" s="492">
        <v>9057</v>
      </c>
      <c r="AE23" s="491">
        <v>-56.3</v>
      </c>
      <c r="AF23" s="515">
        <v>0</v>
      </c>
      <c r="AG23" s="494">
        <v>-100</v>
      </c>
      <c r="AI23" s="15" t="e">
        <f>#REF!-X23</f>
        <v>#REF!</v>
      </c>
      <c r="AJ23" s="15" t="e">
        <f>#REF!-Z23</f>
        <v>#REF!</v>
      </c>
      <c r="AK23" s="15">
        <f t="shared" si="11"/>
        <v>-20728</v>
      </c>
      <c r="AL23" s="15">
        <f t="shared" si="12"/>
        <v>-9057</v>
      </c>
      <c r="AM23" s="15">
        <f t="shared" si="13"/>
        <v>0</v>
      </c>
      <c r="AN23" s="16">
        <f t="shared" si="0"/>
        <v>-1</v>
      </c>
      <c r="AO23" s="17">
        <f t="shared" si="14"/>
        <v>-100</v>
      </c>
      <c r="AP23" s="18">
        <f t="shared" si="1"/>
        <v>0</v>
      </c>
      <c r="AY23" s="5"/>
      <c r="BD23" s="244" t="s">
        <v>424</v>
      </c>
      <c r="BE23" s="244">
        <v>2021</v>
      </c>
      <c r="BG23" s="244">
        <v>2022</v>
      </c>
      <c r="BI23" s="244">
        <v>2023</v>
      </c>
    </row>
    <row r="24" spans="1:67" ht="25.35" customHeight="1" x14ac:dyDescent="0.25">
      <c r="A24" s="1019"/>
      <c r="B24" s="60" t="s">
        <v>324</v>
      </c>
      <c r="C24" s="164" t="s">
        <v>324</v>
      </c>
      <c r="D24" s="171" t="s">
        <v>343</v>
      </c>
      <c r="E24" s="31">
        <f>688859-0.573183000087738</f>
        <v>688858.42681699991</v>
      </c>
      <c r="F24" s="32"/>
      <c r="G24" s="45">
        <f>'9. 추정 IS'!F27</f>
        <v>723367</v>
      </c>
      <c r="H24" s="32">
        <f>(G24-E24)/E24</f>
        <v>5.0095305275502613E-2</v>
      </c>
      <c r="I24" s="45">
        <f>'9. 추정 IS'!G27</f>
        <v>732689</v>
      </c>
      <c r="J24" s="32">
        <f>(I24-G24)/G24</f>
        <v>1.2886957795973552E-2</v>
      </c>
      <c r="K24" s="45">
        <f>'9. 추정 IS'!H27</f>
        <v>675496.45537428884</v>
      </c>
      <c r="L24" s="32">
        <f>(K24-I24)/I24</f>
        <v>-7.8058418545537273E-2</v>
      </c>
      <c r="M24" s="45">
        <f>'9. 추정 IS'!I27</f>
        <v>648115.4544552014</v>
      </c>
      <c r="N24" s="32">
        <f>(M24-K24)/K24</f>
        <v>-4.0534633011383873E-2</v>
      </c>
      <c r="O24" s="45">
        <f>'9. 추정 IS'!J27</f>
        <v>611356.64616600005</v>
      </c>
      <c r="P24" s="32">
        <f t="shared" si="10"/>
        <v>-5.6716450805976204E-2</v>
      </c>
      <c r="Q24" s="44"/>
      <c r="T24" s="484"/>
      <c r="U24" s="472"/>
      <c r="V24" s="513"/>
      <c r="W24" s="514" t="s">
        <v>518</v>
      </c>
      <c r="X24" s="490">
        <v>350992</v>
      </c>
      <c r="Y24" s="491">
        <v>3.6</v>
      </c>
      <c r="Z24" s="492">
        <v>363072</v>
      </c>
      <c r="AA24" s="491">
        <v>3.4</v>
      </c>
      <c r="AB24" s="492">
        <v>451059</v>
      </c>
      <c r="AC24" s="491">
        <v>24.2</v>
      </c>
      <c r="AD24" s="492">
        <v>619019</v>
      </c>
      <c r="AE24" s="491">
        <v>37.200000000000003</v>
      </c>
      <c r="AF24" s="493">
        <v>688859</v>
      </c>
      <c r="AG24" s="494">
        <v>11.3</v>
      </c>
      <c r="AI24" s="15" t="e">
        <f>#REF!-X24</f>
        <v>#REF!</v>
      </c>
      <c r="AJ24" s="15" t="e">
        <f>#REF!-Z24</f>
        <v>#REF!</v>
      </c>
      <c r="AK24" s="15">
        <f t="shared" si="11"/>
        <v>237799.42681699991</v>
      </c>
      <c r="AL24" s="15">
        <f t="shared" si="12"/>
        <v>104348</v>
      </c>
      <c r="AM24" s="15">
        <f t="shared" si="13"/>
        <v>43830</v>
      </c>
      <c r="AN24" s="16">
        <f t="shared" si="0"/>
        <v>0.11282367746385814</v>
      </c>
      <c r="AO24" s="17">
        <f t="shared" si="14"/>
        <v>11.282367746385814</v>
      </c>
      <c r="AP24" s="18">
        <f t="shared" si="1"/>
        <v>1.7632253614186411E-2</v>
      </c>
      <c r="AY24" s="5"/>
      <c r="BD24" s="498"/>
      <c r="BE24" s="499" t="s">
        <v>721</v>
      </c>
      <c r="BF24" s="499"/>
      <c r="BG24" s="244" t="s">
        <v>722</v>
      </c>
      <c r="BI24" s="244" t="s">
        <v>723</v>
      </c>
    </row>
    <row r="25" spans="1:67" ht="25.35" customHeight="1" thickBot="1" x14ac:dyDescent="0.35">
      <c r="A25" s="1019"/>
      <c r="B25" s="60" t="s">
        <v>324</v>
      </c>
      <c r="C25" s="169" t="s">
        <v>324</v>
      </c>
      <c r="D25" s="172" t="s">
        <v>344</v>
      </c>
      <c r="E25" s="224">
        <v>44094</v>
      </c>
      <c r="F25" s="46"/>
      <c r="G25" s="47">
        <f>'9. 추정 IS'!F29</f>
        <v>36603</v>
      </c>
      <c r="H25" s="46">
        <f>(G25-E25)/E25</f>
        <v>-0.16988705946387264</v>
      </c>
      <c r="I25" s="47">
        <f>'9. 추정 IS'!G29</f>
        <v>32932</v>
      </c>
      <c r="J25" s="46">
        <f>(I25-G25)/G25</f>
        <v>-0.10029232576564763</v>
      </c>
      <c r="K25" s="47">
        <f>'9. 추정 IS'!H29</f>
        <v>19113.029527023864</v>
      </c>
      <c r="L25" s="46">
        <f>(K25-I25)/I25</f>
        <v>-0.41962135530718259</v>
      </c>
      <c r="M25" s="47">
        <f>'9. 추정 IS'!I29</f>
        <v>16572.11155264093</v>
      </c>
      <c r="N25" s="46">
        <f>(M25-K25)/K25</f>
        <v>-0.1329416653069225</v>
      </c>
      <c r="O25" s="47">
        <f>'9. 추정 IS'!J29</f>
        <v>19531.403763999999</v>
      </c>
      <c r="P25" s="46">
        <f t="shared" si="10"/>
        <v>0.17857061859371059</v>
      </c>
      <c r="Q25" s="14"/>
      <c r="T25" s="484"/>
      <c r="U25" s="478"/>
      <c r="V25" s="516"/>
      <c r="W25" s="517" t="s">
        <v>345</v>
      </c>
      <c r="X25" s="479">
        <v>37945</v>
      </c>
      <c r="Y25" s="480">
        <v>-21</v>
      </c>
      <c r="Z25" s="481">
        <v>34696</v>
      </c>
      <c r="AA25" s="480">
        <v>-8.6</v>
      </c>
      <c r="AB25" s="481">
        <v>37389</v>
      </c>
      <c r="AC25" s="480">
        <v>7.8</v>
      </c>
      <c r="AD25" s="481">
        <v>44113</v>
      </c>
      <c r="AE25" s="480">
        <v>18</v>
      </c>
      <c r="AF25" s="482">
        <v>44093</v>
      </c>
      <c r="AG25" s="483">
        <v>0</v>
      </c>
      <c r="AI25" s="15" t="e">
        <f>#REF!-X25</f>
        <v>#REF!</v>
      </c>
      <c r="AJ25" s="15" t="e">
        <f>#REF!-Z25</f>
        <v>#REF!</v>
      </c>
      <c r="AK25" s="15">
        <f t="shared" si="11"/>
        <v>6705</v>
      </c>
      <c r="AL25" s="15">
        <f t="shared" si="12"/>
        <v>-7510</v>
      </c>
      <c r="AM25" s="15">
        <f t="shared" si="13"/>
        <v>-11161</v>
      </c>
      <c r="AN25" s="16">
        <f t="shared" si="0"/>
        <v>-4.5338108947475799E-4</v>
      </c>
      <c r="AO25" s="17">
        <f t="shared" si="14"/>
        <v>-4.5338108947475801E-2</v>
      </c>
      <c r="AP25" s="18">
        <f t="shared" si="1"/>
        <v>4.5338108947475801E-2</v>
      </c>
      <c r="AY25" s="5"/>
      <c r="BD25" s="502" t="s">
        <v>286</v>
      </c>
      <c r="BE25" s="503">
        <v>9118512626842</v>
      </c>
      <c r="BF25" s="503"/>
      <c r="BG25" s="244">
        <v>10409711225602</v>
      </c>
      <c r="BI25" s="244">
        <v>10886894680059</v>
      </c>
      <c r="BK25" s="244">
        <f>BE25-AS18</f>
        <v>0</v>
      </c>
      <c r="BM25" s="244">
        <f>BG25-AU18</f>
        <v>0</v>
      </c>
      <c r="BO25" s="244">
        <f>BI25-AW18</f>
        <v>0</v>
      </c>
    </row>
    <row r="26" spans="1:67" ht="25.35" customHeight="1" thickBot="1" x14ac:dyDescent="0.35">
      <c r="A26" s="1019"/>
      <c r="B26" s="158"/>
      <c r="C26" s="1016" t="s">
        <v>866</v>
      </c>
      <c r="D26" s="1017"/>
      <c r="E26" s="427">
        <f>E18-E19</f>
        <v>0</v>
      </c>
      <c r="F26" s="41"/>
      <c r="G26" s="42">
        <f>G18-G19</f>
        <v>7891447.6268419996</v>
      </c>
      <c r="H26" s="41">
        <f t="shared" si="6"/>
        <v>0</v>
      </c>
      <c r="I26" s="42">
        <f>I18-I19</f>
        <v>9170396.2256019991</v>
      </c>
      <c r="J26" s="41">
        <f t="shared" si="7"/>
        <v>0.16206767873739403</v>
      </c>
      <c r="K26" s="42">
        <f>K18-K19</f>
        <v>9755829.2868450005</v>
      </c>
      <c r="L26" s="41">
        <f t="shared" si="8"/>
        <v>6.3839451081577403E-2</v>
      </c>
      <c r="M26" s="42">
        <f>M18-M19</f>
        <v>10325952.694099</v>
      </c>
      <c r="N26" s="41">
        <f t="shared" si="9"/>
        <v>5.8439256211952006E-2</v>
      </c>
      <c r="O26" s="42">
        <f>O18-O19</f>
        <v>10725533.689296998</v>
      </c>
      <c r="P26" s="41">
        <f t="shared" si="10"/>
        <v>3.8696767943392496E-2</v>
      </c>
      <c r="Q26" s="36"/>
      <c r="T26" s="484"/>
      <c r="U26" s="518"/>
      <c r="V26" s="519"/>
      <c r="W26" s="520"/>
      <c r="X26" s="521"/>
      <c r="Y26" s="478"/>
      <c r="Z26" s="522"/>
      <c r="AA26" s="478"/>
      <c r="AB26" s="522"/>
      <c r="AC26" s="478"/>
      <c r="AD26" s="522"/>
      <c r="AE26" s="478"/>
      <c r="AF26" s="523"/>
      <c r="AG26" s="524"/>
      <c r="AI26" s="15"/>
      <c r="AJ26" s="15"/>
      <c r="AK26" s="15"/>
      <c r="AL26" s="15"/>
      <c r="AM26" s="15"/>
      <c r="AN26" s="16"/>
      <c r="AO26" s="17"/>
      <c r="AP26" s="18"/>
      <c r="AY26" s="5"/>
      <c r="BD26" s="510"/>
      <c r="BE26" s="511"/>
      <c r="BF26" s="512"/>
    </row>
    <row r="27" spans="1:67" ht="25.35" customHeight="1" thickBot="1" x14ac:dyDescent="0.35">
      <c r="A27" s="1019"/>
      <c r="B27" s="1067" t="s">
        <v>290</v>
      </c>
      <c r="C27" s="1068"/>
      <c r="D27" s="1064"/>
      <c r="E27" s="48">
        <f>E28</f>
        <v>323447.54693000001</v>
      </c>
      <c r="F27" s="49"/>
      <c r="G27" s="48">
        <f>-AS27/1000000</f>
        <v>6983785.4091670001</v>
      </c>
      <c r="H27" s="49">
        <f>(G27-E27)/E27</f>
        <v>20.591709306357544</v>
      </c>
      <c r="I27" s="48">
        <f>-AU27/1000000</f>
        <v>7684960.8698500004</v>
      </c>
      <c r="J27" s="49">
        <f>(I27-G27)/G27</f>
        <v>0.10040048764422643</v>
      </c>
      <c r="K27" s="48">
        <f>-AW27/1000000</f>
        <v>8092649.8676439999</v>
      </c>
      <c r="L27" s="49">
        <f>(K27-I27)/I27</f>
        <v>5.3050237300942431E-2</v>
      </c>
      <c r="M27" s="48">
        <f>-AY27/1000000</f>
        <v>8539950.3948430009</v>
      </c>
      <c r="N27" s="49">
        <f>(M27-K27)/K27</f>
        <v>5.5272442835738664E-2</v>
      </c>
      <c r="O27" s="48">
        <f>-BA27/1000000</f>
        <v>8902467.3174399994</v>
      </c>
      <c r="P27" s="49">
        <f>(O27-M27)/M27</f>
        <v>4.2449534931246292E-2</v>
      </c>
      <c r="Q27" s="36"/>
      <c r="T27" s="484"/>
      <c r="U27" s="1069" t="s">
        <v>290</v>
      </c>
      <c r="V27" s="1070"/>
      <c r="W27" s="1071"/>
      <c r="X27" s="485">
        <v>94279</v>
      </c>
      <c r="Y27" s="486">
        <v>-15.2</v>
      </c>
      <c r="Z27" s="487">
        <v>69105</v>
      </c>
      <c r="AA27" s="486">
        <v>-26.7</v>
      </c>
      <c r="AB27" s="487">
        <v>253228</v>
      </c>
      <c r="AC27" s="486">
        <v>266.39999999999998</v>
      </c>
      <c r="AD27" s="487">
        <v>371296</v>
      </c>
      <c r="AE27" s="486">
        <v>46.6</v>
      </c>
      <c r="AF27" s="488">
        <v>200911</v>
      </c>
      <c r="AG27" s="489">
        <v>-45.9</v>
      </c>
      <c r="AI27" s="15" t="e">
        <f>#REF!-X27</f>
        <v>#REF!</v>
      </c>
      <c r="AJ27" s="15" t="e">
        <f>#REF!-Z27</f>
        <v>#REF!</v>
      </c>
      <c r="AK27" s="15">
        <f t="shared" si="11"/>
        <v>70219.546930000011</v>
      </c>
      <c r="AL27" s="15">
        <f t="shared" si="12"/>
        <v>6612489.4091670001</v>
      </c>
      <c r="AM27" s="15">
        <f t="shared" si="13"/>
        <v>7484049.8698500004</v>
      </c>
      <c r="AN27" s="16">
        <f t="shared" si="0"/>
        <v>-0.45889263552529519</v>
      </c>
      <c r="AO27" s="17">
        <f t="shared" si="14"/>
        <v>-45.88926355252952</v>
      </c>
      <c r="AP27" s="18">
        <f t="shared" si="1"/>
        <v>-1.0736447470478083E-2</v>
      </c>
      <c r="AR27" s="468" t="s">
        <v>290</v>
      </c>
      <c r="AS27" s="469">
        <v>-6983785409167</v>
      </c>
      <c r="AT27" s="200"/>
      <c r="AU27" s="470">
        <v>-7684960869850</v>
      </c>
      <c r="AV27" s="197"/>
      <c r="AW27" s="470">
        <v>-8092649867644</v>
      </c>
      <c r="AY27" s="470">
        <v>-8539950394843</v>
      </c>
      <c r="BA27" s="470">
        <f>-'12. 추정 IS'!AZ30*1000</f>
        <v>-8902467317440</v>
      </c>
      <c r="BB27" s="200">
        <f>O27*1000000+BA27</f>
        <v>0</v>
      </c>
      <c r="BD27" s="510" t="s">
        <v>290</v>
      </c>
      <c r="BE27" s="511">
        <v>-6983785409167</v>
      </c>
      <c r="BF27" s="512"/>
      <c r="BG27" s="244">
        <v>-7684960869850</v>
      </c>
      <c r="BI27" s="244">
        <v>-8092649867644</v>
      </c>
      <c r="BK27" s="244">
        <f>BE27-AS27</f>
        <v>0</v>
      </c>
      <c r="BM27" s="244">
        <f>BG27-AU27</f>
        <v>0</v>
      </c>
      <c r="BO27" s="244">
        <f>BI27-AW27</f>
        <v>0</v>
      </c>
    </row>
    <row r="28" spans="1:67" ht="25.35" customHeight="1" thickBot="1" x14ac:dyDescent="0.35">
      <c r="A28" s="1019"/>
      <c r="B28" s="60"/>
      <c r="C28" s="159" t="s">
        <v>465</v>
      </c>
      <c r="D28" s="163"/>
      <c r="E28" s="48">
        <v>323447.54693000001</v>
      </c>
      <c r="F28" s="49"/>
      <c r="G28" s="48">
        <f>'9. 추정 IS'!F43</f>
        <v>192258</v>
      </c>
      <c r="H28" s="49">
        <f>(G28-E28)/E28</f>
        <v>-0.40559759434005488</v>
      </c>
      <c r="I28" s="48">
        <f>'9. 추정 IS'!G43</f>
        <v>187896</v>
      </c>
      <c r="J28" s="49">
        <f>(I28-G28)/G28</f>
        <v>-2.2688262647068004E-2</v>
      </c>
      <c r="K28" s="48">
        <f>'9. 추정 IS'!H43</f>
        <v>149269</v>
      </c>
      <c r="L28" s="49">
        <f>(K28-I28)/I28</f>
        <v>-0.20557648912164175</v>
      </c>
      <c r="M28" s="48">
        <f>'9. 추정 IS'!I43</f>
        <v>119598</v>
      </c>
      <c r="N28" s="49">
        <f>(M28-K28)/K28</f>
        <v>-0.19877536528013184</v>
      </c>
      <c r="O28" s="48">
        <f>'9. 추정 IS'!J43</f>
        <v>139480.34736000001</v>
      </c>
      <c r="P28" s="49">
        <f>(O28-M28)/M28</f>
        <v>0.16624314252746714</v>
      </c>
      <c r="Q28" s="36"/>
      <c r="R28" s="198"/>
      <c r="S28" s="198"/>
      <c r="T28" s="484"/>
      <c r="U28" s="1069" t="s">
        <v>292</v>
      </c>
      <c r="V28" s="1070"/>
      <c r="W28" s="1071"/>
      <c r="X28" s="485">
        <v>970877</v>
      </c>
      <c r="Y28" s="486">
        <v>-1</v>
      </c>
      <c r="Z28" s="487">
        <v>982553</v>
      </c>
      <c r="AA28" s="486">
        <v>1.2</v>
      </c>
      <c r="AB28" s="487">
        <v>820286</v>
      </c>
      <c r="AC28" s="486">
        <v>-16.5</v>
      </c>
      <c r="AD28" s="487">
        <v>823304</v>
      </c>
      <c r="AE28" s="486">
        <v>0.4</v>
      </c>
      <c r="AF28" s="488">
        <v>1005806</v>
      </c>
      <c r="AG28" s="489">
        <v>22.2</v>
      </c>
      <c r="AI28" s="15" t="e">
        <f>#REF!-X28</f>
        <v>#REF!</v>
      </c>
      <c r="AJ28" s="15" t="e">
        <f>#REF!-Z28</f>
        <v>#REF!</v>
      </c>
      <c r="AK28" s="15">
        <f t="shared" si="11"/>
        <v>-496838.45306999999</v>
      </c>
      <c r="AL28" s="15">
        <f t="shared" si="12"/>
        <v>-631046</v>
      </c>
      <c r="AM28" s="15">
        <f t="shared" si="13"/>
        <v>-817910</v>
      </c>
      <c r="AN28" s="16">
        <f t="shared" si="0"/>
        <v>0.2216702457415487</v>
      </c>
      <c r="AO28" s="17">
        <f t="shared" si="14"/>
        <v>22.167024574154869</v>
      </c>
      <c r="AP28" s="18">
        <f t="shared" si="1"/>
        <v>3.2975425845130246E-2</v>
      </c>
      <c r="AS28" s="197"/>
      <c r="AT28" s="200"/>
      <c r="AU28" s="197"/>
      <c r="AV28" s="200"/>
      <c r="AW28" s="197"/>
      <c r="AY28" s="197"/>
      <c r="BA28" s="197"/>
      <c r="BD28" s="510"/>
      <c r="BE28" s="511"/>
      <c r="BF28" s="512"/>
    </row>
    <row r="29" spans="1:67" ht="25.35" customHeight="1" thickBot="1" x14ac:dyDescent="0.35">
      <c r="A29" s="1019"/>
      <c r="B29" s="60"/>
      <c r="C29" s="161" t="s">
        <v>866</v>
      </c>
      <c r="D29" s="162"/>
      <c r="E29" s="20">
        <f>E27-E28</f>
        <v>0</v>
      </c>
      <c r="F29" s="21"/>
      <c r="G29" s="20">
        <f>G27-G28</f>
        <v>6791527.4091670001</v>
      </c>
      <c r="H29" s="21">
        <f t="shared" si="6"/>
        <v>0</v>
      </c>
      <c r="I29" s="20">
        <f>I27-I28</f>
        <v>7497064.8698500004</v>
      </c>
      <c r="J29" s="21">
        <f t="shared" si="7"/>
        <v>0.10388494637166401</v>
      </c>
      <c r="K29" s="20">
        <f>K27-K28</f>
        <v>7943380.8676439999</v>
      </c>
      <c r="L29" s="21">
        <f t="shared" si="8"/>
        <v>5.9532097633154146E-2</v>
      </c>
      <c r="M29" s="20">
        <f>M27-M28</f>
        <v>8420352.3948430009</v>
      </c>
      <c r="N29" s="21">
        <f t="shared" si="9"/>
        <v>6.0046412874631638E-2</v>
      </c>
      <c r="O29" s="20">
        <f>O27-O28</f>
        <v>8762986.9700799994</v>
      </c>
      <c r="P29" s="21">
        <f t="shared" si="10"/>
        <v>4.0691239412597779E-2</v>
      </c>
      <c r="Q29" s="36"/>
      <c r="T29" s="484"/>
      <c r="U29" s="460"/>
      <c r="V29" s="461"/>
      <c r="W29" s="462"/>
      <c r="X29" s="505"/>
      <c r="Y29" s="506"/>
      <c r="Z29" s="507"/>
      <c r="AA29" s="506"/>
      <c r="AB29" s="507"/>
      <c r="AC29" s="506"/>
      <c r="AD29" s="507"/>
      <c r="AE29" s="506"/>
      <c r="AF29" s="508"/>
      <c r="AG29" s="509"/>
      <c r="AI29" s="15"/>
      <c r="AJ29" s="15"/>
      <c r="AK29" s="15"/>
      <c r="AL29" s="15"/>
      <c r="AM29" s="15"/>
      <c r="AN29" s="16"/>
      <c r="AO29" s="17"/>
      <c r="AP29" s="18"/>
      <c r="AS29" s="197"/>
      <c r="AT29" s="200"/>
      <c r="AU29" s="197"/>
      <c r="AV29" s="200"/>
      <c r="AW29" s="197"/>
      <c r="AY29" s="197"/>
      <c r="BA29" s="197"/>
      <c r="BD29" s="510"/>
      <c r="BE29" s="511"/>
      <c r="BF29" s="512"/>
    </row>
    <row r="30" spans="1:67" ht="25.35" customHeight="1" thickBot="1" x14ac:dyDescent="0.35">
      <c r="A30" s="1019"/>
      <c r="B30" s="1075" t="s">
        <v>292</v>
      </c>
      <c r="C30" s="1073"/>
      <c r="D30" s="1074"/>
      <c r="E30" s="20">
        <f>E18-E27</f>
        <v>883268.87988699996</v>
      </c>
      <c r="F30" s="21"/>
      <c r="G30" s="20">
        <f>G18-G27</f>
        <v>2134727.2176749995</v>
      </c>
      <c r="H30" s="21">
        <f t="shared" si="6"/>
        <v>1.4168486700766629</v>
      </c>
      <c r="I30" s="20">
        <f>I18-I27</f>
        <v>2724750.3557519987</v>
      </c>
      <c r="J30" s="21">
        <f t="shared" si="7"/>
        <v>0.27639275556696763</v>
      </c>
      <c r="K30" s="20">
        <f>K18-K27</f>
        <v>2794244.812415001</v>
      </c>
      <c r="L30" s="21">
        <f t="shared" si="8"/>
        <v>2.5504889472277137E-2</v>
      </c>
      <c r="M30" s="20">
        <f>M18-M27</f>
        <v>2838081.642812999</v>
      </c>
      <c r="N30" s="21">
        <f t="shared" si="9"/>
        <v>1.5688256878290785E-2</v>
      </c>
      <c r="O30" s="20">
        <f>O18-O27</f>
        <v>2872176.5595629998</v>
      </c>
      <c r="P30" s="21">
        <f t="shared" si="10"/>
        <v>1.2013367140561559E-2</v>
      </c>
      <c r="Q30" s="36"/>
      <c r="T30" s="484"/>
      <c r="U30" s="460"/>
      <c r="V30" s="461"/>
      <c r="W30" s="462"/>
      <c r="X30" s="505"/>
      <c r="Y30" s="506"/>
      <c r="Z30" s="507"/>
      <c r="AA30" s="506"/>
      <c r="AB30" s="507"/>
      <c r="AC30" s="506"/>
      <c r="AD30" s="507"/>
      <c r="AE30" s="506"/>
      <c r="AF30" s="508"/>
      <c r="AG30" s="509"/>
      <c r="AI30" s="15"/>
      <c r="AJ30" s="15"/>
      <c r="AK30" s="15"/>
      <c r="AL30" s="15"/>
      <c r="AM30" s="15"/>
      <c r="AN30" s="16"/>
      <c r="AO30" s="17"/>
      <c r="AP30" s="18"/>
      <c r="AR30" s="468" t="s">
        <v>292</v>
      </c>
      <c r="AS30" s="469">
        <v>2134727217675</v>
      </c>
      <c r="AT30" s="200">
        <f>AS30-G30*1000000</f>
        <v>0</v>
      </c>
      <c r="AU30" s="470">
        <v>2724750355752</v>
      </c>
      <c r="AV30" s="200">
        <f>AU30-I30*1000000</f>
        <v>0</v>
      </c>
      <c r="AW30" s="470">
        <v>2794244812415</v>
      </c>
      <c r="AX30" s="200">
        <f>AW30-K30*1000000</f>
        <v>0</v>
      </c>
      <c r="AY30" s="470">
        <v>2838081642813</v>
      </c>
      <c r="AZ30" s="200">
        <f>AY30-M30*1000000</f>
        <v>0</v>
      </c>
      <c r="BA30" s="470">
        <f>'12. 추정 IS'!AZ40*1000</f>
        <v>2872176559562.9995</v>
      </c>
      <c r="BB30" s="200">
        <f>BA30-O30*1000000</f>
        <v>0</v>
      </c>
      <c r="BD30" s="510" t="s">
        <v>292</v>
      </c>
      <c r="BE30" s="511">
        <v>2134727217675</v>
      </c>
      <c r="BF30" s="512"/>
      <c r="BG30" s="244">
        <v>2724750355752</v>
      </c>
      <c r="BI30" s="244">
        <v>2794244812415</v>
      </c>
      <c r="BK30" s="244">
        <f>BE30-AS30</f>
        <v>0</v>
      </c>
      <c r="BM30" s="244">
        <f>BG30-AU30</f>
        <v>0</v>
      </c>
      <c r="BO30" s="244">
        <f>BI30-AW30</f>
        <v>0</v>
      </c>
    </row>
    <row r="31" spans="1:67" ht="25.35" customHeight="1" x14ac:dyDescent="0.3">
      <c r="A31" s="1019"/>
      <c r="B31" s="1072" t="s">
        <v>294</v>
      </c>
      <c r="C31" s="1073"/>
      <c r="D31" s="1074"/>
      <c r="E31" s="50">
        <f>E32</f>
        <v>725384.45990999998</v>
      </c>
      <c r="F31" s="51"/>
      <c r="G31" s="50">
        <f>-AS31/1000000</f>
        <v>1829758.885953</v>
      </c>
      <c r="H31" s="51">
        <f>(G31-E31)/E31</f>
        <v>1.5224677217099774</v>
      </c>
      <c r="I31" s="50">
        <f>-AU31/1000000</f>
        <v>2357696.5652259998</v>
      </c>
      <c r="J31" s="51">
        <f>(I31-G31)/G31</f>
        <v>0.28852855057896443</v>
      </c>
      <c r="K31" s="50">
        <f>-AW31/1000000</f>
        <v>2479262.8056859998</v>
      </c>
      <c r="L31" s="51">
        <f>(K31-I31)/I31</f>
        <v>5.1561444442426427E-2</v>
      </c>
      <c r="M31" s="50">
        <f>-AY31/1000000</f>
        <v>2585445.7563339998</v>
      </c>
      <c r="N31" s="51">
        <f>(M31-K31)/K31</f>
        <v>4.2828436906518143E-2</v>
      </c>
      <c r="O31" s="50">
        <f>-BA31/1000000</f>
        <v>2582279.8400889994</v>
      </c>
      <c r="P31" s="51">
        <f t="shared" si="10"/>
        <v>-1.2245146653122596E-3</v>
      </c>
      <c r="Q31" s="81" t="s">
        <v>8989</v>
      </c>
      <c r="R31" s="934"/>
      <c r="T31" s="484"/>
      <c r="U31" s="1041" t="s">
        <v>294</v>
      </c>
      <c r="V31" s="1042"/>
      <c r="W31" s="1043"/>
      <c r="X31" s="473">
        <v>842246</v>
      </c>
      <c r="Y31" s="474">
        <v>-2.9</v>
      </c>
      <c r="Z31" s="475">
        <v>838063</v>
      </c>
      <c r="AA31" s="474">
        <v>-0.5</v>
      </c>
      <c r="AB31" s="475">
        <v>682949</v>
      </c>
      <c r="AC31" s="474">
        <v>-18.5</v>
      </c>
      <c r="AD31" s="475">
        <v>703254</v>
      </c>
      <c r="AE31" s="474">
        <v>3</v>
      </c>
      <c r="AF31" s="476">
        <v>847921</v>
      </c>
      <c r="AG31" s="477">
        <v>20.6</v>
      </c>
      <c r="AI31" s="15" t="e">
        <f>#REF!-X31</f>
        <v>#REF!</v>
      </c>
      <c r="AJ31" s="15" t="e">
        <f>#REF!-Z31</f>
        <v>#REF!</v>
      </c>
      <c r="AK31" s="15">
        <f t="shared" si="11"/>
        <v>42435.459909999976</v>
      </c>
      <c r="AL31" s="15">
        <f t="shared" si="12"/>
        <v>1126504.885953</v>
      </c>
      <c r="AM31" s="15">
        <f t="shared" si="13"/>
        <v>1509775.5652259998</v>
      </c>
      <c r="AN31" s="16">
        <f t="shared" si="0"/>
        <v>0.20571088113256378</v>
      </c>
      <c r="AO31" s="17">
        <f t="shared" si="14"/>
        <v>20.571088113256376</v>
      </c>
      <c r="AP31" s="18">
        <f t="shared" si="1"/>
        <v>2.8911886743625104E-2</v>
      </c>
      <c r="AR31" s="468" t="s">
        <v>294</v>
      </c>
      <c r="AS31" s="469">
        <v>-1829758885953</v>
      </c>
      <c r="AT31" s="200"/>
      <c r="AU31" s="470">
        <v>-2357696565226</v>
      </c>
      <c r="AV31" s="197"/>
      <c r="AW31" s="470">
        <v>-2479262805686</v>
      </c>
      <c r="AY31" s="470">
        <v>-2585445756334</v>
      </c>
      <c r="BA31" s="470">
        <f>-'12. 추정 IS'!AZ41*1000</f>
        <v>-2582279840088.9995</v>
      </c>
      <c r="BB31" s="200">
        <f>O31*1000000+BA31</f>
        <v>0</v>
      </c>
      <c r="BD31" s="510"/>
      <c r="BE31" s="511">
        <f>SUM(BE32:BE33)</f>
        <v>-1829758885953</v>
      </c>
      <c r="BF31" s="512"/>
      <c r="BG31" s="244">
        <v>-2357696565226</v>
      </c>
      <c r="BI31" s="244">
        <v>-2479262805686</v>
      </c>
      <c r="BK31" s="244">
        <f>BE31-AS31</f>
        <v>0</v>
      </c>
      <c r="BM31" s="244">
        <f>BG31-AU31</f>
        <v>0</v>
      </c>
      <c r="BO31" s="244">
        <f>BI31-AW31</f>
        <v>0</v>
      </c>
    </row>
    <row r="32" spans="1:67" ht="25.35" customHeight="1" x14ac:dyDescent="0.3">
      <c r="A32" s="1019"/>
      <c r="B32" s="60"/>
      <c r="C32" s="159" t="s">
        <v>465</v>
      </c>
      <c r="D32" s="160"/>
      <c r="E32" s="20">
        <v>725384.45990999998</v>
      </c>
      <c r="F32" s="21"/>
      <c r="G32" s="20">
        <f>'9. 추정 IS'!F48</f>
        <v>898893</v>
      </c>
      <c r="H32" s="21">
        <f>(G32-E32)/E32</f>
        <v>0.23919528150841224</v>
      </c>
      <c r="I32" s="20">
        <f>'9. 추정 IS'!G48</f>
        <v>908849</v>
      </c>
      <c r="J32" s="21">
        <f t="shared" ref="J32:N33" si="18">(I32-G32)/G32</f>
        <v>1.1075845512202231E-2</v>
      </c>
      <c r="K32" s="20">
        <f>'9. 추정 IS'!H48</f>
        <v>864887.01713040867</v>
      </c>
      <c r="L32" s="21">
        <f t="shared" si="18"/>
        <v>-4.8371052693672249E-2</v>
      </c>
      <c r="M32" s="20">
        <f>'9. 추정 IS'!I48</f>
        <v>825389.01794660883</v>
      </c>
      <c r="N32" s="21">
        <f t="shared" si="18"/>
        <v>-4.5668391826309822E-2</v>
      </c>
      <c r="O32" s="20">
        <f>'9. 추정 IS'!J48</f>
        <v>816617.22180737066</v>
      </c>
      <c r="P32" s="21">
        <f t="shared" si="10"/>
        <v>-1.0627468924968908E-2</v>
      </c>
      <c r="Q32" s="36"/>
      <c r="T32" s="484"/>
      <c r="U32" s="504"/>
      <c r="V32" s="528"/>
      <c r="W32" s="529"/>
      <c r="X32" s="530"/>
      <c r="Y32" s="472"/>
      <c r="Z32" s="531"/>
      <c r="AA32" s="472"/>
      <c r="AB32" s="531"/>
      <c r="AC32" s="472"/>
      <c r="AD32" s="531"/>
      <c r="AE32" s="472"/>
      <c r="AF32" s="532"/>
      <c r="AG32" s="533"/>
      <c r="AI32" s="15"/>
      <c r="AJ32" s="15"/>
      <c r="AK32" s="15"/>
      <c r="AL32" s="15"/>
      <c r="AM32" s="15"/>
      <c r="AN32" s="16"/>
      <c r="AO32" s="17"/>
      <c r="AP32" s="18"/>
      <c r="AR32" s="200"/>
      <c r="AS32" s="200"/>
      <c r="AT32" s="200"/>
      <c r="AU32" s="200"/>
      <c r="AV32" s="200"/>
      <c r="AW32" s="200"/>
      <c r="AY32" s="200"/>
      <c r="BA32" s="200"/>
      <c r="BD32" s="510" t="s">
        <v>294</v>
      </c>
      <c r="BE32" s="511">
        <v>-1829334017070</v>
      </c>
      <c r="BF32" s="512"/>
      <c r="BG32" s="244">
        <v>-2356369136594</v>
      </c>
      <c r="BI32" s="244">
        <v>-2459851579944</v>
      </c>
    </row>
    <row r="33" spans="1:67" ht="25.35" customHeight="1" thickBot="1" x14ac:dyDescent="0.35">
      <c r="A33" s="1019"/>
      <c r="B33" s="60" t="s">
        <v>324</v>
      </c>
      <c r="C33" s="1025" t="s">
        <v>519</v>
      </c>
      <c r="D33" s="1026"/>
      <c r="E33" s="224">
        <v>104642</v>
      </c>
      <c r="F33" s="46"/>
      <c r="G33" s="224">
        <f>'9. 추정 IS'!F50</f>
        <v>108194</v>
      </c>
      <c r="H33" s="46">
        <f>(G33-E33)/E33</f>
        <v>3.3944305345845839E-2</v>
      </c>
      <c r="I33" s="224">
        <f>'9. 추정 IS'!G50</f>
        <v>74094</v>
      </c>
      <c r="J33" s="46">
        <f t="shared" si="18"/>
        <v>-0.31517459378523766</v>
      </c>
      <c r="K33" s="224">
        <f>'9. 추정 IS'!H50</f>
        <v>82590</v>
      </c>
      <c r="L33" s="46">
        <f t="shared" si="18"/>
        <v>0.11466515507328529</v>
      </c>
      <c r="M33" s="224">
        <f>'9. 추정 IS'!I50</f>
        <v>84194</v>
      </c>
      <c r="N33" s="46">
        <f t="shared" si="18"/>
        <v>1.9421237437946482E-2</v>
      </c>
      <c r="O33" s="224">
        <f>'9. 추정 IS'!J50</f>
        <v>85905.775024999995</v>
      </c>
      <c r="P33" s="46">
        <f t="shared" si="10"/>
        <v>2.0331318443119306E-2</v>
      </c>
      <c r="Q33" s="14"/>
      <c r="T33" s="484"/>
      <c r="U33" s="516"/>
      <c r="V33" s="1076" t="s">
        <v>297</v>
      </c>
      <c r="W33" s="1051"/>
      <c r="X33" s="479">
        <v>102606</v>
      </c>
      <c r="Y33" s="480">
        <v>8.1</v>
      </c>
      <c r="Z33" s="481">
        <v>97219</v>
      </c>
      <c r="AA33" s="480">
        <v>-5.3</v>
      </c>
      <c r="AB33" s="481">
        <v>96305</v>
      </c>
      <c r="AC33" s="480">
        <v>-0.9</v>
      </c>
      <c r="AD33" s="481">
        <v>106070</v>
      </c>
      <c r="AE33" s="480">
        <v>10.1</v>
      </c>
      <c r="AF33" s="482">
        <v>104642</v>
      </c>
      <c r="AG33" s="483">
        <v>-1.3</v>
      </c>
      <c r="AI33" s="15" t="e">
        <f>#REF!-X33</f>
        <v>#REF!</v>
      </c>
      <c r="AJ33" s="15" t="e">
        <f>#REF!-Z33</f>
        <v>#REF!</v>
      </c>
      <c r="AK33" s="15">
        <f t="shared" si="11"/>
        <v>8337</v>
      </c>
      <c r="AL33" s="15">
        <f t="shared" si="12"/>
        <v>2124</v>
      </c>
      <c r="AM33" s="15">
        <f t="shared" si="13"/>
        <v>-30548</v>
      </c>
      <c r="AN33" s="16">
        <f t="shared" si="0"/>
        <v>-1.3462807579900066E-2</v>
      </c>
      <c r="AO33" s="17">
        <f t="shared" si="14"/>
        <v>-1.3462807579900065</v>
      </c>
      <c r="AP33" s="18">
        <f t="shared" si="1"/>
        <v>4.6280757990006416E-2</v>
      </c>
      <c r="AY33" s="5"/>
      <c r="BA33" s="5"/>
      <c r="BD33" s="510" t="s">
        <v>724</v>
      </c>
      <c r="BE33" s="511">
        <v>-424868883</v>
      </c>
      <c r="BF33" s="512"/>
      <c r="BG33" s="244">
        <v>-1327428632</v>
      </c>
      <c r="BI33" s="244">
        <v>-19411225742</v>
      </c>
    </row>
    <row r="34" spans="1:67" ht="25.35" customHeight="1" thickBot="1" x14ac:dyDescent="0.35">
      <c r="A34" s="1019"/>
      <c r="B34" s="158"/>
      <c r="C34" s="161" t="s">
        <v>399</v>
      </c>
      <c r="D34" s="162"/>
      <c r="E34" s="20">
        <v>0</v>
      </c>
      <c r="F34" s="49"/>
      <c r="G34" s="20">
        <f>G31-G32</f>
        <v>930865.88595300005</v>
      </c>
      <c r="H34" s="49">
        <f t="shared" si="6"/>
        <v>0</v>
      </c>
      <c r="I34" s="20">
        <f>I31-I32</f>
        <v>1448847.5652259998</v>
      </c>
      <c r="J34" s="49">
        <f t="shared" si="7"/>
        <v>0.55645145781951344</v>
      </c>
      <c r="K34" s="20">
        <f>K31-K32</f>
        <v>1614375.7885555911</v>
      </c>
      <c r="L34" s="49">
        <f t="shared" si="8"/>
        <v>0.11424819787978957</v>
      </c>
      <c r="M34" s="20">
        <f>M31-M32</f>
        <v>1760056.738387391</v>
      </c>
      <c r="N34" s="49">
        <f t="shared" si="9"/>
        <v>9.0239800958699323E-2</v>
      </c>
      <c r="O34" s="20">
        <f>O31-O32</f>
        <v>1765662.6182816287</v>
      </c>
      <c r="P34" s="49">
        <f t="shared" si="10"/>
        <v>3.1850563518616148E-3</v>
      </c>
      <c r="Q34" s="14"/>
      <c r="T34" s="484"/>
      <c r="U34" s="518"/>
      <c r="V34" s="519"/>
      <c r="W34" s="520"/>
      <c r="X34" s="521"/>
      <c r="Y34" s="478"/>
      <c r="Z34" s="522"/>
      <c r="AA34" s="478"/>
      <c r="AB34" s="522"/>
      <c r="AC34" s="478"/>
      <c r="AD34" s="522"/>
      <c r="AE34" s="478"/>
      <c r="AF34" s="523"/>
      <c r="AG34" s="524"/>
      <c r="AI34" s="15"/>
      <c r="AJ34" s="15"/>
      <c r="AK34" s="15"/>
      <c r="AL34" s="15"/>
      <c r="AM34" s="15"/>
      <c r="AN34" s="16"/>
      <c r="AO34" s="17"/>
      <c r="AP34" s="18"/>
      <c r="AY34" s="5"/>
      <c r="BA34" s="5"/>
      <c r="BD34" s="510"/>
      <c r="BE34" s="511"/>
      <c r="BF34" s="512"/>
    </row>
    <row r="35" spans="1:67" ht="25.35" customHeight="1" thickBot="1" x14ac:dyDescent="0.3">
      <c r="A35" s="1019"/>
      <c r="B35" s="1021" t="s">
        <v>346</v>
      </c>
      <c r="C35" s="1077"/>
      <c r="D35" s="1078"/>
      <c r="E35" s="52">
        <f>E30-E31</f>
        <v>157884.41997699998</v>
      </c>
      <c r="F35" s="53"/>
      <c r="G35" s="52">
        <f>G30-G31</f>
        <v>304968.33172199945</v>
      </c>
      <c r="H35" s="53">
        <f t="shared" si="6"/>
        <v>0.93159231142899412</v>
      </c>
      <c r="I35" s="52">
        <f>I30-I31</f>
        <v>367053.79052599892</v>
      </c>
      <c r="J35" s="53">
        <f t="shared" si="7"/>
        <v>0.20358001912341117</v>
      </c>
      <c r="K35" s="52">
        <f>K30-K31</f>
        <v>314982.00672900118</v>
      </c>
      <c r="L35" s="53">
        <f t="shared" si="8"/>
        <v>-0.14186417669839979</v>
      </c>
      <c r="M35" s="52">
        <f>M30-M31</f>
        <v>252635.88647899916</v>
      </c>
      <c r="N35" s="53">
        <f t="shared" si="9"/>
        <v>-0.19793549764143292</v>
      </c>
      <c r="O35" s="52">
        <f>O30-O31</f>
        <v>289896.71947400039</v>
      </c>
      <c r="P35" s="53">
        <f t="shared" si="10"/>
        <v>0.14748828250138013</v>
      </c>
      <c r="Q35" s="36"/>
      <c r="T35" s="484"/>
      <c r="U35" s="1069" t="s">
        <v>346</v>
      </c>
      <c r="V35" s="1070"/>
      <c r="W35" s="1071"/>
      <c r="X35" s="534">
        <v>128631</v>
      </c>
      <c r="Y35" s="486">
        <v>14.4</v>
      </c>
      <c r="Z35" s="535">
        <v>144490</v>
      </c>
      <c r="AA35" s="486">
        <v>12.3</v>
      </c>
      <c r="AB35" s="535">
        <v>137337</v>
      </c>
      <c r="AC35" s="486">
        <v>-5</v>
      </c>
      <c r="AD35" s="535">
        <v>120050</v>
      </c>
      <c r="AE35" s="486">
        <v>-12.6</v>
      </c>
      <c r="AF35" s="536">
        <v>157885</v>
      </c>
      <c r="AG35" s="489">
        <v>31.5</v>
      </c>
      <c r="AI35" s="15" t="e">
        <f>#REF!-X35</f>
        <v>#REF!</v>
      </c>
      <c r="AJ35" s="15" t="e">
        <f>#REF!-Z35</f>
        <v>#REF!</v>
      </c>
      <c r="AK35" s="15">
        <f t="shared" si="11"/>
        <v>20547.419976999983</v>
      </c>
      <c r="AL35" s="15">
        <f t="shared" si="12"/>
        <v>184918.33172199945</v>
      </c>
      <c r="AM35" s="15">
        <f t="shared" si="13"/>
        <v>209168.79052599892</v>
      </c>
      <c r="AN35" s="16">
        <f t="shared" si="0"/>
        <v>0.31516034985422742</v>
      </c>
      <c r="AO35" s="17">
        <f t="shared" si="14"/>
        <v>31.516034985422742</v>
      </c>
      <c r="AP35" s="18">
        <f t="shared" si="1"/>
        <v>-1.6034985422741954E-2</v>
      </c>
      <c r="AR35" s="468" t="s">
        <v>416</v>
      </c>
      <c r="AS35" s="469">
        <v>304968331722</v>
      </c>
      <c r="AT35" s="200">
        <f>AS35-G35*1000000</f>
        <v>5.4931640625E-4</v>
      </c>
      <c r="AU35" s="470">
        <v>367053790526</v>
      </c>
      <c r="AV35" s="200">
        <f>AU35-I35*1000000</f>
        <v>1.0986328125E-3</v>
      </c>
      <c r="AW35" s="470">
        <v>314982006729</v>
      </c>
      <c r="AX35" s="200">
        <f>AW35-K35*1000000</f>
        <v>-1.15966796875E-3</v>
      </c>
      <c r="AY35" s="470">
        <v>252635886479</v>
      </c>
      <c r="AZ35" s="200">
        <f>AY35-M35*1000000</f>
        <v>8.23974609375E-4</v>
      </c>
      <c r="BA35" s="470">
        <f>'12. 추정 IS'!AZ84*1000</f>
        <v>289896719474.00037</v>
      </c>
      <c r="BB35" s="200">
        <f>BA35-O35*1000000</f>
        <v>0</v>
      </c>
      <c r="BD35" s="510" t="s">
        <v>416</v>
      </c>
      <c r="BE35" s="511">
        <v>304968331722</v>
      </c>
      <c r="BF35" s="512"/>
      <c r="BG35" s="244">
        <v>367053790526</v>
      </c>
      <c r="BI35" s="244">
        <v>314982006729</v>
      </c>
      <c r="BK35" s="244">
        <f>BE35-AS35</f>
        <v>0</v>
      </c>
      <c r="BM35" s="244">
        <f>BG35-AU35</f>
        <v>0</v>
      </c>
      <c r="BO35" s="244">
        <f>BI35-AW35</f>
        <v>0</v>
      </c>
    </row>
    <row r="36" spans="1:67" ht="25.35" customHeight="1" thickBot="1" x14ac:dyDescent="0.3">
      <c r="A36" s="1019"/>
      <c r="B36" s="173"/>
      <c r="C36" s="159" t="s">
        <v>465</v>
      </c>
      <c r="D36" s="163"/>
      <c r="E36" s="23">
        <f>E19-E28-E32</f>
        <v>157884.41997699998</v>
      </c>
      <c r="F36" s="24"/>
      <c r="G36" s="23">
        <f>G19-G28-G32</f>
        <v>135914</v>
      </c>
      <c r="H36" s="24">
        <f t="shared" si="6"/>
        <v>-0.13915508560123002</v>
      </c>
      <c r="I36" s="23">
        <f>I19-I28-I32</f>
        <v>142570</v>
      </c>
      <c r="J36" s="24">
        <f t="shared" si="7"/>
        <v>4.8972144149977082E-2</v>
      </c>
      <c r="K36" s="23">
        <f>K19-K28-K32</f>
        <v>116909.37608359125</v>
      </c>
      <c r="L36" s="24">
        <f t="shared" si="8"/>
        <v>-0.17998613955536746</v>
      </c>
      <c r="M36" s="23">
        <f>M19-M28-M32</f>
        <v>107092.3256103911</v>
      </c>
      <c r="N36" s="24">
        <f t="shared" si="9"/>
        <v>-8.3971455515944871E-2</v>
      </c>
      <c r="O36" s="23">
        <f>O19-O28-O32</f>
        <v>93012.618538629496</v>
      </c>
      <c r="P36" s="24">
        <f t="shared" si="10"/>
        <v>-0.13147260545059503</v>
      </c>
      <c r="Q36" s="36"/>
      <c r="S36" s="6"/>
      <c r="T36" s="484"/>
      <c r="U36" s="525"/>
      <c r="V36" s="526"/>
      <c r="W36" s="527"/>
      <c r="X36" s="534"/>
      <c r="Y36" s="486"/>
      <c r="Z36" s="535"/>
      <c r="AA36" s="486"/>
      <c r="AB36" s="535"/>
      <c r="AC36" s="486"/>
      <c r="AD36" s="535"/>
      <c r="AE36" s="486"/>
      <c r="AF36" s="536"/>
      <c r="AG36" s="489"/>
      <c r="AI36" s="15"/>
      <c r="AJ36" s="15"/>
      <c r="AK36" s="15"/>
      <c r="AL36" s="15"/>
      <c r="AM36" s="15"/>
      <c r="AN36" s="16"/>
      <c r="AO36" s="17"/>
      <c r="AP36" s="18"/>
      <c r="AR36" s="200"/>
      <c r="AS36" s="200"/>
      <c r="AT36" s="200"/>
      <c r="AU36" s="200"/>
      <c r="AV36" s="200"/>
      <c r="AW36" s="200"/>
      <c r="AY36" s="200"/>
      <c r="BA36" s="200"/>
      <c r="BD36" s="537"/>
      <c r="BE36" s="538"/>
      <c r="BF36" s="538"/>
    </row>
    <row r="37" spans="1:67" ht="25.35" customHeight="1" thickBot="1" x14ac:dyDescent="0.3">
      <c r="A37" s="1019"/>
      <c r="B37" s="174"/>
      <c r="C37" s="161" t="s">
        <v>399</v>
      </c>
      <c r="D37" s="162"/>
      <c r="E37" s="23">
        <f>E35-E36</f>
        <v>0</v>
      </c>
      <c r="F37" s="24"/>
      <c r="G37" s="23">
        <f>G35-G36</f>
        <v>169054.33172199945</v>
      </c>
      <c r="H37" s="24">
        <f t="shared" si="6"/>
        <v>0</v>
      </c>
      <c r="I37" s="23">
        <f>I35-I36</f>
        <v>224483.79052599892</v>
      </c>
      <c r="J37" s="24">
        <f t="shared" si="7"/>
        <v>0.32787955351034825</v>
      </c>
      <c r="K37" s="23">
        <f>K35-K36</f>
        <v>198072.63064540992</v>
      </c>
      <c r="L37" s="24">
        <f t="shared" si="8"/>
        <v>-0.11765285956150207</v>
      </c>
      <c r="M37" s="23">
        <f>M35-M36</f>
        <v>145543.56086860807</v>
      </c>
      <c r="N37" s="24">
        <f t="shared" si="9"/>
        <v>-0.26520105077434708</v>
      </c>
      <c r="O37" s="23">
        <f>O35-O36</f>
        <v>196884.10093537089</v>
      </c>
      <c r="P37" s="24">
        <f t="shared" si="10"/>
        <v>0.35275033646532372</v>
      </c>
      <c r="Q37" s="36"/>
      <c r="T37" s="484"/>
      <c r="U37" s="525"/>
      <c r="V37" s="526"/>
      <c r="W37" s="527"/>
      <c r="X37" s="534"/>
      <c r="Y37" s="486"/>
      <c r="Z37" s="535"/>
      <c r="AA37" s="486"/>
      <c r="AB37" s="535"/>
      <c r="AC37" s="486"/>
      <c r="AD37" s="535"/>
      <c r="AE37" s="486"/>
      <c r="AF37" s="536"/>
      <c r="AG37" s="489"/>
      <c r="AI37" s="15"/>
      <c r="AJ37" s="15"/>
      <c r="AK37" s="15"/>
      <c r="AL37" s="15"/>
      <c r="AM37" s="15"/>
      <c r="AN37" s="16"/>
      <c r="AO37" s="17"/>
      <c r="AP37" s="18"/>
      <c r="AR37" s="200"/>
      <c r="AS37" s="200"/>
      <c r="AT37" s="200"/>
      <c r="AU37" s="200"/>
      <c r="AV37" s="200"/>
      <c r="AW37" s="200"/>
      <c r="AY37" s="200"/>
      <c r="BA37" s="200"/>
      <c r="BD37" s="510"/>
      <c r="BE37" s="511"/>
      <c r="BF37" s="512"/>
    </row>
    <row r="38" spans="1:67" ht="25.35" customHeight="1" thickBot="1" x14ac:dyDescent="0.3">
      <c r="A38" s="1020"/>
      <c r="B38" s="1079" t="s">
        <v>347</v>
      </c>
      <c r="C38" s="1079"/>
      <c r="D38" s="1080"/>
      <c r="E38" s="25">
        <v>128898.512369</v>
      </c>
      <c r="F38" s="26"/>
      <c r="G38" s="1004">
        <f>AS38/1000000</f>
        <v>849216.32748400001</v>
      </c>
      <c r="H38" s="26">
        <f>(G38-E38)/E38</f>
        <v>5.5882554567653484</v>
      </c>
      <c r="I38" s="1004">
        <f>AU38/1000000</f>
        <v>61514.258324000002</v>
      </c>
      <c r="J38" s="26">
        <f>(I38-G38)/G38</f>
        <v>-0.92756350021407352</v>
      </c>
      <c r="K38" s="1003">
        <f>AW38/1000000</f>
        <v>-24548.412725999999</v>
      </c>
      <c r="L38" s="26">
        <f>(K38-I38)/I38</f>
        <v>-1.3990686613939447</v>
      </c>
      <c r="M38" s="1003">
        <f>AY38/1000000</f>
        <v>-60803.458305</v>
      </c>
      <c r="N38" s="26">
        <f>(M38-K38)/K38</f>
        <v>1.4768794212344791</v>
      </c>
      <c r="O38" s="1004">
        <f>BA38/1000000</f>
        <v>84116.792721000369</v>
      </c>
      <c r="P38" s="26">
        <f>(O38-M38)/M38</f>
        <v>-2.3834211912594987</v>
      </c>
      <c r="Q38" s="36"/>
      <c r="T38" s="497"/>
      <c r="U38" s="1069" t="s">
        <v>347</v>
      </c>
      <c r="V38" s="1070"/>
      <c r="W38" s="1071"/>
      <c r="X38" s="534">
        <v>103493</v>
      </c>
      <c r="Y38" s="486">
        <v>28.1</v>
      </c>
      <c r="Z38" s="535">
        <v>97005</v>
      </c>
      <c r="AA38" s="486">
        <v>-6.3</v>
      </c>
      <c r="AB38" s="535">
        <v>120615</v>
      </c>
      <c r="AC38" s="486">
        <v>24.3</v>
      </c>
      <c r="AD38" s="535">
        <v>106603</v>
      </c>
      <c r="AE38" s="486">
        <v>-11.6</v>
      </c>
      <c r="AF38" s="536">
        <v>128898</v>
      </c>
      <c r="AG38" s="489">
        <v>20.9</v>
      </c>
      <c r="AI38" s="15" t="e">
        <f>#REF!-X38</f>
        <v>#REF!</v>
      </c>
      <c r="AJ38" s="15" t="e">
        <f>#REF!-Z38</f>
        <v>#REF!</v>
      </c>
      <c r="AK38" s="15">
        <f t="shared" si="11"/>
        <v>8283.5123690000037</v>
      </c>
      <c r="AL38" s="15">
        <f t="shared" si="12"/>
        <v>742613.32748400001</v>
      </c>
      <c r="AM38" s="15">
        <f t="shared" si="13"/>
        <v>-67383.741676000005</v>
      </c>
      <c r="AN38" s="16">
        <f t="shared" si="0"/>
        <v>0.2091404557095016</v>
      </c>
      <c r="AO38" s="17">
        <f t="shared" si="14"/>
        <v>20.914045570950162</v>
      </c>
      <c r="AP38" s="18">
        <f t="shared" si="1"/>
        <v>-1.4045570950163011E-2</v>
      </c>
      <c r="AR38" s="468" t="s">
        <v>417</v>
      </c>
      <c r="AS38" s="469">
        <v>849216327484</v>
      </c>
      <c r="AT38" s="200"/>
      <c r="AU38" s="470">
        <v>61514258324</v>
      </c>
      <c r="AV38" s="200"/>
      <c r="AW38" s="470">
        <v>-24548412726</v>
      </c>
      <c r="AY38" s="470">
        <v>-60803458305</v>
      </c>
      <c r="BA38" s="470">
        <f>'12. 추정 IS'!AZ111*1000</f>
        <v>84116792721.000366</v>
      </c>
      <c r="BB38" s="200">
        <f>BA38-O38*1000000</f>
        <v>0</v>
      </c>
      <c r="BD38" s="510" t="s">
        <v>417</v>
      </c>
      <c r="BE38" s="511">
        <v>849216327484</v>
      </c>
      <c r="BF38" s="512"/>
      <c r="BG38" s="244">
        <v>61514258324</v>
      </c>
      <c r="BI38" s="244">
        <v>-24548412726</v>
      </c>
      <c r="BK38" s="244">
        <f>BE38-AS38</f>
        <v>0</v>
      </c>
      <c r="BM38" s="244">
        <f>BG38-AU38</f>
        <v>0</v>
      </c>
      <c r="BO38" s="244">
        <f>BI38-AW38</f>
        <v>0</v>
      </c>
    </row>
    <row r="39" spans="1:67" ht="25.35" customHeight="1" x14ac:dyDescent="0.3">
      <c r="A39" s="1037" t="s">
        <v>348</v>
      </c>
      <c r="B39" s="1082" t="s">
        <v>352</v>
      </c>
      <c r="C39" s="1079"/>
      <c r="D39" s="1080"/>
      <c r="E39" s="54">
        <f>IF(E10&lt;=0,"N/A",E7/E10)</f>
        <v>2.5954609021347506</v>
      </c>
      <c r="F39" s="428"/>
      <c r="G39" s="54">
        <f>IF(G10&lt;=0,"N/A",G7/G10)</f>
        <v>0.60894806386328182</v>
      </c>
      <c r="H39" s="54"/>
      <c r="I39" s="54">
        <f>IF(I10&lt;=0,"N/A",I7/I10)</f>
        <v>0.70637635712519209</v>
      </c>
      <c r="J39" s="54"/>
      <c r="K39" s="54">
        <f>IF(K10&lt;=0,"N/A",K7/K10)</f>
        <v>0.82632986692595989</v>
      </c>
      <c r="L39" s="54"/>
      <c r="M39" s="54">
        <f>IF(M10&lt;=0,"N/A",M7/M10)</f>
        <v>0.81364883827131196</v>
      </c>
      <c r="N39" s="54"/>
      <c r="O39" s="54">
        <f>IF(O10&lt;=0,"N/A",O7/O10)</f>
        <v>0.96733881852864356</v>
      </c>
      <c r="P39" s="54"/>
      <c r="Q39" s="14" t="s">
        <v>8982</v>
      </c>
      <c r="AR39" s="200"/>
      <c r="AS39" s="200"/>
      <c r="AT39" s="200"/>
      <c r="AU39" s="200"/>
      <c r="AV39" s="200"/>
      <c r="AW39" s="200"/>
      <c r="BD39" s="510"/>
      <c r="BE39" s="511"/>
      <c r="BF39" s="512"/>
    </row>
    <row r="40" spans="1:67" ht="25.35" customHeight="1" x14ac:dyDescent="0.3">
      <c r="A40" s="1037"/>
      <c r="B40" s="1082" t="s">
        <v>354</v>
      </c>
      <c r="C40" s="1079"/>
      <c r="D40" s="1080"/>
      <c r="E40" s="55">
        <f t="shared" ref="E40:E45" si="19">IF(E12&lt;=0,"N/A",E9/E12)</f>
        <v>0.25054513661491701</v>
      </c>
      <c r="F40" s="428"/>
      <c r="G40" s="55">
        <f>IF(G12&lt;=0,"N/A",G9/G12)</f>
        <v>0.8677745760636616</v>
      </c>
      <c r="H40" s="55"/>
      <c r="I40" s="55">
        <f>IF(I12&lt;=0,"N/A",I9/I12)</f>
        <v>0.93472819850619737</v>
      </c>
      <c r="J40" s="55"/>
      <c r="K40" s="55">
        <f>IF(K12&lt;=0,"N/A",K9/K12)</f>
        <v>1.0131432836199881</v>
      </c>
      <c r="L40" s="55"/>
      <c r="M40" s="55">
        <f>IF(M12&lt;=0,"N/A",M9/M12)</f>
        <v>1.2344587838632388</v>
      </c>
      <c r="N40" s="55"/>
      <c r="O40" s="55">
        <f>IF(O12&lt;=0,"N/A",O9/O12)</f>
        <v>1.1417298599578083</v>
      </c>
      <c r="P40" s="55"/>
      <c r="Q40" s="14" t="s">
        <v>8983</v>
      </c>
      <c r="AR40" s="200"/>
      <c r="AS40" s="200"/>
      <c r="AT40" s="200"/>
      <c r="AU40" s="200"/>
      <c r="AV40" s="200"/>
      <c r="AW40" s="200"/>
      <c r="BA40" s="927"/>
      <c r="BD40" s="510"/>
      <c r="BE40" s="511"/>
      <c r="BF40" s="512"/>
    </row>
    <row r="41" spans="1:67" ht="25.35" customHeight="1" x14ac:dyDescent="0.3">
      <c r="A41" s="1037"/>
      <c r="B41" s="1082" t="s">
        <v>355</v>
      </c>
      <c r="C41" s="1079"/>
      <c r="D41" s="1083"/>
      <c r="E41" s="55">
        <f t="shared" si="19"/>
        <v>8.6999742302780945</v>
      </c>
      <c r="F41" s="428"/>
      <c r="G41" s="56">
        <f>IF(AVERAGE(E12,G12)&lt;=0,"N/A",G38/AVERAGE(E12,G12))</f>
        <v>0.31687056782311129</v>
      </c>
      <c r="H41" s="56"/>
      <c r="I41" s="56">
        <f>IF(AVERAGE(G12,I12)&lt;=0,"N/A",I38/AVERAGE(G12,I12))</f>
        <v>1.496503837514533E-2</v>
      </c>
      <c r="J41" s="56"/>
      <c r="K41" s="56">
        <f>IF(AVERAGE(I12,K12)&lt;=0,"N/A",K38/AVERAGE(I12,K12))</f>
        <v>-5.9930287253788534E-3</v>
      </c>
      <c r="L41" s="56"/>
      <c r="M41" s="56">
        <f>IF(AVERAGE(K12,M12)&lt;=0,"N/A",M38/AVERAGE(K12,M12))</f>
        <v>-1.669301860354518E-2</v>
      </c>
      <c r="N41" s="56"/>
      <c r="O41" s="56">
        <f>IF(AVERAGE(M12,O12)&lt;=0,"N/A",O38/AVERAGE(M12,O12))</f>
        <v>2.5773430184893576E-2</v>
      </c>
      <c r="P41" s="56"/>
      <c r="Q41" s="14" t="s">
        <v>8984</v>
      </c>
      <c r="AR41" s="200"/>
      <c r="AS41" s="200"/>
      <c r="AT41" s="200"/>
      <c r="AU41" s="200"/>
      <c r="AV41" s="200"/>
      <c r="AW41" s="200"/>
      <c r="BA41" s="75"/>
      <c r="BD41" s="510"/>
      <c r="BE41" s="511"/>
      <c r="BF41" s="512"/>
    </row>
    <row r="42" spans="1:67" ht="25.35" customHeight="1" x14ac:dyDescent="0.3">
      <c r="A42" s="1037"/>
      <c r="B42" s="1082" t="s">
        <v>356</v>
      </c>
      <c r="C42" s="1079"/>
      <c r="D42" s="1083"/>
      <c r="E42" s="55">
        <f t="shared" si="19"/>
        <v>0.2478901078834877</v>
      </c>
      <c r="F42" s="428"/>
      <c r="G42" s="58">
        <f>IF(G18&lt;=0,"N/A",G35/G18)</f>
        <v>3.3444964568483428E-2</v>
      </c>
      <c r="H42" s="58"/>
      <c r="I42" s="58">
        <f>IF(I18&lt;=0,"N/A",I35/I18)</f>
        <v>3.5260708253198637E-2</v>
      </c>
      <c r="J42" s="58"/>
      <c r="K42" s="58">
        <f>IF(K18&lt;=0,"N/A",K35/K18)</f>
        <v>2.8932217678741625E-2</v>
      </c>
      <c r="L42" s="58"/>
      <c r="M42" s="58">
        <f>IF(M18&lt;=0,"N/A",M35/M18)</f>
        <v>2.2203829769760864E-2</v>
      </c>
      <c r="N42" s="58"/>
      <c r="O42" s="58">
        <f>IF(O18&lt;=0,"N/A",O35/O18)</f>
        <v>2.4620423556095509E-2</v>
      </c>
      <c r="P42" s="58"/>
      <c r="Q42" s="14" t="s">
        <v>8985</v>
      </c>
      <c r="AR42" s="200"/>
      <c r="AS42" s="200"/>
      <c r="AT42" s="200"/>
      <c r="AU42" s="200"/>
      <c r="AV42" s="200"/>
      <c r="AW42" s="200"/>
      <c r="BD42" s="510" t="s">
        <v>424</v>
      </c>
      <c r="BE42" s="511"/>
      <c r="BF42" s="512"/>
    </row>
    <row r="43" spans="1:67" ht="25.35" customHeight="1" x14ac:dyDescent="0.3">
      <c r="A43" s="1037"/>
      <c r="B43" s="1082" t="s">
        <v>357</v>
      </c>
      <c r="C43" s="1079"/>
      <c r="D43" s="1083"/>
      <c r="E43" s="55">
        <f t="shared" si="19"/>
        <v>83.50475032562376</v>
      </c>
      <c r="F43" s="58"/>
      <c r="G43" s="58">
        <f>IF(AVERAGE(E12,G12)&lt;=0,"N/A",G18/AVERAGE(E12,G12))</f>
        <v>3.4024172407637479</v>
      </c>
      <c r="H43" s="58"/>
      <c r="I43" s="58">
        <f>IF(AVERAGE(G12,I12)&lt;=0,"N/A",I18/AVERAGE(G12,I12))</f>
        <v>2.5324490973263716</v>
      </c>
      <c r="J43" s="58"/>
      <c r="K43" s="58">
        <f>IF(AVERAGE(I12,K12)&lt;=0,"N/A",K18/AVERAGE(I12,K12))</f>
        <v>2.6578285641525112</v>
      </c>
      <c r="L43" s="58"/>
      <c r="M43" s="58">
        <f>IF(AVERAGE(K12,M12)&lt;=0,"N/A",M18/AVERAGE(K12,M12))</f>
        <v>3.1237318693878637</v>
      </c>
      <c r="N43" s="58"/>
      <c r="O43" s="58">
        <f>IF(AVERAGE(M12,O12)&lt;=0,"N/A",O18/AVERAGE(M12,O12))</f>
        <v>3.607757168327665</v>
      </c>
      <c r="P43" s="58"/>
      <c r="Q43" s="14" t="s">
        <v>8986</v>
      </c>
      <c r="AR43" s="200"/>
      <c r="AS43" s="200"/>
      <c r="AT43" s="200"/>
      <c r="AU43" s="200"/>
      <c r="AV43" s="200"/>
      <c r="AW43" s="200"/>
      <c r="BD43" s="539"/>
      <c r="BE43" s="540" t="s">
        <v>725</v>
      </c>
      <c r="BF43" s="541"/>
      <c r="BG43" s="244" t="s">
        <v>721</v>
      </c>
      <c r="BI43" s="244" t="s">
        <v>722</v>
      </c>
    </row>
    <row r="44" spans="1:67" ht="25.35" customHeight="1" x14ac:dyDescent="0.3">
      <c r="A44" s="1037"/>
      <c r="B44" s="1082" t="s">
        <v>358</v>
      </c>
      <c r="C44" s="1079"/>
      <c r="D44" s="1083"/>
      <c r="E44" s="55">
        <f t="shared" si="19"/>
        <v>2.736247493885197E-2</v>
      </c>
      <c r="F44" s="58"/>
      <c r="G44" s="58">
        <f>IF(E18&lt;=0,"N/A",G18/E18-1)</f>
        <v>6.5564668087714972</v>
      </c>
      <c r="H44" s="58"/>
      <c r="I44" s="58">
        <f>IF(G18&lt;=0,"N/A",I18/G18-1)</f>
        <v>0.14160188745685587</v>
      </c>
      <c r="J44" s="58"/>
      <c r="K44" s="58">
        <f>IF(I18&lt;=0,"N/A",K18/I18-1)</f>
        <v>4.5840220167049361E-2</v>
      </c>
      <c r="L44" s="58"/>
      <c r="M44" s="58">
        <f>IF(K18&lt;=0,"N/A",M18/K18-1)</f>
        <v>4.5112713223596446E-2</v>
      </c>
      <c r="N44" s="58"/>
      <c r="O44" s="58">
        <f>IF(M18&lt;=0,"N/A",O18/M18-1)</f>
        <v>3.4857683475876922E-2</v>
      </c>
      <c r="P44" s="58"/>
      <c r="Q44" s="14" t="s">
        <v>8987</v>
      </c>
      <c r="AR44" s="200"/>
      <c r="AS44" s="200"/>
      <c r="AT44" s="200"/>
      <c r="AU44" s="200"/>
      <c r="AV44" s="200"/>
      <c r="AW44" s="200"/>
      <c r="BD44" s="244" t="s">
        <v>286</v>
      </c>
      <c r="BE44" s="244">
        <v>9118512626842</v>
      </c>
      <c r="BG44" s="244">
        <v>10409711225602</v>
      </c>
      <c r="BI44" s="244">
        <v>10886894680059</v>
      </c>
    </row>
    <row r="45" spans="1:67" ht="25.35" customHeight="1" x14ac:dyDescent="0.3">
      <c r="A45" s="1081"/>
      <c r="B45" s="1082" t="s">
        <v>359</v>
      </c>
      <c r="C45" s="1079"/>
      <c r="D45" s="1083"/>
      <c r="E45" s="55" t="str">
        <f t="shared" si="19"/>
        <v>N/A</v>
      </c>
      <c r="F45" s="58"/>
      <c r="G45" s="58">
        <f>IF(E6&lt;=0,"N/A",G6/E6-1)</f>
        <v>3.9172992545234928</v>
      </c>
      <c r="H45" s="58"/>
      <c r="I45" s="58">
        <f>IF(G6&lt;=0,"N/A",I6/G6-1)</f>
        <v>3.5473229373264914E-2</v>
      </c>
      <c r="J45" s="58"/>
      <c r="K45" s="58">
        <f>IF(I6&lt;=0,"N/A",K6/I6-1)</f>
        <v>3.3629171246444489E-2</v>
      </c>
      <c r="L45" s="58"/>
      <c r="M45" s="58">
        <f>IF(K6&lt;=0,"N/A",M6/K6-1)</f>
        <v>-0.1293598433365587</v>
      </c>
      <c r="N45" s="58"/>
      <c r="O45" s="58">
        <f>IF(M6&lt;=0,"N/A",O6/M6-1)</f>
        <v>-4.7814113523690915E-3</v>
      </c>
      <c r="P45" s="58"/>
      <c r="Q45" s="14" t="s">
        <v>8988</v>
      </c>
      <c r="BD45" s="244" t="s">
        <v>290</v>
      </c>
      <c r="BE45" s="244">
        <v>-6983785409167</v>
      </c>
      <c r="BG45" s="244">
        <v>-7684960869850</v>
      </c>
      <c r="BI45" s="244">
        <v>-8092649867644</v>
      </c>
    </row>
    <row r="46" spans="1:67" ht="25.35" customHeight="1" x14ac:dyDescent="0.3">
      <c r="A46" s="59" t="s">
        <v>869</v>
      </c>
      <c r="BD46" s="244" t="s">
        <v>292</v>
      </c>
      <c r="BE46" s="244">
        <v>2134727217675</v>
      </c>
      <c r="BG46" s="244">
        <v>2724750355752</v>
      </c>
      <c r="BI46" s="244">
        <v>2794244812415</v>
      </c>
    </row>
    <row r="47" spans="1:67" ht="25.35" customHeight="1" x14ac:dyDescent="0.3">
      <c r="A47" s="59" t="s">
        <v>870</v>
      </c>
      <c r="BD47" s="244" t="s">
        <v>294</v>
      </c>
      <c r="BE47" s="244">
        <v>-1829334017070</v>
      </c>
      <c r="BG47" s="244">
        <v>-2356369136594</v>
      </c>
      <c r="BI47" s="244">
        <v>-2459851579944</v>
      </c>
    </row>
    <row r="48" spans="1:67" ht="25.35" customHeight="1" x14ac:dyDescent="0.3">
      <c r="A48" s="59" t="s">
        <v>873</v>
      </c>
      <c r="BD48" s="244" t="s">
        <v>416</v>
      </c>
      <c r="BE48" s="244">
        <v>304968331722</v>
      </c>
      <c r="BG48" s="244">
        <v>367053790526</v>
      </c>
      <c r="BI48" s="244">
        <v>314982006729</v>
      </c>
    </row>
    <row r="49" spans="1:61" ht="25.35" customHeight="1" x14ac:dyDescent="0.3">
      <c r="A49" s="59" t="s">
        <v>872</v>
      </c>
      <c r="BD49" s="244" t="s">
        <v>726</v>
      </c>
      <c r="BE49" s="244">
        <v>680773758815</v>
      </c>
      <c r="BG49" s="244">
        <v>48602934273</v>
      </c>
      <c r="BI49" s="244">
        <v>37693734463</v>
      </c>
    </row>
    <row r="50" spans="1:61" ht="25.35" customHeight="1" x14ac:dyDescent="0.3">
      <c r="A50" s="59" t="s">
        <v>877</v>
      </c>
    </row>
    <row r="51" spans="1:61" ht="25.35" customHeight="1" x14ac:dyDescent="0.3"/>
  </sheetData>
  <mergeCells count="70">
    <mergeCell ref="A39:A45"/>
    <mergeCell ref="B39:D39"/>
    <mergeCell ref="B40:D40"/>
    <mergeCell ref="B41:D41"/>
    <mergeCell ref="B45:D45"/>
    <mergeCell ref="B42:D42"/>
    <mergeCell ref="B43:D43"/>
    <mergeCell ref="B44:D44"/>
    <mergeCell ref="V33:W33"/>
    <mergeCell ref="B35:D35"/>
    <mergeCell ref="U35:W35"/>
    <mergeCell ref="B38:D38"/>
    <mergeCell ref="U38:W38"/>
    <mergeCell ref="V22:W22"/>
    <mergeCell ref="B27:D27"/>
    <mergeCell ref="U27:W27"/>
    <mergeCell ref="U28:W28"/>
    <mergeCell ref="B31:D31"/>
    <mergeCell ref="U31:W31"/>
    <mergeCell ref="B30:D30"/>
    <mergeCell ref="U18:W18"/>
    <mergeCell ref="C20:D20"/>
    <mergeCell ref="V20:W20"/>
    <mergeCell ref="C21:D21"/>
    <mergeCell ref="V21:W21"/>
    <mergeCell ref="V15:W15"/>
    <mergeCell ref="C16:D16"/>
    <mergeCell ref="V16:W16"/>
    <mergeCell ref="C17:D17"/>
    <mergeCell ref="V17:W17"/>
    <mergeCell ref="C15:D15"/>
    <mergeCell ref="U12:W12"/>
    <mergeCell ref="C13:D13"/>
    <mergeCell ref="V13:W13"/>
    <mergeCell ref="C14:D14"/>
    <mergeCell ref="V14:W14"/>
    <mergeCell ref="B12:D12"/>
    <mergeCell ref="U9:W9"/>
    <mergeCell ref="C10:D10"/>
    <mergeCell ref="V10:W10"/>
    <mergeCell ref="C11:D11"/>
    <mergeCell ref="V11:W11"/>
    <mergeCell ref="AB4:AC4"/>
    <mergeCell ref="AD4:AE4"/>
    <mergeCell ref="AF4:AG4"/>
    <mergeCell ref="A6:A17"/>
    <mergeCell ref="B6:D6"/>
    <mergeCell ref="U6:W6"/>
    <mergeCell ref="C7:D7"/>
    <mergeCell ref="V7:W7"/>
    <mergeCell ref="C8:D8"/>
    <mergeCell ref="V8:W8"/>
    <mergeCell ref="M4:N4"/>
    <mergeCell ref="O4:P4"/>
    <mergeCell ref="Q4:Q5"/>
    <mergeCell ref="T4:W5"/>
    <mergeCell ref="X4:Y4"/>
    <mergeCell ref="Z4:AA4"/>
    <mergeCell ref="K4:L4"/>
    <mergeCell ref="C19:D19"/>
    <mergeCell ref="C26:D26"/>
    <mergeCell ref="A18:A38"/>
    <mergeCell ref="B18:D18"/>
    <mergeCell ref="C22:D22"/>
    <mergeCell ref="C33:D33"/>
    <mergeCell ref="A4:D5"/>
    <mergeCell ref="E4:F4"/>
    <mergeCell ref="G4:H4"/>
    <mergeCell ref="I4:J4"/>
    <mergeCell ref="B9:D9"/>
  </mergeCells>
  <phoneticPr fontId="2" type="noConversion"/>
  <pageMargins left="0.7" right="0.7" top="0.75" bottom="0.75" header="0.3" footer="0.3"/>
  <pageSetup paperSize="9" scale="3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7B01-205E-4DE0-BD0F-6FDA8C89491A}">
  <sheetPr codeName="Sheet3"/>
  <dimension ref="A1:BG52"/>
  <sheetViews>
    <sheetView showGridLines="0" zoomScale="85" zoomScaleNormal="85" workbookViewId="0"/>
  </sheetViews>
  <sheetFormatPr defaultColWidth="9" defaultRowHeight="13.5" outlineLevelRow="1" outlineLevelCol="1" x14ac:dyDescent="0.3"/>
  <cols>
    <col min="1" max="1" width="15.875" style="59" customWidth="1"/>
    <col min="2" max="2" width="2.5" style="59" bestFit="1" customWidth="1"/>
    <col min="3" max="3" width="1.75" style="59" bestFit="1" customWidth="1"/>
    <col min="4" max="4" width="21" style="59" customWidth="1"/>
    <col min="5" max="5" width="10.625" style="62" hidden="1" customWidth="1" outlineLevel="1"/>
    <col min="6" max="6" width="10.625" style="59" hidden="1" customWidth="1" outlineLevel="1"/>
    <col min="7" max="7" width="10.625" style="62" customWidth="1" collapsed="1"/>
    <col min="8" max="8" width="10.625" style="59" customWidth="1"/>
    <col min="9" max="9" width="10.625" style="62" customWidth="1"/>
    <col min="10" max="10" width="10.625" style="59" customWidth="1"/>
    <col min="11" max="11" width="10.625" style="62" customWidth="1"/>
    <col min="12" max="20" width="10.625" style="59" customWidth="1"/>
    <col min="21" max="21" width="42.5" style="59" customWidth="1"/>
    <col min="22" max="22" width="9" style="59"/>
    <col min="23" max="23" width="10.5" style="63" hidden="1" customWidth="1" outlineLevel="1"/>
    <col min="24" max="24" width="10.5" style="64" hidden="1" customWidth="1" outlineLevel="1"/>
    <col min="25" max="33" width="11.625" style="64" hidden="1" customWidth="1" outlineLevel="1"/>
    <col min="34" max="34" width="3.5" style="59" hidden="1" customWidth="1" outlineLevel="1"/>
    <col min="35" max="35" width="8.75" style="59" hidden="1" customWidth="1" outlineLevel="1"/>
    <col min="36" max="37" width="3.5" style="59" hidden="1" customWidth="1" outlineLevel="1"/>
    <col min="38" max="38" width="11.5" style="59" hidden="1" customWidth="1" outlineLevel="1"/>
    <col min="39" max="39" width="10.5" style="59" hidden="1" customWidth="1" outlineLevel="1"/>
    <col min="40" max="40" width="9.5" style="59" hidden="1" customWidth="1" outlineLevel="1"/>
    <col min="41" max="41" width="10.5" style="59" hidden="1" customWidth="1" outlineLevel="1"/>
    <col min="42" max="42" width="8.25" style="59" hidden="1" customWidth="1" outlineLevel="1"/>
    <col min="43" max="43" width="10.5" style="59" hidden="1" customWidth="1" outlineLevel="1"/>
    <col min="44" max="44" width="8.25" style="59" hidden="1" customWidth="1" outlineLevel="1"/>
    <col min="45" max="45" width="10.5" style="59" hidden="1" customWidth="1" outlineLevel="1"/>
    <col min="46" max="46" width="8.25" style="59" hidden="1" customWidth="1" outlineLevel="1"/>
    <col min="47" max="47" width="10.5" style="59" hidden="1" customWidth="1" outlineLevel="1"/>
    <col min="48" max="48" width="8.25" style="59" hidden="1" customWidth="1" outlineLevel="1"/>
    <col min="49" max="49" width="3.5" style="59" hidden="1" customWidth="1" outlineLevel="1"/>
    <col min="50" max="50" width="6.125" style="59" hidden="1" customWidth="1" outlineLevel="1"/>
    <col min="51" max="51" width="6.125" style="65" hidden="1" customWidth="1" outlineLevel="1"/>
    <col min="52" max="53" width="6.125" style="59" hidden="1" customWidth="1" outlineLevel="1"/>
    <col min="54" max="54" width="11.125" style="59" hidden="1" customWidth="1" outlineLevel="1"/>
    <col min="55" max="55" width="7.75" style="66" hidden="1" customWidth="1" outlineLevel="1"/>
    <col min="56" max="56" width="7.75" style="59" hidden="1" customWidth="1" outlineLevel="1"/>
    <col min="57" max="57" width="9" style="59" customWidth="1" collapsed="1"/>
    <col min="58" max="59" width="9" style="59" customWidth="1"/>
    <col min="60" max="16384" width="9" style="59"/>
  </cols>
  <sheetData>
    <row r="1" spans="1:59" ht="25.35" customHeight="1" x14ac:dyDescent="0.3">
      <c r="E1" s="7"/>
      <c r="F1" s="7"/>
      <c r="W1" s="433"/>
      <c r="X1" s="434"/>
      <c r="Y1" s="434"/>
      <c r="Z1" s="434"/>
      <c r="AA1" s="434"/>
      <c r="AB1" s="434"/>
      <c r="AC1" s="434"/>
      <c r="AD1" s="434"/>
      <c r="AE1" s="434"/>
      <c r="AF1" s="434"/>
      <c r="AG1" s="434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435"/>
      <c r="AZ1" s="61"/>
      <c r="BA1" s="61"/>
      <c r="BB1" s="61"/>
      <c r="BC1" s="436"/>
      <c r="BD1" s="61"/>
    </row>
    <row r="2" spans="1:59" ht="25.35" customHeight="1" x14ac:dyDescent="0.3">
      <c r="A2" s="67" t="s">
        <v>520</v>
      </c>
      <c r="E2" s="7"/>
      <c r="F2" s="7"/>
      <c r="H2" s="68"/>
      <c r="J2" s="68"/>
      <c r="L2" s="68"/>
      <c r="M2" s="68"/>
      <c r="N2" s="68"/>
      <c r="O2" s="68"/>
      <c r="P2" s="68"/>
      <c r="Q2" s="68"/>
      <c r="R2" s="68"/>
      <c r="S2" s="68"/>
      <c r="T2" s="68"/>
      <c r="W2" s="433"/>
      <c r="X2" s="433"/>
      <c r="Y2" s="433"/>
      <c r="Z2" s="433"/>
      <c r="AA2" s="433"/>
      <c r="AB2" s="433"/>
      <c r="AC2" s="433"/>
      <c r="AD2" s="433"/>
      <c r="AE2" s="433"/>
      <c r="AF2" s="433"/>
      <c r="AG2" s="433"/>
      <c r="AH2" s="433"/>
      <c r="AI2" s="433"/>
      <c r="AJ2" s="433"/>
      <c r="AK2" s="433"/>
      <c r="AL2" s="433"/>
      <c r="AM2" s="433"/>
      <c r="AN2" s="433"/>
      <c r="AO2" s="433"/>
      <c r="AP2" s="433"/>
      <c r="AQ2" s="433"/>
      <c r="AR2" s="433"/>
      <c r="AS2" s="433"/>
      <c r="AT2" s="433"/>
      <c r="AU2" s="433"/>
      <c r="AV2" s="433"/>
      <c r="AW2" s="433"/>
      <c r="AX2" s="433"/>
      <c r="AY2" s="433"/>
      <c r="AZ2" s="433"/>
      <c r="BA2" s="433"/>
      <c r="BB2" s="433"/>
      <c r="BC2" s="433"/>
      <c r="BD2" s="433"/>
      <c r="BE2" s="63"/>
      <c r="BF2" s="63"/>
      <c r="BG2" s="63"/>
    </row>
    <row r="3" spans="1:59" ht="25.35" customHeight="1" x14ac:dyDescent="0.3">
      <c r="A3" s="69"/>
      <c r="E3" s="437"/>
      <c r="F3" s="437"/>
      <c r="G3" s="200"/>
      <c r="H3" s="542"/>
      <c r="I3" s="200"/>
      <c r="J3" s="542"/>
      <c r="K3" s="200"/>
      <c r="L3" s="68"/>
      <c r="M3" s="68"/>
      <c r="N3" s="68"/>
      <c r="O3" s="68"/>
      <c r="P3" s="68"/>
      <c r="Q3" s="68"/>
      <c r="R3" s="68"/>
      <c r="S3" s="68"/>
      <c r="T3" s="68"/>
      <c r="U3" s="792" t="s">
        <v>429</v>
      </c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</row>
    <row r="4" spans="1:59" ht="25.35" customHeight="1" thickBot="1" x14ac:dyDescent="0.35">
      <c r="A4" s="1084" t="s">
        <v>323</v>
      </c>
      <c r="B4" s="1085"/>
      <c r="C4" s="1085"/>
      <c r="D4" s="1086"/>
      <c r="E4" s="1090" t="s">
        <v>363</v>
      </c>
      <c r="F4" s="1091"/>
      <c r="G4" s="1090" t="s">
        <v>398</v>
      </c>
      <c r="H4" s="1091"/>
      <c r="I4" s="1090" t="s">
        <v>426</v>
      </c>
      <c r="J4" s="1091"/>
      <c r="K4" s="1090" t="s">
        <v>427</v>
      </c>
      <c r="L4" s="1091"/>
      <c r="M4" s="1090" t="s">
        <v>430</v>
      </c>
      <c r="N4" s="1091"/>
      <c r="O4" s="1090" t="s">
        <v>431</v>
      </c>
      <c r="P4" s="1091"/>
      <c r="Q4" s="1090" t="s">
        <v>432</v>
      </c>
      <c r="R4" s="1091"/>
      <c r="S4" s="1090" t="s">
        <v>433</v>
      </c>
      <c r="T4" s="1091"/>
      <c r="U4" s="1104" t="s">
        <v>235</v>
      </c>
      <c r="AI4" s="1053" t="s">
        <v>323</v>
      </c>
      <c r="AJ4" s="1054"/>
      <c r="AK4" s="1054"/>
      <c r="AL4" s="1055"/>
      <c r="AM4" s="1033">
        <v>2021</v>
      </c>
      <c r="AN4" s="1034"/>
      <c r="AO4" s="1033">
        <v>2022</v>
      </c>
      <c r="AP4" s="1034"/>
      <c r="AQ4" s="1033">
        <v>2023</v>
      </c>
      <c r="AR4" s="1034"/>
      <c r="AS4" s="1033">
        <v>2024</v>
      </c>
      <c r="AT4" s="1034"/>
      <c r="AU4" s="1033">
        <v>2025</v>
      </c>
      <c r="AV4" s="1035"/>
    </row>
    <row r="5" spans="1:59" ht="25.35" customHeight="1" thickBot="1" x14ac:dyDescent="0.35">
      <c r="A5" s="1087"/>
      <c r="B5" s="1088"/>
      <c r="C5" s="1088"/>
      <c r="D5" s="1089"/>
      <c r="E5" s="70" t="s">
        <v>324</v>
      </c>
      <c r="F5" s="71" t="s">
        <v>325</v>
      </c>
      <c r="G5" s="70" t="s">
        <v>324</v>
      </c>
      <c r="H5" s="71" t="s">
        <v>325</v>
      </c>
      <c r="I5" s="70" t="s">
        <v>324</v>
      </c>
      <c r="J5" s="71" t="s">
        <v>325</v>
      </c>
      <c r="K5" s="70" t="s">
        <v>324</v>
      </c>
      <c r="L5" s="71" t="s">
        <v>325</v>
      </c>
      <c r="M5" s="70" t="s">
        <v>324</v>
      </c>
      <c r="N5" s="71" t="s">
        <v>325</v>
      </c>
      <c r="O5" s="70" t="s">
        <v>324</v>
      </c>
      <c r="P5" s="71" t="s">
        <v>325</v>
      </c>
      <c r="Q5" s="70" t="s">
        <v>324</v>
      </c>
      <c r="R5" s="71" t="s">
        <v>325</v>
      </c>
      <c r="S5" s="70" t="s">
        <v>324</v>
      </c>
      <c r="T5" s="71" t="s">
        <v>325</v>
      </c>
      <c r="U5" s="1104"/>
      <c r="W5" s="543">
        <f>'7-1. FS'!AD4</f>
        <v>2022</v>
      </c>
      <c r="X5" s="543">
        <f>'7-1. FS'!AE4</f>
        <v>2023</v>
      </c>
      <c r="Y5" s="543">
        <f>'7-1. FS'!AF4</f>
        <v>2024</v>
      </c>
      <c r="Z5" s="543">
        <f>'7-1. FS'!AG4</f>
        <v>2025</v>
      </c>
      <c r="AA5" s="543">
        <f>'7-1. FS'!AH4</f>
        <v>2026</v>
      </c>
      <c r="AB5" s="543">
        <f>'7-1. FS'!AI4</f>
        <v>2027</v>
      </c>
      <c r="AC5" s="543">
        <f>'7-1. FS'!AJ4</f>
        <v>2028</v>
      </c>
      <c r="AD5" s="543">
        <f>'7-1. FS'!AK4</f>
        <v>2029</v>
      </c>
      <c r="AE5" s="543">
        <f>'7-1. FS'!AL4</f>
        <v>2030</v>
      </c>
      <c r="AF5" s="543">
        <f>'7-1. FS'!AM4</f>
        <v>2031</v>
      </c>
      <c r="AG5" s="543">
        <f>'7-1. FS'!AN4</f>
        <v>2032</v>
      </c>
      <c r="AI5" s="1056"/>
      <c r="AJ5" s="1057"/>
      <c r="AK5" s="1057"/>
      <c r="AL5" s="1058"/>
      <c r="AM5" s="454" t="s">
        <v>326</v>
      </c>
      <c r="AN5" s="454" t="s">
        <v>325</v>
      </c>
      <c r="AO5" s="454" t="s">
        <v>326</v>
      </c>
      <c r="AP5" s="454" t="s">
        <v>325</v>
      </c>
      <c r="AQ5" s="454" t="s">
        <v>326</v>
      </c>
      <c r="AR5" s="454" t="s">
        <v>325</v>
      </c>
      <c r="AS5" s="454" t="s">
        <v>326</v>
      </c>
      <c r="AT5" s="454" t="s">
        <v>325</v>
      </c>
      <c r="AU5" s="454" t="s">
        <v>326</v>
      </c>
      <c r="AV5" s="455" t="s">
        <v>325</v>
      </c>
    </row>
    <row r="6" spans="1:59" ht="25.35" customHeight="1" thickTop="1" thickBot="1" x14ac:dyDescent="0.35">
      <c r="A6" s="1095" t="s">
        <v>515</v>
      </c>
      <c r="B6" s="1097" t="s">
        <v>327</v>
      </c>
      <c r="C6" s="1098"/>
      <c r="D6" s="1099"/>
      <c r="E6" s="72">
        <f>SUM(E7:E8)</f>
        <v>7121336.8558380008</v>
      </c>
      <c r="F6" s="73"/>
      <c r="G6" s="231">
        <f>SUM(G7:G8)</f>
        <v>7099210.6987308618</v>
      </c>
      <c r="H6" s="232">
        <f t="shared" ref="H6:H22" si="0">(G6-E6)/E6</f>
        <v>-3.1070229586176931E-3</v>
      </c>
      <c r="I6" s="231">
        <f>SUM(I7:I8)</f>
        <v>7163823.5944128325</v>
      </c>
      <c r="J6" s="232">
        <f>(I6-G6)/G6</f>
        <v>9.1014196400061361E-3</v>
      </c>
      <c r="K6" s="231">
        <f>SUM(K7:K8)</f>
        <v>7227078.5432404093</v>
      </c>
      <c r="L6" s="232">
        <f>(K6-I6)/I6</f>
        <v>8.8297747695672262E-3</v>
      </c>
      <c r="M6" s="72">
        <f>SUM(M7:M8)</f>
        <v>7305975.2571819462</v>
      </c>
      <c r="N6" s="73">
        <f>(M6-K6)/K6</f>
        <v>1.0916819772953772E-2</v>
      </c>
      <c r="O6" s="72">
        <f>SUM(O7:O8)</f>
        <v>7403329.6856535012</v>
      </c>
      <c r="P6" s="73">
        <f>(O6-M6)/M6</f>
        <v>1.3325315929020332E-2</v>
      </c>
      <c r="Q6" s="72">
        <f>SUM(Q7:Q8)</f>
        <v>7507419.0980909374</v>
      </c>
      <c r="R6" s="73">
        <f>(Q6-O6)/O6</f>
        <v>1.4059810498395773E-2</v>
      </c>
      <c r="S6" s="72">
        <f>SUM(S7:S8)</f>
        <v>7624408.7129345993</v>
      </c>
      <c r="T6" s="73">
        <f>(S6-Q6)/Q6</f>
        <v>1.5583200207034026E-2</v>
      </c>
      <c r="U6" s="74"/>
      <c r="AH6" s="75"/>
      <c r="AI6" s="544" t="s">
        <v>333</v>
      </c>
      <c r="AJ6" s="1041" t="s">
        <v>327</v>
      </c>
      <c r="AK6" s="1042"/>
      <c r="AL6" s="1043"/>
      <c r="AM6" s="545">
        <v>7159001</v>
      </c>
      <c r="AN6" s="546">
        <v>3.5840000000000001</v>
      </c>
      <c r="AO6" s="547">
        <v>7429779</v>
      </c>
      <c r="AP6" s="546">
        <v>3.7999999999999999E-2</v>
      </c>
      <c r="AQ6" s="547">
        <v>7728828</v>
      </c>
      <c r="AR6" s="546">
        <v>0.04</v>
      </c>
      <c r="AS6" s="547">
        <v>8214836</v>
      </c>
      <c r="AT6" s="546">
        <v>6.3E-2</v>
      </c>
      <c r="AU6" s="547">
        <v>8659410</v>
      </c>
      <c r="AV6" s="548">
        <v>5.3999999999999999E-2</v>
      </c>
      <c r="AX6" s="62" t="e">
        <f>#REF!-AM6</f>
        <v>#REF!</v>
      </c>
      <c r="AY6" s="65" t="e">
        <f>#REF!-AO6</f>
        <v>#REF!</v>
      </c>
      <c r="AZ6" s="65" t="e">
        <f>#REF!-AQ6</f>
        <v>#REF!</v>
      </c>
      <c r="BA6" s="65" t="e">
        <f>#REF!-AS6</f>
        <v>#REF!</v>
      </c>
      <c r="BB6" s="65">
        <f t="shared" ref="BB6:BB38" si="1">E6-AU6</f>
        <v>-1538073.1441619992</v>
      </c>
      <c r="BC6" s="66">
        <f>(AU6-AS6)/AS6</f>
        <v>5.4118426709918496E-2</v>
      </c>
      <c r="BD6" s="76">
        <f>AV6-BC6</f>
        <v>-1.1842670991849685E-4</v>
      </c>
      <c r="BE6" s="76"/>
    </row>
    <row r="7" spans="1:59" ht="25.35" customHeight="1" x14ac:dyDescent="0.3">
      <c r="A7" s="1096"/>
      <c r="B7" s="77" t="s">
        <v>324</v>
      </c>
      <c r="C7" s="1100" t="s">
        <v>88</v>
      </c>
      <c r="D7" s="1101"/>
      <c r="E7" s="78">
        <f>'1. 요약재무제표'!O7</f>
        <v>1670298.9750689999</v>
      </c>
      <c r="F7" s="80"/>
      <c r="G7" s="20">
        <f>AA7</f>
        <v>1730328.9583667216</v>
      </c>
      <c r="H7" s="241">
        <f t="shared" si="0"/>
        <v>3.5939663613361122E-2</v>
      </c>
      <c r="I7" s="20">
        <f>AB7</f>
        <v>1845752.2707088096</v>
      </c>
      <c r="J7" s="241">
        <f t="shared" ref="J7:J22" si="2">(I7-G7)/G7</f>
        <v>6.670599355340931E-2</v>
      </c>
      <c r="K7" s="20">
        <f>AC7</f>
        <v>1948134.1221388455</v>
      </c>
      <c r="L7" s="241">
        <f t="shared" ref="L7:T22" si="3">(K7-I7)/I7</f>
        <v>5.5468901788601893E-2</v>
      </c>
      <c r="M7" s="78">
        <f>AD7</f>
        <v>1966437.3829125357</v>
      </c>
      <c r="N7" s="186">
        <f t="shared" si="3"/>
        <v>9.3952775456728494E-3</v>
      </c>
      <c r="O7" s="78">
        <f>AE7</f>
        <v>2000160.2924745709</v>
      </c>
      <c r="P7" s="186">
        <f t="shared" si="3"/>
        <v>1.714924149381632E-2</v>
      </c>
      <c r="Q7" s="78">
        <f>AF7</f>
        <v>2031732.035985122</v>
      </c>
      <c r="R7" s="186">
        <f t="shared" si="3"/>
        <v>1.5784606678443218E-2</v>
      </c>
      <c r="S7" s="78">
        <f>AG7</f>
        <v>2070270.3891750628</v>
      </c>
      <c r="T7" s="186">
        <f t="shared" si="3"/>
        <v>1.8968226374033021E-2</v>
      </c>
      <c r="U7" s="81"/>
      <c r="W7" s="63">
        <f>'7-1. FS'!AD6</f>
        <v>1219865.082651</v>
      </c>
      <c r="X7" s="63">
        <f>'7-1. FS'!AE6</f>
        <v>1716831.8517840002</v>
      </c>
      <c r="Y7" s="63">
        <f>'7-1. FS'!AF6</f>
        <v>1422037.5130830002</v>
      </c>
      <c r="Z7" s="63">
        <f>'7-1. FS'!AG6</f>
        <v>1670243.2626199999</v>
      </c>
      <c r="AA7" s="63">
        <f>'7-1. FS'!AH6</f>
        <v>1730328.9583667216</v>
      </c>
      <c r="AB7" s="63">
        <f>'7-1. FS'!AI6</f>
        <v>1845752.2707088096</v>
      </c>
      <c r="AC7" s="63">
        <f>'7-1. FS'!AJ6</f>
        <v>1948134.1221388455</v>
      </c>
      <c r="AD7" s="63">
        <f>'7-1. FS'!AK6</f>
        <v>1966437.3829125357</v>
      </c>
      <c r="AE7" s="63">
        <f>'7-1. FS'!AL6</f>
        <v>2000160.2924745709</v>
      </c>
      <c r="AF7" s="63">
        <f>'7-1. FS'!AM6</f>
        <v>2031732.035985122</v>
      </c>
      <c r="AG7" s="63">
        <f>'7-1. FS'!AN6</f>
        <v>2070270.3891750628</v>
      </c>
      <c r="AI7" s="549" t="s">
        <v>328</v>
      </c>
      <c r="AJ7" s="472"/>
      <c r="AK7" s="1046" t="s">
        <v>88</v>
      </c>
      <c r="AL7" s="1047"/>
      <c r="AM7" s="550">
        <v>1801150</v>
      </c>
      <c r="AN7" s="551">
        <v>1.431</v>
      </c>
      <c r="AO7" s="552">
        <v>1998924</v>
      </c>
      <c r="AP7" s="551">
        <v>0.11</v>
      </c>
      <c r="AQ7" s="552">
        <v>2231671</v>
      </c>
      <c r="AR7" s="551">
        <v>0.11600000000000001</v>
      </c>
      <c r="AS7" s="552">
        <v>2624613</v>
      </c>
      <c r="AT7" s="551">
        <v>0.17599999999999999</v>
      </c>
      <c r="AU7" s="552">
        <v>3108861</v>
      </c>
      <c r="AV7" s="553">
        <v>0.185</v>
      </c>
      <c r="AX7" s="62" t="e">
        <f>#REF!-AM7</f>
        <v>#REF!</v>
      </c>
      <c r="AY7" s="65" t="e">
        <f>#REF!-AO7</f>
        <v>#REF!</v>
      </c>
      <c r="AZ7" s="65" t="e">
        <f>#REF!-AQ7</f>
        <v>#REF!</v>
      </c>
      <c r="BA7" s="65" t="e">
        <f>#REF!-AS7</f>
        <v>#REF!</v>
      </c>
      <c r="BB7" s="65">
        <f t="shared" si="1"/>
        <v>-1438562.0249310001</v>
      </c>
      <c r="BC7" s="66">
        <f t="shared" ref="BC7:BC38" si="4">(AU7-AS7)/AS7</f>
        <v>0.18450262953052507</v>
      </c>
      <c r="BD7" s="76">
        <f t="shared" ref="BD7:BD38" si="5">AV7-BC7</f>
        <v>4.9737046947492813E-4</v>
      </c>
    </row>
    <row r="8" spans="1:59" ht="25.35" customHeight="1" thickBot="1" x14ac:dyDescent="0.35">
      <c r="A8" s="1096"/>
      <c r="B8" s="82" t="s">
        <v>324</v>
      </c>
      <c r="C8" s="1102" t="s">
        <v>115</v>
      </c>
      <c r="D8" s="1103"/>
      <c r="E8" s="78">
        <f>'1. 요약재무제표'!O8</f>
        <v>5451037.8807690004</v>
      </c>
      <c r="F8" s="85"/>
      <c r="G8" s="83">
        <f>AA8</f>
        <v>5368881.7403641399</v>
      </c>
      <c r="H8" s="187">
        <f t="shared" si="0"/>
        <v>-1.5071650977642882E-2</v>
      </c>
      <c r="I8" s="83">
        <f>AB8</f>
        <v>5318071.3237040229</v>
      </c>
      <c r="J8" s="187">
        <f t="shared" si="2"/>
        <v>-9.4638733198602384E-3</v>
      </c>
      <c r="K8" s="83">
        <f>AC8</f>
        <v>5278944.4211015636</v>
      </c>
      <c r="L8" s="187">
        <f t="shared" si="3"/>
        <v>-7.3573482228530022E-3</v>
      </c>
      <c r="M8" s="83">
        <f>AD8</f>
        <v>5339537.874269411</v>
      </c>
      <c r="N8" s="187">
        <f t="shared" si="3"/>
        <v>1.147832754700669E-2</v>
      </c>
      <c r="O8" s="83">
        <f>AE8</f>
        <v>5403169.3931789305</v>
      </c>
      <c r="P8" s="187">
        <f t="shared" si="3"/>
        <v>1.1917046082986349E-2</v>
      </c>
      <c r="Q8" s="83">
        <f>AF8</f>
        <v>5475687.0621058159</v>
      </c>
      <c r="R8" s="187">
        <f t="shared" si="3"/>
        <v>1.3421320645329594E-2</v>
      </c>
      <c r="S8" s="83">
        <f>AG8</f>
        <v>5554138.3237595363</v>
      </c>
      <c r="T8" s="187">
        <f t="shared" si="3"/>
        <v>1.4327199630643238E-2</v>
      </c>
      <c r="U8" s="81"/>
      <c r="W8" s="63">
        <f>'7-1. FS'!AD7</f>
        <v>6724596.9234269997</v>
      </c>
      <c r="X8" s="63">
        <f>'7-1. FS'!AE7</f>
        <v>6492488.3045380013</v>
      </c>
      <c r="Y8" s="63">
        <f>'7-1. FS'!AF7</f>
        <v>5731760.3983699996</v>
      </c>
      <c r="Z8" s="63">
        <f>'7-1. FS'!AG7</f>
        <v>5446774.4052499998</v>
      </c>
      <c r="AA8" s="63">
        <f>'7-1. FS'!AH7</f>
        <v>5368881.7403641399</v>
      </c>
      <c r="AB8" s="63">
        <f>'7-1. FS'!AI7</f>
        <v>5318071.3237040229</v>
      </c>
      <c r="AC8" s="63">
        <f>'7-1. FS'!AJ7</f>
        <v>5278944.4211015636</v>
      </c>
      <c r="AD8" s="63">
        <f>'7-1. FS'!AK7</f>
        <v>5339537.874269411</v>
      </c>
      <c r="AE8" s="63">
        <f>'7-1. FS'!AL7</f>
        <v>5403169.3931789305</v>
      </c>
      <c r="AF8" s="63">
        <f>'7-1. FS'!AM7</f>
        <v>5475687.0621058159</v>
      </c>
      <c r="AG8" s="63">
        <f>'7-1. FS'!AN7</f>
        <v>5554138.3237595363</v>
      </c>
      <c r="AI8" s="549" t="s">
        <v>329</v>
      </c>
      <c r="AJ8" s="478"/>
      <c r="AK8" s="1050" t="s">
        <v>115</v>
      </c>
      <c r="AL8" s="1051"/>
      <c r="AM8" s="554">
        <v>5357852</v>
      </c>
      <c r="AN8" s="555">
        <v>5.5279999999999996</v>
      </c>
      <c r="AO8" s="556">
        <v>5430855</v>
      </c>
      <c r="AP8" s="555">
        <v>1.4E-2</v>
      </c>
      <c r="AQ8" s="556">
        <v>5497157</v>
      </c>
      <c r="AR8" s="555">
        <v>1.2E-2</v>
      </c>
      <c r="AS8" s="556">
        <v>5590222</v>
      </c>
      <c r="AT8" s="555">
        <v>1.7000000000000001E-2</v>
      </c>
      <c r="AU8" s="556">
        <v>5550548</v>
      </c>
      <c r="AV8" s="557">
        <v>-7.0000000000000001E-3</v>
      </c>
      <c r="AX8" s="62" t="e">
        <f>#REF!-AM8</f>
        <v>#REF!</v>
      </c>
      <c r="AY8" s="65" t="e">
        <f>#REF!-AO8</f>
        <v>#REF!</v>
      </c>
      <c r="AZ8" s="65" t="e">
        <f>#REF!-AQ8</f>
        <v>#REF!</v>
      </c>
      <c r="BA8" s="65" t="e">
        <f>#REF!-AS8</f>
        <v>#REF!</v>
      </c>
      <c r="BB8" s="65">
        <f t="shared" si="1"/>
        <v>-99510.119230999611</v>
      </c>
      <c r="BC8" s="66">
        <f t="shared" si="4"/>
        <v>-7.0970347868116864E-3</v>
      </c>
      <c r="BD8" s="76">
        <f t="shared" si="5"/>
        <v>9.7034786811686299E-5</v>
      </c>
    </row>
    <row r="9" spans="1:59" ht="25.35" customHeight="1" thickBot="1" x14ac:dyDescent="0.35">
      <c r="A9" s="1096"/>
      <c r="B9" s="1092" t="s">
        <v>330</v>
      </c>
      <c r="C9" s="1093"/>
      <c r="D9" s="1094"/>
      <c r="E9" s="86">
        <f>SUM(E10:E11)</f>
        <v>3796297.1349189999</v>
      </c>
      <c r="F9" s="87"/>
      <c r="G9" s="86">
        <f>SUM(G10:G11)</f>
        <v>3663172.6097936709</v>
      </c>
      <c r="H9" s="87">
        <f t="shared" si="0"/>
        <v>-3.5066940335314226E-2</v>
      </c>
      <c r="I9" s="86">
        <f>SUM(I10:I11)</f>
        <v>3614257.2811177783</v>
      </c>
      <c r="J9" s="87">
        <f t="shared" si="2"/>
        <v>-1.3353268842728062E-2</v>
      </c>
      <c r="K9" s="86">
        <f>SUM(K10:K11)</f>
        <v>3575964.5307572903</v>
      </c>
      <c r="L9" s="87">
        <f t="shared" si="3"/>
        <v>-1.0594915464525312E-2</v>
      </c>
      <c r="M9" s="86">
        <f>SUM(M10:M11)</f>
        <v>3551876.6503368048</v>
      </c>
      <c r="N9" s="87">
        <f t="shared" si="3"/>
        <v>-6.7360512704482461E-3</v>
      </c>
      <c r="O9" s="86">
        <f>SUM(O10:O11)</f>
        <v>3534590.0043088933</v>
      </c>
      <c r="P9" s="87">
        <f t="shared" si="3"/>
        <v>-4.8669049434113256E-3</v>
      </c>
      <c r="Q9" s="86">
        <f>SUM(Q10:Q11)</f>
        <v>3523282.118044911</v>
      </c>
      <c r="R9" s="87">
        <f t="shared" si="3"/>
        <v>-3.1992073338625838E-3</v>
      </c>
      <c r="S9" s="86">
        <f>SUM(S10:S11)</f>
        <v>3518550.8898453629</v>
      </c>
      <c r="T9" s="87">
        <f t="shared" si="3"/>
        <v>-1.3428468232267114E-3</v>
      </c>
      <c r="U9" s="81"/>
      <c r="X9" s="63"/>
      <c r="Y9" s="63"/>
      <c r="Z9" s="63"/>
      <c r="AA9" s="63"/>
      <c r="AB9" s="63"/>
      <c r="AC9" s="63"/>
      <c r="AD9" s="63"/>
      <c r="AE9" s="63"/>
      <c r="AF9" s="63"/>
      <c r="AG9" s="63"/>
      <c r="AI9" s="484"/>
      <c r="AJ9" s="1041" t="s">
        <v>330</v>
      </c>
      <c r="AK9" s="1042"/>
      <c r="AL9" s="1043"/>
      <c r="AM9" s="558">
        <v>3413667</v>
      </c>
      <c r="AN9" s="559">
        <v>9.9109999999999996</v>
      </c>
      <c r="AO9" s="560">
        <v>3411605</v>
      </c>
      <c r="AP9" s="559">
        <v>-1E-3</v>
      </c>
      <c r="AQ9" s="560">
        <v>3407808</v>
      </c>
      <c r="AR9" s="559">
        <v>-1E-3</v>
      </c>
      <c r="AS9" s="560">
        <v>3508037</v>
      </c>
      <c r="AT9" s="559">
        <v>2.9000000000000001E-2</v>
      </c>
      <c r="AU9" s="560">
        <v>3482792</v>
      </c>
      <c r="AV9" s="561">
        <v>-7.0000000000000001E-3</v>
      </c>
      <c r="AX9" s="62" t="e">
        <f>#REF!-AM9</f>
        <v>#REF!</v>
      </c>
      <c r="AY9" s="65" t="e">
        <f>#REF!-AO9</f>
        <v>#REF!</v>
      </c>
      <c r="AZ9" s="65" t="e">
        <f>#REF!-AQ9</f>
        <v>#REF!</v>
      </c>
      <c r="BA9" s="65" t="e">
        <f>#REF!-AS9</f>
        <v>#REF!</v>
      </c>
      <c r="BB9" s="65">
        <f t="shared" si="1"/>
        <v>313505.13491899986</v>
      </c>
      <c r="BC9" s="66">
        <f t="shared" si="4"/>
        <v>-7.1963323077835267E-3</v>
      </c>
      <c r="BD9" s="76">
        <f t="shared" si="5"/>
        <v>1.9633230778352655E-4</v>
      </c>
    </row>
    <row r="10" spans="1:59" ht="25.35" customHeight="1" x14ac:dyDescent="0.25">
      <c r="A10" s="1096"/>
      <c r="B10" s="77" t="s">
        <v>324</v>
      </c>
      <c r="C10" s="1100" t="s">
        <v>143</v>
      </c>
      <c r="D10" s="1101"/>
      <c r="E10" s="78">
        <f>'1. 요약재무제표'!O10</f>
        <v>1726694.8695489999</v>
      </c>
      <c r="F10" s="88"/>
      <c r="G10" s="78">
        <f>AA10</f>
        <v>1793843.731716061</v>
      </c>
      <c r="H10" s="188">
        <f t="shared" si="0"/>
        <v>3.8888667216924008E-2</v>
      </c>
      <c r="I10" s="78">
        <f>AB10</f>
        <v>1603385.6450391281</v>
      </c>
      <c r="J10" s="188">
        <f t="shared" si="2"/>
        <v>-0.10617317624135143</v>
      </c>
      <c r="K10" s="78">
        <f>AC10</f>
        <v>1613812.9500280335</v>
      </c>
      <c r="L10" s="188">
        <f t="shared" si="3"/>
        <v>6.5033044428003846E-3</v>
      </c>
      <c r="M10" s="78">
        <f>AD10</f>
        <v>1631567.0916893266</v>
      </c>
      <c r="N10" s="188">
        <f t="shared" si="3"/>
        <v>1.1001362742184403E-2</v>
      </c>
      <c r="O10" s="78">
        <f>AE10</f>
        <v>1651298.075911457</v>
      </c>
      <c r="P10" s="188">
        <f t="shared" si="3"/>
        <v>1.2093271752435812E-2</v>
      </c>
      <c r="Q10" s="78">
        <f>AF10</f>
        <v>1671790.3111253912</v>
      </c>
      <c r="R10" s="188">
        <f t="shared" si="3"/>
        <v>1.2409773567151549E-2</v>
      </c>
      <c r="S10" s="78">
        <f>AG10</f>
        <v>1696078.4766908807</v>
      </c>
      <c r="T10" s="188">
        <f t="shared" si="3"/>
        <v>1.4528236827224827E-2</v>
      </c>
      <c r="U10" s="81"/>
      <c r="W10" s="63">
        <f>'7-1. FS'!AD17</f>
        <v>1726933.7068650001</v>
      </c>
      <c r="X10" s="63">
        <f>'7-1. FS'!AE17</f>
        <v>2077661.0903500002</v>
      </c>
      <c r="Y10" s="63">
        <f>'7-1. FS'!AF17</f>
        <v>1747740.3335750001</v>
      </c>
      <c r="Z10" s="63">
        <f>'7-1. FS'!AG17</f>
        <v>1726640.2626199999</v>
      </c>
      <c r="AA10" s="63">
        <f>'7-1. FS'!AH17</f>
        <v>1793843.731716061</v>
      </c>
      <c r="AB10" s="63">
        <f>'7-1. FS'!AI17</f>
        <v>1603385.6450391281</v>
      </c>
      <c r="AC10" s="63">
        <f>'7-1. FS'!AJ17</f>
        <v>1613812.9500280335</v>
      </c>
      <c r="AD10" s="63">
        <f>'7-1. FS'!AK17</f>
        <v>1631567.0916893266</v>
      </c>
      <c r="AE10" s="63">
        <f>'7-1. FS'!AL17</f>
        <v>1651298.075911457</v>
      </c>
      <c r="AF10" s="63">
        <f>'7-1. FS'!AM17</f>
        <v>1671790.3111253912</v>
      </c>
      <c r="AG10" s="63">
        <f>'7-1. FS'!AN17</f>
        <v>1696078.4766908807</v>
      </c>
      <c r="AI10" s="484"/>
      <c r="AJ10" s="472"/>
      <c r="AK10" s="1046" t="s">
        <v>143</v>
      </c>
      <c r="AL10" s="1047"/>
      <c r="AM10" s="562">
        <v>1326683</v>
      </c>
      <c r="AN10" s="551">
        <v>3.6469999999999998</v>
      </c>
      <c r="AO10" s="563">
        <v>1605033</v>
      </c>
      <c r="AP10" s="551">
        <v>0.21</v>
      </c>
      <c r="AQ10" s="563">
        <v>1657701</v>
      </c>
      <c r="AR10" s="551">
        <v>3.3000000000000002E-2</v>
      </c>
      <c r="AS10" s="563">
        <v>1820972</v>
      </c>
      <c r="AT10" s="551">
        <v>9.8000000000000004E-2</v>
      </c>
      <c r="AU10" s="563">
        <v>2049481</v>
      </c>
      <c r="AV10" s="553">
        <v>0.125</v>
      </c>
      <c r="AX10" s="62" t="e">
        <f>#REF!-AM10</f>
        <v>#REF!</v>
      </c>
      <c r="AY10" s="65" t="e">
        <f>#REF!-AO10</f>
        <v>#REF!</v>
      </c>
      <c r="AZ10" s="65" t="e">
        <f>#REF!-AQ10</f>
        <v>#REF!</v>
      </c>
      <c r="BA10" s="65" t="e">
        <f>#REF!-AS10</f>
        <v>#REF!</v>
      </c>
      <c r="BB10" s="65">
        <f t="shared" si="1"/>
        <v>-322786.13045100006</v>
      </c>
      <c r="BC10" s="66">
        <f t="shared" si="4"/>
        <v>0.12548737707114663</v>
      </c>
      <c r="BD10" s="76">
        <f t="shared" si="5"/>
        <v>-4.8737707114662743E-4</v>
      </c>
    </row>
    <row r="11" spans="1:59" ht="25.35" customHeight="1" thickBot="1" x14ac:dyDescent="0.35">
      <c r="A11" s="1096"/>
      <c r="B11" s="82" t="s">
        <v>324</v>
      </c>
      <c r="C11" s="1102" t="s">
        <v>165</v>
      </c>
      <c r="D11" s="1103"/>
      <c r="E11" s="78">
        <f>'1. 요약재무제표'!O11</f>
        <v>2069602.2653699999</v>
      </c>
      <c r="F11" s="85"/>
      <c r="G11" s="83">
        <f>AA11</f>
        <v>1869328.8780776099</v>
      </c>
      <c r="H11" s="187">
        <f t="shared" si="0"/>
        <v>-9.6769022069361457E-2</v>
      </c>
      <c r="I11" s="83">
        <f>AB11</f>
        <v>2010871.6360786501</v>
      </c>
      <c r="J11" s="187">
        <f t="shared" si="2"/>
        <v>7.5718488951286453E-2</v>
      </c>
      <c r="K11" s="83">
        <f>AC11</f>
        <v>1962151.5807292568</v>
      </c>
      <c r="L11" s="187">
        <f t="shared" si="3"/>
        <v>-2.4228326898280306E-2</v>
      </c>
      <c r="M11" s="83">
        <f>AD11</f>
        <v>1920309.558647478</v>
      </c>
      <c r="N11" s="187">
        <f t="shared" si="3"/>
        <v>-2.1324561513350444E-2</v>
      </c>
      <c r="O11" s="83">
        <f>AE11</f>
        <v>1883291.9283974366</v>
      </c>
      <c r="P11" s="187">
        <f t="shared" si="3"/>
        <v>-1.9276907769033767E-2</v>
      </c>
      <c r="Q11" s="83">
        <f>AF11</f>
        <v>1851491.8069195196</v>
      </c>
      <c r="R11" s="187">
        <f t="shared" si="3"/>
        <v>-1.6885391477771045E-2</v>
      </c>
      <c r="S11" s="83">
        <f>AG11</f>
        <v>1822472.4131544821</v>
      </c>
      <c r="T11" s="187">
        <f t="shared" si="3"/>
        <v>-1.5673519945691463E-2</v>
      </c>
      <c r="U11" s="81"/>
      <c r="W11" s="63">
        <f>'7-1. FS'!AD18</f>
        <v>2107738.5322699999</v>
      </c>
      <c r="X11" s="63">
        <f>'7-1. FS'!AE18</f>
        <v>2049126.1329690004</v>
      </c>
      <c r="Y11" s="63">
        <f>'7-1. FS'!AF18</f>
        <v>2203694.4949939982</v>
      </c>
      <c r="Z11" s="63">
        <f>'7-1. FS'!AG18</f>
        <v>2063974.6627173901</v>
      </c>
      <c r="AA11" s="63">
        <f>'7-1. FS'!AH18</f>
        <v>1869328.8780776099</v>
      </c>
      <c r="AB11" s="63">
        <f>'7-1. FS'!AI18</f>
        <v>2010871.6360786501</v>
      </c>
      <c r="AC11" s="63">
        <f>'7-1. FS'!AJ18</f>
        <v>1962151.5807292568</v>
      </c>
      <c r="AD11" s="63">
        <f>'7-1. FS'!AK18</f>
        <v>1920309.558647478</v>
      </c>
      <c r="AE11" s="63">
        <f>'7-1. FS'!AL18</f>
        <v>1883291.9283974366</v>
      </c>
      <c r="AF11" s="63">
        <f>'7-1. FS'!AM18</f>
        <v>1851491.8069195196</v>
      </c>
      <c r="AG11" s="63">
        <f>'7-1. FS'!AN18</f>
        <v>1822472.4131544821</v>
      </c>
      <c r="AI11" s="484"/>
      <c r="AJ11" s="478"/>
      <c r="AK11" s="1050" t="s">
        <v>165</v>
      </c>
      <c r="AL11" s="1051"/>
      <c r="AM11" s="554">
        <v>2086984</v>
      </c>
      <c r="AN11" s="555">
        <v>75.165000000000006</v>
      </c>
      <c r="AO11" s="556">
        <v>1806573</v>
      </c>
      <c r="AP11" s="555">
        <v>-0.13400000000000001</v>
      </c>
      <c r="AQ11" s="556">
        <v>1750107</v>
      </c>
      <c r="AR11" s="555">
        <v>-3.1E-2</v>
      </c>
      <c r="AS11" s="556">
        <v>1687065</v>
      </c>
      <c r="AT11" s="555">
        <v>-3.5999999999999997E-2</v>
      </c>
      <c r="AU11" s="556">
        <v>1433311</v>
      </c>
      <c r="AV11" s="557">
        <v>-0.15</v>
      </c>
      <c r="AX11" s="62" t="e">
        <f>#REF!-AM11</f>
        <v>#REF!</v>
      </c>
      <c r="AY11" s="65" t="e">
        <f>#REF!-AO11</f>
        <v>#REF!</v>
      </c>
      <c r="AZ11" s="65" t="e">
        <f>#REF!-AQ11</f>
        <v>#REF!</v>
      </c>
      <c r="BA11" s="65" t="e">
        <f>#REF!-AS11</f>
        <v>#REF!</v>
      </c>
      <c r="BB11" s="65">
        <f t="shared" si="1"/>
        <v>636291.26536999992</v>
      </c>
      <c r="BC11" s="66">
        <f t="shared" si="4"/>
        <v>-0.15041151348643947</v>
      </c>
      <c r="BD11" s="76">
        <f t="shared" si="5"/>
        <v>4.1151348643947427E-4</v>
      </c>
    </row>
    <row r="12" spans="1:59" ht="25.35" customHeight="1" thickBot="1" x14ac:dyDescent="0.35">
      <c r="A12" s="1096"/>
      <c r="B12" s="1092" t="s">
        <v>331</v>
      </c>
      <c r="C12" s="1093"/>
      <c r="D12" s="1094"/>
      <c r="E12" s="86">
        <f>SUM(E13:E17)</f>
        <v>3325039.720919</v>
      </c>
      <c r="F12" s="87"/>
      <c r="G12" s="86">
        <f>SUM(G13:G17)</f>
        <v>3438806.0889371913</v>
      </c>
      <c r="H12" s="87">
        <f t="shared" si="0"/>
        <v>3.4215040290330033E-2</v>
      </c>
      <c r="I12" s="86">
        <f>SUM(I13:I17)</f>
        <v>3552334.3132950542</v>
      </c>
      <c r="J12" s="87">
        <f t="shared" si="2"/>
        <v>3.3013848824767655E-2</v>
      </c>
      <c r="K12" s="86">
        <f>SUM(K13:K17)</f>
        <v>3653882.012483119</v>
      </c>
      <c r="L12" s="87">
        <f t="shared" si="3"/>
        <v>2.8586188751438694E-2</v>
      </c>
      <c r="M12" s="86">
        <f>SUM(M13:M17)</f>
        <v>3756866.6068451405</v>
      </c>
      <c r="N12" s="87">
        <f t="shared" si="3"/>
        <v>2.8184980798554783E-2</v>
      </c>
      <c r="O12" s="86">
        <f>SUM(O13:O17)</f>
        <v>3871507.6813446069</v>
      </c>
      <c r="P12" s="87">
        <f t="shared" si="3"/>
        <v>3.051507718974809E-2</v>
      </c>
      <c r="Q12" s="86">
        <f>SUM(Q13:Q17)</f>
        <v>3986904.9800460255</v>
      </c>
      <c r="R12" s="87">
        <f t="shared" si="3"/>
        <v>2.9806811247586138E-2</v>
      </c>
      <c r="S12" s="86">
        <f>SUM(S13:S17)</f>
        <v>4108625.8230892355</v>
      </c>
      <c r="T12" s="87">
        <f t="shared" si="3"/>
        <v>3.0530159021197645E-2</v>
      </c>
      <c r="U12" s="81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I12" s="484"/>
      <c r="AJ12" s="1041" t="s">
        <v>331</v>
      </c>
      <c r="AK12" s="1042"/>
      <c r="AL12" s="1043"/>
      <c r="AM12" s="558">
        <v>3745335</v>
      </c>
      <c r="AN12" s="559">
        <v>1.9990000000000001</v>
      </c>
      <c r="AO12" s="560">
        <v>4018174</v>
      </c>
      <c r="AP12" s="559">
        <v>7.2999999999999995E-2</v>
      </c>
      <c r="AQ12" s="560">
        <v>4321019</v>
      </c>
      <c r="AR12" s="559">
        <v>7.4999999999999997E-2</v>
      </c>
      <c r="AS12" s="560">
        <v>4706798</v>
      </c>
      <c r="AT12" s="559">
        <v>8.8999999999999996E-2</v>
      </c>
      <c r="AU12" s="560">
        <v>5176618</v>
      </c>
      <c r="AV12" s="561">
        <v>0.1</v>
      </c>
      <c r="AX12" s="62" t="e">
        <f>#REF!-AM12</f>
        <v>#REF!</v>
      </c>
      <c r="AY12" s="65" t="e">
        <f>#REF!-AO12</f>
        <v>#REF!</v>
      </c>
      <c r="AZ12" s="65" t="e">
        <f>#REF!-AQ12</f>
        <v>#REF!</v>
      </c>
      <c r="BA12" s="65" t="e">
        <f>#REF!-AS12</f>
        <v>#REF!</v>
      </c>
      <c r="BB12" s="65">
        <f t="shared" si="1"/>
        <v>-1851578.279081</v>
      </c>
      <c r="BC12" s="66">
        <f t="shared" si="4"/>
        <v>9.981732804339595E-2</v>
      </c>
      <c r="BD12" s="76">
        <f t="shared" si="5"/>
        <v>1.8267195660405522E-4</v>
      </c>
    </row>
    <row r="13" spans="1:59" ht="25.35" customHeight="1" x14ac:dyDescent="0.25">
      <c r="A13" s="1096"/>
      <c r="B13" s="19" t="s">
        <v>324</v>
      </c>
      <c r="C13" s="1044" t="s">
        <v>186</v>
      </c>
      <c r="D13" s="1059"/>
      <c r="E13" s="78">
        <f>'1. 요약재무제표'!O13</f>
        <v>83607.414999999994</v>
      </c>
      <c r="F13" s="30"/>
      <c r="G13" s="78">
        <f>AA13</f>
        <v>83607.493000000002</v>
      </c>
      <c r="H13" s="189">
        <f t="shared" si="0"/>
        <v>9.3293160670754788E-7</v>
      </c>
      <c r="I13" s="78">
        <f>AB13</f>
        <v>83607.493000000002</v>
      </c>
      <c r="J13" s="189">
        <f t="shared" si="2"/>
        <v>0</v>
      </c>
      <c r="K13" s="78">
        <f>AC13</f>
        <v>83607.493000000002</v>
      </c>
      <c r="L13" s="189">
        <f t="shared" si="3"/>
        <v>0</v>
      </c>
      <c r="M13" s="78">
        <f>AD13</f>
        <v>83607.493000000002</v>
      </c>
      <c r="N13" s="189">
        <f t="shared" si="3"/>
        <v>0</v>
      </c>
      <c r="O13" s="78">
        <f>AE13</f>
        <v>83607.493000000002</v>
      </c>
      <c r="P13" s="189">
        <f t="shared" si="3"/>
        <v>0</v>
      </c>
      <c r="Q13" s="78">
        <f>AF13</f>
        <v>83607.493000000002</v>
      </c>
      <c r="R13" s="189">
        <f t="shared" si="3"/>
        <v>0</v>
      </c>
      <c r="S13" s="78">
        <f>AG13</f>
        <v>83607.493000000002</v>
      </c>
      <c r="T13" s="189">
        <f t="shared" si="3"/>
        <v>0</v>
      </c>
      <c r="U13" s="81"/>
      <c r="W13" s="63">
        <f>'7-1. FS'!AD27</f>
        <v>104718.00000000001</v>
      </c>
      <c r="X13" s="63">
        <f>'7-1. FS'!AE27</f>
        <v>104718.00000000001</v>
      </c>
      <c r="Y13" s="63">
        <f>'7-1. FS'!AF27</f>
        <v>83607.493000000002</v>
      </c>
      <c r="Z13" s="63">
        <f>'7-1. FS'!AG27</f>
        <v>83607</v>
      </c>
      <c r="AA13" s="63">
        <f>'7-1. FS'!AH27</f>
        <v>83607.493000000002</v>
      </c>
      <c r="AB13" s="63">
        <f>'7-1. FS'!AI27</f>
        <v>83607.493000000002</v>
      </c>
      <c r="AC13" s="63">
        <f>'7-1. FS'!AJ27</f>
        <v>83607.493000000002</v>
      </c>
      <c r="AD13" s="63">
        <f>'7-1. FS'!AK27</f>
        <v>83607.493000000002</v>
      </c>
      <c r="AE13" s="63">
        <f>'7-1. FS'!AL27</f>
        <v>83607.493000000002</v>
      </c>
      <c r="AF13" s="63">
        <f>'7-1. FS'!AM27</f>
        <v>83607.493000000002</v>
      </c>
      <c r="AG13" s="63">
        <f>'7-1. FS'!AN27</f>
        <v>83607.493000000002</v>
      </c>
      <c r="AI13" s="484"/>
      <c r="AJ13" s="472"/>
      <c r="AK13" s="1046" t="s">
        <v>186</v>
      </c>
      <c r="AL13" s="1047"/>
      <c r="AM13" s="562">
        <v>109813</v>
      </c>
      <c r="AN13" s="551">
        <v>2.347</v>
      </c>
      <c r="AO13" s="563">
        <v>109813</v>
      </c>
      <c r="AP13" s="551">
        <v>0</v>
      </c>
      <c r="AQ13" s="563">
        <v>109813</v>
      </c>
      <c r="AR13" s="551">
        <v>0</v>
      </c>
      <c r="AS13" s="563">
        <v>109813</v>
      </c>
      <c r="AT13" s="551">
        <v>0</v>
      </c>
      <c r="AU13" s="563">
        <v>109813</v>
      </c>
      <c r="AV13" s="553">
        <v>0</v>
      </c>
      <c r="AX13" s="62" t="e">
        <f>#REF!-AM13</f>
        <v>#REF!</v>
      </c>
      <c r="AY13" s="65" t="e">
        <f>#REF!-AO13</f>
        <v>#REF!</v>
      </c>
      <c r="AZ13" s="65" t="e">
        <f>#REF!-AQ13</f>
        <v>#REF!</v>
      </c>
      <c r="BA13" s="65" t="e">
        <f>#REF!-AS13</f>
        <v>#REF!</v>
      </c>
      <c r="BB13" s="65">
        <f t="shared" si="1"/>
        <v>-26205.585000000006</v>
      </c>
      <c r="BC13" s="66">
        <f t="shared" si="4"/>
        <v>0</v>
      </c>
      <c r="BD13" s="76">
        <f t="shared" si="5"/>
        <v>0</v>
      </c>
    </row>
    <row r="14" spans="1:59" ht="25.35" customHeight="1" x14ac:dyDescent="0.3">
      <c r="A14" s="1096"/>
      <c r="B14" s="19" t="s">
        <v>324</v>
      </c>
      <c r="C14" s="1060" t="s">
        <v>192</v>
      </c>
      <c r="D14" s="1061"/>
      <c r="E14" s="78">
        <f>'1. 요약재무제표'!O14</f>
        <v>966458.25086300005</v>
      </c>
      <c r="F14" s="32"/>
      <c r="G14" s="45">
        <f>AA14</f>
        <v>966458</v>
      </c>
      <c r="H14" s="190">
        <f t="shared" si="0"/>
        <v>-2.5956941215830207E-7</v>
      </c>
      <c r="I14" s="45">
        <f>AB14</f>
        <v>966458</v>
      </c>
      <c r="J14" s="190">
        <f t="shared" si="2"/>
        <v>0</v>
      </c>
      <c r="K14" s="45">
        <f>AC14</f>
        <v>966458</v>
      </c>
      <c r="L14" s="190">
        <f t="shared" si="3"/>
        <v>0</v>
      </c>
      <c r="M14" s="45">
        <f>AD14</f>
        <v>966458</v>
      </c>
      <c r="N14" s="190">
        <f t="shared" si="3"/>
        <v>0</v>
      </c>
      <c r="O14" s="45">
        <f>AE14</f>
        <v>966458</v>
      </c>
      <c r="P14" s="190">
        <f t="shared" si="3"/>
        <v>0</v>
      </c>
      <c r="Q14" s="45">
        <f>AF14</f>
        <v>966458</v>
      </c>
      <c r="R14" s="190">
        <f t="shared" si="3"/>
        <v>0</v>
      </c>
      <c r="S14" s="45">
        <f>AG14</f>
        <v>966458</v>
      </c>
      <c r="T14" s="190">
        <f t="shared" si="3"/>
        <v>0</v>
      </c>
      <c r="U14" s="81"/>
      <c r="W14" s="63">
        <f>'7-1. FS'!AD28</f>
        <v>1195692.464341</v>
      </c>
      <c r="X14" s="63">
        <f>'7-1. FS'!AE28</f>
        <v>1195692.464341</v>
      </c>
      <c r="Y14" s="63">
        <f>'7-1. FS'!AF28</f>
        <v>966458.25086299994</v>
      </c>
      <c r="Z14" s="63">
        <f>'7-1. FS'!AG28</f>
        <v>966458</v>
      </c>
      <c r="AA14" s="63">
        <f>'7-1. FS'!AH28</f>
        <v>966458</v>
      </c>
      <c r="AB14" s="63">
        <f>'7-1. FS'!AI28</f>
        <v>966458</v>
      </c>
      <c r="AC14" s="63">
        <f>'7-1. FS'!AJ28</f>
        <v>966458</v>
      </c>
      <c r="AD14" s="63">
        <f>'7-1. FS'!AK28</f>
        <v>966458</v>
      </c>
      <c r="AE14" s="63">
        <f>'7-1. FS'!AL28</f>
        <v>966458</v>
      </c>
      <c r="AF14" s="63">
        <f>'7-1. FS'!AM28</f>
        <v>966458</v>
      </c>
      <c r="AG14" s="63">
        <f>'7-1. FS'!AN28</f>
        <v>966458</v>
      </c>
      <c r="AI14" s="484"/>
      <c r="AJ14" s="472"/>
      <c r="AK14" s="1062" t="s">
        <v>192</v>
      </c>
      <c r="AL14" s="1063"/>
      <c r="AM14" s="564">
        <v>262644</v>
      </c>
      <c r="AN14" s="565">
        <v>1.3759999999999999</v>
      </c>
      <c r="AO14" s="566">
        <v>262644</v>
      </c>
      <c r="AP14" s="565">
        <v>0</v>
      </c>
      <c r="AQ14" s="566">
        <v>262644</v>
      </c>
      <c r="AR14" s="565">
        <v>0</v>
      </c>
      <c r="AS14" s="566">
        <v>262644</v>
      </c>
      <c r="AT14" s="565">
        <v>0</v>
      </c>
      <c r="AU14" s="566">
        <v>262644</v>
      </c>
      <c r="AV14" s="567">
        <v>0</v>
      </c>
      <c r="AX14" s="62" t="e">
        <f>#REF!-AM14</f>
        <v>#REF!</v>
      </c>
      <c r="AY14" s="65" t="e">
        <f>#REF!-AO14</f>
        <v>#REF!</v>
      </c>
      <c r="AZ14" s="65" t="e">
        <f>#REF!-AQ14</f>
        <v>#REF!</v>
      </c>
      <c r="BA14" s="65" t="e">
        <f>#REF!-AS14</f>
        <v>#REF!</v>
      </c>
      <c r="BB14" s="65">
        <f t="shared" si="1"/>
        <v>703814.25086300005</v>
      </c>
      <c r="BC14" s="66">
        <f t="shared" si="4"/>
        <v>0</v>
      </c>
      <c r="BD14" s="76">
        <f t="shared" si="5"/>
        <v>0</v>
      </c>
    </row>
    <row r="15" spans="1:59" ht="25.35" customHeight="1" x14ac:dyDescent="0.3">
      <c r="A15" s="1096"/>
      <c r="B15" s="19"/>
      <c r="C15" s="1060" t="s">
        <v>200</v>
      </c>
      <c r="D15" s="1064"/>
      <c r="E15" s="78">
        <f>'1. 요약재무제표'!O15</f>
        <v>125770.589507</v>
      </c>
      <c r="F15" s="32"/>
      <c r="G15" s="45">
        <f>AA15</f>
        <v>125771</v>
      </c>
      <c r="H15" s="190">
        <f t="shared" si="0"/>
        <v>3.2638234551663353E-6</v>
      </c>
      <c r="I15" s="45">
        <f>AB15</f>
        <v>125771</v>
      </c>
      <c r="J15" s="190">
        <f t="shared" si="2"/>
        <v>0</v>
      </c>
      <c r="K15" s="45">
        <f>AC15</f>
        <v>125771</v>
      </c>
      <c r="L15" s="190">
        <f t="shared" si="3"/>
        <v>0</v>
      </c>
      <c r="M15" s="45">
        <f>AD15</f>
        <v>125771</v>
      </c>
      <c r="N15" s="190">
        <f t="shared" si="3"/>
        <v>0</v>
      </c>
      <c r="O15" s="45">
        <f>AE15</f>
        <v>125771</v>
      </c>
      <c r="P15" s="190">
        <f t="shared" si="3"/>
        <v>0</v>
      </c>
      <c r="Q15" s="45">
        <f>AF15</f>
        <v>125771</v>
      </c>
      <c r="R15" s="190">
        <f t="shared" si="3"/>
        <v>0</v>
      </c>
      <c r="S15" s="45">
        <f>AG15</f>
        <v>125771</v>
      </c>
      <c r="T15" s="190">
        <f t="shared" si="3"/>
        <v>0</v>
      </c>
      <c r="U15" s="81"/>
      <c r="W15" s="63">
        <f>'7-1. FS'!AD33</f>
        <v>44540.655660000011</v>
      </c>
      <c r="X15" s="63">
        <f>'7-1. FS'!AE33</f>
        <v>61373.204758999993</v>
      </c>
      <c r="Y15" s="63">
        <f>'7-1. FS'!AF33</f>
        <v>86173.492345999999</v>
      </c>
      <c r="Z15" s="63">
        <f>'7-1. FS'!AG33</f>
        <v>125771</v>
      </c>
      <c r="AA15" s="63">
        <f>'7-1. FS'!AH33</f>
        <v>125771</v>
      </c>
      <c r="AB15" s="63">
        <f>'7-1. FS'!AI33</f>
        <v>125771</v>
      </c>
      <c r="AC15" s="63">
        <f>'7-1. FS'!AJ33</f>
        <v>125771</v>
      </c>
      <c r="AD15" s="63">
        <f>'7-1. FS'!AK33</f>
        <v>125771</v>
      </c>
      <c r="AE15" s="63">
        <f>'7-1. FS'!AL33</f>
        <v>125771</v>
      </c>
      <c r="AF15" s="63">
        <f>'7-1. FS'!AM33</f>
        <v>125771</v>
      </c>
      <c r="AG15" s="63">
        <f>'7-1. FS'!AN33</f>
        <v>125771</v>
      </c>
      <c r="AI15" s="484"/>
      <c r="AJ15" s="472"/>
      <c r="AK15" s="1062" t="s">
        <v>200</v>
      </c>
      <c r="AL15" s="1063"/>
      <c r="AM15" s="564">
        <v>13139</v>
      </c>
      <c r="AN15" s="565">
        <v>-0.121</v>
      </c>
      <c r="AO15" s="566">
        <v>13139</v>
      </c>
      <c r="AP15" s="565">
        <v>0</v>
      </c>
      <c r="AQ15" s="566">
        <v>13139</v>
      </c>
      <c r="AR15" s="565">
        <v>0</v>
      </c>
      <c r="AS15" s="566">
        <v>13139</v>
      </c>
      <c r="AT15" s="565">
        <v>0</v>
      </c>
      <c r="AU15" s="566">
        <v>13139</v>
      </c>
      <c r="AV15" s="567">
        <v>0</v>
      </c>
      <c r="AX15" s="62" t="e">
        <f>#REF!-AM15</f>
        <v>#REF!</v>
      </c>
      <c r="AY15" s="65" t="e">
        <f>#REF!-AO15</f>
        <v>#REF!</v>
      </c>
      <c r="AZ15" s="65" t="e">
        <f>#REF!-AQ15</f>
        <v>#REF!</v>
      </c>
      <c r="BA15" s="65" t="e">
        <f>#REF!-AS15</f>
        <v>#REF!</v>
      </c>
      <c r="BB15" s="65">
        <f t="shared" si="1"/>
        <v>112631.589507</v>
      </c>
      <c r="BC15" s="66">
        <f t="shared" si="4"/>
        <v>0</v>
      </c>
      <c r="BD15" s="76">
        <f t="shared" si="5"/>
        <v>0</v>
      </c>
    </row>
    <row r="16" spans="1:59" ht="25.35" customHeight="1" x14ac:dyDescent="0.3">
      <c r="A16" s="1096"/>
      <c r="B16" s="19"/>
      <c r="C16" s="1060" t="s">
        <v>205</v>
      </c>
      <c r="D16" s="1061"/>
      <c r="E16" s="78">
        <f>'1. 요약재무제표'!O16</f>
        <v>2750737.415521</v>
      </c>
      <c r="F16" s="32"/>
      <c r="G16" s="45">
        <f>AA16</f>
        <v>2864503.595937191</v>
      </c>
      <c r="H16" s="190">
        <f t="shared" si="0"/>
        <v>4.1358429842945681E-2</v>
      </c>
      <c r="I16" s="45">
        <f>AB16</f>
        <v>2978031.820295054</v>
      </c>
      <c r="J16" s="190">
        <f t="shared" si="2"/>
        <v>3.9632774250618272E-2</v>
      </c>
      <c r="K16" s="45">
        <f>AC16</f>
        <v>3079579.5194831188</v>
      </c>
      <c r="L16" s="190">
        <f t="shared" si="3"/>
        <v>3.4098930204850449E-2</v>
      </c>
      <c r="M16" s="45">
        <f>AD16</f>
        <v>3182564.1138451407</v>
      </c>
      <c r="N16" s="190">
        <f t="shared" si="3"/>
        <v>3.3441121981258981E-2</v>
      </c>
      <c r="O16" s="45">
        <f>AE16</f>
        <v>3297205.1883446071</v>
      </c>
      <c r="P16" s="190">
        <f t="shared" si="3"/>
        <v>3.6021607231961877E-2</v>
      </c>
      <c r="Q16" s="45">
        <f>AF16</f>
        <v>3412602.4870460257</v>
      </c>
      <c r="R16" s="190">
        <f t="shared" si="3"/>
        <v>3.4998519081960701E-2</v>
      </c>
      <c r="S16" s="45">
        <f>AG16</f>
        <v>3534323.3300892357</v>
      </c>
      <c r="T16" s="190">
        <f t="shared" si="3"/>
        <v>3.566804030216026E-2</v>
      </c>
      <c r="U16" s="81"/>
      <c r="W16" s="63">
        <f>'7-1. FS'!AD29</f>
        <v>2865790.243646001</v>
      </c>
      <c r="X16" s="63">
        <f>'7-1. FS'!AE29</f>
        <v>2791700.8620435921</v>
      </c>
      <c r="Y16" s="63">
        <f>'7-1. FS'!AF29</f>
        <v>2670425.7615699852</v>
      </c>
      <c r="Z16" s="63">
        <f>'7-1. FS'!AG29</f>
        <v>2754868.7425326114</v>
      </c>
      <c r="AA16" s="63">
        <f>'7-1. FS'!AH29</f>
        <v>2864503.595937191</v>
      </c>
      <c r="AB16" s="63">
        <f>'7-1. FS'!AI29</f>
        <v>2978031.820295054</v>
      </c>
      <c r="AC16" s="63">
        <f>'7-1. FS'!AJ29</f>
        <v>3079579.5194831188</v>
      </c>
      <c r="AD16" s="63">
        <f>'7-1. FS'!AK29</f>
        <v>3182564.1138451407</v>
      </c>
      <c r="AE16" s="63">
        <f>'7-1. FS'!AL29</f>
        <v>3297205.1883446071</v>
      </c>
      <c r="AF16" s="63">
        <f>'7-1. FS'!AM29</f>
        <v>3412602.4870460257</v>
      </c>
      <c r="AG16" s="63">
        <f>'7-1. FS'!AN29</f>
        <v>3534323.3300892357</v>
      </c>
      <c r="AI16" s="484"/>
      <c r="AJ16" s="472"/>
      <c r="AK16" s="1062" t="s">
        <v>205</v>
      </c>
      <c r="AL16" s="1063"/>
      <c r="AM16" s="564">
        <v>3468537</v>
      </c>
      <c r="AN16" s="565">
        <v>1.8919999999999999</v>
      </c>
      <c r="AO16" s="566">
        <v>3741376</v>
      </c>
      <c r="AP16" s="565">
        <v>7.9000000000000001E-2</v>
      </c>
      <c r="AQ16" s="566">
        <v>4044222</v>
      </c>
      <c r="AR16" s="565">
        <v>8.1000000000000003E-2</v>
      </c>
      <c r="AS16" s="566">
        <v>4430001</v>
      </c>
      <c r="AT16" s="565">
        <v>9.5000000000000001E-2</v>
      </c>
      <c r="AU16" s="566">
        <v>4899821</v>
      </c>
      <c r="AV16" s="567">
        <v>0.106</v>
      </c>
      <c r="AX16" s="62" t="e">
        <f>#REF!-AM16</f>
        <v>#REF!</v>
      </c>
      <c r="AY16" s="65" t="e">
        <f>#REF!-AO16</f>
        <v>#REF!</v>
      </c>
      <c r="AZ16" s="65" t="e">
        <f>#REF!-AQ16</f>
        <v>#REF!</v>
      </c>
      <c r="BA16" s="65" t="e">
        <f>#REF!-AS16</f>
        <v>#REF!</v>
      </c>
      <c r="BB16" s="65">
        <f t="shared" si="1"/>
        <v>-2149083.584479</v>
      </c>
      <c r="BC16" s="66">
        <f t="shared" si="4"/>
        <v>0.10605415213224557</v>
      </c>
      <c r="BD16" s="76">
        <f t="shared" si="5"/>
        <v>-5.4152132245577356E-5</v>
      </c>
    </row>
    <row r="17" spans="1:56" ht="25.35" customHeight="1" thickBot="1" x14ac:dyDescent="0.35">
      <c r="A17" s="1096"/>
      <c r="B17" s="19" t="s">
        <v>324</v>
      </c>
      <c r="C17" s="1060" t="s">
        <v>867</v>
      </c>
      <c r="D17" s="1064"/>
      <c r="E17" s="78">
        <f>'1. 요약재무제표'!O17</f>
        <v>-601533.94997199997</v>
      </c>
      <c r="F17" s="24"/>
      <c r="G17" s="1002">
        <f>AA17</f>
        <v>-601534</v>
      </c>
      <c r="H17" s="191">
        <f t="shared" si="0"/>
        <v>8.3167375722135031E-8</v>
      </c>
      <c r="I17" s="1002">
        <f>AB17</f>
        <v>-601534</v>
      </c>
      <c r="J17" s="191">
        <f t="shared" si="2"/>
        <v>0</v>
      </c>
      <c r="K17" s="1002">
        <f>AC17</f>
        <v>-601534</v>
      </c>
      <c r="L17" s="191">
        <f t="shared" si="3"/>
        <v>0</v>
      </c>
      <c r="M17" s="1002">
        <f>AD17</f>
        <v>-601534</v>
      </c>
      <c r="N17" s="191">
        <f t="shared" si="3"/>
        <v>0</v>
      </c>
      <c r="O17" s="1002">
        <f>AE17</f>
        <v>-601534</v>
      </c>
      <c r="P17" s="191">
        <f t="shared" si="3"/>
        <v>0</v>
      </c>
      <c r="Q17" s="1002">
        <f>AF17</f>
        <v>-601534</v>
      </c>
      <c r="R17" s="191">
        <f t="shared" si="3"/>
        <v>0</v>
      </c>
      <c r="S17" s="1002">
        <f>AG17</f>
        <v>-601534</v>
      </c>
      <c r="T17" s="191">
        <f t="shared" si="3"/>
        <v>0</v>
      </c>
      <c r="U17" s="81"/>
      <c r="W17" s="63">
        <f>'7-1. FS'!AD32</f>
        <v>-98183.617004000014</v>
      </c>
      <c r="X17" s="63">
        <f>'7-1. FS'!AE32</f>
        <v>-68183.615271000002</v>
      </c>
      <c r="Y17" s="63">
        <f>'7-1. FS'!AF32</f>
        <v>-601533.94997199997</v>
      </c>
      <c r="Z17" s="63">
        <f>'7-1. FS'!AG32</f>
        <v>-601534</v>
      </c>
      <c r="AA17" s="63">
        <f>'7-1. FS'!AH32</f>
        <v>-601534</v>
      </c>
      <c r="AB17" s="63">
        <f>'7-1. FS'!AI32</f>
        <v>-601534</v>
      </c>
      <c r="AC17" s="63">
        <f>'7-1. FS'!AJ32</f>
        <v>-601534</v>
      </c>
      <c r="AD17" s="63">
        <f>'7-1. FS'!AK32</f>
        <v>-601534</v>
      </c>
      <c r="AE17" s="63">
        <f>'7-1. FS'!AL32</f>
        <v>-601534</v>
      </c>
      <c r="AF17" s="63">
        <f>'7-1. FS'!AM32</f>
        <v>-601534</v>
      </c>
      <c r="AG17" s="63">
        <f>'7-1. FS'!AN32</f>
        <v>-601534</v>
      </c>
      <c r="AI17" s="497"/>
      <c r="AJ17" s="478"/>
      <c r="AK17" s="1050" t="s">
        <v>332</v>
      </c>
      <c r="AL17" s="1051"/>
      <c r="AM17" s="554">
        <v>-108799</v>
      </c>
      <c r="AN17" s="555">
        <v>1E-3</v>
      </c>
      <c r="AO17" s="556">
        <v>-108799</v>
      </c>
      <c r="AP17" s="555">
        <v>0</v>
      </c>
      <c r="AQ17" s="556">
        <v>-108799</v>
      </c>
      <c r="AR17" s="555">
        <v>0</v>
      </c>
      <c r="AS17" s="556">
        <v>-108799</v>
      </c>
      <c r="AT17" s="555">
        <v>0</v>
      </c>
      <c r="AU17" s="556">
        <v>-108799</v>
      </c>
      <c r="AV17" s="557">
        <v>0</v>
      </c>
      <c r="AX17" s="62" t="e">
        <f>#REF!-AM17</f>
        <v>#REF!</v>
      </c>
      <c r="AY17" s="65" t="e">
        <f>#REF!-AO17</f>
        <v>#REF!</v>
      </c>
      <c r="AZ17" s="65" t="e">
        <f>#REF!-AQ17</f>
        <v>#REF!</v>
      </c>
      <c r="BA17" s="65" t="e">
        <f>#REF!-AS17</f>
        <v>#REF!</v>
      </c>
      <c r="BB17" s="65">
        <f t="shared" si="1"/>
        <v>-492734.94997199997</v>
      </c>
      <c r="BC17" s="66">
        <f t="shared" si="4"/>
        <v>0</v>
      </c>
      <c r="BD17" s="76">
        <f t="shared" si="5"/>
        <v>0</v>
      </c>
    </row>
    <row r="18" spans="1:56" ht="25.35" customHeight="1" thickBot="1" x14ac:dyDescent="0.35">
      <c r="A18" s="1130" t="s">
        <v>517</v>
      </c>
      <c r="B18" s="1021" t="s">
        <v>286</v>
      </c>
      <c r="C18" s="1021"/>
      <c r="D18" s="1022"/>
      <c r="E18" s="34">
        <f>E19+E26</f>
        <v>11774643.877002999</v>
      </c>
      <c r="F18" s="35"/>
      <c r="G18" s="34">
        <f>G19+G26</f>
        <v>12032603.17534546</v>
      </c>
      <c r="H18" s="35">
        <f t="shared" si="0"/>
        <v>2.1908033995514706E-2</v>
      </c>
      <c r="I18" s="34">
        <f>I19+I26</f>
        <v>12216426.443432681</v>
      </c>
      <c r="J18" s="35">
        <f t="shared" si="2"/>
        <v>1.5277098846230644E-2</v>
      </c>
      <c r="K18" s="34">
        <f>K19+K26</f>
        <v>12411089.220592096</v>
      </c>
      <c r="L18" s="35">
        <f t="shared" si="3"/>
        <v>1.5934510641126335E-2</v>
      </c>
      <c r="M18" s="34">
        <f>M19+M26</f>
        <v>12626305.991220679</v>
      </c>
      <c r="N18" s="35">
        <f t="shared" si="3"/>
        <v>1.7340683545445927E-2</v>
      </c>
      <c r="O18" s="34">
        <f>O19+O26</f>
        <v>12850430.612808114</v>
      </c>
      <c r="P18" s="35">
        <f t="shared" si="3"/>
        <v>1.7750609065174967E-2</v>
      </c>
      <c r="Q18" s="34">
        <f>Q19+Q26</f>
        <v>13103490.567004094</v>
      </c>
      <c r="R18" s="35">
        <f t="shared" si="3"/>
        <v>1.9692721732122609E-2</v>
      </c>
      <c r="S18" s="34">
        <f>S19+S26</f>
        <v>13382835.547210557</v>
      </c>
      <c r="T18" s="35">
        <f t="shared" si="3"/>
        <v>2.1318363895333526E-2</v>
      </c>
      <c r="U18" s="81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I18" s="544" t="s">
        <v>333</v>
      </c>
      <c r="AJ18" s="1041" t="s">
        <v>286</v>
      </c>
      <c r="AK18" s="1042"/>
      <c r="AL18" s="1105"/>
      <c r="AM18" s="568">
        <v>10241785</v>
      </c>
      <c r="AN18" s="569">
        <v>7.4870000000000001</v>
      </c>
      <c r="AO18" s="570">
        <v>11844133</v>
      </c>
      <c r="AP18" s="569">
        <v>0.156</v>
      </c>
      <c r="AQ18" s="570">
        <v>12654110</v>
      </c>
      <c r="AR18" s="569">
        <v>6.8000000000000005E-2</v>
      </c>
      <c r="AS18" s="570">
        <v>13664771</v>
      </c>
      <c r="AT18" s="569">
        <v>0.08</v>
      </c>
      <c r="AU18" s="570">
        <v>14769066</v>
      </c>
      <c r="AV18" s="571">
        <v>8.1000000000000003E-2</v>
      </c>
      <c r="AX18" s="62" t="e">
        <f>#REF!-AM18</f>
        <v>#REF!</v>
      </c>
      <c r="AY18" s="65" t="e">
        <f>#REF!-AO18</f>
        <v>#REF!</v>
      </c>
      <c r="AZ18" s="65" t="e">
        <f>#REF!-AQ18</f>
        <v>#REF!</v>
      </c>
      <c r="BA18" s="65" t="e">
        <f>#REF!-AS18</f>
        <v>#REF!</v>
      </c>
      <c r="BB18" s="65">
        <f t="shared" si="1"/>
        <v>-2994422.1229970008</v>
      </c>
      <c r="BC18" s="66">
        <f t="shared" si="4"/>
        <v>8.0813282564340089E-2</v>
      </c>
      <c r="BD18" s="76">
        <f t="shared" si="5"/>
        <v>1.8671743565991383E-4</v>
      </c>
    </row>
    <row r="19" spans="1:56" ht="25.35" customHeight="1" thickBot="1" x14ac:dyDescent="0.35">
      <c r="A19" s="1131"/>
      <c r="B19" s="157"/>
      <c r="C19" s="192" t="s">
        <v>465</v>
      </c>
      <c r="D19" s="193"/>
      <c r="E19" s="38">
        <f>SUM(E20:E22)</f>
        <v>1049110.1877060002</v>
      </c>
      <c r="F19" s="91"/>
      <c r="G19" s="38">
        <f>SUM(G20:G22)</f>
        <v>1060021.4203150417</v>
      </c>
      <c r="H19" s="91">
        <f t="shared" si="0"/>
        <v>1.0400463875868142E-2</v>
      </c>
      <c r="I19" s="38">
        <f>SUM(I20:I22)</f>
        <v>1054370.3980017113</v>
      </c>
      <c r="J19" s="91">
        <f t="shared" si="2"/>
        <v>-5.3310453968475665E-3</v>
      </c>
      <c r="K19" s="38">
        <f>SUM(K20:K22)</f>
        <v>1048778.789611483</v>
      </c>
      <c r="L19" s="180">
        <f t="shared" si="3"/>
        <v>-5.3032676190699363E-3</v>
      </c>
      <c r="M19" s="38">
        <f>SUM(M20:M22)</f>
        <v>1043245.9677611254</v>
      </c>
      <c r="N19" s="180">
        <f t="shared" si="3"/>
        <v>-5.2754898412916938E-3</v>
      </c>
      <c r="O19" s="38">
        <f>SUM(O20:O22)</f>
        <v>1038379.8734587536</v>
      </c>
      <c r="P19" s="180">
        <f t="shared" si="3"/>
        <v>-4.664378730180766E-3</v>
      </c>
      <c r="Q19" s="38">
        <f>SUM(Q20:Q22)</f>
        <v>1034574.8563366034</v>
      </c>
      <c r="R19" s="180">
        <f t="shared" si="3"/>
        <v>-3.6643787301808757E-3</v>
      </c>
      <c r="S19" s="38">
        <f>SUM(S20:S22)</f>
        <v>1031990.7862373232</v>
      </c>
      <c r="T19" s="180">
        <f t="shared" si="3"/>
        <v>-2.4977120635140174E-3</v>
      </c>
      <c r="U19" s="81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I19" s="549" t="s">
        <v>335</v>
      </c>
      <c r="AJ19" s="529"/>
      <c r="AK19" s="1106" t="s">
        <v>349</v>
      </c>
      <c r="AL19" s="1107"/>
      <c r="AM19" s="568">
        <v>1304180</v>
      </c>
      <c r="AN19" s="569">
        <v>8.1000000000000003E-2</v>
      </c>
      <c r="AO19" s="570">
        <v>1411122</v>
      </c>
      <c r="AP19" s="569">
        <v>8.2000000000000003E-2</v>
      </c>
      <c r="AQ19" s="570">
        <v>1488734</v>
      </c>
      <c r="AR19" s="569">
        <v>5.5E-2</v>
      </c>
      <c r="AS19" s="570">
        <v>1555727</v>
      </c>
      <c r="AT19" s="569">
        <v>4.4999999999999998E-2</v>
      </c>
      <c r="AU19" s="570">
        <v>1614844</v>
      </c>
      <c r="AV19" s="571">
        <v>3.7999999999999999E-2</v>
      </c>
      <c r="AX19" s="62" t="e">
        <f>#REF!-AM19</f>
        <v>#REF!</v>
      </c>
      <c r="AY19" s="65" t="e">
        <f>#REF!-AO19</f>
        <v>#REF!</v>
      </c>
      <c r="AZ19" s="65" t="e">
        <f>#REF!-AQ19</f>
        <v>#REF!</v>
      </c>
      <c r="BA19" s="65" t="e">
        <f>#REF!-AS19</f>
        <v>#REF!</v>
      </c>
      <c r="BB19" s="65">
        <f t="shared" si="1"/>
        <v>-565733.81229399983</v>
      </c>
      <c r="BC19" s="66">
        <f t="shared" si="4"/>
        <v>3.7999597615777064E-2</v>
      </c>
      <c r="BD19" s="76">
        <f t="shared" si="5"/>
        <v>4.0238422293475962E-7</v>
      </c>
    </row>
    <row r="20" spans="1:56" ht="25.35" customHeight="1" x14ac:dyDescent="0.3">
      <c r="A20" s="1131"/>
      <c r="B20" s="157" t="s">
        <v>324</v>
      </c>
      <c r="C20" s="1023" t="s">
        <v>334</v>
      </c>
      <c r="D20" s="1024"/>
      <c r="E20" s="42">
        <f>'1. 요약재무제표'!O20</f>
        <v>333966.800422</v>
      </c>
      <c r="F20" s="90"/>
      <c r="G20" s="42">
        <f>AA20</f>
        <v>325005.54534375633</v>
      </c>
      <c r="H20" s="181">
        <f t="shared" si="0"/>
        <v>-2.6832772200470957E-2</v>
      </c>
      <c r="I20" s="42">
        <f>AB20</f>
        <v>318449.85433105339</v>
      </c>
      <c r="J20" s="181">
        <f t="shared" si="2"/>
        <v>-2.017101279231721E-2</v>
      </c>
      <c r="K20" s="42">
        <f>AC20</f>
        <v>314768.82056562149</v>
      </c>
      <c r="L20" s="181">
        <f t="shared" si="3"/>
        <v>-1.1559225778778911E-2</v>
      </c>
      <c r="M20" s="42">
        <f>AD20</f>
        <v>312593.35665659246</v>
      </c>
      <c r="N20" s="181">
        <f t="shared" si="3"/>
        <v>-6.911306860443946E-3</v>
      </c>
      <c r="O20" s="42">
        <f>AE20</f>
        <v>311278.86727265042</v>
      </c>
      <c r="P20" s="181">
        <f t="shared" si="3"/>
        <v>-4.2051097886450176E-3</v>
      </c>
      <c r="Q20" s="42">
        <f>AF20</f>
        <v>310422.04351641628</v>
      </c>
      <c r="R20" s="181">
        <f t="shared" si="3"/>
        <v>-2.7525921169702884E-3</v>
      </c>
      <c r="S20" s="42">
        <f>AG20</f>
        <v>310012.32202732499</v>
      </c>
      <c r="T20" s="181">
        <f t="shared" si="3"/>
        <v>-1.3198852905226099E-3</v>
      </c>
      <c r="U20" s="112" t="s">
        <v>868</v>
      </c>
      <c r="W20" s="63">
        <f>'9. 추정 IS'!G37+'9. 추정 IS'!G38</f>
        <v>367350</v>
      </c>
      <c r="X20" s="63">
        <f>'9. 추정 IS'!H37+'9. 추정 IS'!H38</f>
        <v>346760.92744228704</v>
      </c>
      <c r="Y20" s="63">
        <f>'9. 추정 IS'!I37+'9. 추정 IS'!I38</f>
        <v>311281.54289369035</v>
      </c>
      <c r="Z20" s="63">
        <f>'9. 추정 IS'!J37+'9. 추정 IS'!J38</f>
        <v>333966.800422</v>
      </c>
      <c r="AA20" s="63">
        <f>'9. 추정 IS'!K37+'9. 추정 IS'!K38</f>
        <v>325005.54534375633</v>
      </c>
      <c r="AB20" s="63">
        <f>'9. 추정 IS'!L37+'9. 추정 IS'!L38</f>
        <v>318449.85433105339</v>
      </c>
      <c r="AC20" s="63">
        <f>'9. 추정 IS'!M37+'9. 추정 IS'!M38</f>
        <v>314768.82056562149</v>
      </c>
      <c r="AD20" s="63">
        <f>'9. 추정 IS'!N37+'9. 추정 IS'!N38</f>
        <v>312593.35665659246</v>
      </c>
      <c r="AE20" s="63">
        <f>'9. 추정 IS'!O37+'9. 추정 IS'!O38</f>
        <v>311278.86727265042</v>
      </c>
      <c r="AF20" s="63">
        <f>'9. 추정 IS'!P37+'9. 추정 IS'!P38</f>
        <v>310422.04351641628</v>
      </c>
      <c r="AG20" s="63">
        <f>'9. 추정 IS'!Q37+'9. 추정 IS'!Q38</f>
        <v>310012.32202732499</v>
      </c>
      <c r="AI20" s="549" t="s">
        <v>338</v>
      </c>
      <c r="AJ20" s="529"/>
      <c r="AK20" s="1046" t="s">
        <v>336</v>
      </c>
      <c r="AL20" s="1047"/>
      <c r="AM20" s="550">
        <v>346721</v>
      </c>
      <c r="AN20" s="551">
        <v>-5.8999999999999997E-2</v>
      </c>
      <c r="AO20" s="552">
        <v>343448</v>
      </c>
      <c r="AP20" s="551">
        <v>-8.9999999999999993E-3</v>
      </c>
      <c r="AQ20" s="552">
        <v>341483</v>
      </c>
      <c r="AR20" s="551">
        <v>-6.0000000000000001E-3</v>
      </c>
      <c r="AS20" s="552">
        <v>339766</v>
      </c>
      <c r="AT20" s="551">
        <v>-5.0000000000000001E-3</v>
      </c>
      <c r="AU20" s="552">
        <v>321998</v>
      </c>
      <c r="AV20" s="553">
        <v>-5.1999999999999998E-2</v>
      </c>
      <c r="AX20" s="62" t="e">
        <f>#REF!-AM20</f>
        <v>#REF!</v>
      </c>
      <c r="AY20" s="65" t="e">
        <f>#REF!-AO20</f>
        <v>#REF!</v>
      </c>
      <c r="AZ20" s="65" t="e">
        <f>#REF!-AQ20</f>
        <v>#REF!</v>
      </c>
      <c r="BA20" s="65" t="e">
        <f>#REF!-AS20</f>
        <v>#REF!</v>
      </c>
      <c r="BB20" s="65">
        <f t="shared" si="1"/>
        <v>11968.800422</v>
      </c>
      <c r="BC20" s="66">
        <f t="shared" si="4"/>
        <v>-5.2294814666564639E-2</v>
      </c>
      <c r="BD20" s="76">
        <f t="shared" si="5"/>
        <v>2.9481466656464117E-4</v>
      </c>
    </row>
    <row r="21" spans="1:56" ht="25.35" customHeight="1" x14ac:dyDescent="0.3">
      <c r="A21" s="1131"/>
      <c r="B21" s="157" t="s">
        <v>324</v>
      </c>
      <c r="C21" s="1023" t="s">
        <v>337</v>
      </c>
      <c r="D21" s="1024"/>
      <c r="E21" s="42">
        <f>'1. 요약재무제표'!O21</f>
        <v>84255.337353999988</v>
      </c>
      <c r="F21" s="90"/>
      <c r="G21" s="42">
        <f>AA21</f>
        <v>85121.529402730055</v>
      </c>
      <c r="H21" s="181">
        <f t="shared" si="0"/>
        <v>1.0280559973200851E-2</v>
      </c>
      <c r="I21" s="42">
        <f>AB21</f>
        <v>85270.653863836837</v>
      </c>
      <c r="J21" s="181">
        <f t="shared" si="2"/>
        <v>1.7519006314047571E-3</v>
      </c>
      <c r="K21" s="42">
        <f>AC21</f>
        <v>84797.963288191648</v>
      </c>
      <c r="L21" s="181">
        <f t="shared" si="3"/>
        <v>-5.5434144600321426E-3</v>
      </c>
      <c r="M21" s="42">
        <f>AD21</f>
        <v>83980.464600154199</v>
      </c>
      <c r="N21" s="181">
        <f t="shared" si="3"/>
        <v>-9.6405462624040168E-3</v>
      </c>
      <c r="O21" s="42">
        <f>AE21</f>
        <v>82931.453985640343</v>
      </c>
      <c r="P21" s="181">
        <f t="shared" si="3"/>
        <v>-1.2491126591265965E-2</v>
      </c>
      <c r="Q21" s="42">
        <f>AF21</f>
        <v>81708.288729090302</v>
      </c>
      <c r="R21" s="181">
        <f t="shared" si="3"/>
        <v>-1.4749111438005573E-2</v>
      </c>
      <c r="S21" s="42">
        <f>AG21</f>
        <v>80343.910283763864</v>
      </c>
      <c r="T21" s="181">
        <f t="shared" si="3"/>
        <v>-1.6698164489163794E-2</v>
      </c>
      <c r="U21" s="112" t="s">
        <v>871</v>
      </c>
      <c r="V21" s="75"/>
      <c r="W21" s="63">
        <f>'9. 추정 IS'!G31+'9. 추정 IS'!G32</f>
        <v>106344</v>
      </c>
      <c r="X21" s="63">
        <f>'9. 추정 IS'!H31+'9. 추정 IS'!H32</f>
        <v>89694.98087040025</v>
      </c>
      <c r="Y21" s="63">
        <f>'9. 추정 IS'!I31+'9. 추정 IS'!I32</f>
        <v>76110.234655467328</v>
      </c>
      <c r="Z21" s="63">
        <f>'9. 추정 IS'!J31+'9. 추정 IS'!J32</f>
        <v>84255.337353999988</v>
      </c>
      <c r="AA21" s="63">
        <f>'9. 추정 IS'!K31+'9. 추정 IS'!K32</f>
        <v>85121.529402730055</v>
      </c>
      <c r="AB21" s="63">
        <f>'9. 추정 IS'!L31+'9. 추정 IS'!L32</f>
        <v>85270.653863836837</v>
      </c>
      <c r="AC21" s="63">
        <f>'9. 추정 IS'!M31+'9. 추정 IS'!M32</f>
        <v>84797.963288191648</v>
      </c>
      <c r="AD21" s="63">
        <f>'9. 추정 IS'!N31+'9. 추정 IS'!N32</f>
        <v>83980.464600154199</v>
      </c>
      <c r="AE21" s="63">
        <f>'9. 추정 IS'!O31+'9. 추정 IS'!O32</f>
        <v>82931.453985640343</v>
      </c>
      <c r="AF21" s="63">
        <f>'9. 추정 IS'!P31+'9. 추정 IS'!P32</f>
        <v>81708.288729090302</v>
      </c>
      <c r="AG21" s="63">
        <f>'9. 추정 IS'!Q31+'9. 추정 IS'!Q32</f>
        <v>80343.910283763864</v>
      </c>
      <c r="AI21" s="484"/>
      <c r="AJ21" s="472"/>
      <c r="AK21" s="1062" t="s">
        <v>339</v>
      </c>
      <c r="AL21" s="1063"/>
      <c r="AM21" s="564">
        <v>152786</v>
      </c>
      <c r="AN21" s="565">
        <v>0.45100000000000001</v>
      </c>
      <c r="AO21" s="566">
        <v>183471</v>
      </c>
      <c r="AP21" s="565">
        <v>0.20100000000000001</v>
      </c>
      <c r="AQ21" s="566">
        <v>200122</v>
      </c>
      <c r="AR21" s="565">
        <v>9.0999999999999998E-2</v>
      </c>
      <c r="AS21" s="566">
        <v>211276</v>
      </c>
      <c r="AT21" s="565">
        <v>5.6000000000000001E-2</v>
      </c>
      <c r="AU21" s="566">
        <v>218975</v>
      </c>
      <c r="AV21" s="567">
        <v>3.5999999999999997E-2</v>
      </c>
      <c r="AX21" s="62" t="e">
        <f>#REF!-AM21</f>
        <v>#REF!</v>
      </c>
      <c r="AY21" s="65" t="e">
        <f>#REF!-AO21</f>
        <v>#REF!</v>
      </c>
      <c r="AZ21" s="65" t="e">
        <f>#REF!-AQ21</f>
        <v>#REF!</v>
      </c>
      <c r="BA21" s="65" t="e">
        <f>#REF!-AS21</f>
        <v>#REF!</v>
      </c>
      <c r="BB21" s="65">
        <f t="shared" si="1"/>
        <v>-134719.66264600001</v>
      </c>
      <c r="BC21" s="66">
        <f t="shared" si="4"/>
        <v>3.6440485431378858E-2</v>
      </c>
      <c r="BD21" s="76">
        <f t="shared" si="5"/>
        <v>-4.4048543137886059E-4</v>
      </c>
    </row>
    <row r="22" spans="1:56" ht="25.35" customHeight="1" x14ac:dyDescent="0.3">
      <c r="A22" s="1131"/>
      <c r="B22" s="157" t="s">
        <v>324</v>
      </c>
      <c r="C22" s="1023" t="s">
        <v>340</v>
      </c>
      <c r="D22" s="1024"/>
      <c r="E22" s="42">
        <f>SUM(E23:E25)</f>
        <v>630888.0499300001</v>
      </c>
      <c r="F22" s="90"/>
      <c r="G22" s="42">
        <f>SUM(G23:G25)</f>
        <v>649894.34556855517</v>
      </c>
      <c r="H22" s="181">
        <f t="shared" si="0"/>
        <v>3.0126257171401351E-2</v>
      </c>
      <c r="I22" s="42">
        <f>SUM(I23:I25)</f>
        <v>650649.88980682124</v>
      </c>
      <c r="J22" s="181">
        <f t="shared" si="2"/>
        <v>1.1625647205856012E-3</v>
      </c>
      <c r="K22" s="42">
        <f>SUM(K23:K25)</f>
        <v>649212.00575766992</v>
      </c>
      <c r="L22" s="181">
        <f t="shared" si="3"/>
        <v>-2.2099197612685914E-3</v>
      </c>
      <c r="M22" s="42">
        <f>SUM(M23:M25)</f>
        <v>646672.14650437876</v>
      </c>
      <c r="N22" s="181">
        <f t="shared" si="3"/>
        <v>-3.9122185522847608E-3</v>
      </c>
      <c r="O22" s="42">
        <f>SUM(O23:O25)</f>
        <v>644169.55220046279</v>
      </c>
      <c r="P22" s="181">
        <f t="shared" si="3"/>
        <v>-3.8699583976886656E-3</v>
      </c>
      <c r="Q22" s="42">
        <f>SUM(Q23:Q25)</f>
        <v>642444.52409109683</v>
      </c>
      <c r="R22" s="181">
        <f t="shared" si="3"/>
        <v>-2.6779100369977381E-3</v>
      </c>
      <c r="S22" s="42">
        <f>SUM(S23:S25)</f>
        <v>641634.55392623437</v>
      </c>
      <c r="T22" s="181">
        <f t="shared" si="3"/>
        <v>-1.2607628121795772E-3</v>
      </c>
      <c r="U22" s="81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I22" s="484"/>
      <c r="AJ22" s="472"/>
      <c r="AK22" s="1065" t="s">
        <v>289</v>
      </c>
      <c r="AL22" s="1066"/>
      <c r="AM22" s="564">
        <v>804673</v>
      </c>
      <c r="AN22" s="565">
        <v>9.8000000000000004E-2</v>
      </c>
      <c r="AO22" s="566">
        <v>884204</v>
      </c>
      <c r="AP22" s="565">
        <v>9.9000000000000005E-2</v>
      </c>
      <c r="AQ22" s="566">
        <v>947128</v>
      </c>
      <c r="AR22" s="565">
        <v>7.0999999999999994E-2</v>
      </c>
      <c r="AS22" s="566">
        <v>1004685</v>
      </c>
      <c r="AT22" s="565">
        <v>6.0999999999999999E-2</v>
      </c>
      <c r="AU22" s="566">
        <v>1073871</v>
      </c>
      <c r="AV22" s="567">
        <v>6.9000000000000006E-2</v>
      </c>
      <c r="AX22" s="62" t="e">
        <f>#REF!-AM22</f>
        <v>#REF!</v>
      </c>
      <c r="AY22" s="65" t="e">
        <f>#REF!-AO22</f>
        <v>#REF!</v>
      </c>
      <c r="AZ22" s="65" t="e">
        <f>#REF!-AQ22</f>
        <v>#REF!</v>
      </c>
      <c r="BA22" s="65" t="e">
        <f>#REF!-AS22</f>
        <v>#REF!</v>
      </c>
      <c r="BB22" s="65">
        <f t="shared" si="1"/>
        <v>-442982.9500699999</v>
      </c>
      <c r="BC22" s="66">
        <f t="shared" si="4"/>
        <v>6.8863375087714063E-2</v>
      </c>
      <c r="BD22" s="76">
        <f t="shared" si="5"/>
        <v>1.3662491228594309E-4</v>
      </c>
    </row>
    <row r="23" spans="1:56" ht="25.35" customHeight="1" x14ac:dyDescent="0.3">
      <c r="A23" s="1131"/>
      <c r="B23" s="60" t="s">
        <v>324</v>
      </c>
      <c r="C23" s="165" t="s">
        <v>324</v>
      </c>
      <c r="D23" s="179" t="s">
        <v>341</v>
      </c>
      <c r="E23" s="223">
        <f>'1. 요약재무제표'!O23</f>
        <v>0</v>
      </c>
      <c r="F23" s="178"/>
      <c r="G23" s="223">
        <f>AA23</f>
        <v>0</v>
      </c>
      <c r="H23" s="242"/>
      <c r="I23" s="223">
        <f>AB23</f>
        <v>0</v>
      </c>
      <c r="J23" s="242"/>
      <c r="K23" s="223">
        <f>AC23</f>
        <v>0</v>
      </c>
      <c r="L23" s="242"/>
      <c r="M23" s="223">
        <f>AD23</f>
        <v>0</v>
      </c>
      <c r="N23" s="242"/>
      <c r="O23" s="223">
        <f>AE23</f>
        <v>0</v>
      </c>
      <c r="P23" s="242"/>
      <c r="Q23" s="223">
        <f>AF23</f>
        <v>0</v>
      </c>
      <c r="R23" s="242"/>
      <c r="S23" s="223">
        <f>AG23</f>
        <v>0</v>
      </c>
      <c r="T23" s="242"/>
      <c r="U23" s="14"/>
      <c r="W23" s="63">
        <f>'9. 추정 IS'!G28</f>
        <v>0</v>
      </c>
      <c r="X23" s="63">
        <f>'9. 추정 IS'!H28</f>
        <v>0</v>
      </c>
      <c r="Y23" s="63">
        <f>'9. 추정 IS'!I28</f>
        <v>0</v>
      </c>
      <c r="Z23" s="63">
        <f>'9. 추정 IS'!J28</f>
        <v>0</v>
      </c>
      <c r="AA23" s="63">
        <f>'9. 추정 IS'!K28</f>
        <v>0</v>
      </c>
      <c r="AB23" s="63">
        <f>'9. 추정 IS'!L28</f>
        <v>0</v>
      </c>
      <c r="AC23" s="63">
        <f>'9. 추정 IS'!M28</f>
        <v>0</v>
      </c>
      <c r="AD23" s="63">
        <f>'9. 추정 IS'!N28</f>
        <v>0</v>
      </c>
      <c r="AE23" s="63">
        <f>'9. 추정 IS'!O28</f>
        <v>0</v>
      </c>
      <c r="AF23" s="63">
        <f>'9. 추정 IS'!P28</f>
        <v>0</v>
      </c>
      <c r="AG23" s="63">
        <f>'9. 추정 IS'!Q28</f>
        <v>0</v>
      </c>
      <c r="AI23" s="484"/>
      <c r="AJ23" s="472"/>
      <c r="AK23" s="513"/>
      <c r="AL23" s="514" t="s">
        <v>342</v>
      </c>
      <c r="AM23" s="572">
        <v>0</v>
      </c>
      <c r="AN23" s="573"/>
      <c r="AO23" s="574">
        <v>0</v>
      </c>
      <c r="AP23" s="573"/>
      <c r="AQ23" s="574">
        <v>0</v>
      </c>
      <c r="AR23" s="573"/>
      <c r="AS23" s="574">
        <v>0</v>
      </c>
      <c r="AT23" s="573"/>
      <c r="AU23" s="574">
        <v>0</v>
      </c>
      <c r="AV23" s="575"/>
      <c r="AX23" s="62" t="e">
        <f>#REF!-AM23</f>
        <v>#REF!</v>
      </c>
      <c r="AY23" s="65" t="e">
        <f>#REF!-AO23</f>
        <v>#REF!</v>
      </c>
      <c r="AZ23" s="65" t="e">
        <f>#REF!-AQ23</f>
        <v>#REF!</v>
      </c>
      <c r="BA23" s="65" t="e">
        <f>#REF!-AS23</f>
        <v>#REF!</v>
      </c>
      <c r="BB23" s="65">
        <f t="shared" si="1"/>
        <v>0</v>
      </c>
      <c r="BC23" s="66" t="e">
        <f t="shared" si="4"/>
        <v>#DIV/0!</v>
      </c>
      <c r="BD23" s="76" t="e">
        <f t="shared" si="5"/>
        <v>#DIV/0!</v>
      </c>
    </row>
    <row r="24" spans="1:56" ht="25.35" customHeight="1" x14ac:dyDescent="0.3">
      <c r="A24" s="1131"/>
      <c r="B24" s="60" t="s">
        <v>324</v>
      </c>
      <c r="C24" s="165" t="s">
        <v>324</v>
      </c>
      <c r="D24" s="166" t="s">
        <v>343</v>
      </c>
      <c r="E24" s="45">
        <f>'1. 요약재무제표'!O24</f>
        <v>611356.64616600005</v>
      </c>
      <c r="F24" s="89"/>
      <c r="G24" s="45">
        <f>AA24</f>
        <v>623450.72830420558</v>
      </c>
      <c r="H24" s="182">
        <f t="shared" ref="H24:H38" si="6">(G24-E24)/E24</f>
        <v>1.9782367974652975E-2</v>
      </c>
      <c r="I24" s="45">
        <f>AB24</f>
        <v>629155.51429314702</v>
      </c>
      <c r="J24" s="182">
        <f t="shared" ref="J24:J38" si="7">(I24-G24)/G24</f>
        <v>9.150339762146938E-3</v>
      </c>
      <c r="K24" s="45">
        <f>AC24</f>
        <v>630491.07323215413</v>
      </c>
      <c r="L24" s="182">
        <f t="shared" ref="L24:T38" si="8">(K24-I24)/I24</f>
        <v>2.1227803121261751E-3</v>
      </c>
      <c r="M24" s="45">
        <f>AD24</f>
        <v>629598.38376601005</v>
      </c>
      <c r="N24" s="182">
        <f t="shared" si="8"/>
        <v>-1.4158637672184394E-3</v>
      </c>
      <c r="O24" s="45">
        <f>AE24</f>
        <v>628112.57645211008</v>
      </c>
      <c r="P24" s="182">
        <f t="shared" si="8"/>
        <v>-2.3599287295060383E-3</v>
      </c>
      <c r="Q24" s="45">
        <f>AF24</f>
        <v>627031.5390223104</v>
      </c>
      <c r="R24" s="182">
        <f t="shared" si="8"/>
        <v>-1.7210886556449929E-3</v>
      </c>
      <c r="S24" s="45">
        <f>AG24</f>
        <v>626636.48212045245</v>
      </c>
      <c r="T24" s="182">
        <f t="shared" si="8"/>
        <v>-6.3004311150590927E-4</v>
      </c>
      <c r="U24" s="81"/>
      <c r="W24" s="63">
        <f>'9. 추정 IS'!G27</f>
        <v>732689</v>
      </c>
      <c r="X24" s="63">
        <f>'9. 추정 IS'!H27</f>
        <v>675496.45537428884</v>
      </c>
      <c r="Y24" s="63">
        <f>'9. 추정 IS'!I27</f>
        <v>648115.4544552014</v>
      </c>
      <c r="Z24" s="63">
        <f>'9. 추정 IS'!J27</f>
        <v>611356.64616600005</v>
      </c>
      <c r="AA24" s="63">
        <f>'9. 추정 IS'!K27</f>
        <v>623450.72830420558</v>
      </c>
      <c r="AB24" s="63">
        <f>'9. 추정 IS'!L27</f>
        <v>629155.51429314702</v>
      </c>
      <c r="AC24" s="63">
        <f>'9. 추정 IS'!M27</f>
        <v>630491.07323215413</v>
      </c>
      <c r="AD24" s="63">
        <f>'9. 추정 IS'!N27</f>
        <v>629598.38376601005</v>
      </c>
      <c r="AE24" s="63">
        <f>'9. 추정 IS'!O27</f>
        <v>628112.57645211008</v>
      </c>
      <c r="AF24" s="63">
        <f>'9. 추정 IS'!P27</f>
        <v>627031.5390223104</v>
      </c>
      <c r="AG24" s="63">
        <f>'9. 추정 IS'!Q27</f>
        <v>626636.48212045245</v>
      </c>
      <c r="AI24" s="484"/>
      <c r="AJ24" s="472"/>
      <c r="AK24" s="513"/>
      <c r="AL24" s="514" t="s">
        <v>350</v>
      </c>
      <c r="AM24" s="564">
        <v>763873</v>
      </c>
      <c r="AN24" s="576">
        <v>0.109</v>
      </c>
      <c r="AO24" s="566">
        <v>847477</v>
      </c>
      <c r="AP24" s="576">
        <v>0.109</v>
      </c>
      <c r="AQ24" s="566">
        <v>916207</v>
      </c>
      <c r="AR24" s="576">
        <v>8.1000000000000003E-2</v>
      </c>
      <c r="AS24" s="566">
        <v>980551</v>
      </c>
      <c r="AT24" s="576">
        <v>7.0000000000000007E-2</v>
      </c>
      <c r="AU24" s="566">
        <v>1065797</v>
      </c>
      <c r="AV24" s="577">
        <v>8.6999999999999994E-2</v>
      </c>
      <c r="AX24" s="62" t="e">
        <f>#REF!-AM24</f>
        <v>#REF!</v>
      </c>
      <c r="AY24" s="65" t="e">
        <f>#REF!-AO24</f>
        <v>#REF!</v>
      </c>
      <c r="AZ24" s="65" t="e">
        <f>#REF!-AQ24</f>
        <v>#REF!</v>
      </c>
      <c r="BA24" s="65" t="e">
        <f>#REF!-AS24</f>
        <v>#REF!</v>
      </c>
      <c r="BB24" s="65">
        <f t="shared" si="1"/>
        <v>-454440.35383399995</v>
      </c>
      <c r="BC24" s="66">
        <f t="shared" si="4"/>
        <v>8.6936834494075271E-2</v>
      </c>
      <c r="BD24" s="76">
        <f t="shared" si="5"/>
        <v>6.3165505924722698E-5</v>
      </c>
    </row>
    <row r="25" spans="1:56" ht="25.35" customHeight="1" thickBot="1" x14ac:dyDescent="0.35">
      <c r="A25" s="1131"/>
      <c r="B25" s="60" t="s">
        <v>324</v>
      </c>
      <c r="C25" s="167" t="s">
        <v>324</v>
      </c>
      <c r="D25" s="168" t="s">
        <v>344</v>
      </c>
      <c r="E25" s="184">
        <f>'1. 요약재무제표'!O25</f>
        <v>19531.403763999999</v>
      </c>
      <c r="F25" s="183"/>
      <c r="G25" s="184">
        <f>AA25</f>
        <v>26443.617264349603</v>
      </c>
      <c r="H25" s="185">
        <f t="shared" si="6"/>
        <v>0.35390254504338781</v>
      </c>
      <c r="I25" s="184">
        <f>AB25</f>
        <v>21494.375513674258</v>
      </c>
      <c r="J25" s="185">
        <f t="shared" si="7"/>
        <v>-0.18716205506981626</v>
      </c>
      <c r="K25" s="184">
        <f>AC25</f>
        <v>18720.932525515789</v>
      </c>
      <c r="L25" s="185">
        <f t="shared" si="8"/>
        <v>-0.12903110334115381</v>
      </c>
      <c r="M25" s="184">
        <f>AD25</f>
        <v>17073.762738368674</v>
      </c>
      <c r="N25" s="185">
        <f t="shared" si="8"/>
        <v>-8.7985456114544336E-2</v>
      </c>
      <c r="O25" s="184">
        <f>AE25</f>
        <v>16056.975748352736</v>
      </c>
      <c r="P25" s="185">
        <f t="shared" si="8"/>
        <v>-5.955260159091845E-2</v>
      </c>
      <c r="Q25" s="184">
        <f>AF25</f>
        <v>15412.985068786433</v>
      </c>
      <c r="R25" s="185">
        <f t="shared" si="8"/>
        <v>-4.0106598506407347E-2</v>
      </c>
      <c r="S25" s="184">
        <f>AG25</f>
        <v>14998.071805781912</v>
      </c>
      <c r="T25" s="185">
        <f t="shared" si="8"/>
        <v>-2.6919721335796339E-2</v>
      </c>
      <c r="U25" s="81"/>
      <c r="W25" s="63">
        <f>'9. 추정 IS'!G29</f>
        <v>32932</v>
      </c>
      <c r="X25" s="63">
        <f>'9. 추정 IS'!H29</f>
        <v>19113.029527023864</v>
      </c>
      <c r="Y25" s="63">
        <f>'9. 추정 IS'!I29</f>
        <v>16572.11155264093</v>
      </c>
      <c r="Z25" s="63">
        <f>'9. 추정 IS'!J29</f>
        <v>19531.403763999999</v>
      </c>
      <c r="AA25" s="63">
        <f>'9. 추정 IS'!K29</f>
        <v>26443.617264349603</v>
      </c>
      <c r="AB25" s="63">
        <f>'9. 추정 IS'!L29</f>
        <v>21494.375513674258</v>
      </c>
      <c r="AC25" s="63">
        <f>'9. 추정 IS'!M29</f>
        <v>18720.932525515789</v>
      </c>
      <c r="AD25" s="63">
        <f>'9. 추정 IS'!N29</f>
        <v>17073.762738368674</v>
      </c>
      <c r="AE25" s="63">
        <f>'9. 추정 IS'!O29</f>
        <v>16056.975748352736</v>
      </c>
      <c r="AF25" s="63">
        <f>'9. 추정 IS'!P29</f>
        <v>15412.985068786433</v>
      </c>
      <c r="AG25" s="63">
        <f>'9. 추정 IS'!Q29</f>
        <v>14998.071805781912</v>
      </c>
      <c r="AI25" s="484"/>
      <c r="AJ25" s="472"/>
      <c r="AK25" s="516"/>
      <c r="AL25" s="517" t="s">
        <v>345</v>
      </c>
      <c r="AM25" s="554">
        <v>40800</v>
      </c>
      <c r="AN25" s="578">
        <v>-7.4999999999999997E-2</v>
      </c>
      <c r="AO25" s="556">
        <v>36727</v>
      </c>
      <c r="AP25" s="578">
        <v>-0.1</v>
      </c>
      <c r="AQ25" s="556">
        <v>30921</v>
      </c>
      <c r="AR25" s="578">
        <v>-0.158</v>
      </c>
      <c r="AS25" s="556">
        <v>24135</v>
      </c>
      <c r="AT25" s="578">
        <v>-0.219</v>
      </c>
      <c r="AU25" s="556">
        <v>8074</v>
      </c>
      <c r="AV25" s="579">
        <v>-0.66500000000000004</v>
      </c>
      <c r="AX25" s="62" t="e">
        <f>#REF!-AM25</f>
        <v>#REF!</v>
      </c>
      <c r="AY25" s="65" t="e">
        <f>#REF!-AO25</f>
        <v>#REF!</v>
      </c>
      <c r="AZ25" s="65" t="e">
        <f>#REF!-AQ25</f>
        <v>#REF!</v>
      </c>
      <c r="BA25" s="65" t="e">
        <f>#REF!-AS25</f>
        <v>#REF!</v>
      </c>
      <c r="BB25" s="65">
        <f t="shared" si="1"/>
        <v>11457.403763999999</v>
      </c>
      <c r="BC25" s="66">
        <f t="shared" si="4"/>
        <v>-0.66546509218976591</v>
      </c>
      <c r="BD25" s="76">
        <f t="shared" si="5"/>
        <v>4.6509218976586997E-4</v>
      </c>
    </row>
    <row r="26" spans="1:56" s="69" customFormat="1" ht="25.35" customHeight="1" thickBot="1" x14ac:dyDescent="0.35">
      <c r="A26" s="1131"/>
      <c r="B26" s="206"/>
      <c r="C26" s="1111" t="s">
        <v>399</v>
      </c>
      <c r="D26" s="1112"/>
      <c r="E26" s="92">
        <f>'1. 요약재무제표'!O26</f>
        <v>10725533.689296998</v>
      </c>
      <c r="F26" s="93"/>
      <c r="G26" s="92">
        <f>AA26</f>
        <v>10972581.755030418</v>
      </c>
      <c r="H26" s="93">
        <f t="shared" si="6"/>
        <v>2.3033638501359501E-2</v>
      </c>
      <c r="I26" s="92">
        <f>AB26</f>
        <v>11162056.045430969</v>
      </c>
      <c r="J26" s="93">
        <f t="shared" si="7"/>
        <v>1.7267977093329608E-2</v>
      </c>
      <c r="K26" s="92">
        <f>AC26</f>
        <v>11362310.430980613</v>
      </c>
      <c r="L26" s="93">
        <f t="shared" si="8"/>
        <v>1.7940636092005229E-2</v>
      </c>
      <c r="M26" s="92">
        <f>AD26</f>
        <v>11583060.023459554</v>
      </c>
      <c r="N26" s="93">
        <f t="shared" si="8"/>
        <v>1.942823106443578E-2</v>
      </c>
      <c r="O26" s="92">
        <f>AE26</f>
        <v>11812050.73934936</v>
      </c>
      <c r="P26" s="93">
        <f t="shared" si="8"/>
        <v>1.9769449128816001E-2</v>
      </c>
      <c r="Q26" s="92">
        <f>AF26</f>
        <v>12068915.710667491</v>
      </c>
      <c r="R26" s="93">
        <f t="shared" si="8"/>
        <v>2.1746009815420089E-2</v>
      </c>
      <c r="S26" s="92">
        <f>AG26</f>
        <v>12350844.760973234</v>
      </c>
      <c r="T26" s="93">
        <f t="shared" si="8"/>
        <v>2.3359931999239244E-2</v>
      </c>
      <c r="U26" s="94"/>
      <c r="W26" s="63">
        <f>'7-1. FS'!AD51</f>
        <v>9330023.0902379993</v>
      </c>
      <c r="X26" s="63">
        <f>'7-1. FS'!AE51</f>
        <v>9755829.6800590046</v>
      </c>
      <c r="Y26" s="63">
        <f>'7-1. FS'!AF51</f>
        <v>10325953.037656</v>
      </c>
      <c r="Z26" s="63">
        <f>'7-1. FS'!AG51</f>
        <v>10725534</v>
      </c>
      <c r="AA26" s="63">
        <f>'7-1. FS'!AH51</f>
        <v>10972581.755030418</v>
      </c>
      <c r="AB26" s="63">
        <f>'7-1. FS'!AI51</f>
        <v>11162056.045430969</v>
      </c>
      <c r="AC26" s="63">
        <f>'7-1. FS'!AJ51</f>
        <v>11362310.430980613</v>
      </c>
      <c r="AD26" s="63">
        <f>'7-1. FS'!AK51</f>
        <v>11583060.023459554</v>
      </c>
      <c r="AE26" s="63">
        <f>'7-1. FS'!AL51</f>
        <v>11812050.73934936</v>
      </c>
      <c r="AF26" s="63">
        <f>'7-1. FS'!AM51</f>
        <v>12068915.710667491</v>
      </c>
      <c r="AG26" s="63">
        <f>'7-1. FS'!AN51</f>
        <v>12350844.760973234</v>
      </c>
      <c r="AI26" s="484"/>
      <c r="AJ26" s="529"/>
      <c r="AK26" s="1106" t="s">
        <v>351</v>
      </c>
      <c r="AL26" s="1107"/>
      <c r="AM26" s="568">
        <v>8934808</v>
      </c>
      <c r="AN26" s="580"/>
      <c r="AO26" s="570">
        <v>10385196</v>
      </c>
      <c r="AP26" s="569">
        <v>0.16200000000000001</v>
      </c>
      <c r="AQ26" s="570">
        <v>10967934</v>
      </c>
      <c r="AR26" s="569">
        <v>5.6000000000000001E-2</v>
      </c>
      <c r="AS26" s="570">
        <v>11651368</v>
      </c>
      <c r="AT26" s="569">
        <v>6.2E-2</v>
      </c>
      <c r="AU26" s="570">
        <v>12267340</v>
      </c>
      <c r="AV26" s="571">
        <v>5.2999999999999999E-2</v>
      </c>
      <c r="AX26" s="62" t="e">
        <f>#REF!-AM26</f>
        <v>#REF!</v>
      </c>
      <c r="AY26" s="65" t="e">
        <f>#REF!-AO26</f>
        <v>#REF!</v>
      </c>
      <c r="AZ26" s="65" t="e">
        <f>#REF!-AQ26</f>
        <v>#REF!</v>
      </c>
      <c r="BA26" s="65" t="e">
        <f>#REF!-AS26</f>
        <v>#REF!</v>
      </c>
      <c r="BB26" s="65">
        <f t="shared" si="1"/>
        <v>-1541806.3107030019</v>
      </c>
      <c r="BC26" s="66">
        <f t="shared" si="4"/>
        <v>5.2866925154196484E-2</v>
      </c>
      <c r="BD26" s="76">
        <f t="shared" si="5"/>
        <v>1.3307484580351442E-4</v>
      </c>
    </row>
    <row r="27" spans="1:56" ht="25.35" customHeight="1" thickBot="1" x14ac:dyDescent="0.35">
      <c r="A27" s="1131"/>
      <c r="B27" s="1108" t="s">
        <v>290</v>
      </c>
      <c r="C27" s="1109"/>
      <c r="D27" s="1110"/>
      <c r="E27" s="83">
        <f>E28+E29</f>
        <v>8902467.3174399994</v>
      </c>
      <c r="F27" s="84"/>
      <c r="G27" s="83">
        <f>G28+G29</f>
        <v>9008909.2566301897</v>
      </c>
      <c r="H27" s="84">
        <f t="shared" si="6"/>
        <v>1.1956453800360462E-2</v>
      </c>
      <c r="I27" s="83">
        <f>I28+I29</f>
        <v>9186266.4907691628</v>
      </c>
      <c r="J27" s="84">
        <f t="shared" si="7"/>
        <v>1.9686870972581434E-2</v>
      </c>
      <c r="K27" s="83">
        <f>K28+K29</f>
        <v>9371141.0904086307</v>
      </c>
      <c r="L27" s="84">
        <f t="shared" si="8"/>
        <v>2.0125107389954284E-2</v>
      </c>
      <c r="M27" s="83">
        <f>M28+M29</f>
        <v>9570388.4201867245</v>
      </c>
      <c r="N27" s="84">
        <f t="shared" si="8"/>
        <v>2.126180022857874E-2</v>
      </c>
      <c r="O27" s="83">
        <f>O28+O29</f>
        <v>9763257.2092240453</v>
      </c>
      <c r="P27" s="84">
        <f t="shared" si="8"/>
        <v>2.0152660536797498E-2</v>
      </c>
      <c r="Q27" s="83">
        <f>Q28+Q29</f>
        <v>9977799.3608639501</v>
      </c>
      <c r="R27" s="84">
        <f t="shared" si="8"/>
        <v>2.1974444290703676E-2</v>
      </c>
      <c r="S27" s="83">
        <f>S28+S29</f>
        <v>10211275.941211879</v>
      </c>
      <c r="T27" s="84">
        <f t="shared" si="8"/>
        <v>2.3399606657124948E-2</v>
      </c>
      <c r="U27" s="81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I27" s="484"/>
      <c r="AJ27" s="1041" t="s">
        <v>290</v>
      </c>
      <c r="AK27" s="1042"/>
      <c r="AL27" s="1043"/>
      <c r="AM27" s="568">
        <v>7357110</v>
      </c>
      <c r="AN27" s="581">
        <v>35.619</v>
      </c>
      <c r="AO27" s="570">
        <v>8565286</v>
      </c>
      <c r="AP27" s="559">
        <v>0.16400000000000001</v>
      </c>
      <c r="AQ27" s="570">
        <v>9097444</v>
      </c>
      <c r="AR27" s="559">
        <v>6.2E-2</v>
      </c>
      <c r="AS27" s="570">
        <v>9732403</v>
      </c>
      <c r="AT27" s="559">
        <v>7.0000000000000007E-2</v>
      </c>
      <c r="AU27" s="570">
        <v>10368448</v>
      </c>
      <c r="AV27" s="561">
        <v>6.5000000000000002E-2</v>
      </c>
      <c r="AX27" s="62" t="e">
        <f>#REF!-AM27</f>
        <v>#REF!</v>
      </c>
      <c r="AY27" s="65" t="e">
        <f>#REF!-AO27</f>
        <v>#REF!</v>
      </c>
      <c r="AZ27" s="65" t="e">
        <f>#REF!-AQ27</f>
        <v>#REF!</v>
      </c>
      <c r="BA27" s="65" t="e">
        <f>#REF!-AS27</f>
        <v>#REF!</v>
      </c>
      <c r="BB27" s="65">
        <f t="shared" si="1"/>
        <v>-1465980.6825600006</v>
      </c>
      <c r="BC27" s="66">
        <f t="shared" si="4"/>
        <v>6.5353335656158099E-2</v>
      </c>
      <c r="BD27" s="76">
        <f t="shared" si="5"/>
        <v>-3.5333565615809637E-4</v>
      </c>
    </row>
    <row r="28" spans="1:56" ht="25.35" customHeight="1" thickBot="1" x14ac:dyDescent="0.35">
      <c r="A28" s="1131"/>
      <c r="B28" s="104"/>
      <c r="C28" s="207" t="s">
        <v>465</v>
      </c>
      <c r="D28" s="208"/>
      <c r="E28" s="78">
        <f>'1. 요약재무제표'!O28</f>
        <v>139480.34736000001</v>
      </c>
      <c r="F28" s="84"/>
      <c r="G28" s="78">
        <f>AA28</f>
        <v>139521.16706929944</v>
      </c>
      <c r="H28" s="84">
        <f t="shared" si="6"/>
        <v>2.9265563265387656E-4</v>
      </c>
      <c r="I28" s="78">
        <f>AB28</f>
        <v>142806.92456777723</v>
      </c>
      <c r="J28" s="84">
        <f t="shared" si="7"/>
        <v>2.3550243790935111E-2</v>
      </c>
      <c r="K28" s="78">
        <f>AC28</f>
        <v>146933.35538769717</v>
      </c>
      <c r="L28" s="84">
        <f t="shared" si="8"/>
        <v>2.8895173202623723E-2</v>
      </c>
      <c r="M28" s="78">
        <f>AD28</f>
        <v>149721.20462566064</v>
      </c>
      <c r="N28" s="84">
        <f t="shared" si="8"/>
        <v>1.8973562746236027E-2</v>
      </c>
      <c r="O28" s="78">
        <f>AE28</f>
        <v>152455.24345760813</v>
      </c>
      <c r="P28" s="84">
        <f t="shared" si="8"/>
        <v>1.826086584584494E-2</v>
      </c>
      <c r="Q28" s="78">
        <f>AF28</f>
        <v>155104.03930481637</v>
      </c>
      <c r="R28" s="84">
        <f t="shared" si="8"/>
        <v>1.7374252187952893E-2</v>
      </c>
      <c r="S28" s="78">
        <f>AG28</f>
        <v>157583.31365132201</v>
      </c>
      <c r="T28" s="84">
        <f t="shared" si="8"/>
        <v>1.598458916748955E-2</v>
      </c>
      <c r="U28" s="81"/>
      <c r="W28" s="63">
        <f>'7-1. FS'!AD53</f>
        <v>187896</v>
      </c>
      <c r="X28" s="63">
        <f>'7-1. FS'!AE53</f>
        <v>149269</v>
      </c>
      <c r="Y28" s="63">
        <f>'7-1. FS'!AF53</f>
        <v>119598</v>
      </c>
      <c r="Z28" s="63">
        <f>'7-1. FS'!AG53</f>
        <v>139480.34736000001</v>
      </c>
      <c r="AA28" s="63">
        <f>'7-1. FS'!AH53</f>
        <v>139521.16706929944</v>
      </c>
      <c r="AB28" s="63">
        <f>'7-1. FS'!AI53</f>
        <v>142806.92456777723</v>
      </c>
      <c r="AC28" s="63">
        <f>'7-1. FS'!AJ53</f>
        <v>146933.35538769717</v>
      </c>
      <c r="AD28" s="63">
        <f>'7-1. FS'!AK53</f>
        <v>149721.20462566064</v>
      </c>
      <c r="AE28" s="63">
        <f>'7-1. FS'!AL53</f>
        <v>152455.24345760813</v>
      </c>
      <c r="AF28" s="63">
        <f>'7-1. FS'!AM53</f>
        <v>155104.03930481637</v>
      </c>
      <c r="AG28" s="63">
        <f>'7-1. FS'!AN53</f>
        <v>157583.31365132201</v>
      </c>
      <c r="AI28" s="484"/>
      <c r="AJ28" s="529"/>
      <c r="AK28" s="1106" t="s">
        <v>349</v>
      </c>
      <c r="AL28" s="1107"/>
      <c r="AM28" s="568">
        <v>291321</v>
      </c>
      <c r="AN28" s="581">
        <v>0.45</v>
      </c>
      <c r="AO28" s="570">
        <v>349585</v>
      </c>
      <c r="AP28" s="559">
        <v>0.2</v>
      </c>
      <c r="AQ28" s="570">
        <v>381048</v>
      </c>
      <c r="AR28" s="559">
        <v>0.09</v>
      </c>
      <c r="AS28" s="570">
        <v>402005</v>
      </c>
      <c r="AT28" s="559">
        <v>5.5E-2</v>
      </c>
      <c r="AU28" s="570">
        <v>416076</v>
      </c>
      <c r="AV28" s="561">
        <v>3.5000000000000003E-2</v>
      </c>
      <c r="AX28" s="62" t="e">
        <f>#REF!-AM28</f>
        <v>#REF!</v>
      </c>
      <c r="AY28" s="65" t="e">
        <f>#REF!-AO28</f>
        <v>#REF!</v>
      </c>
      <c r="AZ28" s="65" t="e">
        <f>#REF!-AQ28</f>
        <v>#REF!</v>
      </c>
      <c r="BA28" s="65" t="e">
        <f>#REF!-AS28</f>
        <v>#REF!</v>
      </c>
      <c r="BB28" s="65">
        <f t="shared" si="1"/>
        <v>-276595.65263999999</v>
      </c>
      <c r="BC28" s="66">
        <f t="shared" si="4"/>
        <v>3.5002052213280926E-2</v>
      </c>
      <c r="BD28" s="76">
        <f t="shared" si="5"/>
        <v>-2.0522132809230875E-6</v>
      </c>
    </row>
    <row r="29" spans="1:56" ht="25.35" customHeight="1" thickBot="1" x14ac:dyDescent="0.35">
      <c r="A29" s="1131"/>
      <c r="B29" s="104"/>
      <c r="C29" s="209" t="s">
        <v>399</v>
      </c>
      <c r="D29" s="210"/>
      <c r="E29" s="78">
        <f>'1. 요약재무제표'!O29</f>
        <v>8762986.9700799994</v>
      </c>
      <c r="F29" s="84"/>
      <c r="G29" s="78">
        <f>AA29</f>
        <v>8869388.0895608906</v>
      </c>
      <c r="H29" s="84">
        <f t="shared" si="6"/>
        <v>1.2142106321073281E-2</v>
      </c>
      <c r="I29" s="78">
        <f>AB29</f>
        <v>9043459.5662013851</v>
      </c>
      <c r="J29" s="84">
        <f t="shared" si="7"/>
        <v>1.9626097638615399E-2</v>
      </c>
      <c r="K29" s="78">
        <f>AC29</f>
        <v>9224207.7350209337</v>
      </c>
      <c r="L29" s="84">
        <f t="shared" si="8"/>
        <v>1.998661767616771E-2</v>
      </c>
      <c r="M29" s="78">
        <f>AD29</f>
        <v>9420667.215561064</v>
      </c>
      <c r="N29" s="84">
        <f t="shared" si="8"/>
        <v>2.1298249799193668E-2</v>
      </c>
      <c r="O29" s="78">
        <f>AE29</f>
        <v>9610801.9657664374</v>
      </c>
      <c r="P29" s="84">
        <f t="shared" si="8"/>
        <v>2.0182726536747703E-2</v>
      </c>
      <c r="Q29" s="78">
        <f>AF29</f>
        <v>9822695.321559133</v>
      </c>
      <c r="R29" s="84">
        <f t="shared" si="8"/>
        <v>2.2047416703357043E-2</v>
      </c>
      <c r="S29" s="78">
        <f>AG29</f>
        <v>10053692.627560558</v>
      </c>
      <c r="T29" s="84">
        <f t="shared" si="8"/>
        <v>2.3516692561401684E-2</v>
      </c>
      <c r="U29" s="81"/>
      <c r="W29" s="63">
        <f>'7-1. FS'!AD54</f>
        <v>7522688.3692529993</v>
      </c>
      <c r="X29" s="63">
        <f>'7-1. FS'!AE54</f>
        <v>7836897.9117230019</v>
      </c>
      <c r="Y29" s="63">
        <f>'7-1. FS'!AF54</f>
        <v>8333322.0477119992</v>
      </c>
      <c r="Z29" s="63">
        <f>'7-1. FS'!AG54</f>
        <v>8671279</v>
      </c>
      <c r="AA29" s="63">
        <f>'7-1. FS'!AH54</f>
        <v>8869388.0895608906</v>
      </c>
      <c r="AB29" s="63">
        <f>'7-1. FS'!AI54</f>
        <v>9043459.5662013851</v>
      </c>
      <c r="AC29" s="63">
        <f>'7-1. FS'!AJ54</f>
        <v>9224207.7350209337</v>
      </c>
      <c r="AD29" s="63">
        <f>'7-1. FS'!AK54</f>
        <v>9420667.215561064</v>
      </c>
      <c r="AE29" s="63">
        <f>'7-1. FS'!AL54</f>
        <v>9610801.9657664374</v>
      </c>
      <c r="AF29" s="63">
        <f>'7-1. FS'!AM54</f>
        <v>9822695.321559133</v>
      </c>
      <c r="AG29" s="63">
        <f>'7-1. FS'!AN54</f>
        <v>10053692.627560558</v>
      </c>
      <c r="AI29" s="484"/>
      <c r="AJ29" s="529"/>
      <c r="AK29" s="1106" t="s">
        <v>351</v>
      </c>
      <c r="AL29" s="1107"/>
      <c r="AM29" s="568">
        <v>7101563</v>
      </c>
      <c r="AN29" s="582"/>
      <c r="AO29" s="570">
        <v>8261953</v>
      </c>
      <c r="AP29" s="559">
        <v>0.16300000000000001</v>
      </c>
      <c r="AQ29" s="570">
        <v>8715671</v>
      </c>
      <c r="AR29" s="559">
        <v>5.5E-2</v>
      </c>
      <c r="AS29" s="570">
        <v>9237093</v>
      </c>
      <c r="AT29" s="559">
        <v>0.06</v>
      </c>
      <c r="AU29" s="570">
        <v>9697193</v>
      </c>
      <c r="AV29" s="561">
        <v>0.05</v>
      </c>
      <c r="AX29" s="62" t="e">
        <f>#REF!-AM29</f>
        <v>#REF!</v>
      </c>
      <c r="AY29" s="65" t="e">
        <f>#REF!-AO29</f>
        <v>#REF!</v>
      </c>
      <c r="AZ29" s="65" t="e">
        <f>#REF!-AQ29</f>
        <v>#REF!</v>
      </c>
      <c r="BA29" s="65" t="e">
        <f>#REF!-AS29</f>
        <v>#REF!</v>
      </c>
      <c r="BB29" s="65">
        <f t="shared" si="1"/>
        <v>-934206.02992000058</v>
      </c>
      <c r="BC29" s="66">
        <f t="shared" si="4"/>
        <v>4.9810043051423211E-2</v>
      </c>
      <c r="BD29" s="76">
        <f t="shared" si="5"/>
        <v>1.8995694857679157E-4</v>
      </c>
    </row>
    <row r="30" spans="1:56" ht="25.35" customHeight="1" thickBot="1" x14ac:dyDescent="0.35">
      <c r="A30" s="1131"/>
      <c r="B30" s="1113" t="s">
        <v>292</v>
      </c>
      <c r="C30" s="1114"/>
      <c r="D30" s="1115"/>
      <c r="E30" s="95">
        <f>E18-E27</f>
        <v>2872176.5595629998</v>
      </c>
      <c r="F30" s="96"/>
      <c r="G30" s="95">
        <f>G18-G27</f>
        <v>3023693.9187152702</v>
      </c>
      <c r="H30" s="96">
        <f t="shared" si="6"/>
        <v>5.2753497568869434E-2</v>
      </c>
      <c r="I30" s="95">
        <f>I18-I27</f>
        <v>3030159.9526635185</v>
      </c>
      <c r="J30" s="96">
        <f t="shared" si="7"/>
        <v>2.1384551882802972E-3</v>
      </c>
      <c r="K30" s="95">
        <f>K18-K27</f>
        <v>3039948.1301834658</v>
      </c>
      <c r="L30" s="96">
        <f t="shared" si="8"/>
        <v>3.2302510998943991E-3</v>
      </c>
      <c r="M30" s="95">
        <f>M18-M27</f>
        <v>3055917.5710339546</v>
      </c>
      <c r="N30" s="96">
        <f t="shared" si="8"/>
        <v>5.2531951752496052E-3</v>
      </c>
      <c r="O30" s="95">
        <f>O18-O27</f>
        <v>3087173.4035840686</v>
      </c>
      <c r="P30" s="96">
        <f t="shared" si="8"/>
        <v>1.0227969774570446E-2</v>
      </c>
      <c r="Q30" s="95">
        <f>Q18-Q27</f>
        <v>3125691.2061401438</v>
      </c>
      <c r="R30" s="96">
        <f t="shared" si="8"/>
        <v>1.247672142787889E-2</v>
      </c>
      <c r="S30" s="95">
        <f>S18-S27</f>
        <v>3171559.6059986781</v>
      </c>
      <c r="T30" s="96">
        <f t="shared" si="8"/>
        <v>1.4674642129852726E-2</v>
      </c>
      <c r="U30" s="81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I30" s="484"/>
      <c r="AJ30" s="1069" t="s">
        <v>292</v>
      </c>
      <c r="AK30" s="1070"/>
      <c r="AL30" s="1071"/>
      <c r="AM30" s="568">
        <v>2884675</v>
      </c>
      <c r="AN30" s="569">
        <v>1.8680000000000001</v>
      </c>
      <c r="AO30" s="570">
        <v>3278847</v>
      </c>
      <c r="AP30" s="569">
        <v>0.13700000000000001</v>
      </c>
      <c r="AQ30" s="570">
        <v>3556666</v>
      </c>
      <c r="AR30" s="569">
        <v>8.5000000000000006E-2</v>
      </c>
      <c r="AS30" s="570">
        <v>3932368</v>
      </c>
      <c r="AT30" s="569">
        <v>0.106</v>
      </c>
      <c r="AU30" s="570">
        <v>4400617</v>
      </c>
      <c r="AV30" s="571">
        <v>0.11899999999999999</v>
      </c>
      <c r="AX30" s="62" t="e">
        <f>#REF!-AM30</f>
        <v>#REF!</v>
      </c>
      <c r="AY30" s="65" t="e">
        <f>#REF!-AO30</f>
        <v>#REF!</v>
      </c>
      <c r="AZ30" s="65" t="e">
        <f>#REF!-AQ30</f>
        <v>#REF!</v>
      </c>
      <c r="BA30" s="65" t="e">
        <f>#REF!-AS30</f>
        <v>#REF!</v>
      </c>
      <c r="BB30" s="65">
        <f t="shared" si="1"/>
        <v>-1528440.4404370002</v>
      </c>
      <c r="BC30" s="66">
        <f t="shared" si="4"/>
        <v>0.11907557990503433</v>
      </c>
      <c r="BD30" s="76">
        <f t="shared" si="5"/>
        <v>-7.5579905034331429E-5</v>
      </c>
    </row>
    <row r="31" spans="1:56" ht="25.35" customHeight="1" thickBot="1" x14ac:dyDescent="0.35">
      <c r="A31" s="1131"/>
      <c r="B31" s="1116" t="s">
        <v>294</v>
      </c>
      <c r="C31" s="1114"/>
      <c r="D31" s="1115"/>
      <c r="E31" s="97">
        <f>E32+E34</f>
        <v>2582279.8400889994</v>
      </c>
      <c r="F31" s="96"/>
      <c r="G31" s="97">
        <f>G32+G34</f>
        <v>2751529.6567007238</v>
      </c>
      <c r="H31" s="96">
        <f t="shared" si="6"/>
        <v>6.5542786643097206E-2</v>
      </c>
      <c r="I31" s="97">
        <f>I32+I34</f>
        <v>2760667.9432691252</v>
      </c>
      <c r="J31" s="96">
        <f t="shared" si="7"/>
        <v>3.3211659362446504E-3</v>
      </c>
      <c r="K31" s="97">
        <f>K32+K34</f>
        <v>2775048.803533074</v>
      </c>
      <c r="L31" s="96">
        <f t="shared" si="8"/>
        <v>5.2091959480354165E-3</v>
      </c>
      <c r="M31" s="97">
        <f>M32+M34</f>
        <v>2785326.2549883593</v>
      </c>
      <c r="N31" s="96">
        <f t="shared" si="8"/>
        <v>3.7035209767123712E-3</v>
      </c>
      <c r="O31" s="97">
        <f>O32+O34</f>
        <v>2807739.9426179952</v>
      </c>
      <c r="P31" s="96">
        <f t="shared" si="8"/>
        <v>8.0470600488880915E-3</v>
      </c>
      <c r="Q31" s="97">
        <f>Q32+Q34</f>
        <v>2835757.0255839857</v>
      </c>
      <c r="R31" s="96">
        <f t="shared" si="8"/>
        <v>9.9785177896022717E-3</v>
      </c>
      <c r="S31" s="97">
        <f>S32+S34</f>
        <v>2870167.2147909389</v>
      </c>
      <c r="T31" s="96">
        <f t="shared" si="8"/>
        <v>1.2134392649478441E-2</v>
      </c>
      <c r="U31" s="81" t="s">
        <v>8989</v>
      </c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I31" s="484"/>
      <c r="AJ31" s="1041" t="s">
        <v>294</v>
      </c>
      <c r="AK31" s="1042"/>
      <c r="AL31" s="1043"/>
      <c r="AM31" s="583">
        <v>2536703</v>
      </c>
      <c r="AN31" s="569">
        <v>1.992</v>
      </c>
      <c r="AO31" s="584">
        <v>2841242</v>
      </c>
      <c r="AP31" s="569">
        <v>0.12</v>
      </c>
      <c r="AQ31" s="584">
        <v>3073654</v>
      </c>
      <c r="AR31" s="569">
        <v>8.2000000000000003E-2</v>
      </c>
      <c r="AS31" s="584">
        <v>3360919</v>
      </c>
      <c r="AT31" s="569">
        <v>9.2999999999999999E-2</v>
      </c>
      <c r="AU31" s="584">
        <v>3725290</v>
      </c>
      <c r="AV31" s="571">
        <v>0.108</v>
      </c>
      <c r="AX31" s="62" t="e">
        <f>#REF!-AM31</f>
        <v>#REF!</v>
      </c>
      <c r="AY31" s="65" t="e">
        <f>#REF!-AO31</f>
        <v>#REF!</v>
      </c>
      <c r="AZ31" s="65" t="e">
        <f>#REF!-AQ31</f>
        <v>#REF!</v>
      </c>
      <c r="BA31" s="65" t="e">
        <f>#REF!-AS31</f>
        <v>#REF!</v>
      </c>
      <c r="BB31" s="65">
        <f t="shared" si="1"/>
        <v>-1143010.1599110006</v>
      </c>
      <c r="BC31" s="66">
        <f t="shared" si="4"/>
        <v>0.1084140974537024</v>
      </c>
      <c r="BD31" s="76">
        <f t="shared" si="5"/>
        <v>-4.1409745370239726E-4</v>
      </c>
    </row>
    <row r="32" spans="1:56" ht="25.35" customHeight="1" x14ac:dyDescent="0.3">
      <c r="A32" s="1131"/>
      <c r="B32" s="104"/>
      <c r="C32" s="207" t="s">
        <v>465</v>
      </c>
      <c r="D32" s="211"/>
      <c r="E32" s="78">
        <f>'1. 요약재무제표'!O32</f>
        <v>816617.22180737066</v>
      </c>
      <c r="F32" s="79"/>
      <c r="G32" s="78">
        <f>AA32</f>
        <v>829142.22184761893</v>
      </c>
      <c r="H32" s="79">
        <f t="shared" si="6"/>
        <v>1.533766335778154E-2</v>
      </c>
      <c r="I32" s="78">
        <f>AB32</f>
        <v>824539.04925640335</v>
      </c>
      <c r="J32" s="79">
        <f t="shared" si="7"/>
        <v>-5.5517286056885424E-3</v>
      </c>
      <c r="K32" s="78">
        <f>AC32</f>
        <v>818965.02936011052</v>
      </c>
      <c r="L32" s="212">
        <f t="shared" si="8"/>
        <v>-6.7601648476438587E-3</v>
      </c>
      <c r="M32" s="78">
        <f>AD32</f>
        <v>813832.0657153409</v>
      </c>
      <c r="N32" s="212">
        <f t="shared" si="8"/>
        <v>-6.2676225000476643E-3</v>
      </c>
      <c r="O32" s="78">
        <f>AE32</f>
        <v>808553.07928113686</v>
      </c>
      <c r="P32" s="212">
        <f t="shared" si="8"/>
        <v>-6.4865795495092993E-3</v>
      </c>
      <c r="Q32" s="78">
        <f>AF32</f>
        <v>803616.35549945722</v>
      </c>
      <c r="R32" s="212">
        <f t="shared" si="8"/>
        <v>-6.1056273337908142E-3</v>
      </c>
      <c r="S32" s="78">
        <f>AG32</f>
        <v>799304.04555461556</v>
      </c>
      <c r="T32" s="212">
        <f t="shared" si="8"/>
        <v>-5.366130138256717E-3</v>
      </c>
      <c r="U32" s="81"/>
      <c r="W32" s="63">
        <f>'7-1. FS'!AD57</f>
        <v>908849</v>
      </c>
      <c r="X32" s="63">
        <f>'7-1. FS'!AE57</f>
        <v>864887</v>
      </c>
      <c r="Y32" s="63">
        <f>'7-1. FS'!AF57</f>
        <v>825389</v>
      </c>
      <c r="Z32" s="63">
        <f>'7-1. FS'!AG57</f>
        <v>816617.20293599996</v>
      </c>
      <c r="AA32" s="63">
        <f>'7-1. FS'!AH57</f>
        <v>829142.22184761893</v>
      </c>
      <c r="AB32" s="63">
        <f>'7-1. FS'!AI57</f>
        <v>824539.04925640335</v>
      </c>
      <c r="AC32" s="63">
        <f>'7-1. FS'!AJ57</f>
        <v>818965.02936011052</v>
      </c>
      <c r="AD32" s="63">
        <f>'7-1. FS'!AK57</f>
        <v>813832.0657153409</v>
      </c>
      <c r="AE32" s="63">
        <f>'7-1. FS'!AL57</f>
        <v>808553.07928113686</v>
      </c>
      <c r="AF32" s="63">
        <f>'7-1. FS'!AM57</f>
        <v>803616.35549945722</v>
      </c>
      <c r="AG32" s="63">
        <f>'7-1. FS'!AN57</f>
        <v>799304.04555461556</v>
      </c>
      <c r="AI32" s="484"/>
      <c r="AJ32" s="472"/>
      <c r="AK32" s="1120" t="s">
        <v>349</v>
      </c>
      <c r="AL32" s="1121"/>
      <c r="AM32" s="550">
        <v>882479</v>
      </c>
      <c r="AN32" s="551">
        <v>4.1000000000000002E-2</v>
      </c>
      <c r="AO32" s="552">
        <v>928750</v>
      </c>
      <c r="AP32" s="551">
        <v>5.1999999999999998E-2</v>
      </c>
      <c r="AQ32" s="552">
        <v>974165</v>
      </c>
      <c r="AR32" s="551">
        <v>4.9000000000000002E-2</v>
      </c>
      <c r="AS32" s="552">
        <v>1018702</v>
      </c>
      <c r="AT32" s="551">
        <v>4.5999999999999999E-2</v>
      </c>
      <c r="AU32" s="552">
        <v>1062835</v>
      </c>
      <c r="AV32" s="553">
        <v>4.2999999999999997E-2</v>
      </c>
      <c r="AX32" s="62" t="e">
        <f>#REF!-AM32</f>
        <v>#REF!</v>
      </c>
      <c r="AY32" s="65" t="e">
        <f>#REF!-AO32</f>
        <v>#REF!</v>
      </c>
      <c r="AZ32" s="65" t="e">
        <f>#REF!-AQ32</f>
        <v>#REF!</v>
      </c>
      <c r="BA32" s="65" t="e">
        <f>#REF!-AS32</f>
        <v>#REF!</v>
      </c>
      <c r="BB32" s="65">
        <f t="shared" si="1"/>
        <v>-246217.77819262934</v>
      </c>
      <c r="BC32" s="66">
        <f t="shared" si="4"/>
        <v>4.3322777416751904E-2</v>
      </c>
      <c r="BD32" s="76">
        <f t="shared" si="5"/>
        <v>-3.2277741675190708E-4</v>
      </c>
    </row>
    <row r="33" spans="1:56" ht="25.35" customHeight="1" thickBot="1" x14ac:dyDescent="0.35">
      <c r="A33" s="1131"/>
      <c r="B33" s="104" t="s">
        <v>324</v>
      </c>
      <c r="C33" s="1122" t="s">
        <v>519</v>
      </c>
      <c r="D33" s="1123"/>
      <c r="E33" s="47">
        <f>'1. 요약재무제표'!O33</f>
        <v>85905.775024999995</v>
      </c>
      <c r="F33" s="213"/>
      <c r="G33" s="47">
        <f>AA33</f>
        <v>91464.316522574009</v>
      </c>
      <c r="H33" s="213">
        <f t="shared" si="6"/>
        <v>6.4705096903629425E-2</v>
      </c>
      <c r="I33" s="47">
        <f>AB33</f>
        <v>94208.24601825123</v>
      </c>
      <c r="J33" s="213">
        <f t="shared" si="7"/>
        <v>3.0000000000000009E-2</v>
      </c>
      <c r="K33" s="47">
        <f>AC33</f>
        <v>97034.493398798775</v>
      </c>
      <c r="L33" s="214">
        <f t="shared" si="8"/>
        <v>3.0000000000000093E-2</v>
      </c>
      <c r="M33" s="47">
        <f>AD33</f>
        <v>99945.528200762739</v>
      </c>
      <c r="N33" s="214">
        <f t="shared" si="8"/>
        <v>3.0000000000000009E-2</v>
      </c>
      <c r="O33" s="47">
        <f>AE33</f>
        <v>102943.89404678563</v>
      </c>
      <c r="P33" s="214">
        <f t="shared" si="8"/>
        <v>3.0000000000000086E-2</v>
      </c>
      <c r="Q33" s="47">
        <f>AF33</f>
        <v>106032.2108681892</v>
      </c>
      <c r="R33" s="214">
        <f t="shared" si="8"/>
        <v>0.03</v>
      </c>
      <c r="S33" s="47">
        <f>AG33</f>
        <v>109213.17719423487</v>
      </c>
      <c r="T33" s="214">
        <f t="shared" si="8"/>
        <v>2.9999999999999971E-2</v>
      </c>
      <c r="U33" s="81"/>
      <c r="W33" s="63">
        <f>'7-1. FS'!AD58</f>
        <v>74094</v>
      </c>
      <c r="X33" s="63">
        <f>'7-1. FS'!AE58</f>
        <v>82590</v>
      </c>
      <c r="Y33" s="63">
        <f>'7-1. FS'!AF58</f>
        <v>84194</v>
      </c>
      <c r="Z33" s="63">
        <f>'7-1. FS'!AG58</f>
        <v>85905.775024999995</v>
      </c>
      <c r="AA33" s="63">
        <f>'7-1. FS'!AH58</f>
        <v>91464.316522574009</v>
      </c>
      <c r="AB33" s="63">
        <f>'7-1. FS'!AI58</f>
        <v>94208.24601825123</v>
      </c>
      <c r="AC33" s="63">
        <f>'7-1. FS'!AJ58</f>
        <v>97034.493398798775</v>
      </c>
      <c r="AD33" s="63">
        <f>'7-1. FS'!AK58</f>
        <v>99945.528200762739</v>
      </c>
      <c r="AE33" s="63">
        <f>'7-1. FS'!AL58</f>
        <v>102943.89404678563</v>
      </c>
      <c r="AF33" s="63">
        <f>'7-1. FS'!AM58</f>
        <v>106032.2108681892</v>
      </c>
      <c r="AG33" s="63">
        <f>'7-1. FS'!AN58</f>
        <v>109213.17719423487</v>
      </c>
      <c r="AI33" s="484"/>
      <c r="AJ33" s="472"/>
      <c r="AK33" s="516"/>
      <c r="AL33" s="517" t="s">
        <v>297</v>
      </c>
      <c r="AM33" s="554">
        <v>106521</v>
      </c>
      <c r="AN33" s="555">
        <v>1.7999999999999999E-2</v>
      </c>
      <c r="AO33" s="556">
        <v>113287</v>
      </c>
      <c r="AP33" s="555">
        <v>6.4000000000000001E-2</v>
      </c>
      <c r="AQ33" s="556">
        <v>119926</v>
      </c>
      <c r="AR33" s="555">
        <v>5.8999999999999997E-2</v>
      </c>
      <c r="AS33" s="556">
        <v>125645</v>
      </c>
      <c r="AT33" s="555">
        <v>4.8000000000000001E-2</v>
      </c>
      <c r="AU33" s="556">
        <v>131691</v>
      </c>
      <c r="AV33" s="557">
        <v>4.8000000000000001E-2</v>
      </c>
      <c r="AX33" s="62" t="e">
        <f>#REF!-AM33</f>
        <v>#REF!</v>
      </c>
      <c r="AY33" s="65" t="e">
        <f>#REF!-AO33</f>
        <v>#REF!</v>
      </c>
      <c r="AZ33" s="65" t="e">
        <f>#REF!-AQ33</f>
        <v>#REF!</v>
      </c>
      <c r="BA33" s="65" t="e">
        <f>#REF!-AS33</f>
        <v>#REF!</v>
      </c>
      <c r="BB33" s="65">
        <f t="shared" si="1"/>
        <v>-45785.224975000005</v>
      </c>
      <c r="BC33" s="66">
        <f t="shared" si="4"/>
        <v>4.8119702335946514E-2</v>
      </c>
      <c r="BD33" s="76">
        <f t="shared" si="5"/>
        <v>-1.1970233594651297E-4</v>
      </c>
    </row>
    <row r="34" spans="1:56" ht="25.35" customHeight="1" thickBot="1" x14ac:dyDescent="0.35">
      <c r="A34" s="1131"/>
      <c r="B34" s="206"/>
      <c r="C34" s="209" t="s">
        <v>399</v>
      </c>
      <c r="D34" s="210"/>
      <c r="E34" s="78">
        <f>'1. 요약재무제표'!O34</f>
        <v>1765662.6182816287</v>
      </c>
      <c r="F34" s="96"/>
      <c r="G34" s="78">
        <f>AA34</f>
        <v>1922387.4348531046</v>
      </c>
      <c r="H34" s="96">
        <f t="shared" si="6"/>
        <v>8.8762606711356357E-2</v>
      </c>
      <c r="I34" s="78">
        <f>AB34</f>
        <v>1936128.894012722</v>
      </c>
      <c r="J34" s="96">
        <f t="shared" si="7"/>
        <v>7.1481216067495459E-3</v>
      </c>
      <c r="K34" s="78">
        <f>AC34</f>
        <v>1956083.7741729636</v>
      </c>
      <c r="L34" s="96">
        <f t="shared" si="8"/>
        <v>1.0306586623416457E-2</v>
      </c>
      <c r="M34" s="78">
        <f>AD34</f>
        <v>1971494.1892730186</v>
      </c>
      <c r="N34" s="96">
        <f t="shared" si="8"/>
        <v>7.8781979092744144E-3</v>
      </c>
      <c r="O34" s="78">
        <f>AE34</f>
        <v>1999186.8633368583</v>
      </c>
      <c r="P34" s="96">
        <f t="shared" si="8"/>
        <v>1.404654105222156E-2</v>
      </c>
      <c r="Q34" s="78">
        <f>AF34</f>
        <v>2032140.6700845286</v>
      </c>
      <c r="R34" s="96">
        <f t="shared" si="8"/>
        <v>1.6483605085653091E-2</v>
      </c>
      <c r="S34" s="78">
        <f>AG34</f>
        <v>2070863.1692363233</v>
      </c>
      <c r="T34" s="96">
        <f t="shared" si="8"/>
        <v>1.9055028877594388E-2</v>
      </c>
      <c r="U34" s="81"/>
      <c r="W34" s="63">
        <f>'7-1. FS'!AD72</f>
        <v>1693492.006793</v>
      </c>
      <c r="X34" s="63">
        <f>'7-1. FS'!AE72</f>
        <v>1720859.1512070005</v>
      </c>
      <c r="Y34" s="63">
        <f>'7-1. FS'!AF72</f>
        <v>1847088.6245600004</v>
      </c>
      <c r="Z34" s="63">
        <f>'7-1. FS'!AG72</f>
        <v>1857371</v>
      </c>
      <c r="AA34" s="63">
        <f>'7-1. FS'!AH72</f>
        <v>1922387.4348531046</v>
      </c>
      <c r="AB34" s="63">
        <f>'7-1. FS'!AI72</f>
        <v>1936128.894012722</v>
      </c>
      <c r="AC34" s="63">
        <f>'7-1. FS'!AJ72</f>
        <v>1956083.7741729636</v>
      </c>
      <c r="AD34" s="63">
        <f>'7-1. FS'!AK72</f>
        <v>1971494.1892730186</v>
      </c>
      <c r="AE34" s="63">
        <f>'7-1. FS'!AL72</f>
        <v>1999186.8633368583</v>
      </c>
      <c r="AF34" s="63">
        <f>'7-1. FS'!AM72</f>
        <v>2032140.6700845286</v>
      </c>
      <c r="AG34" s="63">
        <f>'7-1. FS'!AN72</f>
        <v>2070863.1692363233</v>
      </c>
      <c r="AI34" s="484"/>
      <c r="AJ34" s="529"/>
      <c r="AK34" s="1106" t="s">
        <v>351</v>
      </c>
      <c r="AL34" s="1107"/>
      <c r="AM34" s="568">
        <v>1615204</v>
      </c>
      <c r="AN34" s="580"/>
      <c r="AO34" s="570">
        <v>1815321</v>
      </c>
      <c r="AP34" s="569">
        <v>0.124</v>
      </c>
      <c r="AQ34" s="570">
        <v>1895511</v>
      </c>
      <c r="AR34" s="569">
        <v>4.3999999999999997E-2</v>
      </c>
      <c r="AS34" s="570">
        <v>2016765</v>
      </c>
      <c r="AT34" s="569">
        <v>6.4000000000000001E-2</v>
      </c>
      <c r="AU34" s="570">
        <v>2132871</v>
      </c>
      <c r="AV34" s="571">
        <v>5.8000000000000003E-2</v>
      </c>
      <c r="AX34" s="62" t="e">
        <f>#REF!-AM34</f>
        <v>#REF!</v>
      </c>
      <c r="AY34" s="65" t="e">
        <f>#REF!-AO34</f>
        <v>#REF!</v>
      </c>
      <c r="AZ34" s="65" t="e">
        <f>#REF!-AQ34</f>
        <v>#REF!</v>
      </c>
      <c r="BA34" s="65" t="e">
        <f>#REF!-AS34</f>
        <v>#REF!</v>
      </c>
      <c r="BB34" s="65">
        <f t="shared" si="1"/>
        <v>-367208.3817183713</v>
      </c>
      <c r="BC34" s="66">
        <f t="shared" si="4"/>
        <v>5.7570415987980753E-2</v>
      </c>
      <c r="BD34" s="76">
        <f t="shared" si="5"/>
        <v>4.2958401201925039E-4</v>
      </c>
    </row>
    <row r="35" spans="1:56" ht="25.35" customHeight="1" thickBot="1" x14ac:dyDescent="0.35">
      <c r="A35" s="1131"/>
      <c r="B35" s="1124" t="s">
        <v>346</v>
      </c>
      <c r="C35" s="1118"/>
      <c r="D35" s="1125"/>
      <c r="E35" s="98">
        <f>E30-E31</f>
        <v>289896.71947400039</v>
      </c>
      <c r="F35" s="99"/>
      <c r="G35" s="98">
        <f>G30-G31</f>
        <v>272164.26201454643</v>
      </c>
      <c r="H35" s="99">
        <f t="shared" si="6"/>
        <v>-6.1168189455984193E-2</v>
      </c>
      <c r="I35" s="98">
        <f>I30-I31</f>
        <v>269492.0093943933</v>
      </c>
      <c r="J35" s="99">
        <f t="shared" si="7"/>
        <v>-9.8185287089981883E-3</v>
      </c>
      <c r="K35" s="98">
        <f>K30-K31</f>
        <v>264899.3266503918</v>
      </c>
      <c r="L35" s="99">
        <f t="shared" si="8"/>
        <v>-1.704199970278248E-2</v>
      </c>
      <c r="M35" s="98">
        <f>M30-M31</f>
        <v>270591.31604559533</v>
      </c>
      <c r="N35" s="99">
        <f t="shared" si="8"/>
        <v>2.1487368303943235E-2</v>
      </c>
      <c r="O35" s="98">
        <f>O30-O31</f>
        <v>279433.46096607344</v>
      </c>
      <c r="P35" s="99">
        <f t="shared" si="8"/>
        <v>3.2677120055797301E-2</v>
      </c>
      <c r="Q35" s="98">
        <f>Q30-Q31</f>
        <v>289934.18055615807</v>
      </c>
      <c r="R35" s="99">
        <f t="shared" si="8"/>
        <v>3.7578604773318612E-2</v>
      </c>
      <c r="S35" s="98">
        <f>S30-S31</f>
        <v>301392.39120773925</v>
      </c>
      <c r="T35" s="99">
        <f t="shared" si="8"/>
        <v>3.9520040823064692E-2</v>
      </c>
      <c r="U35" s="81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I35" s="484"/>
      <c r="AJ35" s="1069" t="s">
        <v>346</v>
      </c>
      <c r="AK35" s="1070"/>
      <c r="AL35" s="1071"/>
      <c r="AM35" s="558">
        <v>347972</v>
      </c>
      <c r="AN35" s="569">
        <v>1.204</v>
      </c>
      <c r="AO35" s="560">
        <v>437605</v>
      </c>
      <c r="AP35" s="569">
        <v>0.25800000000000001</v>
      </c>
      <c r="AQ35" s="560">
        <v>483012</v>
      </c>
      <c r="AR35" s="569">
        <v>0.104</v>
      </c>
      <c r="AS35" s="560">
        <v>571449</v>
      </c>
      <c r="AT35" s="569">
        <v>0.183</v>
      </c>
      <c r="AU35" s="560">
        <v>675327</v>
      </c>
      <c r="AV35" s="571">
        <v>0.182</v>
      </c>
      <c r="AX35" s="62" t="e">
        <f>#REF!-AM35</f>
        <v>#REF!</v>
      </c>
      <c r="AY35" s="65" t="e">
        <f>#REF!-AO35</f>
        <v>#REF!</v>
      </c>
      <c r="AZ35" s="65" t="e">
        <f>#REF!-AQ35</f>
        <v>#REF!</v>
      </c>
      <c r="BA35" s="65" t="e">
        <f>#REF!-AS35</f>
        <v>#REF!</v>
      </c>
      <c r="BB35" s="65">
        <f t="shared" si="1"/>
        <v>-385430.28052599961</v>
      </c>
      <c r="BC35" s="66">
        <f t="shared" si="4"/>
        <v>0.1817800013649512</v>
      </c>
      <c r="BD35" s="76">
        <f t="shared" si="5"/>
        <v>2.1999863504879036E-4</v>
      </c>
    </row>
    <row r="36" spans="1:56" ht="25.35" customHeight="1" thickBot="1" x14ac:dyDescent="0.35">
      <c r="A36" s="1131"/>
      <c r="B36" s="215"/>
      <c r="C36" s="207" t="s">
        <v>465</v>
      </c>
      <c r="D36" s="208"/>
      <c r="E36" s="83">
        <f>E19-E28-E32</f>
        <v>93012.618538629496</v>
      </c>
      <c r="F36" s="84"/>
      <c r="G36" s="83">
        <f>G19-G28-G32</f>
        <v>91358.031398123363</v>
      </c>
      <c r="H36" s="84">
        <f t="shared" si="6"/>
        <v>-1.7788845927598086E-2</v>
      </c>
      <c r="I36" s="83">
        <f>I19-I28-I32</f>
        <v>87024.424177530804</v>
      </c>
      <c r="J36" s="84">
        <f t="shared" si="7"/>
        <v>-4.7435426905242821E-2</v>
      </c>
      <c r="K36" s="83">
        <f>K19-K28-K32</f>
        <v>82880.404863675241</v>
      </c>
      <c r="L36" s="84">
        <f t="shared" si="8"/>
        <v>-4.7619037448633002E-2</v>
      </c>
      <c r="M36" s="83">
        <f>M19-M28-M32</f>
        <v>79692.697420123848</v>
      </c>
      <c r="N36" s="84">
        <f t="shared" si="8"/>
        <v>-3.8461533203109376E-2</v>
      </c>
      <c r="O36" s="83">
        <f>O19-O28-O32</f>
        <v>77371.550720008556</v>
      </c>
      <c r="P36" s="84">
        <f t="shared" si="8"/>
        <v>-2.9126215767031633E-2</v>
      </c>
      <c r="Q36" s="83">
        <f>Q19-Q28-Q32</f>
        <v>75854.461532329791</v>
      </c>
      <c r="R36" s="84">
        <f t="shared" si="8"/>
        <v>-1.9607842592799938E-2</v>
      </c>
      <c r="S36" s="83">
        <f>S19-S28-S32</f>
        <v>75103.427031385596</v>
      </c>
      <c r="T36" s="84">
        <f t="shared" si="8"/>
        <v>-9.9009931093387068E-3</v>
      </c>
      <c r="U36" s="81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I36" s="484"/>
      <c r="AJ36" s="525"/>
      <c r="AK36" s="526"/>
      <c r="AL36" s="527"/>
      <c r="AM36" s="558"/>
      <c r="AN36" s="569"/>
      <c r="AO36" s="560"/>
      <c r="AP36" s="569"/>
      <c r="AQ36" s="560"/>
      <c r="AR36" s="569"/>
      <c r="AS36" s="560"/>
      <c r="AT36" s="569"/>
      <c r="AU36" s="560"/>
      <c r="AV36" s="571"/>
      <c r="AX36" s="62"/>
      <c r="AZ36" s="65"/>
      <c r="BA36" s="65"/>
      <c r="BB36" s="65"/>
      <c r="BD36" s="76"/>
    </row>
    <row r="37" spans="1:56" ht="25.35" customHeight="1" thickBot="1" x14ac:dyDescent="0.35">
      <c r="A37" s="1131"/>
      <c r="B37" s="216"/>
      <c r="C37" s="209" t="s">
        <v>399</v>
      </c>
      <c r="D37" s="210"/>
      <c r="E37" s="83">
        <f>E26-E29-E34</f>
        <v>196884.10093536996</v>
      </c>
      <c r="F37" s="84"/>
      <c r="G37" s="83">
        <f>G26-G29-G34</f>
        <v>180806.2306164226</v>
      </c>
      <c r="H37" s="84">
        <f t="shared" si="6"/>
        <v>-8.1661598080106798E-2</v>
      </c>
      <c r="I37" s="83">
        <f>I26-I29-I34</f>
        <v>182467.58521686238</v>
      </c>
      <c r="J37" s="84">
        <f t="shared" si="7"/>
        <v>9.1885915367834609E-3</v>
      </c>
      <c r="K37" s="83">
        <f>K26-K29-K34</f>
        <v>182018.92178671621</v>
      </c>
      <c r="L37" s="84">
        <f t="shared" si="8"/>
        <v>-2.4588664864114845E-3</v>
      </c>
      <c r="M37" s="83">
        <f>M26-M29-M34</f>
        <v>190898.61862547114</v>
      </c>
      <c r="N37" s="84">
        <f t="shared" si="8"/>
        <v>4.8784471150531618E-2</v>
      </c>
      <c r="O37" s="83">
        <f>O26-O29-O34</f>
        <v>202061.91024606396</v>
      </c>
      <c r="P37" s="84">
        <f t="shared" si="8"/>
        <v>5.8477592457043211E-2</v>
      </c>
      <c r="Q37" s="83">
        <f>Q26-Q29-Q34</f>
        <v>214079.71902382933</v>
      </c>
      <c r="R37" s="84">
        <f t="shared" si="8"/>
        <v>5.9475874315602098E-2</v>
      </c>
      <c r="S37" s="83">
        <f>S26-S29-S34</f>
        <v>226288.9641763526</v>
      </c>
      <c r="T37" s="84">
        <f t="shared" si="8"/>
        <v>5.70313022092684E-2</v>
      </c>
      <c r="U37" s="81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I37" s="484"/>
      <c r="AJ37" s="525"/>
      <c r="AK37" s="526"/>
      <c r="AL37" s="527"/>
      <c r="AM37" s="558"/>
      <c r="AN37" s="569"/>
      <c r="AO37" s="560"/>
      <c r="AP37" s="569"/>
      <c r="AQ37" s="560"/>
      <c r="AR37" s="569"/>
      <c r="AS37" s="560"/>
      <c r="AT37" s="569"/>
      <c r="AU37" s="560"/>
      <c r="AV37" s="571"/>
      <c r="AX37" s="62"/>
      <c r="AZ37" s="65"/>
      <c r="BA37" s="65"/>
      <c r="BB37" s="65"/>
      <c r="BD37" s="76"/>
    </row>
    <row r="38" spans="1:56" ht="25.35" customHeight="1" thickBot="1" x14ac:dyDescent="0.35">
      <c r="A38" s="1132"/>
      <c r="B38" s="1126" t="s">
        <v>347</v>
      </c>
      <c r="C38" s="1126"/>
      <c r="D38" s="1127"/>
      <c r="E38" s="86">
        <f>'1. 요약재무제표'!O38</f>
        <v>84116.792721000369</v>
      </c>
      <c r="F38" s="87"/>
      <c r="G38" s="86">
        <f>AA38</f>
        <v>143282.28240457986</v>
      </c>
      <c r="H38" s="87">
        <f t="shared" si="6"/>
        <v>0.70337310505668382</v>
      </c>
      <c r="I38" s="86">
        <f>AB38</f>
        <v>170841.24238794463</v>
      </c>
      <c r="J38" s="87">
        <f t="shared" si="7"/>
        <v>0.19234031954870559</v>
      </c>
      <c r="K38" s="86">
        <f>AC38</f>
        <v>169883.7172446459</v>
      </c>
      <c r="L38" s="87">
        <f t="shared" si="8"/>
        <v>-5.6047657457582115E-3</v>
      </c>
      <c r="M38" s="86">
        <f>AD38</f>
        <v>170937.61215993963</v>
      </c>
      <c r="N38" s="87">
        <f t="shared" si="8"/>
        <v>6.2036252348777847E-3</v>
      </c>
      <c r="O38" s="86">
        <f>AE38</f>
        <v>183016.09160568332</v>
      </c>
      <c r="P38" s="87">
        <f t="shared" si="8"/>
        <v>7.0660162459987644E-2</v>
      </c>
      <c r="Q38" s="86">
        <f>AF38</f>
        <v>188603.31551434268</v>
      </c>
      <c r="R38" s="87">
        <f t="shared" si="8"/>
        <v>3.0528593740802287E-2</v>
      </c>
      <c r="S38" s="86">
        <f>AG38</f>
        <v>197161.85946132502</v>
      </c>
      <c r="T38" s="87">
        <f t="shared" si="8"/>
        <v>4.5378544505658397E-2</v>
      </c>
      <c r="U38" s="81"/>
      <c r="W38" s="63">
        <f>'7-1. FS'!AD84</f>
        <v>70312.076587000251</v>
      </c>
      <c r="X38" s="63">
        <f>'7-1. FS'!AE84</f>
        <v>35030.455951002201</v>
      </c>
      <c r="Y38" s="63">
        <f>'7-1. FS'!AF84</f>
        <v>-60803.696776998717</v>
      </c>
      <c r="Z38" s="63">
        <f>'7-1. FS'!AG84</f>
        <v>84116.796480999037</v>
      </c>
      <c r="AA38" s="63">
        <f>'7-1. FS'!AH84</f>
        <v>143282.28240457986</v>
      </c>
      <c r="AB38" s="63">
        <f>'7-1. FS'!AI84</f>
        <v>170841.24238794463</v>
      </c>
      <c r="AC38" s="63">
        <f>'7-1. FS'!AJ84</f>
        <v>169883.7172446459</v>
      </c>
      <c r="AD38" s="63">
        <f>'7-1. FS'!AK84</f>
        <v>170937.61215993963</v>
      </c>
      <c r="AE38" s="63">
        <f>'7-1. FS'!AL84</f>
        <v>183016.09160568332</v>
      </c>
      <c r="AF38" s="63">
        <f>'7-1. FS'!AM84</f>
        <v>188603.31551434268</v>
      </c>
      <c r="AG38" s="63">
        <f>'7-1. FS'!AN84</f>
        <v>197161.85946132502</v>
      </c>
      <c r="AI38" s="497"/>
      <c r="AJ38" s="1069" t="s">
        <v>347</v>
      </c>
      <c r="AK38" s="1070"/>
      <c r="AL38" s="1071"/>
      <c r="AM38" s="558">
        <v>255842</v>
      </c>
      <c r="AN38" s="559">
        <v>0.98499999999999999</v>
      </c>
      <c r="AO38" s="560">
        <v>361692</v>
      </c>
      <c r="AP38" s="559">
        <v>0.41399999999999998</v>
      </c>
      <c r="AQ38" s="560">
        <v>383170</v>
      </c>
      <c r="AR38" s="559">
        <v>5.8999999999999997E-2</v>
      </c>
      <c r="AS38" s="560">
        <v>457961</v>
      </c>
      <c r="AT38" s="559">
        <v>0.19500000000000001</v>
      </c>
      <c r="AU38" s="560">
        <v>534359</v>
      </c>
      <c r="AV38" s="561">
        <v>0.16700000000000001</v>
      </c>
      <c r="AX38" s="62" t="e">
        <f>#REF!-AM38</f>
        <v>#REF!</v>
      </c>
      <c r="AY38" s="65" t="e">
        <f>#REF!-AO38</f>
        <v>#REF!</v>
      </c>
      <c r="AZ38" s="65" t="e">
        <f>#REF!-AQ38</f>
        <v>#REF!</v>
      </c>
      <c r="BA38" s="65" t="e">
        <f>#REF!-AS38</f>
        <v>#REF!</v>
      </c>
      <c r="BB38" s="65">
        <f t="shared" si="1"/>
        <v>-450242.20727899962</v>
      </c>
      <c r="BC38" s="66">
        <f t="shared" si="4"/>
        <v>0.16682206563440991</v>
      </c>
      <c r="BD38" s="76">
        <f t="shared" si="5"/>
        <v>1.7793436559010445E-4</v>
      </c>
    </row>
    <row r="39" spans="1:56" ht="25.35" customHeight="1" thickBot="1" x14ac:dyDescent="0.3">
      <c r="A39" s="1096" t="s">
        <v>348</v>
      </c>
      <c r="B39" s="1129" t="s">
        <v>352</v>
      </c>
      <c r="C39" s="1126"/>
      <c r="D39" s="1127"/>
      <c r="E39" s="201">
        <f>E7/E10</f>
        <v>0.96733881852864356</v>
      </c>
      <c r="F39" s="202"/>
      <c r="G39" s="201">
        <f>G7/G10</f>
        <v>0.96459291730580199</v>
      </c>
      <c r="H39" s="202"/>
      <c r="I39" s="201">
        <f>I7/I10</f>
        <v>1.1511592837440969</v>
      </c>
      <c r="J39" s="202"/>
      <c r="K39" s="201">
        <f>K7/K10</f>
        <v>1.2071622811708163</v>
      </c>
      <c r="L39" s="202"/>
      <c r="M39" s="201">
        <f>M7/M10</f>
        <v>1.2052445731033248</v>
      </c>
      <c r="N39" s="202"/>
      <c r="O39" s="201">
        <f>O7/O10</f>
        <v>1.211265441201798</v>
      </c>
      <c r="P39" s="202"/>
      <c r="Q39" s="201">
        <f>Q7/Q10</f>
        <v>1.2153031528322655</v>
      </c>
      <c r="R39" s="202"/>
      <c r="S39" s="201">
        <f>S7/S10</f>
        <v>1.2206218153385484</v>
      </c>
      <c r="T39" s="202"/>
      <c r="U39" s="14" t="s">
        <v>8982</v>
      </c>
      <c r="AI39" s="544" t="s">
        <v>328</v>
      </c>
      <c r="AJ39" s="1069" t="s">
        <v>352</v>
      </c>
      <c r="AK39" s="1070"/>
      <c r="AL39" s="1071"/>
      <c r="AM39" s="585">
        <v>1.3580000000000001</v>
      </c>
      <c r="AN39" s="580"/>
      <c r="AO39" s="569">
        <v>1.2450000000000001</v>
      </c>
      <c r="AP39" s="586"/>
      <c r="AQ39" s="587">
        <v>1.3460000000000001</v>
      </c>
      <c r="AR39" s="586"/>
      <c r="AS39" s="587">
        <v>1.4410000000000001</v>
      </c>
      <c r="AT39" s="586"/>
      <c r="AU39" s="587">
        <v>1.5169999999999999</v>
      </c>
      <c r="AV39" s="588"/>
      <c r="AW39" s="194"/>
      <c r="AX39" s="194"/>
      <c r="AY39" s="195"/>
      <c r="AZ39" s="194"/>
      <c r="BA39" s="194"/>
      <c r="BB39" s="194"/>
      <c r="BC39" s="196"/>
      <c r="BD39" s="194"/>
    </row>
    <row r="40" spans="1:56" ht="25.35" customHeight="1" thickBot="1" x14ac:dyDescent="0.3">
      <c r="A40" s="1096"/>
      <c r="B40" s="1129" t="s">
        <v>354</v>
      </c>
      <c r="C40" s="1126"/>
      <c r="D40" s="1127"/>
      <c r="E40" s="203">
        <f>E9/E12</f>
        <v>1.1417298599578083</v>
      </c>
      <c r="F40" s="202"/>
      <c r="G40" s="203">
        <f>G9/G12</f>
        <v>1.0652454703910981</v>
      </c>
      <c r="H40" s="202"/>
      <c r="I40" s="203">
        <f>I9/I12</f>
        <v>1.0174316273079844</v>
      </c>
      <c r="J40" s="202"/>
      <c r="K40" s="203">
        <f>K9/K12</f>
        <v>0.97867542480582803</v>
      </c>
      <c r="L40" s="202"/>
      <c r="M40" s="203">
        <f>M9/M12</f>
        <v>0.94543592361388695</v>
      </c>
      <c r="N40" s="202"/>
      <c r="O40" s="203">
        <f>O9/O12</f>
        <v>0.91297507204771988</v>
      </c>
      <c r="P40" s="202"/>
      <c r="Q40" s="203">
        <f>Q9/Q12</f>
        <v>0.88371359128911009</v>
      </c>
      <c r="R40" s="202"/>
      <c r="S40" s="203">
        <f>S9/S12</f>
        <v>0.85638143782093035</v>
      </c>
      <c r="T40" s="202"/>
      <c r="U40" s="14" t="s">
        <v>8983</v>
      </c>
      <c r="AI40" s="549" t="s">
        <v>353</v>
      </c>
      <c r="AJ40" s="1069" t="s">
        <v>354</v>
      </c>
      <c r="AK40" s="1070"/>
      <c r="AL40" s="1071"/>
      <c r="AM40" s="585">
        <v>0.91100000000000003</v>
      </c>
      <c r="AN40" s="580"/>
      <c r="AO40" s="569">
        <v>0.84899999999999998</v>
      </c>
      <c r="AP40" s="586"/>
      <c r="AQ40" s="587">
        <v>0.78900000000000003</v>
      </c>
      <c r="AR40" s="586"/>
      <c r="AS40" s="587">
        <v>0.745</v>
      </c>
      <c r="AT40" s="586"/>
      <c r="AU40" s="587">
        <v>0.67300000000000004</v>
      </c>
      <c r="AV40" s="588"/>
      <c r="AW40" s="194"/>
      <c r="AX40" s="194"/>
      <c r="AY40" s="195"/>
      <c r="AZ40" s="194"/>
      <c r="BA40" s="194"/>
      <c r="BB40" s="194"/>
      <c r="BC40" s="196"/>
      <c r="BD40" s="194"/>
    </row>
    <row r="41" spans="1:56" ht="25.35" customHeight="1" thickBot="1" x14ac:dyDescent="0.3">
      <c r="A41" s="1096"/>
      <c r="B41" s="1117" t="s">
        <v>355</v>
      </c>
      <c r="C41" s="1118"/>
      <c r="D41" s="1119"/>
      <c r="E41" s="100"/>
      <c r="F41" s="101"/>
      <c r="G41" s="100">
        <f>G38/AVERAGE(E12,G12)</f>
        <v>4.2367104878644847E-2</v>
      </c>
      <c r="H41" s="101"/>
      <c r="I41" s="100">
        <f>I38/AVERAGE(G12,I12)</f>
        <v>4.8873640796398721E-2</v>
      </c>
      <c r="J41" s="101"/>
      <c r="K41" s="100">
        <f>K38/AVERAGE(I12,K12)</f>
        <v>4.7149213835542401E-2</v>
      </c>
      <c r="L41" s="101"/>
      <c r="M41" s="100">
        <f>M38/AVERAGE(K12,M12)</f>
        <v>4.6132346660392891E-2</v>
      </c>
      <c r="N41" s="101"/>
      <c r="O41" s="100">
        <f>O38/AVERAGE(M12,O12)</f>
        <v>4.7982986857115523E-2</v>
      </c>
      <c r="P41" s="101"/>
      <c r="Q41" s="100">
        <f>Q38/AVERAGE(O12,Q12)</f>
        <v>4.8000359268729788E-2</v>
      </c>
      <c r="R41" s="101"/>
      <c r="S41" s="100">
        <f>S38/AVERAGE(Q12,S12)</f>
        <v>4.870881582835003E-2</v>
      </c>
      <c r="T41" s="101"/>
      <c r="U41" s="14" t="s">
        <v>8984</v>
      </c>
      <c r="AI41" s="484"/>
      <c r="AJ41" s="1069" t="s">
        <v>355</v>
      </c>
      <c r="AK41" s="1070"/>
      <c r="AL41" s="1071"/>
      <c r="AM41" s="585">
        <v>0.10199999999999999</v>
      </c>
      <c r="AN41" s="580"/>
      <c r="AO41" s="569">
        <v>9.2999999999999999E-2</v>
      </c>
      <c r="AP41" s="580"/>
      <c r="AQ41" s="569">
        <v>9.1999999999999998E-2</v>
      </c>
      <c r="AR41" s="580"/>
      <c r="AS41" s="569">
        <v>0.10100000000000001</v>
      </c>
      <c r="AT41" s="580"/>
      <c r="AU41" s="569">
        <v>0.108</v>
      </c>
      <c r="AV41" s="589"/>
    </row>
    <row r="42" spans="1:56" ht="25.35" customHeight="1" thickBot="1" x14ac:dyDescent="0.3">
      <c r="A42" s="1096"/>
      <c r="B42" s="1117" t="s">
        <v>356</v>
      </c>
      <c r="C42" s="1118"/>
      <c r="D42" s="1119"/>
      <c r="E42" s="102">
        <f>E35/E18</f>
        <v>2.4620423556095509E-2</v>
      </c>
      <c r="F42" s="101"/>
      <c r="G42" s="102">
        <f>G35/G18</f>
        <v>2.261890116780424E-2</v>
      </c>
      <c r="H42" s="101"/>
      <c r="I42" s="102">
        <f>I35/I18</f>
        <v>2.2059806985476271E-2</v>
      </c>
      <c r="J42" s="101"/>
      <c r="K42" s="102">
        <f>K35/K18</f>
        <v>2.1343761368734584E-2</v>
      </c>
      <c r="L42" s="101"/>
      <c r="M42" s="102">
        <f>M35/M18</f>
        <v>2.1430758626770397E-2</v>
      </c>
      <c r="N42" s="101"/>
      <c r="O42" s="102">
        <f>O35/O18</f>
        <v>2.1745065934799114E-2</v>
      </c>
      <c r="P42" s="101"/>
      <c r="Q42" s="102">
        <f>Q35/Q18</f>
        <v>2.2126484471720952E-2</v>
      </c>
      <c r="R42" s="101"/>
      <c r="S42" s="102">
        <f>S35/S18</f>
        <v>2.2520817067841783E-2</v>
      </c>
      <c r="T42" s="101"/>
      <c r="U42" s="14" t="s">
        <v>8985</v>
      </c>
      <c r="AI42" s="484"/>
      <c r="AJ42" s="1069" t="s">
        <v>356</v>
      </c>
      <c r="AK42" s="1070"/>
      <c r="AL42" s="1071"/>
      <c r="AM42" s="585">
        <v>3.4000000000000002E-2</v>
      </c>
      <c r="AN42" s="580"/>
      <c r="AO42" s="569">
        <v>3.6999999999999998E-2</v>
      </c>
      <c r="AP42" s="580"/>
      <c r="AQ42" s="569">
        <v>3.7999999999999999E-2</v>
      </c>
      <c r="AR42" s="580"/>
      <c r="AS42" s="569">
        <v>4.2000000000000003E-2</v>
      </c>
      <c r="AT42" s="580"/>
      <c r="AU42" s="569">
        <v>4.5999999999999999E-2</v>
      </c>
      <c r="AV42" s="589"/>
    </row>
    <row r="43" spans="1:56" ht="25.35" customHeight="1" thickBot="1" x14ac:dyDescent="0.3">
      <c r="A43" s="1096"/>
      <c r="B43" s="1117" t="s">
        <v>357</v>
      </c>
      <c r="C43" s="1118"/>
      <c r="D43" s="1119"/>
      <c r="E43" s="102"/>
      <c r="F43" s="101"/>
      <c r="G43" s="102">
        <f>G18/AVERAGE(E12,G12)</f>
        <v>3.5579176443708107</v>
      </c>
      <c r="H43" s="101"/>
      <c r="I43" s="102">
        <f>I18/AVERAGE(G12,I12)</f>
        <v>3.4948308117319518</v>
      </c>
      <c r="J43" s="101"/>
      <c r="K43" s="102">
        <f>K18/AVERAGE(I12,K12)</f>
        <v>3.4445508320906169</v>
      </c>
      <c r="L43" s="101"/>
      <c r="M43" s="102">
        <f>M18/AVERAGE(K12,M12)</f>
        <v>3.4075655887961234</v>
      </c>
      <c r="N43" s="101"/>
      <c r="O43" s="102">
        <f>O18/AVERAGE(M12,O12)</f>
        <v>3.3691138183146458</v>
      </c>
      <c r="P43" s="101"/>
      <c r="Q43" s="102">
        <f>Q18/AVERAGE(O12,Q12)</f>
        <v>3.3348950052936739</v>
      </c>
      <c r="R43" s="101"/>
      <c r="S43" s="102">
        <f>S18/AVERAGE(Q12,S12)</f>
        <v>3.3062280590736837</v>
      </c>
      <c r="T43" s="101"/>
      <c r="U43" s="14" t="s">
        <v>8986</v>
      </c>
      <c r="AI43" s="484"/>
      <c r="AJ43" s="1069" t="s">
        <v>357</v>
      </c>
      <c r="AK43" s="1070"/>
      <c r="AL43" s="1071"/>
      <c r="AM43" s="585">
        <v>4.1020000000000003</v>
      </c>
      <c r="AN43" s="580"/>
      <c r="AO43" s="569">
        <v>3.0510000000000002</v>
      </c>
      <c r="AP43" s="580"/>
      <c r="AQ43" s="569">
        <v>3.0350000000000001</v>
      </c>
      <c r="AR43" s="580"/>
      <c r="AS43" s="569">
        <v>3.0270000000000001</v>
      </c>
      <c r="AT43" s="580"/>
      <c r="AU43" s="569">
        <v>2.9889999999999999</v>
      </c>
      <c r="AV43" s="589"/>
    </row>
    <row r="44" spans="1:56" ht="25.35" customHeight="1" thickBot="1" x14ac:dyDescent="0.3">
      <c r="A44" s="1096"/>
      <c r="B44" s="1082" t="s">
        <v>358</v>
      </c>
      <c r="C44" s="1079"/>
      <c r="D44" s="1083"/>
      <c r="E44" s="58"/>
      <c r="F44" s="57"/>
      <c r="G44" s="58">
        <f>G18/E18-1</f>
        <v>2.1908033995514664E-2</v>
      </c>
      <c r="H44" s="57"/>
      <c r="I44" s="58">
        <f>I18/G18-1</f>
        <v>1.5277098846230741E-2</v>
      </c>
      <c r="J44" s="57"/>
      <c r="K44" s="58">
        <f>K18/I18-1</f>
        <v>1.5934510641126387E-2</v>
      </c>
      <c r="L44" s="57"/>
      <c r="M44" s="58">
        <f>M18/K18-1</f>
        <v>1.7340683545445934E-2</v>
      </c>
      <c r="N44" s="57"/>
      <c r="O44" s="58">
        <f>O18/M18-1</f>
        <v>1.7750609065174894E-2</v>
      </c>
      <c r="P44" s="57"/>
      <c r="Q44" s="58">
        <f>Q18/O18-1</f>
        <v>1.9692721732122553E-2</v>
      </c>
      <c r="R44" s="57"/>
      <c r="S44" s="58">
        <f>S18/Q18-1</f>
        <v>2.1318363895333592E-2</v>
      </c>
      <c r="T44" s="57"/>
      <c r="U44" s="14" t="s">
        <v>8987</v>
      </c>
      <c r="AI44" s="484"/>
      <c r="AJ44" s="1069" t="s">
        <v>358</v>
      </c>
      <c r="AK44" s="1070"/>
      <c r="AL44" s="1071"/>
      <c r="AM44" s="585">
        <v>7.4870000000000001</v>
      </c>
      <c r="AN44" s="590"/>
      <c r="AO44" s="569">
        <v>0.156</v>
      </c>
      <c r="AP44" s="590"/>
      <c r="AQ44" s="569">
        <v>6.8000000000000005E-2</v>
      </c>
      <c r="AR44" s="590"/>
      <c r="AS44" s="569">
        <v>0.08</v>
      </c>
      <c r="AT44" s="580"/>
      <c r="AU44" s="569">
        <v>8.1000000000000003E-2</v>
      </c>
      <c r="AV44" s="589"/>
    </row>
    <row r="45" spans="1:56" ht="25.35" customHeight="1" x14ac:dyDescent="0.25">
      <c r="A45" s="1128"/>
      <c r="B45" s="1082" t="s">
        <v>359</v>
      </c>
      <c r="C45" s="1079"/>
      <c r="D45" s="1083"/>
      <c r="E45" s="58"/>
      <c r="F45" s="57"/>
      <c r="G45" s="58">
        <f>G6/E6-1</f>
        <v>-3.1070229586176445E-3</v>
      </c>
      <c r="H45" s="103"/>
      <c r="I45" s="58">
        <f>I6/G6-1</f>
        <v>9.1014196400061032E-3</v>
      </c>
      <c r="J45" s="103"/>
      <c r="K45" s="58">
        <f>K6/I6-1</f>
        <v>8.8297747695671447E-3</v>
      </c>
      <c r="L45" s="103"/>
      <c r="M45" s="58">
        <f>M6/K6-1</f>
        <v>1.0916819772953668E-2</v>
      </c>
      <c r="N45" s="103"/>
      <c r="O45" s="58">
        <f>O6/M6-1</f>
        <v>1.3325315929020309E-2</v>
      </c>
      <c r="P45" s="103"/>
      <c r="Q45" s="58">
        <f>Q6/O6-1</f>
        <v>1.4059810498395775E-2</v>
      </c>
      <c r="R45" s="103"/>
      <c r="S45" s="58">
        <f>S6/Q6-1</f>
        <v>1.5583200207033965E-2</v>
      </c>
      <c r="T45" s="103"/>
      <c r="U45" s="14" t="s">
        <v>8988</v>
      </c>
      <c r="AI45" s="591"/>
      <c r="AJ45" s="1133" t="s">
        <v>359</v>
      </c>
      <c r="AK45" s="1134"/>
      <c r="AL45" s="1135"/>
      <c r="AM45" s="592">
        <v>3.5840000000000001</v>
      </c>
      <c r="AN45" s="593"/>
      <c r="AO45" s="594">
        <v>3.7999999999999999E-2</v>
      </c>
      <c r="AP45" s="593"/>
      <c r="AQ45" s="594">
        <v>0.04</v>
      </c>
      <c r="AR45" s="593"/>
      <c r="AS45" s="594">
        <v>6.3E-2</v>
      </c>
      <c r="AT45" s="595"/>
      <c r="AU45" s="594">
        <v>5.3999999999999999E-2</v>
      </c>
      <c r="AV45" s="596"/>
    </row>
    <row r="46" spans="1:56" ht="25.35" customHeight="1" x14ac:dyDescent="0.25">
      <c r="A46" s="59" t="s">
        <v>874</v>
      </c>
      <c r="B46" s="104"/>
      <c r="C46" s="104"/>
      <c r="D46" s="104"/>
      <c r="E46" s="105"/>
      <c r="F46" s="106"/>
      <c r="G46" s="105"/>
      <c r="H46" s="106"/>
      <c r="I46" s="105"/>
      <c r="J46" s="106"/>
      <c r="K46" s="105"/>
      <c r="L46" s="106"/>
      <c r="M46" s="106"/>
      <c r="N46" s="106"/>
      <c r="O46" s="106"/>
      <c r="P46" s="106"/>
      <c r="Q46" s="106"/>
      <c r="R46" s="106"/>
      <c r="S46" s="106"/>
      <c r="T46" s="106"/>
    </row>
    <row r="47" spans="1:56" s="438" customFormat="1" ht="25.35" hidden="1" customHeight="1" outlineLevel="1" x14ac:dyDescent="0.25">
      <c r="A47" s="61"/>
      <c r="B47" s="439"/>
      <c r="C47" s="439"/>
      <c r="D47" s="439"/>
      <c r="E47" s="440"/>
      <c r="F47" s="441"/>
      <c r="G47" s="440"/>
      <c r="H47" s="441"/>
      <c r="I47" s="440"/>
      <c r="J47" s="441"/>
      <c r="K47" s="440"/>
      <c r="L47" s="441"/>
      <c r="M47" s="441"/>
      <c r="N47" s="441"/>
      <c r="O47" s="441"/>
      <c r="P47" s="441"/>
      <c r="Q47" s="441"/>
      <c r="R47" s="441"/>
      <c r="S47" s="441"/>
      <c r="T47" s="441"/>
      <c r="W47" s="442"/>
      <c r="X47" s="443"/>
      <c r="Y47" s="443"/>
      <c r="Z47" s="443"/>
      <c r="AA47" s="443"/>
      <c r="AB47" s="443"/>
      <c r="AC47" s="443"/>
      <c r="AD47" s="443"/>
      <c r="AE47" s="443"/>
      <c r="AF47" s="443"/>
      <c r="AG47" s="443"/>
      <c r="AY47" s="444"/>
      <c r="BC47" s="445"/>
    </row>
    <row r="48" spans="1:56" s="438" customFormat="1" ht="25.35" hidden="1" customHeight="1" outlineLevel="1" x14ac:dyDescent="0.3">
      <c r="A48" s="61"/>
      <c r="E48" s="446">
        <f>E6-E9-E12</f>
        <v>0</v>
      </c>
      <c r="F48" s="446">
        <f t="shared" ref="F48:T48" si="9">F6-F9-F12</f>
        <v>0</v>
      </c>
      <c r="G48" s="447">
        <f t="shared" si="9"/>
        <v>-2768.0000000004657</v>
      </c>
      <c r="H48" s="447">
        <f t="shared" si="9"/>
        <v>-2.2551229136335005E-3</v>
      </c>
      <c r="I48" s="447">
        <f t="shared" si="9"/>
        <v>-2768</v>
      </c>
      <c r="J48" s="447">
        <f t="shared" si="9"/>
        <v>-1.0559160342033455E-2</v>
      </c>
      <c r="K48" s="447">
        <f t="shared" si="9"/>
        <v>-2768</v>
      </c>
      <c r="L48" s="447">
        <f t="shared" si="9"/>
        <v>-9.1614985173461561E-3</v>
      </c>
      <c r="M48" s="447">
        <f t="shared" si="9"/>
        <v>-2767.9999999990687</v>
      </c>
      <c r="N48" s="447">
        <f t="shared" si="9"/>
        <v>-1.0532109755152765E-2</v>
      </c>
      <c r="O48" s="447">
        <f>O6-O9-O12</f>
        <v>-2767.9999999990687</v>
      </c>
      <c r="P48" s="447">
        <f t="shared" si="9"/>
        <v>-1.2322856317316434E-2</v>
      </c>
      <c r="Q48" s="447">
        <f t="shared" si="9"/>
        <v>-2767.9999999990687</v>
      </c>
      <c r="R48" s="447">
        <f t="shared" si="9"/>
        <v>-1.2547793415327781E-2</v>
      </c>
      <c r="S48" s="447">
        <f t="shared" si="9"/>
        <v>-2767.9999999990687</v>
      </c>
      <c r="T48" s="447">
        <f t="shared" si="9"/>
        <v>-1.3604111990936908E-2</v>
      </c>
      <c r="W48" s="442"/>
      <c r="X48" s="443"/>
      <c r="Y48" s="443"/>
      <c r="Z48" s="443"/>
      <c r="AA48" s="443"/>
      <c r="AB48" s="443"/>
      <c r="AC48" s="443"/>
      <c r="AD48" s="443"/>
      <c r="AE48" s="443"/>
      <c r="AF48" s="443"/>
      <c r="AG48" s="443"/>
      <c r="AY48" s="444"/>
      <c r="BC48" s="445"/>
    </row>
    <row r="49" spans="1:55" s="438" customFormat="1" ht="25.35" hidden="1" customHeight="1" outlineLevel="1" x14ac:dyDescent="0.3">
      <c r="A49" s="61"/>
      <c r="E49" s="448"/>
      <c r="G49" s="448"/>
      <c r="I49" s="448"/>
      <c r="K49" s="448"/>
      <c r="W49" s="442"/>
      <c r="X49" s="443"/>
      <c r="Y49" s="443"/>
      <c r="Z49" s="443"/>
      <c r="AA49" s="443"/>
      <c r="AB49" s="443"/>
      <c r="AC49" s="443"/>
      <c r="AD49" s="443"/>
      <c r="AE49" s="443"/>
      <c r="AF49" s="443"/>
      <c r="AG49" s="443"/>
      <c r="AY49" s="444"/>
      <c r="BC49" s="445"/>
    </row>
    <row r="50" spans="1:55" s="438" customFormat="1" ht="25.35" hidden="1" customHeight="1" outlineLevel="1" x14ac:dyDescent="0.3">
      <c r="A50" s="61"/>
      <c r="E50" s="448"/>
      <c r="G50" s="448"/>
      <c r="I50" s="448"/>
      <c r="K50" s="448"/>
      <c r="W50" s="442"/>
      <c r="X50" s="443"/>
      <c r="Y50" s="443"/>
      <c r="Z50" s="443"/>
      <c r="AA50" s="443"/>
      <c r="AB50" s="443"/>
      <c r="AC50" s="443"/>
      <c r="AD50" s="443"/>
      <c r="AE50" s="443"/>
      <c r="AF50" s="443"/>
      <c r="AG50" s="443"/>
      <c r="AY50" s="444"/>
      <c r="BC50" s="445"/>
    </row>
    <row r="51" spans="1:55" s="438" customFormat="1" ht="25.35" hidden="1" customHeight="1" outlineLevel="1" x14ac:dyDescent="0.3">
      <c r="A51" s="61"/>
      <c r="E51" s="448"/>
      <c r="G51" s="448"/>
      <c r="I51" s="448"/>
      <c r="K51" s="448"/>
      <c r="W51" s="442"/>
      <c r="X51" s="443"/>
      <c r="Y51" s="443"/>
      <c r="Z51" s="443"/>
      <c r="AA51" s="443"/>
      <c r="AB51" s="443"/>
      <c r="AC51" s="443"/>
      <c r="AD51" s="443"/>
      <c r="AE51" s="443"/>
      <c r="AF51" s="443"/>
      <c r="AG51" s="443"/>
      <c r="AY51" s="444"/>
      <c r="BC51" s="445"/>
    </row>
    <row r="52" spans="1:55" ht="25.35" customHeight="1" collapsed="1" x14ac:dyDescent="0.3"/>
  </sheetData>
  <mergeCells count="83">
    <mergeCell ref="B44:D44"/>
    <mergeCell ref="AJ44:AL44"/>
    <mergeCell ref="B38:D38"/>
    <mergeCell ref="AJ38:AL38"/>
    <mergeCell ref="A39:A45"/>
    <mergeCell ref="B39:D39"/>
    <mergeCell ref="AJ39:AL39"/>
    <mergeCell ref="B40:D40"/>
    <mergeCell ref="AJ40:AL40"/>
    <mergeCell ref="B41:D41"/>
    <mergeCell ref="A18:A38"/>
    <mergeCell ref="B45:D45"/>
    <mergeCell ref="AJ45:AL45"/>
    <mergeCell ref="AJ41:AL41"/>
    <mergeCell ref="B42:D42"/>
    <mergeCell ref="AJ42:AL42"/>
    <mergeCell ref="B43:D43"/>
    <mergeCell ref="AJ43:AL43"/>
    <mergeCell ref="AK32:AL32"/>
    <mergeCell ref="C33:D33"/>
    <mergeCell ref="AK34:AL34"/>
    <mergeCell ref="B35:D35"/>
    <mergeCell ref="AJ35:AL35"/>
    <mergeCell ref="AK28:AL28"/>
    <mergeCell ref="AK29:AL29"/>
    <mergeCell ref="B30:D30"/>
    <mergeCell ref="AJ30:AL30"/>
    <mergeCell ref="B31:D31"/>
    <mergeCell ref="AJ31:AL31"/>
    <mergeCell ref="C22:D22"/>
    <mergeCell ref="AK22:AL22"/>
    <mergeCell ref="AK26:AL26"/>
    <mergeCell ref="B27:D27"/>
    <mergeCell ref="AJ27:AL27"/>
    <mergeCell ref="C26:D26"/>
    <mergeCell ref="AK19:AL19"/>
    <mergeCell ref="C20:D20"/>
    <mergeCell ref="AK20:AL20"/>
    <mergeCell ref="C21:D21"/>
    <mergeCell ref="AK21:AL21"/>
    <mergeCell ref="C16:D16"/>
    <mergeCell ref="AK16:AL16"/>
    <mergeCell ref="C17:D17"/>
    <mergeCell ref="AK17:AL17"/>
    <mergeCell ref="B18:D18"/>
    <mergeCell ref="AJ18:AL18"/>
    <mergeCell ref="C13:D13"/>
    <mergeCell ref="AK13:AL13"/>
    <mergeCell ref="C14:D14"/>
    <mergeCell ref="AK14:AL14"/>
    <mergeCell ref="C15:D15"/>
    <mergeCell ref="AK15:AL15"/>
    <mergeCell ref="AJ9:AL9"/>
    <mergeCell ref="C10:D10"/>
    <mergeCell ref="AK10:AL10"/>
    <mergeCell ref="C11:D11"/>
    <mergeCell ref="AK11:AL11"/>
    <mergeCell ref="B12:D12"/>
    <mergeCell ref="AJ12:AL12"/>
    <mergeCell ref="AS4:AT4"/>
    <mergeCell ref="AU4:AV4"/>
    <mergeCell ref="A6:A17"/>
    <mergeCell ref="B6:D6"/>
    <mergeCell ref="AJ6:AL6"/>
    <mergeCell ref="C7:D7"/>
    <mergeCell ref="AK7:AL7"/>
    <mergeCell ref="C8:D8"/>
    <mergeCell ref="AK8:AL8"/>
    <mergeCell ref="B9:D9"/>
    <mergeCell ref="M4:N4"/>
    <mergeCell ref="U4:U5"/>
    <mergeCell ref="AI4:AL5"/>
    <mergeCell ref="AM4:AN4"/>
    <mergeCell ref="AO4:AP4"/>
    <mergeCell ref="AQ4:AR4"/>
    <mergeCell ref="A4:D5"/>
    <mergeCell ref="K4:L4"/>
    <mergeCell ref="O4:P4"/>
    <mergeCell ref="Q4:R4"/>
    <mergeCell ref="S4:T4"/>
    <mergeCell ref="I4:J4"/>
    <mergeCell ref="E4:F4"/>
    <mergeCell ref="G4:H4"/>
  </mergeCells>
  <phoneticPr fontId="2" type="noConversion"/>
  <pageMargins left="0.7" right="0.7" top="0.75" bottom="0.75" header="0.3" footer="0.3"/>
  <pageSetup paperSize="9" scale="3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FDC1-0DEA-41D8-B67B-A36E66E2E744}">
  <sheetPr codeName="Sheet4"/>
  <dimension ref="A1:AU59"/>
  <sheetViews>
    <sheetView showGridLines="0" zoomScale="85" zoomScaleNormal="85" workbookViewId="0"/>
  </sheetViews>
  <sheetFormatPr defaultColWidth="9" defaultRowHeight="20.25" outlineLevelRow="1" outlineLevelCol="1" x14ac:dyDescent="0.3"/>
  <cols>
    <col min="1" max="1" width="8.375" style="788" customWidth="1"/>
    <col min="2" max="2" width="25.5" style="121" customWidth="1"/>
    <col min="3" max="8" width="10.625" style="59" hidden="1" customWidth="1" outlineLevel="1"/>
    <col min="9" max="9" width="10.625" style="59" customWidth="1" collapsed="1"/>
    <col min="10" max="17" width="10.625" style="59" customWidth="1"/>
    <col min="18" max="18" width="15.375" style="598" hidden="1" customWidth="1" outlineLevel="1"/>
    <col min="19" max="19" width="12.375" style="598" hidden="1" customWidth="1" outlineLevel="1"/>
    <col min="20" max="25" width="13.625" style="598" hidden="1" customWidth="1" outlineLevel="1"/>
    <col min="26" max="31" width="13.625" style="59" hidden="1" customWidth="1" outlineLevel="1"/>
    <col min="32" max="33" width="3.625" style="59" hidden="1" customWidth="1" outlineLevel="1"/>
    <col min="34" max="34" width="36.375" style="59" hidden="1" customWidth="1" outlineLevel="1"/>
    <col min="35" max="39" width="12.625" style="59" hidden="1" customWidth="1" outlineLevel="1"/>
    <col min="40" max="40" width="14.25" style="59" hidden="1" customWidth="1" outlineLevel="1"/>
    <col min="41" max="41" width="12.625" style="59" hidden="1" customWidth="1" outlineLevel="1"/>
    <col min="42" max="44" width="14.25" style="59" hidden="1" customWidth="1" outlineLevel="1"/>
    <col min="45" max="46" width="12.625" style="59" hidden="1" customWidth="1" outlineLevel="1"/>
    <col min="47" max="47" width="9" style="59" collapsed="1"/>
    <col min="48" max="16384" width="9" style="59"/>
  </cols>
  <sheetData>
    <row r="1" spans="1:46" ht="25.35" customHeight="1" x14ac:dyDescent="0.3">
      <c r="C1" s="61"/>
      <c r="D1" s="61"/>
      <c r="E1" s="61"/>
      <c r="F1" s="61"/>
      <c r="G1" s="226"/>
      <c r="H1" s="226"/>
      <c r="I1" s="199"/>
      <c r="R1" s="597"/>
      <c r="S1" s="597"/>
      <c r="T1" s="597"/>
      <c r="U1" s="597"/>
      <c r="V1" s="597"/>
      <c r="W1" s="597"/>
      <c r="X1" s="597"/>
      <c r="Y1" s="597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</row>
    <row r="2" spans="1:46" ht="25.35" customHeight="1" x14ac:dyDescent="0.3">
      <c r="A2" s="67" t="s">
        <v>521</v>
      </c>
      <c r="C2" s="61"/>
      <c r="D2" s="61"/>
      <c r="E2" s="61"/>
      <c r="F2" s="61"/>
      <c r="G2" s="226"/>
      <c r="H2" s="226"/>
      <c r="I2" s="199"/>
      <c r="R2" s="597"/>
      <c r="S2" s="597"/>
      <c r="T2" s="597"/>
      <c r="U2" s="597"/>
      <c r="V2" s="597"/>
      <c r="W2" s="597"/>
      <c r="X2" s="597"/>
      <c r="Y2" s="597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</row>
    <row r="3" spans="1:46" ht="25.35" customHeight="1" x14ac:dyDescent="0.3">
      <c r="A3" s="67"/>
      <c r="G3" s="199"/>
      <c r="H3" s="199"/>
      <c r="I3" s="199"/>
    </row>
    <row r="4" spans="1:46" ht="25.35" customHeight="1" x14ac:dyDescent="0.3">
      <c r="A4" s="67" t="s">
        <v>522</v>
      </c>
    </row>
    <row r="5" spans="1:46" ht="25.35" customHeight="1" x14ac:dyDescent="0.3">
      <c r="P5" s="792" t="s">
        <v>8990</v>
      </c>
      <c r="R5" s="598" t="s">
        <v>523</v>
      </c>
    </row>
    <row r="6" spans="1:46" ht="25.35" customHeight="1" x14ac:dyDescent="0.3">
      <c r="B6" s="107" t="s">
        <v>437</v>
      </c>
      <c r="C6" s="107" t="s">
        <v>434</v>
      </c>
      <c r="D6" s="107" t="s">
        <v>387</v>
      </c>
      <c r="E6" s="107" t="s">
        <v>360</v>
      </c>
      <c r="F6" s="107" t="s">
        <v>361</v>
      </c>
      <c r="G6" s="107" t="s">
        <v>362</v>
      </c>
      <c r="H6" s="107" t="s">
        <v>363</v>
      </c>
      <c r="I6" s="107" t="s">
        <v>398</v>
      </c>
      <c r="J6" s="107" t="s">
        <v>426</v>
      </c>
      <c r="K6" s="107" t="s">
        <v>427</v>
      </c>
      <c r="L6" s="107" t="s">
        <v>430</v>
      </c>
      <c r="M6" s="107" t="s">
        <v>431</v>
      </c>
      <c r="N6" s="107" t="s">
        <v>432</v>
      </c>
      <c r="O6" s="107" t="s">
        <v>433</v>
      </c>
      <c r="P6" s="107" t="s">
        <v>369</v>
      </c>
      <c r="R6" s="108"/>
      <c r="S6" s="108" t="s">
        <v>434</v>
      </c>
      <c r="T6" s="108" t="s">
        <v>387</v>
      </c>
      <c r="U6" s="108" t="s">
        <v>360</v>
      </c>
      <c r="V6" s="108" t="s">
        <v>361</v>
      </c>
      <c r="W6" s="108" t="s">
        <v>362</v>
      </c>
      <c r="X6" s="108" t="s">
        <v>363</v>
      </c>
      <c r="Y6" s="108" t="s">
        <v>398</v>
      </c>
      <c r="Z6" s="108" t="s">
        <v>426</v>
      </c>
      <c r="AA6" s="108" t="s">
        <v>427</v>
      </c>
      <c r="AB6" s="108" t="s">
        <v>430</v>
      </c>
      <c r="AC6" s="108" t="s">
        <v>431</v>
      </c>
      <c r="AD6" s="108" t="s">
        <v>432</v>
      </c>
      <c r="AE6" s="108" t="s">
        <v>433</v>
      </c>
      <c r="AF6" s="204"/>
      <c r="AG6" s="204"/>
      <c r="AH6" s="606" t="s">
        <v>323</v>
      </c>
      <c r="AI6" s="606">
        <v>2021</v>
      </c>
      <c r="AJ6" s="606">
        <v>2022</v>
      </c>
      <c r="AK6" s="606">
        <v>2023</v>
      </c>
      <c r="AL6" s="606">
        <v>2024</v>
      </c>
      <c r="AM6" s="606">
        <v>2025</v>
      </c>
      <c r="AN6" s="606">
        <v>2026</v>
      </c>
      <c r="AO6" s="606">
        <v>2027</v>
      </c>
      <c r="AP6" s="606">
        <v>2028</v>
      </c>
      <c r="AQ6" s="606">
        <v>2029</v>
      </c>
      <c r="AR6" s="606">
        <v>2030</v>
      </c>
      <c r="AS6" s="606">
        <v>2031</v>
      </c>
      <c r="AT6" s="606">
        <v>2032</v>
      </c>
    </row>
    <row r="7" spans="1:46" ht="25.35" customHeight="1" x14ac:dyDescent="0.3">
      <c r="B7" s="113" t="s">
        <v>364</v>
      </c>
      <c r="C7" s="110">
        <f>S12</f>
        <v>1217308.226237</v>
      </c>
      <c r="D7" s="110">
        <f t="shared" ref="D7:K7" si="0">T12</f>
        <v>10662714.642976001</v>
      </c>
      <c r="E7" s="110">
        <f t="shared" si="0"/>
        <v>10475956.08697</v>
      </c>
      <c r="F7" s="110">
        <f t="shared" si="0"/>
        <v>10797317.255847005</v>
      </c>
      <c r="G7" s="110">
        <f t="shared" si="0"/>
        <v>11388866.007744001</v>
      </c>
      <c r="H7" s="110">
        <f t="shared" si="0"/>
        <v>11778167.501111999</v>
      </c>
      <c r="I7" s="110">
        <f t="shared" si="0"/>
        <v>12060941.326685345</v>
      </c>
      <c r="J7" s="110">
        <f t="shared" si="0"/>
        <v>12230720.792255457</v>
      </c>
      <c r="K7" s="110">
        <f t="shared" si="0"/>
        <v>12418018.72086825</v>
      </c>
      <c r="L7" s="110">
        <f>AB12</f>
        <v>12628072.772931043</v>
      </c>
      <c r="M7" s="110">
        <f>AC12</f>
        <v>12848940.408019695</v>
      </c>
      <c r="N7" s="110">
        <f>AD12</f>
        <v>13098968.124168668</v>
      </c>
      <c r="O7" s="110">
        <f>AE12</f>
        <v>13375988.712828912</v>
      </c>
      <c r="P7" s="431">
        <f>SUM(I7:O7)</f>
        <v>88661650.85775736</v>
      </c>
      <c r="R7" s="599" t="s">
        <v>286</v>
      </c>
      <c r="S7" s="599">
        <f>'7-1. FS'!AB49</f>
        <v>1206716</v>
      </c>
      <c r="T7" s="599">
        <f>'7-1. FS'!AC49</f>
        <v>9942393.7297590002</v>
      </c>
      <c r="U7" s="599">
        <f>'7-1. FS'!AD49</f>
        <v>10569338.090237999</v>
      </c>
      <c r="V7" s="599">
        <f>'7-1. FS'!AE49</f>
        <v>10886894.680059005</v>
      </c>
      <c r="W7" s="599">
        <f>'7-1. FS'!AF49</f>
        <v>11378034.037656</v>
      </c>
      <c r="X7" s="599">
        <f>'7-1. FS'!AG49</f>
        <v>11774644.187705999</v>
      </c>
      <c r="Y7" s="599">
        <f>'7-1. FS'!AH49</f>
        <v>12032603.17534546</v>
      </c>
      <c r="Z7" s="599">
        <f>'7-1. FS'!AI49</f>
        <v>12216426.443432681</v>
      </c>
      <c r="AA7" s="599">
        <f>'7-1. FS'!AJ49</f>
        <v>12411089.220592096</v>
      </c>
      <c r="AB7" s="599">
        <f>'7-1. FS'!AK49</f>
        <v>12626305.991220679</v>
      </c>
      <c r="AC7" s="599">
        <f>'7-1. FS'!AL49</f>
        <v>12850430.612808114</v>
      </c>
      <c r="AD7" s="599">
        <f>'7-1. FS'!AM49</f>
        <v>13103490.567004094</v>
      </c>
      <c r="AE7" s="599">
        <f>'7-1. FS'!AN49</f>
        <v>13382835.547210557</v>
      </c>
      <c r="AF7" s="598"/>
      <c r="AG7" s="598"/>
      <c r="AH7" s="607" t="s">
        <v>364</v>
      </c>
      <c r="AI7" s="608">
        <v>10340311</v>
      </c>
      <c r="AJ7" s="608">
        <v>11766617</v>
      </c>
      <c r="AK7" s="608">
        <v>12589017</v>
      </c>
      <c r="AL7" s="608">
        <v>13550355</v>
      </c>
      <c r="AM7" s="608">
        <v>14580053</v>
      </c>
      <c r="AN7" s="608">
        <f t="shared" ref="AN7:AT7" si="1">D7-AI7</f>
        <v>322403.64297600091</v>
      </c>
      <c r="AO7" s="608">
        <f t="shared" si="1"/>
        <v>-1290660.9130300004</v>
      </c>
      <c r="AP7" s="608">
        <f t="shared" si="1"/>
        <v>-1791699.7441529948</v>
      </c>
      <c r="AQ7" s="608">
        <f t="shared" si="1"/>
        <v>-2161488.9922559988</v>
      </c>
      <c r="AR7" s="608">
        <f t="shared" si="1"/>
        <v>-2801885.4988880008</v>
      </c>
      <c r="AS7" s="608">
        <f t="shared" si="1"/>
        <v>11738537.683709344</v>
      </c>
      <c r="AT7" s="608">
        <f t="shared" si="1"/>
        <v>13521381.705285458</v>
      </c>
    </row>
    <row r="8" spans="1:46" ht="25.35" customHeight="1" x14ac:dyDescent="0.3">
      <c r="B8" s="113" t="s">
        <v>524</v>
      </c>
      <c r="C8" s="111">
        <f>S50</f>
        <v>0</v>
      </c>
      <c r="D8" s="111">
        <f t="shared" ref="D8:K8" si="2">T50</f>
        <v>17572.952697000001</v>
      </c>
      <c r="E8" s="111">
        <f t="shared" si="2"/>
        <v>0</v>
      </c>
      <c r="F8" s="111">
        <f t="shared" si="2"/>
        <v>0</v>
      </c>
      <c r="G8" s="111">
        <f t="shared" si="2"/>
        <v>0</v>
      </c>
      <c r="H8" s="111">
        <f t="shared" si="2"/>
        <v>0</v>
      </c>
      <c r="I8" s="111">
        <f t="shared" si="2"/>
        <v>0</v>
      </c>
      <c r="J8" s="111">
        <f t="shared" si="2"/>
        <v>0</v>
      </c>
      <c r="K8" s="111">
        <f t="shared" si="2"/>
        <v>0</v>
      </c>
      <c r="L8" s="111">
        <f>AB50</f>
        <v>0</v>
      </c>
      <c r="M8" s="111">
        <f>AC50</f>
        <v>0</v>
      </c>
      <c r="N8" s="111">
        <f>AD50</f>
        <v>0</v>
      </c>
      <c r="O8" s="111">
        <f>AE50</f>
        <v>0</v>
      </c>
      <c r="P8" s="431">
        <f>SUM(I8:O8)</f>
        <v>0</v>
      </c>
      <c r="R8" s="599" t="s">
        <v>525</v>
      </c>
      <c r="S8" s="599">
        <f>MAX('7-1. FS'!AB74+'7-1. FS'!AB77,0)</f>
        <v>12559</v>
      </c>
      <c r="T8" s="599">
        <f>MAX('7-1. FS'!AC74+'7-1. FS'!AC77,0)</f>
        <v>740901.80577899993</v>
      </c>
      <c r="U8" s="599">
        <f>MAX('7-1. FS'!AD74+'7-1. FS'!AD77,0)</f>
        <v>0</v>
      </c>
      <c r="V8" s="599">
        <f>MAX('7-1. FS'!AE74+'7-1. FS'!AE77,0)</f>
        <v>0</v>
      </c>
      <c r="W8" s="599">
        <f>MAX('7-1. FS'!AF74+'7-1. FS'!AF77,0)</f>
        <v>0</v>
      </c>
      <c r="X8" s="599">
        <f>MAX('7-1. FS'!AG74+'7-1. FS'!AG77,0)</f>
        <v>0</v>
      </c>
      <c r="Y8" s="599">
        <f>MAX('7-1. FS'!AH74+'7-1. FS'!AH77,0)</f>
        <v>0</v>
      </c>
      <c r="Z8" s="599">
        <f>MAX('7-1. FS'!AI74+'7-1. FS'!AI77,0)</f>
        <v>0</v>
      </c>
      <c r="AA8" s="599">
        <f>MAX('7-1. FS'!AJ74+'7-1. FS'!AJ77,0)</f>
        <v>0</v>
      </c>
      <c r="AB8" s="599">
        <f>MAX('7-1. FS'!AK74+'7-1. FS'!AK77,0)</f>
        <v>0</v>
      </c>
      <c r="AC8" s="599">
        <f>MAX('7-1. FS'!AL74+'7-1. FS'!AL77,0)</f>
        <v>0</v>
      </c>
      <c r="AD8" s="599">
        <f>MAX('7-1. FS'!AM74+'7-1. FS'!AM77,0)</f>
        <v>0</v>
      </c>
      <c r="AE8" s="599">
        <f>MAX('7-1. FS'!AN74+'7-1. FS'!AN77,0)</f>
        <v>0</v>
      </c>
      <c r="AF8" s="598"/>
      <c r="AG8" s="598"/>
      <c r="AH8" s="609" t="s">
        <v>365</v>
      </c>
      <c r="AI8" s="1138" t="s">
        <v>282</v>
      </c>
      <c r="AJ8" s="1138" t="s">
        <v>282</v>
      </c>
      <c r="AK8" s="1138" t="s">
        <v>282</v>
      </c>
      <c r="AL8" s="1138" t="s">
        <v>282</v>
      </c>
      <c r="AM8" s="610" t="s">
        <v>282</v>
      </c>
      <c r="AN8" s="610"/>
      <c r="AO8" s="610"/>
      <c r="AP8" s="610"/>
      <c r="AQ8" s="610"/>
      <c r="AR8" s="610"/>
      <c r="AS8" s="610"/>
      <c r="AT8" s="610"/>
    </row>
    <row r="9" spans="1:46" ht="25.35" customHeight="1" x14ac:dyDescent="0.3">
      <c r="B9" s="113" t="s">
        <v>367</v>
      </c>
      <c r="C9" s="112">
        <v>0</v>
      </c>
      <c r="D9" s="112">
        <v>0</v>
      </c>
      <c r="E9" s="112">
        <v>0</v>
      </c>
      <c r="F9" s="112">
        <v>0</v>
      </c>
      <c r="G9" s="112">
        <v>0</v>
      </c>
      <c r="H9" s="112">
        <v>0</v>
      </c>
      <c r="I9" s="112">
        <v>0</v>
      </c>
      <c r="J9" s="112">
        <v>0</v>
      </c>
      <c r="K9" s="112">
        <v>0</v>
      </c>
      <c r="L9" s="112">
        <v>0</v>
      </c>
      <c r="M9" s="112">
        <v>0</v>
      </c>
      <c r="N9" s="112">
        <v>0</v>
      </c>
      <c r="O9" s="112">
        <v>0</v>
      </c>
      <c r="P9" s="431">
        <f>SUM(I9:O9)</f>
        <v>0</v>
      </c>
      <c r="R9" s="599" t="s">
        <v>526</v>
      </c>
      <c r="S9" s="599">
        <f>-'7-1. FS'!AB96</f>
        <v>-6602.7304130000402</v>
      </c>
      <c r="T9" s="599">
        <f>-'7-1. FS'!AC96</f>
        <v>-45464.459560999996</v>
      </c>
      <c r="U9" s="599">
        <f>-'7-1. FS'!AD96</f>
        <v>-15276.730486999999</v>
      </c>
      <c r="V9" s="599">
        <f>-'7-1. FS'!AE96</f>
        <v>-2133.0977069999999</v>
      </c>
      <c r="W9" s="599">
        <f>-'7-1. FS'!AF96</f>
        <v>-13254.542704000001</v>
      </c>
      <c r="X9" s="599">
        <f>-'7-1. FS'!AG96</f>
        <v>-15296</v>
      </c>
      <c r="Y9" s="599"/>
      <c r="Z9" s="599"/>
      <c r="AA9" s="599"/>
      <c r="AB9" s="599"/>
      <c r="AC9" s="599"/>
      <c r="AD9" s="599"/>
      <c r="AE9" s="599"/>
      <c r="AF9" s="598"/>
      <c r="AG9" s="598"/>
      <c r="AH9" s="611" t="s">
        <v>366</v>
      </c>
      <c r="AI9" s="1139"/>
      <c r="AJ9" s="1139"/>
      <c r="AK9" s="1139"/>
      <c r="AL9" s="1139"/>
      <c r="AM9" s="612"/>
      <c r="AN9" s="612"/>
      <c r="AO9" s="612"/>
      <c r="AP9" s="612"/>
      <c r="AQ9" s="612"/>
      <c r="AR9" s="612"/>
      <c r="AS9" s="612"/>
      <c r="AT9" s="612"/>
    </row>
    <row r="10" spans="1:46" ht="25.35" customHeight="1" x14ac:dyDescent="0.3">
      <c r="B10" s="113" t="s">
        <v>527</v>
      </c>
      <c r="C10" s="114">
        <f t="shared" ref="C10:P10" si="3">SUM(C7:C9)</f>
        <v>1217308.226237</v>
      </c>
      <c r="D10" s="114">
        <f t="shared" si="3"/>
        <v>10680287.595673</v>
      </c>
      <c r="E10" s="114">
        <f t="shared" si="3"/>
        <v>10475956.08697</v>
      </c>
      <c r="F10" s="114">
        <f t="shared" si="3"/>
        <v>10797317.255847005</v>
      </c>
      <c r="G10" s="114">
        <f t="shared" si="3"/>
        <v>11388866.007744001</v>
      </c>
      <c r="H10" s="114">
        <f t="shared" si="3"/>
        <v>11778167.501111999</v>
      </c>
      <c r="I10" s="114">
        <f t="shared" si="3"/>
        <v>12060941.326685345</v>
      </c>
      <c r="J10" s="114">
        <f t="shared" ref="J10:O10" si="4">SUM(J7:J9)</f>
        <v>12230720.792255457</v>
      </c>
      <c r="K10" s="114">
        <f t="shared" si="4"/>
        <v>12418018.72086825</v>
      </c>
      <c r="L10" s="114">
        <f t="shared" si="4"/>
        <v>12628072.772931043</v>
      </c>
      <c r="M10" s="114">
        <f t="shared" si="4"/>
        <v>12848940.408019695</v>
      </c>
      <c r="N10" s="114">
        <f t="shared" si="4"/>
        <v>13098968.124168668</v>
      </c>
      <c r="O10" s="114">
        <f t="shared" si="4"/>
        <v>13375988.712828912</v>
      </c>
      <c r="P10" s="432">
        <f t="shared" si="3"/>
        <v>88661650.85775736</v>
      </c>
      <c r="R10" s="599" t="s">
        <v>528</v>
      </c>
      <c r="S10" s="599">
        <f>'7-1. FS'!AB100+'7-1. FS'!AB101</f>
        <v>4635.9566500000074</v>
      </c>
      <c r="T10" s="599">
        <f>'7-1. FS'!AC100+'7-1. FS'!AC101</f>
        <v>24883.566998999944</v>
      </c>
      <c r="U10" s="599">
        <f>'7-1. FS'!AD100+'7-1. FS'!AD101</f>
        <v>-78105.272781000007</v>
      </c>
      <c r="V10" s="599">
        <f>'7-1. FS'!AE100+'7-1. FS'!AE101</f>
        <v>-87444.326504999714</v>
      </c>
      <c r="W10" s="599">
        <f>'7-1. FS'!AF100+'7-1. FS'!AF101</f>
        <v>24086.512791999732</v>
      </c>
      <c r="X10" s="599">
        <f>'7-1. FS'!AG100+'7-1. FS'!AG101</f>
        <v>18819.31340600003</v>
      </c>
      <c r="Y10" s="599">
        <f>'7-1. FS'!AH100+'7-1. FS'!AH101</f>
        <v>28338.151339885313</v>
      </c>
      <c r="Z10" s="599">
        <f>'7-1. FS'!AI100+'7-1. FS'!AI101</f>
        <v>14294.34882277585</v>
      </c>
      <c r="AA10" s="599">
        <f>'7-1. FS'!AJ100+'7-1. FS'!AJ101</f>
        <v>6929.5002761546275</v>
      </c>
      <c r="AB10" s="599">
        <f>'7-1. FS'!AK100+'7-1. FS'!AK101</f>
        <v>1766.7817103643683</v>
      </c>
      <c r="AC10" s="599">
        <f>'7-1. FS'!AL100+'7-1. FS'!AL101</f>
        <v>-1490.204788419047</v>
      </c>
      <c r="AD10" s="599">
        <f>'7-1. FS'!AM100+'7-1. FS'!AM101</f>
        <v>-4522.4428354266201</v>
      </c>
      <c r="AE10" s="599">
        <f>'7-1. FS'!AN100+'7-1. FS'!AN101</f>
        <v>-6846.8343816454653</v>
      </c>
      <c r="AF10" s="598"/>
      <c r="AG10" s="598"/>
      <c r="AH10" s="607" t="s">
        <v>367</v>
      </c>
      <c r="AI10" s="613" t="s">
        <v>282</v>
      </c>
      <c r="AJ10" s="613" t="s">
        <v>282</v>
      </c>
      <c r="AK10" s="613" t="s">
        <v>282</v>
      </c>
      <c r="AL10" s="613" t="s">
        <v>282</v>
      </c>
      <c r="AM10" s="613" t="s">
        <v>282</v>
      </c>
      <c r="AN10" s="613"/>
      <c r="AO10" s="613"/>
      <c r="AP10" s="613"/>
      <c r="AQ10" s="613"/>
      <c r="AR10" s="613"/>
      <c r="AS10" s="613"/>
      <c r="AT10" s="613"/>
    </row>
    <row r="11" spans="1:46" ht="25.35" customHeight="1" x14ac:dyDescent="0.3">
      <c r="B11" s="59" t="s">
        <v>529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R11" s="599"/>
      <c r="S11" s="599"/>
      <c r="T11" s="599"/>
      <c r="U11" s="599"/>
      <c r="V11" s="599"/>
      <c r="W11" s="599"/>
      <c r="X11" s="599"/>
      <c r="Y11" s="599"/>
      <c r="Z11" s="599"/>
      <c r="AA11" s="599"/>
      <c r="AB11" s="599"/>
      <c r="AC11" s="599"/>
      <c r="AD11" s="599"/>
      <c r="AE11" s="599"/>
      <c r="AF11" s="598"/>
      <c r="AG11" s="598"/>
      <c r="AH11" s="609" t="s">
        <v>368</v>
      </c>
      <c r="AI11" s="1136">
        <v>17573</v>
      </c>
      <c r="AJ11" s="1138" t="s">
        <v>282</v>
      </c>
      <c r="AK11" s="1138" t="s">
        <v>282</v>
      </c>
      <c r="AL11" s="1138" t="s">
        <v>282</v>
      </c>
      <c r="AM11" s="610" t="s">
        <v>282</v>
      </c>
      <c r="AN11" s="610"/>
      <c r="AO11" s="610"/>
      <c r="AP11" s="610"/>
      <c r="AQ11" s="610"/>
      <c r="AR11" s="610"/>
      <c r="AS11" s="610"/>
      <c r="AT11" s="610"/>
    </row>
    <row r="12" spans="1:46" ht="25.35" customHeight="1" x14ac:dyDescent="0.3">
      <c r="B12" s="59"/>
      <c r="R12" s="599"/>
      <c r="S12" s="599">
        <f>SUM(S7:S10)</f>
        <v>1217308.226237</v>
      </c>
      <c r="T12" s="599">
        <f t="shared" ref="T12:AE12" si="5">SUM(T7:T10)</f>
        <v>10662714.642976001</v>
      </c>
      <c r="U12" s="599">
        <f t="shared" si="5"/>
        <v>10475956.08697</v>
      </c>
      <c r="V12" s="599">
        <f t="shared" si="5"/>
        <v>10797317.255847005</v>
      </c>
      <c r="W12" s="599">
        <f t="shared" si="5"/>
        <v>11388866.007744001</v>
      </c>
      <c r="X12" s="599">
        <f t="shared" si="5"/>
        <v>11778167.501111999</v>
      </c>
      <c r="Y12" s="599">
        <f t="shared" si="5"/>
        <v>12060941.326685345</v>
      </c>
      <c r="Z12" s="599">
        <f t="shared" si="5"/>
        <v>12230720.792255457</v>
      </c>
      <c r="AA12" s="599">
        <f t="shared" si="5"/>
        <v>12418018.72086825</v>
      </c>
      <c r="AB12" s="599">
        <f t="shared" si="5"/>
        <v>12628072.772931043</v>
      </c>
      <c r="AC12" s="599">
        <f t="shared" si="5"/>
        <v>12848940.408019695</v>
      </c>
      <c r="AD12" s="599">
        <f t="shared" si="5"/>
        <v>13098968.124168668</v>
      </c>
      <c r="AE12" s="599">
        <f t="shared" si="5"/>
        <v>13375988.712828912</v>
      </c>
      <c r="AF12" s="598"/>
      <c r="AG12" s="598"/>
      <c r="AH12" s="611" t="s">
        <v>366</v>
      </c>
      <c r="AI12" s="1137"/>
      <c r="AJ12" s="1139"/>
      <c r="AK12" s="1139"/>
      <c r="AL12" s="1139"/>
      <c r="AM12" s="612"/>
      <c r="AN12" s="612"/>
      <c r="AO12" s="612"/>
      <c r="AP12" s="612"/>
      <c r="AQ12" s="612"/>
      <c r="AR12" s="612"/>
      <c r="AS12" s="612"/>
      <c r="AT12" s="612"/>
    </row>
    <row r="13" spans="1:46" ht="25.35" customHeight="1" x14ac:dyDescent="0.3">
      <c r="B13" s="69"/>
      <c r="AH13" s="607" t="s">
        <v>369</v>
      </c>
      <c r="AI13" s="608">
        <v>10357884</v>
      </c>
      <c r="AJ13" s="608">
        <v>11766617</v>
      </c>
      <c r="AK13" s="608">
        <v>12589017</v>
      </c>
      <c r="AL13" s="608">
        <v>13550355</v>
      </c>
      <c r="AM13" s="608">
        <v>14580053</v>
      </c>
      <c r="AN13" s="608">
        <f>D10-AI13</f>
        <v>322403.59567300044</v>
      </c>
      <c r="AO13" s="608">
        <f>E10-AJ13</f>
        <v>-1290660.9130300004</v>
      </c>
      <c r="AP13" s="608">
        <f>F10-AK13</f>
        <v>-1791699.7441529948</v>
      </c>
      <c r="AQ13" s="608">
        <f>G10-AL13</f>
        <v>-2161488.9922559988</v>
      </c>
      <c r="AR13" s="608">
        <f>H10-AM13</f>
        <v>-2801885.4988880008</v>
      </c>
      <c r="AS13" s="608"/>
      <c r="AT13" s="608"/>
    </row>
    <row r="14" spans="1:46" ht="25.35" customHeight="1" x14ac:dyDescent="0.3">
      <c r="A14" s="67" t="s">
        <v>530</v>
      </c>
      <c r="Y14" s="598">
        <f>Y7</f>
        <v>12032603.17534546</v>
      </c>
    </row>
    <row r="15" spans="1:46" ht="25.35" customHeight="1" x14ac:dyDescent="0.3">
      <c r="P15" s="792" t="s">
        <v>8990</v>
      </c>
      <c r="Y15" s="598">
        <f>Y19+Y20</f>
        <v>-11760438.913330913</v>
      </c>
    </row>
    <row r="16" spans="1:46" ht="25.35" customHeight="1" x14ac:dyDescent="0.3">
      <c r="B16" s="107" t="s">
        <v>437</v>
      </c>
      <c r="C16" s="107" t="s">
        <v>434</v>
      </c>
      <c r="D16" s="107" t="s">
        <v>387</v>
      </c>
      <c r="E16" s="107" t="s">
        <v>360</v>
      </c>
      <c r="F16" s="107" t="s">
        <v>361</v>
      </c>
      <c r="G16" s="107" t="s">
        <v>362</v>
      </c>
      <c r="H16" s="107" t="s">
        <v>363</v>
      </c>
      <c r="I16" s="107" t="s">
        <v>398</v>
      </c>
      <c r="J16" s="107" t="s">
        <v>426</v>
      </c>
      <c r="K16" s="107" t="s">
        <v>427</v>
      </c>
      <c r="L16" s="107" t="s">
        <v>430</v>
      </c>
      <c r="M16" s="107" t="s">
        <v>431</v>
      </c>
      <c r="N16" s="107" t="s">
        <v>432</v>
      </c>
      <c r="O16" s="107" t="s">
        <v>433</v>
      </c>
      <c r="P16" s="107" t="s">
        <v>369</v>
      </c>
      <c r="Y16" s="598">
        <f>Y22</f>
        <v>-77213.903863764717</v>
      </c>
      <c r="Z16" s="152">
        <f>Y14+Y15+Y16+Y17-'7-1. FS'!AH91</f>
        <v>6533.0990418386064</v>
      </c>
      <c r="AH16" s="606" t="s">
        <v>323</v>
      </c>
      <c r="AI16" s="606">
        <v>2021</v>
      </c>
      <c r="AJ16" s="606">
        <v>2022</v>
      </c>
      <c r="AK16" s="606">
        <v>2023</v>
      </c>
      <c r="AL16" s="606">
        <v>2024</v>
      </c>
      <c r="AM16" s="606">
        <v>2025</v>
      </c>
    </row>
    <row r="17" spans="1:44" ht="25.35" customHeight="1" x14ac:dyDescent="0.3">
      <c r="B17" s="113" t="s">
        <v>370</v>
      </c>
      <c r="C17" s="893">
        <f t="shared" ref="C17:O17" si="6">-S30</f>
        <v>1036861.08621</v>
      </c>
      <c r="D17" s="893">
        <f t="shared" si="6"/>
        <v>10331537.590059999</v>
      </c>
      <c r="E17" s="880">
        <f t="shared" si="6"/>
        <v>10158125.247000478</v>
      </c>
      <c r="F17" s="880">
        <f t="shared" si="6"/>
        <v>10261295.952857003</v>
      </c>
      <c r="G17" s="880">
        <f t="shared" si="6"/>
        <v>11203214.649392996</v>
      </c>
      <c r="H17" s="880">
        <f>-X30</f>
        <v>11054067.129573999</v>
      </c>
      <c r="I17" s="880">
        <f t="shared" si="6"/>
        <v>11399699.412098896</v>
      </c>
      <c r="J17" s="880">
        <f t="shared" si="6"/>
        <v>11508221.140272934</v>
      </c>
      <c r="K17" s="880">
        <f t="shared" si="6"/>
        <v>11703111.094824351</v>
      </c>
      <c r="L17" s="880">
        <f t="shared" si="6"/>
        <v>11896379.882030182</v>
      </c>
      <c r="M17" s="880">
        <f t="shared" si="6"/>
        <v>12097464.211395934</v>
      </c>
      <c r="N17" s="880">
        <f t="shared" si="6"/>
        <v>12334060.746535197</v>
      </c>
      <c r="O17" s="880">
        <f t="shared" si="6"/>
        <v>12590659.496059101</v>
      </c>
      <c r="P17" s="431">
        <f>SUM(I17:O17)</f>
        <v>83529595.983216599</v>
      </c>
      <c r="R17" s="598" t="s">
        <v>531</v>
      </c>
      <c r="Y17" s="598">
        <f>Y23</f>
        <v>-45134.976704364512</v>
      </c>
      <c r="AH17" s="607" t="s">
        <v>370</v>
      </c>
      <c r="AI17" s="608">
        <v>9465736</v>
      </c>
      <c r="AJ17" s="608">
        <v>11105251</v>
      </c>
      <c r="AK17" s="608">
        <v>11760084</v>
      </c>
      <c r="AL17" s="608">
        <v>12670014</v>
      </c>
      <c r="AM17" s="608">
        <v>13753773</v>
      </c>
      <c r="AN17" s="600">
        <f>D17-AI17</f>
        <v>865801.59005999938</v>
      </c>
      <c r="AO17" s="600">
        <f>E17-AJ17</f>
        <v>-947125.75299952179</v>
      </c>
      <c r="AP17" s="600">
        <f>F17-AK17</f>
        <v>-1498788.0471429974</v>
      </c>
      <c r="AQ17" s="600">
        <f>G17-AL17</f>
        <v>-1466799.350607004</v>
      </c>
      <c r="AR17" s="600">
        <f>H17-AM17</f>
        <v>-2699705.870426001</v>
      </c>
    </row>
    <row r="18" spans="1:44" ht="25.35" customHeight="1" x14ac:dyDescent="0.3">
      <c r="B18" s="113" t="s">
        <v>532</v>
      </c>
      <c r="C18" s="893">
        <f t="shared" ref="C18:O18" si="7">-S38</f>
        <v>238544.09475199995</v>
      </c>
      <c r="D18" s="893">
        <f t="shared" si="7"/>
        <v>1159011.0469409984</v>
      </c>
      <c r="E18" s="880">
        <f t="shared" si="7"/>
        <v>225672.76185300015</v>
      </c>
      <c r="F18" s="880">
        <f t="shared" si="7"/>
        <v>491491.21590900351</v>
      </c>
      <c r="G18" s="880">
        <f t="shared" si="7"/>
        <v>341442.5451789996</v>
      </c>
      <c r="H18" s="880">
        <f t="shared" si="7"/>
        <v>243187.9086340029</v>
      </c>
      <c r="I18" s="880">
        <f>-Y38</f>
        <v>691586.6219741893</v>
      </c>
      <c r="J18" s="880">
        <f t="shared" si="7"/>
        <v>541930.58438662137</v>
      </c>
      <c r="K18" s="880">
        <f t="shared" si="7"/>
        <v>535342.86718774273</v>
      </c>
      <c r="L18" s="880">
        <f t="shared" si="7"/>
        <v>576639.81313113833</v>
      </c>
      <c r="M18" s="880">
        <f t="shared" si="7"/>
        <v>595534.09369915375</v>
      </c>
      <c r="N18" s="880">
        <f t="shared" si="7"/>
        <v>601681.93440635642</v>
      </c>
      <c r="O18" s="880">
        <f t="shared" si="7"/>
        <v>617947.7345731603</v>
      </c>
      <c r="P18" s="880">
        <f>SUM(I18:O18)</f>
        <v>4160663.6493583624</v>
      </c>
      <c r="R18" s="108"/>
      <c r="S18" s="108" t="s">
        <v>434</v>
      </c>
      <c r="T18" s="108" t="s">
        <v>387</v>
      </c>
      <c r="U18" s="108" t="s">
        <v>360</v>
      </c>
      <c r="V18" s="108" t="s">
        <v>361</v>
      </c>
      <c r="W18" s="108" t="s">
        <v>362</v>
      </c>
      <c r="X18" s="108" t="s">
        <v>363</v>
      </c>
      <c r="Y18" s="108" t="s">
        <v>398</v>
      </c>
      <c r="Z18" s="108" t="s">
        <v>426</v>
      </c>
      <c r="AA18" s="108" t="s">
        <v>427</v>
      </c>
      <c r="AB18" s="108" t="s">
        <v>430</v>
      </c>
      <c r="AC18" s="108" t="s">
        <v>431</v>
      </c>
      <c r="AD18" s="108" t="s">
        <v>432</v>
      </c>
      <c r="AE18" s="108" t="s">
        <v>433</v>
      </c>
      <c r="AH18" s="609" t="s">
        <v>365</v>
      </c>
      <c r="AI18" s="1136">
        <v>285991</v>
      </c>
      <c r="AJ18" s="1136">
        <v>686767</v>
      </c>
      <c r="AK18" s="1136">
        <v>682559</v>
      </c>
      <c r="AL18" s="1136">
        <v>711620</v>
      </c>
      <c r="AM18" s="1136">
        <v>578076</v>
      </c>
      <c r="AN18" s="600">
        <f>AI18-D18</f>
        <v>-873020.04694099841</v>
      </c>
      <c r="AO18" s="600">
        <f>AJ18-E18</f>
        <v>461094.23814699985</v>
      </c>
      <c r="AP18" s="600">
        <f>AK18-F18</f>
        <v>191067.78409099649</v>
      </c>
      <c r="AQ18" s="600">
        <f>AL18-G18</f>
        <v>370177.4548210004</v>
      </c>
      <c r="AR18" s="600">
        <f>AM18-H18</f>
        <v>334888.0913659971</v>
      </c>
    </row>
    <row r="19" spans="1:44" ht="25.35" customHeight="1" x14ac:dyDescent="0.3">
      <c r="B19" s="113" t="s">
        <v>372</v>
      </c>
      <c r="C19" s="893">
        <f t="shared" ref="C19:O19" si="8">-S45</f>
        <v>38788</v>
      </c>
      <c r="D19" s="893">
        <f t="shared" si="8"/>
        <v>-917858.49033300008</v>
      </c>
      <c r="E19" s="880">
        <f t="shared" si="8"/>
        <v>-209604.0642609997</v>
      </c>
      <c r="F19" s="880">
        <f t="shared" si="8"/>
        <v>-68828.760821000236</v>
      </c>
      <c r="G19" s="880">
        <f t="shared" si="8"/>
        <v>188290.97420000119</v>
      </c>
      <c r="H19" s="880">
        <f t="shared" si="8"/>
        <v>267298.50293960777</v>
      </c>
      <c r="I19" s="880">
        <f t="shared" si="8"/>
        <v>113608.75897438871</v>
      </c>
      <c r="J19" s="880">
        <f t="shared" si="8"/>
        <v>143349.21051067207</v>
      </c>
      <c r="K19" s="880">
        <f t="shared" si="8"/>
        <v>140483.90979166864</v>
      </c>
      <c r="L19" s="880">
        <f t="shared" si="8"/>
        <v>138118.03320171381</v>
      </c>
      <c r="M19" s="880">
        <f t="shared" si="8"/>
        <v>137313.55637128884</v>
      </c>
      <c r="N19" s="880">
        <f t="shared" si="8"/>
        <v>142734.04402237781</v>
      </c>
      <c r="O19" s="880">
        <f t="shared" si="8"/>
        <v>144840.94514754228</v>
      </c>
      <c r="P19" s="880">
        <f>SUM(I19:O19)</f>
        <v>960448.45801965217</v>
      </c>
      <c r="R19" s="599" t="s">
        <v>290</v>
      </c>
      <c r="S19" s="599">
        <f>-'7-1. FS'!AB52</f>
        <v>-200911</v>
      </c>
      <c r="T19" s="599">
        <f>-'7-1. FS'!AC52</f>
        <v>-7184089.8753980007</v>
      </c>
      <c r="U19" s="599">
        <f>-'7-1. FS'!AD52</f>
        <v>-7710584.3692529993</v>
      </c>
      <c r="V19" s="599">
        <f>-'7-1. FS'!AE52</f>
        <v>-7986166.9117230019</v>
      </c>
      <c r="W19" s="599">
        <f>-'7-1. FS'!AF52</f>
        <v>-8452920.0477119982</v>
      </c>
      <c r="X19" s="599">
        <f>-'7-1. FS'!AG52</f>
        <v>-8810759.34736</v>
      </c>
      <c r="Y19" s="599">
        <f>-'7-1. FS'!AH52</f>
        <v>-9008909.2566301897</v>
      </c>
      <c r="Z19" s="599">
        <f>-'7-1. FS'!AI52</f>
        <v>-9186266.4907691628</v>
      </c>
      <c r="AA19" s="599">
        <f>-'7-1. FS'!AJ52</f>
        <v>-9371141.0904086307</v>
      </c>
      <c r="AB19" s="599">
        <f>-'7-1. FS'!AK52</f>
        <v>-9570388.4201867245</v>
      </c>
      <c r="AC19" s="599">
        <f>-'7-1. FS'!AL52</f>
        <v>-9763257.2092240453</v>
      </c>
      <c r="AD19" s="599">
        <f>-'7-1. FS'!AM52</f>
        <v>-9977799.3608639501</v>
      </c>
      <c r="AE19" s="599">
        <f>-'7-1. FS'!AN52</f>
        <v>-10211275.941211879</v>
      </c>
      <c r="AH19" s="611" t="s">
        <v>371</v>
      </c>
      <c r="AI19" s="1137"/>
      <c r="AJ19" s="1137"/>
      <c r="AK19" s="1137"/>
      <c r="AL19" s="1137"/>
      <c r="AM19" s="1137"/>
    </row>
    <row r="20" spans="1:44" ht="25.35" customHeight="1" x14ac:dyDescent="0.3">
      <c r="B20" s="113" t="s">
        <v>527</v>
      </c>
      <c r="C20" s="114">
        <f>SUM(C17:C19)</f>
        <v>1314193.180962</v>
      </c>
      <c r="D20" s="114">
        <f t="shared" ref="D20:P20" si="9">SUM(D17:D19)</f>
        <v>10572690.146667998</v>
      </c>
      <c r="E20" s="894">
        <f t="shared" si="9"/>
        <v>10174193.944592478</v>
      </c>
      <c r="F20" s="894">
        <f t="shared" si="9"/>
        <v>10683958.407945007</v>
      </c>
      <c r="G20" s="894">
        <f t="shared" si="9"/>
        <v>11732948.168771997</v>
      </c>
      <c r="H20" s="894">
        <f t="shared" si="9"/>
        <v>11564553.54114761</v>
      </c>
      <c r="I20" s="894">
        <f t="shared" si="9"/>
        <v>12204894.793047473</v>
      </c>
      <c r="J20" s="894">
        <f t="shared" si="9"/>
        <v>12193500.935170226</v>
      </c>
      <c r="K20" s="894">
        <f t="shared" si="9"/>
        <v>12378937.871803762</v>
      </c>
      <c r="L20" s="894">
        <f t="shared" si="9"/>
        <v>12611137.728363033</v>
      </c>
      <c r="M20" s="894">
        <f t="shared" si="9"/>
        <v>12830311.861466376</v>
      </c>
      <c r="N20" s="894">
        <f t="shared" si="9"/>
        <v>13078476.724963931</v>
      </c>
      <c r="O20" s="894">
        <f t="shared" si="9"/>
        <v>13353448.175779803</v>
      </c>
      <c r="P20" s="432">
        <f t="shared" si="9"/>
        <v>88650708.09059462</v>
      </c>
      <c r="R20" s="599" t="s">
        <v>533</v>
      </c>
      <c r="S20" s="599">
        <f>-'7-1. FS'!AB56</f>
        <v>-847921</v>
      </c>
      <c r="T20" s="599">
        <f>-'7-1. FS'!AC56</f>
        <v>-2465706.5414220002</v>
      </c>
      <c r="U20" s="599">
        <f>-'7-1. FS'!AD56</f>
        <v>-2602341.0067929998</v>
      </c>
      <c r="V20" s="599">
        <f>-'7-1. FS'!AE56</f>
        <v>-2585746.1512070005</v>
      </c>
      <c r="W20" s="599">
        <f>-'7-1. FS'!AF56</f>
        <v>-2672477.6245600004</v>
      </c>
      <c r="X20" s="599">
        <f>-'7-1. FS'!AG56</f>
        <v>-2673988.2029360002</v>
      </c>
      <c r="Y20" s="599">
        <f>-'7-1. FS'!AH56</f>
        <v>-2751529.6567007238</v>
      </c>
      <c r="Z20" s="599">
        <f>-'7-1. FS'!AI56</f>
        <v>-2760667.9432691252</v>
      </c>
      <c r="AA20" s="599">
        <f>-'7-1. FS'!AJ56</f>
        <v>-2775048.803533074</v>
      </c>
      <c r="AB20" s="599">
        <f>-'7-1. FS'!AK56</f>
        <v>-2785326.2549883593</v>
      </c>
      <c r="AC20" s="599">
        <f>-'7-1. FS'!AL56</f>
        <v>-2807739.9426179952</v>
      </c>
      <c r="AD20" s="599">
        <f>-'7-1. FS'!AM56</f>
        <v>-2835757.0255839857</v>
      </c>
      <c r="AE20" s="599">
        <f>-'7-1. FS'!AN56</f>
        <v>-2870167.2147909389</v>
      </c>
      <c r="AH20" s="607" t="s">
        <v>372</v>
      </c>
      <c r="AI20" s="608">
        <v>365697</v>
      </c>
      <c r="AJ20" s="608">
        <v>39411</v>
      </c>
      <c r="AK20" s="608">
        <v>138805</v>
      </c>
      <c r="AL20" s="608">
        <v>66122</v>
      </c>
      <c r="AM20" s="608">
        <v>127355</v>
      </c>
      <c r="AN20" s="600">
        <f>AI20-D19</f>
        <v>1283555.4903330002</v>
      </c>
      <c r="AO20" s="600">
        <f>AJ20-E19</f>
        <v>249015.0642609997</v>
      </c>
      <c r="AP20" s="600">
        <f>AK20-F19</f>
        <v>207633.76082100024</v>
      </c>
      <c r="AQ20" s="600">
        <f>AL20-G19</f>
        <v>-122168.97420000119</v>
      </c>
      <c r="AR20" s="600">
        <f>AM20-H19</f>
        <v>-139943.50293960777</v>
      </c>
    </row>
    <row r="21" spans="1:44" ht="25.35" customHeight="1" x14ac:dyDescent="0.3">
      <c r="B21" s="59" t="s">
        <v>534</v>
      </c>
      <c r="C21" s="601"/>
      <c r="D21" s="601"/>
      <c r="E21" s="601"/>
      <c r="R21" s="599" t="s">
        <v>233</v>
      </c>
      <c r="S21" s="599">
        <f>'7-1. FS'!AB93</f>
        <v>15719</v>
      </c>
      <c r="T21" s="599">
        <f>'7-1. FS'!AC93</f>
        <v>500554.30939299997</v>
      </c>
      <c r="U21" s="599">
        <f>'7-1. FS'!AD93</f>
        <v>488689.35913200001</v>
      </c>
      <c r="V21" s="599">
        <f>'7-1. FS'!AE93</f>
        <v>490293.24103500007</v>
      </c>
      <c r="W21" s="599">
        <f>'7-1. FS'!AF93</f>
        <v>540414.26372100005</v>
      </c>
      <c r="X21" s="599">
        <f>'7-1. FS'!AG93</f>
        <v>571640.22191199998</v>
      </c>
      <c r="Y21" s="599">
        <f>'7-1. FS'!AH93</f>
        <v>561080.80139070156</v>
      </c>
      <c r="Z21" s="599">
        <f>'7-1. FS'!AI93</f>
        <v>567431.15268639347</v>
      </c>
      <c r="AA21" s="599">
        <f>'7-1. FS'!AJ93</f>
        <v>573642.49558153714</v>
      </c>
      <c r="AB21" s="599">
        <f>'7-1. FS'!AK93</f>
        <v>583822.4177570414</v>
      </c>
      <c r="AC21" s="599">
        <f>'7-1. FS'!AL93</f>
        <v>594378.37150432821</v>
      </c>
      <c r="AD21" s="599">
        <f>'7-1. FS'!AM93</f>
        <v>605988.08991542505</v>
      </c>
      <c r="AE21" s="599">
        <f>'7-1. FS'!AN93</f>
        <v>618023.42795571149</v>
      </c>
      <c r="AH21" s="607" t="s">
        <v>369</v>
      </c>
      <c r="AI21" s="608">
        <v>10117424</v>
      </c>
      <c r="AJ21" s="608">
        <v>11831429</v>
      </c>
      <c r="AK21" s="608">
        <v>12581448</v>
      </c>
      <c r="AL21" s="608">
        <v>13447756</v>
      </c>
      <c r="AM21" s="608">
        <v>14459204</v>
      </c>
      <c r="AN21" s="115">
        <f>D20-AI21</f>
        <v>455266.14666799828</v>
      </c>
      <c r="AO21" s="115">
        <f>E20-AJ21</f>
        <v>-1657235.0554075222</v>
      </c>
      <c r="AP21" s="115">
        <f>F20-AK21</f>
        <v>-1897489.5920549929</v>
      </c>
      <c r="AQ21" s="115">
        <f>G20-AL21</f>
        <v>-1714807.8312280029</v>
      </c>
      <c r="AR21" s="115">
        <f>H20-AM21</f>
        <v>-2894650.4588523898</v>
      </c>
    </row>
    <row r="22" spans="1:44" ht="25.35" customHeight="1" x14ac:dyDescent="0.3">
      <c r="B22" s="59" t="s">
        <v>535</v>
      </c>
      <c r="C22" s="601"/>
      <c r="D22" s="601"/>
      <c r="E22" s="601"/>
      <c r="R22" s="599" t="s">
        <v>536</v>
      </c>
      <c r="S22" s="599">
        <f>MIN(0,'7-1. FS'!AB74+'7-1. FS'!AB77)</f>
        <v>0</v>
      </c>
      <c r="T22" s="599">
        <f>MIN(0,'7-1. FS'!AC74+'7-1. FS'!AC77)</f>
        <v>0</v>
      </c>
      <c r="U22" s="599">
        <f>MIN(0,'7-1. FS'!AD74+'7-1. FS'!AD77)</f>
        <v>-161145.63822699999</v>
      </c>
      <c r="V22" s="599">
        <f>MIN(0,'7-1. FS'!AE74+'7-1. FS'!AE77)</f>
        <v>-234288.08161400002</v>
      </c>
      <c r="W22" s="599">
        <f>MIN(0,'7-1. FS'!AF74+'7-1. FS'!AF77)</f>
        <v>-296146.34038299997</v>
      </c>
      <c r="X22" s="599">
        <f>MIN(0,'7-1. FS'!AG74+'7-1. FS'!AG77)</f>
        <v>-184975.416646</v>
      </c>
      <c r="Y22" s="912">
        <f>MIN(0,'7-1. FS'!AH74+'7-1. FS'!AH77)-'7-1. FS'!AH96+'7-1. FS'!AH94+'7-1. FS'!AH95</f>
        <v>-77213.903863764717</v>
      </c>
      <c r="Z22" s="912">
        <f>MIN(0,'7-1. FS'!AI74+'7-1. FS'!AI77)-'7-1. FS'!AI96+'7-1. FS'!AI94+'7-1. FS'!AI95</f>
        <v>-58141.641916286215</v>
      </c>
      <c r="AA22" s="912">
        <f>MIN(0,'7-1. FS'!AJ74+'7-1. FS'!AJ77)-'7-1. FS'!AJ96+'7-1. FS'!AJ94+'7-1. FS'!AJ95</f>
        <v>-55612.965489054557</v>
      </c>
      <c r="AB22" s="912">
        <f>MIN(0,'7-1. FS'!AK74+'7-1. FS'!AK77)-'7-1. FS'!AK96+'7-1. FS'!AK94+'7-1. FS'!AK95</f>
        <v>-52961.873904566281</v>
      </c>
      <c r="AC22" s="912">
        <f>MIN(0,'7-1. FS'!AL74+'7-1. FS'!AL77)-'7-1. FS'!AL96+'7-1. FS'!AL94+'7-1. FS'!AL95</f>
        <v>-50346.202967543439</v>
      </c>
      <c r="AD22" s="912">
        <f>MIN(0,'7-1. FS'!AM74+'7-1. FS'!AM77)-'7-1. FS'!AM96+'7-1. FS'!AM94+'7-1. FS'!AM95</f>
        <v>-52863.235787054757</v>
      </c>
      <c r="AE22" s="912">
        <f>MIN(0,'7-1. FS'!AN74+'7-1. FS'!AN77)-'7-1. FS'!AN96+'7-1. FS'!AN94+'7-1. FS'!AN95</f>
        <v>-51946.659219721485</v>
      </c>
    </row>
    <row r="23" spans="1:44" ht="25.35" customHeight="1" x14ac:dyDescent="0.3">
      <c r="B23" s="59" t="s">
        <v>537</v>
      </c>
      <c r="C23" s="601"/>
      <c r="D23" s="601"/>
      <c r="E23" s="601"/>
      <c r="R23" s="599" t="s">
        <v>322</v>
      </c>
      <c r="S23" s="599">
        <f>-'7-1. FS'!AB81</f>
        <v>-41545</v>
      </c>
      <c r="T23" s="599">
        <f>-'7-1. FS'!AC81</f>
        <v>-101302.275035</v>
      </c>
      <c r="U23" s="599">
        <f>-'7-1. FS'!AD81</f>
        <v>-24954.999378</v>
      </c>
      <c r="V23" s="599">
        <f>-'7-1. FS'!AE81</f>
        <v>-45663.079564000007</v>
      </c>
      <c r="W23" s="599">
        <f>-'7-1. FS'!AF81</f>
        <v>-17293.721777999999</v>
      </c>
      <c r="X23" s="599">
        <f>-'7-1. FS'!AG81</f>
        <v>-20804.424283</v>
      </c>
      <c r="Y23" s="599">
        <f>-'7-1. FS'!AH81</f>
        <v>-45134.976704364512</v>
      </c>
      <c r="Z23" s="599">
        <f>-'7-1. FS'!AI81</f>
        <v>-53933.477961217432</v>
      </c>
      <c r="AA23" s="599">
        <f>-'7-1. FS'!AJ81</f>
        <v>-53627.777313340084</v>
      </c>
      <c r="AB23" s="599">
        <f>-'7-1. FS'!AK81</f>
        <v>-53964.245165711531</v>
      </c>
      <c r="AC23" s="599">
        <f>-'7-1. FS'!AL81</f>
        <v>-57820.43539428863</v>
      </c>
      <c r="AD23" s="599">
        <f>-'7-1. FS'!AM81</f>
        <v>-59604.219374331515</v>
      </c>
      <c r="AE23" s="599">
        <f>-'7-1. FS'!AN81</f>
        <v>-62336.63062857106</v>
      </c>
    </row>
    <row r="24" spans="1:44" ht="25.35" customHeight="1" x14ac:dyDescent="0.3">
      <c r="B24" s="602"/>
      <c r="I24" s="75"/>
      <c r="R24" s="599" t="s">
        <v>538</v>
      </c>
      <c r="S24" s="599">
        <f>'7-1. FS'!AB94+'7-1. FS'!AB95</f>
        <v>0</v>
      </c>
      <c r="T24" s="599">
        <f>'7-1. FS'!AC94+'7-1. FS'!AC95</f>
        <v>9843.0414529999998</v>
      </c>
      <c r="U24" s="599">
        <f>'7-1. FS'!AD94+'7-1. FS'!AD95</f>
        <v>8579.0016930000002</v>
      </c>
      <c r="V24" s="599">
        <f>'7-1. FS'!AE94+'7-1. FS'!AE95</f>
        <v>19529.289534999996</v>
      </c>
      <c r="W24" s="599">
        <f>'7-1. FS'!AF94+'7-1. FS'!AF95</f>
        <v>22583.967929000002</v>
      </c>
      <c r="X24" s="599">
        <f>'7-1. FS'!AG94+'7-1. FS'!AG95</f>
        <v>9553</v>
      </c>
      <c r="Y24" s="599"/>
      <c r="Z24" s="599"/>
      <c r="AA24" s="599"/>
      <c r="AB24" s="599"/>
      <c r="AC24" s="599"/>
      <c r="AD24" s="599"/>
      <c r="AE24" s="599"/>
    </row>
    <row r="25" spans="1:44" ht="25.35" hidden="1" customHeight="1" outlineLevel="1" x14ac:dyDescent="0.3">
      <c r="A25" s="789"/>
      <c r="B25" s="603" t="s">
        <v>539</v>
      </c>
      <c r="C25" s="598">
        <f>'7-1. FS'!AB125</f>
        <v>137582.95472499999</v>
      </c>
      <c r="D25" s="598">
        <f>C27</f>
        <v>40697.999999999913</v>
      </c>
      <c r="E25" s="598">
        <f t="shared" ref="E25:K25" si="10">D27</f>
        <v>148295.44900500207</v>
      </c>
      <c r="F25" s="598">
        <f>E27</f>
        <v>450057.59138252388</v>
      </c>
      <c r="G25" s="598">
        <f>'7. 첨부_추정현금흐름표'!H19</f>
        <v>374834.48511200002</v>
      </c>
      <c r="H25" s="598">
        <f t="shared" si="10"/>
        <v>30752.324084004154</v>
      </c>
      <c r="I25" s="598">
        <f t="shared" si="10"/>
        <v>244366.28404839314</v>
      </c>
      <c r="J25" s="598">
        <f t="shared" si="10"/>
        <v>100412.8176862651</v>
      </c>
      <c r="K25" s="598">
        <f t="shared" si="10"/>
        <v>137632.67477149679</v>
      </c>
      <c r="L25" s="598">
        <f>K27</f>
        <v>176713.52383598476</v>
      </c>
      <c r="M25" s="598">
        <f>L27</f>
        <v>193648.56840399443</v>
      </c>
      <c r="N25" s="598">
        <f>M27</f>
        <v>212277.11495731375</v>
      </c>
      <c r="O25" s="598">
        <f>N27</f>
        <v>232768.51416205033</v>
      </c>
      <c r="P25" s="598"/>
      <c r="R25" s="599" t="s">
        <v>540</v>
      </c>
      <c r="S25" s="599">
        <f>'7-1. FS'!AB102</f>
        <v>7024.0561139999991</v>
      </c>
      <c r="T25" s="599">
        <f>'7-1. FS'!AC102</f>
        <v>42386.938556999987</v>
      </c>
      <c r="U25" s="599">
        <f>'7-1. FS'!AD102</f>
        <v>-29089.187724999996</v>
      </c>
      <c r="V25" s="599">
        <f>'7-1. FS'!AE102</f>
        <v>-85954.766898000002</v>
      </c>
      <c r="W25" s="599">
        <f>'7-1. FS'!AF102</f>
        <v>-6170.1568540000299</v>
      </c>
      <c r="X25" s="599">
        <f>'7-1. FS'!AG102</f>
        <v>-35994.542076999962</v>
      </c>
      <c r="Y25" s="599">
        <f>'7-1. FS'!AH102</f>
        <v>14331.03868286427</v>
      </c>
      <c r="Z25" s="599">
        <f>'7-1. FS'!AI102</f>
        <v>-6364.1429890413492</v>
      </c>
      <c r="AA25" s="599">
        <f>'7-1. FS'!AJ102</f>
        <v>-6383.8791452692967</v>
      </c>
      <c r="AB25" s="599">
        <f>'7-1. FS'!AK102</f>
        <v>-6813.5943953301867</v>
      </c>
      <c r="AC25" s="599">
        <f>'7-1. FS'!AL102</f>
        <v>-6896.6388818979067</v>
      </c>
      <c r="AD25" s="599">
        <f>'7-1. FS'!AM102</f>
        <v>-7584.1564799636071</v>
      </c>
      <c r="AE25" s="599">
        <f>'7-1. FS'!AN102</f>
        <v>-8191.4727358313685</v>
      </c>
    </row>
    <row r="26" spans="1:44" ht="25.35" hidden="1" customHeight="1" outlineLevel="1" x14ac:dyDescent="0.3">
      <c r="A26" s="789"/>
      <c r="B26" s="603" t="s">
        <v>541</v>
      </c>
      <c r="C26" s="598">
        <f t="shared" ref="C26:O26" si="11">C10-C20</f>
        <v>-96884.954725000076</v>
      </c>
      <c r="D26" s="598">
        <f t="shared" si="11"/>
        <v>107597.44900500216</v>
      </c>
      <c r="E26" s="598">
        <f t="shared" si="11"/>
        <v>301762.14237752184</v>
      </c>
      <c r="F26" s="598">
        <f t="shared" si="11"/>
        <v>113358.84790199809</v>
      </c>
      <c r="G26" s="598">
        <f t="shared" si="11"/>
        <v>-344082.16102799587</v>
      </c>
      <c r="H26" s="598">
        <f t="shared" si="11"/>
        <v>213613.95996438898</v>
      </c>
      <c r="I26" s="598">
        <f t="shared" si="11"/>
        <v>-143953.46636212803</v>
      </c>
      <c r="J26" s="598">
        <f t="shared" si="11"/>
        <v>37219.857085231692</v>
      </c>
      <c r="K26" s="598">
        <f t="shared" si="11"/>
        <v>39080.849064487964</v>
      </c>
      <c r="L26" s="598">
        <f t="shared" si="11"/>
        <v>16935.044568009675</v>
      </c>
      <c r="M26" s="598">
        <f t="shared" si="11"/>
        <v>18628.54655331932</v>
      </c>
      <c r="N26" s="598">
        <f t="shared" si="11"/>
        <v>20491.399204736575</v>
      </c>
      <c r="O26" s="598">
        <f t="shared" si="11"/>
        <v>22540.537049109116</v>
      </c>
      <c r="P26" s="598"/>
      <c r="R26" s="599" t="s">
        <v>542</v>
      </c>
      <c r="S26" s="599">
        <f>'7-1. FS'!AB104</f>
        <v>14024.606165000005</v>
      </c>
      <c r="T26" s="599">
        <f>'7-1. FS'!AC104</f>
        <v>-44663.594172999903</v>
      </c>
      <c r="U26" s="599">
        <f>'7-1. FS'!AD104</f>
        <v>105396.84275799996</v>
      </c>
      <c r="V26" s="599">
        <f>'7-1. FS'!AE104</f>
        <v>205414.23063199979</v>
      </c>
      <c r="W26" s="599">
        <f>'7-1. FS'!AF104</f>
        <v>-288253.95001499983</v>
      </c>
      <c r="X26" s="599">
        <f>'7-1. FS'!AG104</f>
        <v>33618.643517999968</v>
      </c>
      <c r="Y26" s="599">
        <f>'7-1. FS'!AH104</f>
        <v>-25916.61545614482</v>
      </c>
      <c r="Z26" s="599">
        <f>'7-1. FS'!AI104</f>
        <v>6248.3445495022752</v>
      </c>
      <c r="AA26" s="599">
        <f>'7-1. FS'!AJ104</f>
        <v>6540.3374983622634</v>
      </c>
      <c r="AB26" s="599">
        <f>'7-1. FS'!AK104</f>
        <v>7297.6627993029542</v>
      </c>
      <c r="AC26" s="599">
        <f>'7-1. FS'!AL104</f>
        <v>7683.2221418313857</v>
      </c>
      <c r="AD26" s="599">
        <f>'7-1. FS'!AM104</f>
        <v>9019.6113453703292</v>
      </c>
      <c r="AE26" s="599">
        <f>'7-1. FS'!AN104</f>
        <v>10269.4211155292</v>
      </c>
    </row>
    <row r="27" spans="1:44" ht="25.35" hidden="1" customHeight="1" outlineLevel="1" x14ac:dyDescent="0.3">
      <c r="A27" s="789"/>
      <c r="B27" s="603" t="s">
        <v>543</v>
      </c>
      <c r="C27" s="598">
        <f>C25+C26</f>
        <v>40697.999999999913</v>
      </c>
      <c r="D27" s="598">
        <f t="shared" ref="D27:O27" si="12">D25+D26</f>
        <v>148295.44900500207</v>
      </c>
      <c r="E27" s="598">
        <f t="shared" si="12"/>
        <v>450057.59138252388</v>
      </c>
      <c r="F27" s="598">
        <f t="shared" si="12"/>
        <v>563416.43928452197</v>
      </c>
      <c r="G27" s="598">
        <f t="shared" si="12"/>
        <v>30752.324084004154</v>
      </c>
      <c r="H27" s="598">
        <f t="shared" si="12"/>
        <v>244366.28404839314</v>
      </c>
      <c r="I27" s="598">
        <f t="shared" si="12"/>
        <v>100412.8176862651</v>
      </c>
      <c r="J27" s="598">
        <f t="shared" si="12"/>
        <v>137632.67477149679</v>
      </c>
      <c r="K27" s="598">
        <f t="shared" si="12"/>
        <v>176713.52383598476</v>
      </c>
      <c r="L27" s="598">
        <f t="shared" si="12"/>
        <v>193648.56840399443</v>
      </c>
      <c r="M27" s="598">
        <f t="shared" si="12"/>
        <v>212277.11495731375</v>
      </c>
      <c r="N27" s="598">
        <f t="shared" si="12"/>
        <v>232768.51416205033</v>
      </c>
      <c r="O27" s="598">
        <f t="shared" si="12"/>
        <v>255309.05121115944</v>
      </c>
      <c r="P27" s="598"/>
      <c r="R27" s="599" t="s">
        <v>544</v>
      </c>
      <c r="S27" s="599">
        <f>'7-1. FS'!AB103+'7-1. FS'!AB106+'7-1. FS'!AB107</f>
        <v>16748.251510999995</v>
      </c>
      <c r="T27" s="599">
        <f>'7-1. FS'!AC103+'7-1. FS'!AC106+'7-1. FS'!AC107</f>
        <v>-1087936.3650520002</v>
      </c>
      <c r="U27" s="599">
        <f>'7-1. FS'!AD103+'7-1. FS'!AD106+'7-1. FS'!AD107</f>
        <v>-257210.02052747796</v>
      </c>
      <c r="V27" s="599">
        <f>'7-1. FS'!AE103+'7-1. FS'!AE106+'7-1. FS'!AE107</f>
        <v>-33860.829099000082</v>
      </c>
      <c r="W27" s="599">
        <f>'7-1. FS'!AF103+'7-1. FS'!AF106+'7-1. FS'!AF107</f>
        <v>-37553.152164000028</v>
      </c>
      <c r="X27" s="599">
        <f>'7-1. FS'!AG103+'7-1. FS'!AG106+'7-1. FS'!AG107</f>
        <v>43858.254150000052</v>
      </c>
      <c r="Y27" s="599">
        <f>'7-1. FS'!AH103+'7-1. FS'!AH106+'7-1. FS'!AH107</f>
        <v>-74079.616835896391</v>
      </c>
      <c r="Z27" s="599">
        <f>'7-1. FS'!AI103+'7-1. FS'!AI106+'7-1. FS'!AI107</f>
        <v>-23327.446865385602</v>
      </c>
      <c r="AA27" s="599">
        <f>'7-1. FS'!AJ103+'7-1. FS'!AJ106+'7-1. FS'!AJ107</f>
        <v>-22399.813401500112</v>
      </c>
      <c r="AB27" s="599">
        <f>'7-1. FS'!AK103+'7-1. FS'!AK106+'7-1. FS'!AK107</f>
        <v>-24181.427842925346</v>
      </c>
      <c r="AC27" s="599">
        <f>'7-1. FS'!AL103+'7-1. FS'!AL106+'7-1. FS'!AL107</f>
        <v>-18669.066384815989</v>
      </c>
      <c r="AD27" s="599">
        <f>'7-1. FS'!AM103+'7-1. FS'!AM106+'7-1. FS'!AM107</f>
        <v>-19967.544897423475</v>
      </c>
      <c r="AE27" s="599">
        <f>'7-1. FS'!AN103+'7-1. FS'!AN106+'7-1. FS'!AN107</f>
        <v>-21004.630559941594</v>
      </c>
    </row>
    <row r="28" spans="1:44" ht="25.35" hidden="1" customHeight="1" outlineLevel="1" x14ac:dyDescent="0.3">
      <c r="A28" s="789"/>
      <c r="R28" s="599" t="s">
        <v>545</v>
      </c>
      <c r="S28" s="599">
        <f>'7-1. FS'!AB105</f>
        <v>0</v>
      </c>
      <c r="T28" s="599">
        <f>'7-1. FS'!AC105</f>
        <v>-623.22838300000876</v>
      </c>
      <c r="U28" s="599">
        <f>'7-1. FS'!AD105</f>
        <v>24534.771319999982</v>
      </c>
      <c r="V28" s="599">
        <f>'7-1. FS'!AE105</f>
        <v>-4852.8939539999774</v>
      </c>
      <c r="W28" s="599">
        <f>'7-1. FS'!AF105</f>
        <v>4602.1124229999987</v>
      </c>
      <c r="X28" s="599">
        <f>'7-1. FS'!AG105</f>
        <v>13784.684148</v>
      </c>
      <c r="Y28" s="599">
        <f>'7-1. FS'!AH105</f>
        <v>7672.774018621596</v>
      </c>
      <c r="Z28" s="599">
        <f>'7-1. FS'!AI105</f>
        <v>6800.506261389266</v>
      </c>
      <c r="AA28" s="599">
        <f>'7-1. FS'!AJ105</f>
        <v>920.40138661704259</v>
      </c>
      <c r="AB28" s="599">
        <f>'7-1. FS'!AK105</f>
        <v>6135.8538970912632</v>
      </c>
      <c r="AC28" s="599">
        <f>'7-1. FS'!AL105</f>
        <v>5203.690428493559</v>
      </c>
      <c r="AD28" s="599">
        <f>'7-1. FS'!AM105</f>
        <v>4507.0951907171402</v>
      </c>
      <c r="AE28" s="599">
        <f>'7-1. FS'!AN105</f>
        <v>5970.2040165423241</v>
      </c>
    </row>
    <row r="29" spans="1:44" ht="25.35" hidden="1" customHeight="1" outlineLevel="1" x14ac:dyDescent="0.3">
      <c r="A29" s="789"/>
      <c r="C29" s="154">
        <f>'7-1. FS'!AB126</f>
        <v>40698</v>
      </c>
      <c r="D29" s="154">
        <f>'7-1. FS'!AC126</f>
        <v>148295.44900500064</v>
      </c>
      <c r="E29" s="154">
        <f>'7-1. FS'!AD126</f>
        <v>321054.4501235215</v>
      </c>
      <c r="F29" s="154">
        <f>'7-1. FS'!AE126</f>
        <v>374834.75370759028</v>
      </c>
      <c r="G29" s="154">
        <f>'7-1. FS'!AF126</f>
        <v>30752.571563390607</v>
      </c>
      <c r="H29" s="154">
        <f>'7-1. FS'!AG126</f>
        <v>244366.07894001857</v>
      </c>
      <c r="I29" s="154">
        <f>'7-1. FS'!AH126</f>
        <v>100412.53363787022</v>
      </c>
      <c r="J29" s="154">
        <f>'7-1. FS'!AI126</f>
        <v>137632.43669302051</v>
      </c>
      <c r="K29" s="154">
        <f>'7-1. FS'!AJ126</f>
        <v>176713.26770092724</v>
      </c>
      <c r="L29" s="154">
        <f>'7-1. FS'!AK126</f>
        <v>193648.29447101909</v>
      </c>
      <c r="M29" s="154">
        <f>'7-1. FS'!AL126</f>
        <v>212276.82391812195</v>
      </c>
      <c r="N29" s="154">
        <f>'7-1. FS'!AM126</f>
        <v>232768.20630993388</v>
      </c>
      <c r="O29" s="154">
        <f>'7-1. FS'!AN126</f>
        <v>255308.72694092779</v>
      </c>
      <c r="P29" s="604"/>
      <c r="R29" s="599" t="s">
        <v>546</v>
      </c>
      <c r="S29" s="599"/>
      <c r="T29" s="599"/>
      <c r="U29" s="599"/>
      <c r="V29" s="599"/>
      <c r="W29" s="599"/>
      <c r="X29" s="599"/>
      <c r="Y29" s="599"/>
      <c r="Z29" s="599"/>
      <c r="AA29" s="599"/>
      <c r="AB29" s="599"/>
      <c r="AC29" s="599"/>
      <c r="AD29" s="599"/>
      <c r="AE29" s="599"/>
    </row>
    <row r="30" spans="1:44" ht="25.35" hidden="1" customHeight="1" outlineLevel="1" x14ac:dyDescent="0.3">
      <c r="A30" s="789"/>
      <c r="C30" s="605">
        <f>C27-C29</f>
        <v>-8.7311491370201111E-11</v>
      </c>
      <c r="D30" s="605">
        <f t="shared" ref="D30:O30" si="13">D27-D29</f>
        <v>1.4260876923799515E-9</v>
      </c>
      <c r="E30" s="605">
        <f t="shared" si="13"/>
        <v>129003.14125900238</v>
      </c>
      <c r="F30" s="605">
        <f t="shared" si="13"/>
        <v>188581.68557693169</v>
      </c>
      <c r="G30" s="891">
        <f t="shared" si="13"/>
        <v>-0.24747938645305112</v>
      </c>
      <c r="H30" s="891">
        <f t="shared" si="13"/>
        <v>0.20510837456095032</v>
      </c>
      <c r="I30" s="605">
        <f t="shared" si="13"/>
        <v>0.28404839488212019</v>
      </c>
      <c r="J30" s="605">
        <f t="shared" si="13"/>
        <v>0.23807847627904266</v>
      </c>
      <c r="K30" s="605">
        <f t="shared" si="13"/>
        <v>0.25613505751243792</v>
      </c>
      <c r="L30" s="605">
        <f t="shared" si="13"/>
        <v>0.27393297533853911</v>
      </c>
      <c r="M30" s="605">
        <f t="shared" si="13"/>
        <v>0.29103919179760851</v>
      </c>
      <c r="N30" s="605">
        <f t="shared" si="13"/>
        <v>0.30785211644251831</v>
      </c>
      <c r="O30" s="605">
        <f t="shared" si="13"/>
        <v>0.32427023164927959</v>
      </c>
      <c r="P30" s="604"/>
      <c r="R30" s="599"/>
      <c r="S30" s="599">
        <f>SUM(S19:S29)</f>
        <v>-1036861.08621</v>
      </c>
      <c r="T30" s="599">
        <f t="shared" ref="T30:AE30" si="14">SUM(T19:T29)</f>
        <v>-10331537.590059999</v>
      </c>
      <c r="U30" s="599">
        <f t="shared" si="14"/>
        <v>-10158125.247000478</v>
      </c>
      <c r="V30" s="599">
        <f t="shared" si="14"/>
        <v>-10261295.952857003</v>
      </c>
      <c r="W30" s="599">
        <f t="shared" si="14"/>
        <v>-11203214.649392996</v>
      </c>
      <c r="X30" s="599">
        <f t="shared" si="14"/>
        <v>-11054067.129573999</v>
      </c>
      <c r="Y30" s="599">
        <f t="shared" si="14"/>
        <v>-11399699.412098896</v>
      </c>
      <c r="Z30" s="599">
        <f t="shared" si="14"/>
        <v>-11508221.140272934</v>
      </c>
      <c r="AA30" s="599">
        <f t="shared" si="14"/>
        <v>-11703111.094824351</v>
      </c>
      <c r="AB30" s="599">
        <f t="shared" si="14"/>
        <v>-11896379.882030182</v>
      </c>
      <c r="AC30" s="599">
        <f t="shared" si="14"/>
        <v>-12097464.211395934</v>
      </c>
      <c r="AD30" s="599">
        <f t="shared" si="14"/>
        <v>-12334060.746535197</v>
      </c>
      <c r="AE30" s="599">
        <f t="shared" si="14"/>
        <v>-12590659.496059101</v>
      </c>
    </row>
    <row r="31" spans="1:44" ht="25.35" hidden="1" customHeight="1" outlineLevel="1" x14ac:dyDescent="0.3">
      <c r="A31" s="789"/>
      <c r="Y31" s="598">
        <f>Y12+Y30-'7-1. FS'!AH90</f>
        <v>0</v>
      </c>
    </row>
    <row r="32" spans="1:44" ht="25.35" hidden="1" customHeight="1" outlineLevel="1" x14ac:dyDescent="0.3">
      <c r="A32" s="789"/>
      <c r="R32" s="598" t="s">
        <v>547</v>
      </c>
    </row>
    <row r="33" spans="1:31" ht="25.35" hidden="1" customHeight="1" outlineLevel="1" x14ac:dyDescent="0.3">
      <c r="A33" s="789"/>
      <c r="R33" s="108"/>
      <c r="S33" s="108" t="s">
        <v>434</v>
      </c>
      <c r="T33" s="108" t="s">
        <v>387</v>
      </c>
      <c r="U33" s="108" t="s">
        <v>360</v>
      </c>
      <c r="V33" s="108" t="s">
        <v>361</v>
      </c>
      <c r="W33" s="108" t="s">
        <v>362</v>
      </c>
      <c r="X33" s="108" t="s">
        <v>363</v>
      </c>
      <c r="Y33" s="108" t="s">
        <v>398</v>
      </c>
      <c r="Z33" s="108" t="s">
        <v>426</v>
      </c>
      <c r="AA33" s="108" t="s">
        <v>427</v>
      </c>
      <c r="AB33" s="108" t="s">
        <v>430</v>
      </c>
      <c r="AC33" s="108" t="s">
        <v>431</v>
      </c>
      <c r="AD33" s="108" t="s">
        <v>432</v>
      </c>
      <c r="AE33" s="108" t="s">
        <v>433</v>
      </c>
    </row>
    <row r="34" spans="1:31" ht="25.35" hidden="1" customHeight="1" outlineLevel="1" x14ac:dyDescent="0.3">
      <c r="A34" s="789"/>
      <c r="R34" s="599" t="s">
        <v>548</v>
      </c>
      <c r="S34" s="599">
        <f>'7-1. FS'!AB110</f>
        <v>0</v>
      </c>
      <c r="T34" s="599">
        <f>'7-1. FS'!AC110</f>
        <v>-142065.44604000001</v>
      </c>
      <c r="U34" s="599">
        <f>'7-1. FS'!AD110</f>
        <v>167112.89559</v>
      </c>
      <c r="V34" s="599">
        <f>'7-1. FS'!AE110</f>
        <v>-22500.885843999997</v>
      </c>
      <c r="W34" s="599">
        <f>'7-1. FS'!AF110</f>
        <v>1723.0198459999956</v>
      </c>
      <c r="X34" s="599">
        <f>'7-1. FS'!AG110</f>
        <v>27474.032118000003</v>
      </c>
      <c r="Y34" s="599">
        <f>'7-1. FS'!AH110</f>
        <v>-28870.726903999996</v>
      </c>
      <c r="Z34" s="599">
        <f>'7-1. FS'!AI110</f>
        <v>0</v>
      </c>
      <c r="AA34" s="599">
        <f>'7-1. FS'!AJ110</f>
        <v>0</v>
      </c>
      <c r="AB34" s="599">
        <f>'7-1. FS'!AK110</f>
        <v>0</v>
      </c>
      <c r="AC34" s="599">
        <f>'7-1. FS'!AL110</f>
        <v>0</v>
      </c>
      <c r="AD34" s="599">
        <f>'7-1. FS'!AM110</f>
        <v>0</v>
      </c>
      <c r="AE34" s="599">
        <f>'7-1. FS'!AN110</f>
        <v>0</v>
      </c>
    </row>
    <row r="35" spans="1:31" ht="25.35" hidden="1" customHeight="1" outlineLevel="1" x14ac:dyDescent="0.3">
      <c r="A35" s="789"/>
      <c r="R35" s="599" t="s">
        <v>549</v>
      </c>
      <c r="S35" s="599">
        <f>'7-1. FS'!AB117</f>
        <v>-15719</v>
      </c>
      <c r="T35" s="599">
        <f>'7-1. FS'!AC117</f>
        <v>-595784.12276000041</v>
      </c>
      <c r="U35" s="599">
        <f>'7-1. FS'!AD117</f>
        <v>-623316.65271499974</v>
      </c>
      <c r="V35" s="599">
        <f>'7-1. FS'!AE117</f>
        <v>-683542.37188000069</v>
      </c>
      <c r="W35" s="599">
        <f>'7-1. FS'!AF117</f>
        <v>-558211.635197</v>
      </c>
      <c r="X35" s="599">
        <f>'7-1. FS'!AG117</f>
        <v>-438510.81027899974</v>
      </c>
      <c r="Y35" s="599">
        <f>'7-1. FS'!AH117</f>
        <v>-580830.02613622625</v>
      </c>
      <c r="Z35" s="599">
        <f>'7-1. FS'!AI117</f>
        <v>-549908.60098868038</v>
      </c>
      <c r="AA35" s="599">
        <f>'7-1. FS'!AJ117</f>
        <v>-552715.05197069561</v>
      </c>
      <c r="AB35" s="599">
        <f>'7-1. FS'!AK117</f>
        <v>-587547.56230005657</v>
      </c>
      <c r="AC35" s="599">
        <f>'7-1. FS'!AL117</f>
        <v>-593740.40490878723</v>
      </c>
      <c r="AD35" s="599">
        <f>'7-1. FS'!AM117</f>
        <v>-606078.12605662853</v>
      </c>
      <c r="AE35" s="599">
        <f>'7-1. FS'!AN117</f>
        <v>-619313.69684581249</v>
      </c>
    </row>
    <row r="36" spans="1:31" ht="25.35" hidden="1" customHeight="1" outlineLevel="1" x14ac:dyDescent="0.3">
      <c r="A36" s="789"/>
      <c r="R36" s="599" t="s">
        <v>502</v>
      </c>
      <c r="S36" s="599">
        <f>'7-1. FS'!AB111</f>
        <v>-222825.09475199995</v>
      </c>
      <c r="T36" s="599">
        <f>'7-1. FS'!AC111</f>
        <v>-398291.61174099799</v>
      </c>
      <c r="U36" s="599">
        <f>'7-1. FS'!AD111</f>
        <v>202920.52853699963</v>
      </c>
      <c r="V36" s="599">
        <f>'7-1. FS'!AE111</f>
        <v>227722.58316999723</v>
      </c>
      <c r="W36" s="599">
        <f>'7-1. FS'!AF111</f>
        <v>214192.87625900039</v>
      </c>
      <c r="X36" s="599">
        <f>'7-1. FS'!AG111</f>
        <v>161774.86952699686</v>
      </c>
      <c r="Y36" s="599">
        <f>'7-1. FS'!AH111</f>
        <v>-81885.868933962993</v>
      </c>
      <c r="Z36" s="599">
        <f>'7-1. FS'!AI111</f>
        <v>7978.0166020590314</v>
      </c>
      <c r="AA36" s="599">
        <f>'7-1. FS'!AJ111</f>
        <v>17372.184782952907</v>
      </c>
      <c r="AB36" s="599">
        <f>'7-1. FS'!AK111</f>
        <v>10907.749168918235</v>
      </c>
      <c r="AC36" s="599">
        <f>'7-1. FS'!AL111</f>
        <v>-1793.6887903665192</v>
      </c>
      <c r="AD36" s="599">
        <f>'7-1. FS'!AM111</f>
        <v>4396.1916502721142</v>
      </c>
      <c r="AE36" s="599">
        <f>'7-1. FS'!AN111</f>
        <v>1365.962272652192</v>
      </c>
    </row>
    <row r="37" spans="1:31" ht="25.35" hidden="1" customHeight="1" outlineLevel="1" x14ac:dyDescent="0.3">
      <c r="A37" s="789"/>
      <c r="R37" s="599" t="s">
        <v>550</v>
      </c>
      <c r="S37" s="599">
        <f>+'7-1. FS'!AB108</f>
        <v>0</v>
      </c>
      <c r="T37" s="599">
        <f>+'7-1. FS'!AC108</f>
        <v>-22869.866399999999</v>
      </c>
      <c r="U37" s="599">
        <f>+'7-1. FS'!AD108</f>
        <v>27610.466734999998</v>
      </c>
      <c r="V37" s="599">
        <f>+'7-1. FS'!AE108</f>
        <v>-13170.541355000001</v>
      </c>
      <c r="W37" s="599">
        <f>+'7-1. FS'!AF108</f>
        <v>853.19391299999995</v>
      </c>
      <c r="X37" s="599">
        <f>+'7-1. FS'!AG108</f>
        <v>6074</v>
      </c>
      <c r="Y37" s="599">
        <f>+'7-1. FS'!AH108</f>
        <v>0</v>
      </c>
      <c r="Z37" s="599">
        <f>+'7-1. FS'!AI108</f>
        <v>0</v>
      </c>
      <c r="AA37" s="599">
        <f>+'7-1. FS'!AJ108</f>
        <v>0</v>
      </c>
      <c r="AB37" s="599">
        <f>+'7-1. FS'!AK108</f>
        <v>0</v>
      </c>
      <c r="AC37" s="599">
        <f>+'7-1. FS'!AL108</f>
        <v>0</v>
      </c>
      <c r="AD37" s="599">
        <f>+'7-1. FS'!AM108</f>
        <v>0</v>
      </c>
      <c r="AE37" s="599">
        <f>+'7-1. FS'!AN108</f>
        <v>0</v>
      </c>
    </row>
    <row r="38" spans="1:31" ht="25.35" hidden="1" customHeight="1" outlineLevel="1" x14ac:dyDescent="0.3">
      <c r="A38" s="789"/>
      <c r="R38" s="599"/>
      <c r="S38" s="599">
        <f>SUM(S34:S37)</f>
        <v>-238544.09475199995</v>
      </c>
      <c r="T38" s="599">
        <f t="shared" ref="T38:AE38" si="15">SUM(T34:T37)</f>
        <v>-1159011.0469409984</v>
      </c>
      <c r="U38" s="599">
        <f t="shared" si="15"/>
        <v>-225672.76185300015</v>
      </c>
      <c r="V38" s="599">
        <f t="shared" si="15"/>
        <v>-491491.21590900351</v>
      </c>
      <c r="W38" s="599">
        <f t="shared" si="15"/>
        <v>-341442.5451789996</v>
      </c>
      <c r="X38" s="599">
        <f t="shared" si="15"/>
        <v>-243187.9086340029</v>
      </c>
      <c r="Y38" s="599">
        <f t="shared" si="15"/>
        <v>-691586.6219741893</v>
      </c>
      <c r="Z38" s="599">
        <f t="shared" si="15"/>
        <v>-541930.58438662137</v>
      </c>
      <c r="AA38" s="599">
        <f t="shared" si="15"/>
        <v>-535342.86718774273</v>
      </c>
      <c r="AB38" s="599">
        <f t="shared" si="15"/>
        <v>-576639.81313113833</v>
      </c>
      <c r="AC38" s="599">
        <f t="shared" si="15"/>
        <v>-595534.09369915375</v>
      </c>
      <c r="AD38" s="599">
        <f t="shared" si="15"/>
        <v>-601681.93440635642</v>
      </c>
      <c r="AE38" s="599">
        <f t="shared" si="15"/>
        <v>-617947.7345731603</v>
      </c>
    </row>
    <row r="39" spans="1:31" ht="25.35" hidden="1" customHeight="1" outlineLevel="1" x14ac:dyDescent="0.3">
      <c r="A39" s="789"/>
      <c r="S39" s="200">
        <f>S38-'7-1. FS'!AB109</f>
        <v>0</v>
      </c>
      <c r="T39" s="200">
        <f>T38-'7-1. FS'!AC109</f>
        <v>-22869.866399999941</v>
      </c>
      <c r="U39" s="200">
        <f>U38-'7-1. FS'!AD109</f>
        <v>27610.466734999965</v>
      </c>
      <c r="V39" s="200">
        <f>V38-'7-1. FS'!AE109</f>
        <v>-13170.541355000052</v>
      </c>
      <c r="W39" s="200">
        <f>W38-'7-1. FS'!AF109</f>
        <v>853.19391299999552</v>
      </c>
      <c r="X39" s="200">
        <f>X38-'7-1. FS'!AG109</f>
        <v>6073.9999999999709</v>
      </c>
      <c r="Y39" s="200">
        <f>Y38-'7-1. FS'!AH109</f>
        <v>0</v>
      </c>
      <c r="Z39" s="200">
        <f>Z38-'7-1. FS'!AI109</f>
        <v>0</v>
      </c>
      <c r="AA39" s="200">
        <f>AA38-'7-1. FS'!AJ109</f>
        <v>0</v>
      </c>
      <c r="AB39" s="200">
        <f>AB38-'7-1. FS'!AK109</f>
        <v>0</v>
      </c>
      <c r="AC39" s="200">
        <f>AC38-'7-1. FS'!AL109</f>
        <v>0</v>
      </c>
      <c r="AD39" s="200">
        <f>AD38-'7-1. FS'!AM109</f>
        <v>0</v>
      </c>
      <c r="AE39" s="200">
        <f>AE38-'7-1. FS'!AN109</f>
        <v>0</v>
      </c>
    </row>
    <row r="40" spans="1:31" ht="25.35" hidden="1" customHeight="1" outlineLevel="1" x14ac:dyDescent="0.3">
      <c r="A40" s="789"/>
      <c r="R40" s="598" t="s">
        <v>551</v>
      </c>
    </row>
    <row r="41" spans="1:31" ht="25.35" hidden="1" customHeight="1" outlineLevel="1" x14ac:dyDescent="0.3">
      <c r="A41" s="789"/>
      <c r="R41" s="108"/>
      <c r="S41" s="108" t="s">
        <v>434</v>
      </c>
      <c r="T41" s="108" t="s">
        <v>387</v>
      </c>
      <c r="U41" s="108" t="s">
        <v>360</v>
      </c>
      <c r="V41" s="108" t="s">
        <v>361</v>
      </c>
      <c r="W41" s="108" t="s">
        <v>362</v>
      </c>
      <c r="X41" s="108" t="s">
        <v>363</v>
      </c>
      <c r="Y41" s="108" t="s">
        <v>398</v>
      </c>
      <c r="Z41" s="108" t="s">
        <v>426</v>
      </c>
      <c r="AA41" s="108" t="s">
        <v>427</v>
      </c>
      <c r="AB41" s="108" t="s">
        <v>430</v>
      </c>
      <c r="AC41" s="108" t="s">
        <v>431</v>
      </c>
      <c r="AD41" s="108" t="s">
        <v>432</v>
      </c>
      <c r="AE41" s="108" t="s">
        <v>433</v>
      </c>
    </row>
    <row r="42" spans="1:31" ht="25.35" hidden="1" customHeight="1" outlineLevel="1" x14ac:dyDescent="0.3">
      <c r="A42" s="789"/>
      <c r="R42" s="599" t="s">
        <v>509</v>
      </c>
      <c r="S42" s="599">
        <f>'7-1. FS'!AB121+'7-1. FS'!AB122</f>
        <v>0</v>
      </c>
      <c r="T42" s="599">
        <f>'7-1. FS'!AC121+'7-1. FS'!AC122</f>
        <v>1037839.4903330001</v>
      </c>
      <c r="U42" s="599">
        <f>'7-1. FS'!AD121+'7-1. FS'!AD122</f>
        <v>332220.0942609997</v>
      </c>
      <c r="V42" s="599">
        <f>'7-1. FS'!AE121+'7-1. FS'!AE122</f>
        <v>112766.17157100025</v>
      </c>
      <c r="W42" s="599">
        <f>'7-1. FS'!AF121+'7-1. FS'!AF122</f>
        <v>-136571.84620000119</v>
      </c>
      <c r="X42" s="599">
        <f>'7-1. FS'!AG121+'7-1. FS'!AG122</f>
        <v>-225515.70793960779</v>
      </c>
      <c r="Y42" s="599">
        <f>'7-1. FS'!AH121+'7-1. FS'!AH122</f>
        <v>-79961.758974388707</v>
      </c>
      <c r="Z42" s="599">
        <f>'7-1. FS'!AI121+'7-1. FS'!AI122</f>
        <v>-86036.21051067207</v>
      </c>
      <c r="AA42" s="599">
        <f>'7-1. FS'!AJ121+'7-1. FS'!AJ122</f>
        <v>-72147.909791668644</v>
      </c>
      <c r="AB42" s="599">
        <f>'7-1. FS'!AK121+'7-1. FS'!AK122</f>
        <v>-70165.033201713813</v>
      </c>
      <c r="AC42" s="599">
        <f>'7-1. FS'!AL121+'7-1. FS'!AL122</f>
        <v>-68938.55637128884</v>
      </c>
      <c r="AD42" s="599">
        <f>'7-1. FS'!AM121+'7-1. FS'!AM122</f>
        <v>-69528.044022377813</v>
      </c>
      <c r="AE42" s="599">
        <f>'7-1. FS'!AN121+'7-1. FS'!AN122</f>
        <v>-69399.945147542283</v>
      </c>
    </row>
    <row r="43" spans="1:31" ht="25.35" hidden="1" customHeight="1" outlineLevel="1" x14ac:dyDescent="0.3">
      <c r="A43" s="789"/>
      <c r="R43" s="599" t="s">
        <v>232</v>
      </c>
      <c r="S43" s="599">
        <f>'7-1. FS'!AB123</f>
        <v>-38788</v>
      </c>
      <c r="T43" s="599">
        <f>'7-1. FS'!AC123</f>
        <v>-119981</v>
      </c>
      <c r="U43" s="599">
        <f>'7-1. FS'!AD123</f>
        <v>-122616.03</v>
      </c>
      <c r="V43" s="599">
        <f>'7-1. FS'!AE123</f>
        <v>-43937.410750000003</v>
      </c>
      <c r="W43" s="599">
        <f>'7-1. FS'!AF123</f>
        <v>-51719.127999999997</v>
      </c>
      <c r="X43" s="599">
        <f>'7-1. FS'!AG123</f>
        <v>-41782.794999999998</v>
      </c>
      <c r="Y43" s="599">
        <f>'7-1. FS'!AH123</f>
        <v>-33647</v>
      </c>
      <c r="Z43" s="599">
        <f>'7-1. FS'!AI123</f>
        <v>-57313</v>
      </c>
      <c r="AA43" s="599">
        <f>'7-1. FS'!AJ123</f>
        <v>-68336</v>
      </c>
      <c r="AB43" s="599">
        <f>'7-1. FS'!AK123</f>
        <v>-67953</v>
      </c>
      <c r="AC43" s="599">
        <f>'7-1. FS'!AL123</f>
        <v>-68375</v>
      </c>
      <c r="AD43" s="599">
        <f>'7-1. FS'!AM123</f>
        <v>-73206</v>
      </c>
      <c r="AE43" s="599">
        <f>'7-1. FS'!AN123</f>
        <v>-75441</v>
      </c>
    </row>
    <row r="44" spans="1:31" ht="25.35" hidden="1" customHeight="1" outlineLevel="1" x14ac:dyDescent="0.3">
      <c r="A44" s="789"/>
      <c r="R44" s="599" t="s">
        <v>197</v>
      </c>
      <c r="S44" s="599"/>
      <c r="T44" s="599"/>
      <c r="U44" s="599"/>
      <c r="V44" s="599"/>
      <c r="W44" s="599"/>
      <c r="X44" s="599"/>
      <c r="Y44" s="599"/>
      <c r="Z44" s="599"/>
      <c r="AA44" s="599"/>
      <c r="AB44" s="599"/>
      <c r="AC44" s="599"/>
      <c r="AD44" s="599"/>
      <c r="AE44" s="599"/>
    </row>
    <row r="45" spans="1:31" ht="25.35" hidden="1" customHeight="1" outlineLevel="1" x14ac:dyDescent="0.3">
      <c r="A45" s="789"/>
      <c r="R45" s="599"/>
      <c r="S45" s="599">
        <f>SUM(S42:S44)</f>
        <v>-38788</v>
      </c>
      <c r="T45" s="599">
        <f t="shared" ref="T45:AE45" si="16">SUM(T42:T44)</f>
        <v>917858.49033300008</v>
      </c>
      <c r="U45" s="599">
        <f t="shared" si="16"/>
        <v>209604.0642609997</v>
      </c>
      <c r="V45" s="599">
        <f t="shared" si="16"/>
        <v>68828.760821000236</v>
      </c>
      <c r="W45" s="599">
        <f t="shared" si="16"/>
        <v>-188290.97420000119</v>
      </c>
      <c r="X45" s="599">
        <f t="shared" si="16"/>
        <v>-267298.50293960777</v>
      </c>
      <c r="Y45" s="599">
        <f t="shared" si="16"/>
        <v>-113608.75897438871</v>
      </c>
      <c r="Z45" s="599">
        <f t="shared" si="16"/>
        <v>-143349.21051067207</v>
      </c>
      <c r="AA45" s="599">
        <f t="shared" si="16"/>
        <v>-140483.90979166864</v>
      </c>
      <c r="AB45" s="599">
        <f t="shared" si="16"/>
        <v>-138118.03320171381</v>
      </c>
      <c r="AC45" s="599">
        <f t="shared" si="16"/>
        <v>-137313.55637128884</v>
      </c>
      <c r="AD45" s="599">
        <f t="shared" si="16"/>
        <v>-142734.04402237781</v>
      </c>
      <c r="AE45" s="599">
        <f t="shared" si="16"/>
        <v>-144840.94514754228</v>
      </c>
    </row>
    <row r="46" spans="1:31" ht="25.35" hidden="1" customHeight="1" outlineLevel="1" x14ac:dyDescent="0.3">
      <c r="A46" s="789"/>
      <c r="T46" s="200">
        <f>T45-'7-1. FS'!AC120</f>
        <v>0</v>
      </c>
      <c r="U46" s="200">
        <f>U45-'7-1. FS'!AD120</f>
        <v>0</v>
      </c>
      <c r="V46" s="200">
        <f>V45-'7-1. FS'!AE120</f>
        <v>0</v>
      </c>
      <c r="W46" s="200">
        <f>W45-'7-1. FS'!AF120</f>
        <v>0</v>
      </c>
      <c r="X46" s="200">
        <f>X45-'7-1. FS'!AG120</f>
        <v>0</v>
      </c>
      <c r="Y46" s="200">
        <f>Y45-'7-1. FS'!AH120</f>
        <v>0</v>
      </c>
      <c r="Z46" s="200">
        <f>Z45-'7-1. FS'!AI120</f>
        <v>0</v>
      </c>
      <c r="AA46" s="200">
        <f>AA45-'7-1. FS'!AJ120</f>
        <v>0</v>
      </c>
      <c r="AB46" s="200">
        <f>AB45-'7-1. FS'!AK120</f>
        <v>0</v>
      </c>
      <c r="AC46" s="200">
        <f>AC45-'7-1. FS'!AL120</f>
        <v>0</v>
      </c>
      <c r="AD46" s="200">
        <f>AD45-'7-1. FS'!AM120</f>
        <v>0</v>
      </c>
      <c r="AE46" s="200">
        <f>AE45-'7-1. FS'!AN120</f>
        <v>0</v>
      </c>
    </row>
    <row r="47" spans="1:31" ht="25.35" hidden="1" customHeight="1" outlineLevel="1" x14ac:dyDescent="0.3">
      <c r="A47" s="789"/>
      <c r="R47" s="598" t="s">
        <v>552</v>
      </c>
    </row>
    <row r="48" spans="1:31" ht="25.35" hidden="1" customHeight="1" outlineLevel="1" x14ac:dyDescent="0.3">
      <c r="A48" s="789"/>
      <c r="R48" s="108"/>
      <c r="S48" s="108" t="s">
        <v>434</v>
      </c>
      <c r="T48" s="108" t="s">
        <v>387</v>
      </c>
      <c r="U48" s="108" t="s">
        <v>360</v>
      </c>
      <c r="V48" s="108" t="s">
        <v>361</v>
      </c>
      <c r="W48" s="108" t="s">
        <v>362</v>
      </c>
      <c r="X48" s="108" t="s">
        <v>363</v>
      </c>
      <c r="Y48" s="108" t="s">
        <v>398</v>
      </c>
      <c r="Z48" s="108" t="s">
        <v>426</v>
      </c>
      <c r="AA48" s="108" t="s">
        <v>427</v>
      </c>
      <c r="AB48" s="108" t="s">
        <v>430</v>
      </c>
      <c r="AC48" s="108" t="s">
        <v>431</v>
      </c>
      <c r="AD48" s="108" t="s">
        <v>432</v>
      </c>
      <c r="AE48" s="108" t="s">
        <v>433</v>
      </c>
    </row>
    <row r="49" spans="1:31" ht="25.35" hidden="1" customHeight="1" outlineLevel="1" x14ac:dyDescent="0.3">
      <c r="A49" s="789"/>
      <c r="R49" s="599" t="s">
        <v>553</v>
      </c>
      <c r="S49" s="599">
        <f>S12+S30+S38+S45</f>
        <v>-96884.95472499996</v>
      </c>
      <c r="T49" s="599">
        <f t="shared" ref="T49:AD49" si="17">T12+T30+T38+T45</f>
        <v>90024.496308003203</v>
      </c>
      <c r="U49" s="599">
        <f t="shared" si="17"/>
        <v>301762.14237752091</v>
      </c>
      <c r="V49" s="599">
        <f t="shared" si="17"/>
        <v>113358.84790199928</v>
      </c>
      <c r="W49" s="599">
        <f t="shared" si="17"/>
        <v>-344082.16102799552</v>
      </c>
      <c r="X49" s="599">
        <f t="shared" si="17"/>
        <v>213613.95996438951</v>
      </c>
      <c r="Y49" s="599">
        <f>Y12+Y30+Y38+Y45</f>
        <v>-143953.46636212897</v>
      </c>
      <c r="Z49" s="599">
        <f t="shared" si="17"/>
        <v>37219.857085230062</v>
      </c>
      <c r="AA49" s="599">
        <f t="shared" si="17"/>
        <v>39080.849064487615</v>
      </c>
      <c r="AB49" s="599">
        <f t="shared" si="17"/>
        <v>16935.044568009325</v>
      </c>
      <c r="AC49" s="599">
        <f t="shared" si="17"/>
        <v>18628.546553318622</v>
      </c>
      <c r="AD49" s="599">
        <f t="shared" si="17"/>
        <v>20491.399204736808</v>
      </c>
      <c r="AE49" s="599">
        <f>AE12+AE30+AE38+AE45</f>
        <v>22540.537049108185</v>
      </c>
    </row>
    <row r="50" spans="1:31" ht="25.35" hidden="1" customHeight="1" outlineLevel="1" x14ac:dyDescent="0.3">
      <c r="A50" s="789"/>
      <c r="R50" s="599" t="s">
        <v>554</v>
      </c>
      <c r="S50" s="599"/>
      <c r="T50" s="599">
        <f>'7-1. FS'!O8</f>
        <v>17572.952697000001</v>
      </c>
      <c r="U50" s="599"/>
      <c r="V50" s="599"/>
      <c r="W50" s="599"/>
      <c r="X50" s="599"/>
      <c r="Y50" s="599"/>
      <c r="Z50" s="599"/>
      <c r="AA50" s="599"/>
      <c r="AB50" s="599"/>
      <c r="AC50" s="599"/>
      <c r="AD50" s="599"/>
      <c r="AE50" s="599"/>
    </row>
    <row r="51" spans="1:31" ht="25.35" hidden="1" customHeight="1" outlineLevel="1" x14ac:dyDescent="0.3">
      <c r="A51" s="789"/>
      <c r="R51" s="599"/>
      <c r="S51" s="599">
        <f>SUM(S49:S50)</f>
        <v>-96884.95472499996</v>
      </c>
      <c r="T51" s="599">
        <f t="shared" ref="T51:AE51" si="18">SUM(T49:T50)</f>
        <v>107597.4490050032</v>
      </c>
      <c r="U51" s="599">
        <f t="shared" si="18"/>
        <v>301762.14237752091</v>
      </c>
      <c r="V51" s="599">
        <f t="shared" si="18"/>
        <v>113358.84790199928</v>
      </c>
      <c r="W51" s="599">
        <f t="shared" si="18"/>
        <v>-344082.16102799552</v>
      </c>
      <c r="X51" s="599">
        <f t="shared" si="18"/>
        <v>213613.95996438951</v>
      </c>
      <c r="Y51" s="599">
        <f t="shared" si="18"/>
        <v>-143953.46636212897</v>
      </c>
      <c r="Z51" s="599">
        <f t="shared" si="18"/>
        <v>37219.857085230062</v>
      </c>
      <c r="AA51" s="599">
        <f t="shared" si="18"/>
        <v>39080.849064487615</v>
      </c>
      <c r="AB51" s="599">
        <f t="shared" si="18"/>
        <v>16935.044568009325</v>
      </c>
      <c r="AC51" s="599">
        <f t="shared" si="18"/>
        <v>18628.546553318622</v>
      </c>
      <c r="AD51" s="599">
        <f t="shared" si="18"/>
        <v>20491.399204736808</v>
      </c>
      <c r="AE51" s="599">
        <f t="shared" si="18"/>
        <v>22540.537049108185</v>
      </c>
    </row>
    <row r="52" spans="1:31" ht="25.35" hidden="1" customHeight="1" outlineLevel="1" x14ac:dyDescent="0.3">
      <c r="A52" s="789"/>
      <c r="Y52" s="152">
        <f>Y51-'7-1. FS'!AH124</f>
        <v>8.149072527885437E-10</v>
      </c>
      <c r="Z52" s="152">
        <f>Z51-'7-1. FS'!AI124</f>
        <v>1.8030081526376307E-2</v>
      </c>
      <c r="AA52" s="152">
        <f>AA51-'7-1. FS'!AJ124</f>
        <v>1.8056581146083772E-2</v>
      </c>
      <c r="AB52" s="152">
        <f>AB51-'7-1. FS'!AK124</f>
        <v>1.7797917244024575E-2</v>
      </c>
      <c r="AC52" s="152">
        <f>AC51-'7-1. FS'!AL124</f>
        <v>1.710621640086174E-2</v>
      </c>
      <c r="AD52" s="152">
        <f>AD51-'7-1. FS'!AM124</f>
        <v>1.6812924644909799E-2</v>
      </c>
      <c r="AE52" s="152">
        <f>AE51-'7-1. FS'!AN124</f>
        <v>1.6418114304542542E-2</v>
      </c>
    </row>
    <row r="53" spans="1:31" ht="25.35" hidden="1" customHeight="1" outlineLevel="1" x14ac:dyDescent="0.3">
      <c r="A53" s="789"/>
      <c r="R53" s="599" t="s">
        <v>555</v>
      </c>
      <c r="S53" s="599">
        <f>S7+S8+S19+S20+S22+S23</f>
        <v>128898</v>
      </c>
      <c r="T53" s="599">
        <f t="shared" ref="T53:AE53" si="19">T7+T8+T19+T20+T22+T23</f>
        <v>932196.84368300019</v>
      </c>
      <c r="U53" s="599">
        <f t="shared" si="19"/>
        <v>70312.076587000221</v>
      </c>
      <c r="V53" s="599">
        <f t="shared" si="19"/>
        <v>35030.455951002201</v>
      </c>
      <c r="W53" s="599">
        <f t="shared" si="19"/>
        <v>-60803.696776998688</v>
      </c>
      <c r="X53" s="599">
        <f t="shared" si="19"/>
        <v>84116.796480999037</v>
      </c>
      <c r="Y53" s="599">
        <f t="shared" si="19"/>
        <v>149815.38144641719</v>
      </c>
      <c r="Z53" s="599">
        <f t="shared" si="19"/>
        <v>157416.88951688967</v>
      </c>
      <c r="AA53" s="599">
        <f t="shared" si="19"/>
        <v>155658.58384799716</v>
      </c>
      <c r="AB53" s="599">
        <f t="shared" si="19"/>
        <v>163665.19697531752</v>
      </c>
      <c r="AC53" s="599">
        <f t="shared" si="19"/>
        <v>171266.82260424137</v>
      </c>
      <c r="AD53" s="599">
        <f t="shared" si="19"/>
        <v>177466.72539477178</v>
      </c>
      <c r="AE53" s="599">
        <f t="shared" si="19"/>
        <v>187109.10135944671</v>
      </c>
    </row>
    <row r="54" spans="1:31" ht="25.35" hidden="1" customHeight="1" outlineLevel="1" x14ac:dyDescent="0.3">
      <c r="A54" s="789"/>
      <c r="R54" s="599" t="s">
        <v>556</v>
      </c>
      <c r="S54" s="599">
        <f>S21+S24</f>
        <v>15719</v>
      </c>
      <c r="T54" s="599">
        <f t="shared" ref="T54:AE54" si="20">T21+T24</f>
        <v>510397.35084599996</v>
      </c>
      <c r="U54" s="599">
        <f t="shared" si="20"/>
        <v>497268.36082500004</v>
      </c>
      <c r="V54" s="599">
        <f t="shared" si="20"/>
        <v>509822.53057000006</v>
      </c>
      <c r="W54" s="599">
        <f t="shared" si="20"/>
        <v>562998.23165000009</v>
      </c>
      <c r="X54" s="599">
        <f t="shared" si="20"/>
        <v>581193.22191199998</v>
      </c>
      <c r="Y54" s="599">
        <f t="shared" si="20"/>
        <v>561080.80139070156</v>
      </c>
      <c r="Z54" s="599">
        <f t="shared" si="20"/>
        <v>567431.15268639347</v>
      </c>
      <c r="AA54" s="599">
        <f t="shared" si="20"/>
        <v>573642.49558153714</v>
      </c>
      <c r="AB54" s="599">
        <f t="shared" si="20"/>
        <v>583822.4177570414</v>
      </c>
      <c r="AC54" s="599">
        <f t="shared" si="20"/>
        <v>594378.37150432821</v>
      </c>
      <c r="AD54" s="599">
        <f t="shared" si="20"/>
        <v>605988.08991542505</v>
      </c>
      <c r="AE54" s="599">
        <f t="shared" si="20"/>
        <v>618023.42795571149</v>
      </c>
    </row>
    <row r="55" spans="1:31" ht="25.35" hidden="1" customHeight="1" outlineLevel="1" x14ac:dyDescent="0.3">
      <c r="A55" s="789"/>
      <c r="R55" s="599" t="s">
        <v>557</v>
      </c>
      <c r="S55" s="599">
        <f>S9</f>
        <v>-6602.7304130000402</v>
      </c>
      <c r="T55" s="599">
        <f t="shared" ref="T55:AE55" si="21">T9</f>
        <v>-45464.459560999996</v>
      </c>
      <c r="U55" s="599">
        <f t="shared" si="21"/>
        <v>-15276.730486999999</v>
      </c>
      <c r="V55" s="599">
        <f t="shared" si="21"/>
        <v>-2133.0977069999999</v>
      </c>
      <c r="W55" s="599">
        <f t="shared" si="21"/>
        <v>-13254.542704000001</v>
      </c>
      <c r="X55" s="599">
        <f t="shared" si="21"/>
        <v>-15296</v>
      </c>
      <c r="Y55" s="599">
        <f t="shared" si="21"/>
        <v>0</v>
      </c>
      <c r="Z55" s="599">
        <f t="shared" si="21"/>
        <v>0</v>
      </c>
      <c r="AA55" s="599">
        <f t="shared" si="21"/>
        <v>0</v>
      </c>
      <c r="AB55" s="599">
        <f t="shared" si="21"/>
        <v>0</v>
      </c>
      <c r="AC55" s="599">
        <f t="shared" si="21"/>
        <v>0</v>
      </c>
      <c r="AD55" s="599">
        <f t="shared" si="21"/>
        <v>0</v>
      </c>
      <c r="AE55" s="599">
        <f t="shared" si="21"/>
        <v>0</v>
      </c>
    </row>
    <row r="56" spans="1:31" ht="25.35" hidden="1" customHeight="1" outlineLevel="1" x14ac:dyDescent="0.3">
      <c r="A56" s="789"/>
      <c r="R56" s="599" t="s">
        <v>558</v>
      </c>
      <c r="S56" s="599">
        <f t="shared" ref="S56:AE56" si="22">S10+S25+S26+S27+S28+S29</f>
        <v>42432.870440000006</v>
      </c>
      <c r="T56" s="599">
        <f t="shared" si="22"/>
        <v>-1065952.6820520002</v>
      </c>
      <c r="U56" s="599">
        <f t="shared" si="22"/>
        <v>-234472.86695547804</v>
      </c>
      <c r="V56" s="599">
        <f t="shared" si="22"/>
        <v>-6698.585823999987</v>
      </c>
      <c r="W56" s="599">
        <f t="shared" si="22"/>
        <v>-303288.63381800021</v>
      </c>
      <c r="X56" s="599">
        <f t="shared" si="22"/>
        <v>74086.353145000088</v>
      </c>
      <c r="Y56" s="599">
        <f t="shared" si="22"/>
        <v>-49654.268250670037</v>
      </c>
      <c r="Z56" s="599">
        <f t="shared" si="22"/>
        <v>-2348.3902207595602</v>
      </c>
      <c r="AA56" s="599">
        <f t="shared" si="22"/>
        <v>-14393.453385635476</v>
      </c>
      <c r="AB56" s="599">
        <f t="shared" si="22"/>
        <v>-15794.723831496947</v>
      </c>
      <c r="AC56" s="599">
        <f t="shared" si="22"/>
        <v>-14168.997484807998</v>
      </c>
      <c r="AD56" s="599">
        <f t="shared" si="22"/>
        <v>-18547.437676726233</v>
      </c>
      <c r="AE56" s="599">
        <f t="shared" si="22"/>
        <v>-19803.312545346904</v>
      </c>
    </row>
    <row r="57" spans="1:31" hidden="1" outlineLevel="1" x14ac:dyDescent="0.3">
      <c r="A57" s="789"/>
    </row>
    <row r="58" spans="1:31" hidden="1" outlineLevel="1" x14ac:dyDescent="0.3">
      <c r="A58" s="789"/>
    </row>
    <row r="59" spans="1:31" collapsed="1" x14ac:dyDescent="0.3"/>
  </sheetData>
  <mergeCells count="13">
    <mergeCell ref="AJ18:AJ19"/>
    <mergeCell ref="AI18:AI19"/>
    <mergeCell ref="AK18:AK19"/>
    <mergeCell ref="AI8:AI9"/>
    <mergeCell ref="AI11:AI12"/>
    <mergeCell ref="AJ8:AJ9"/>
    <mergeCell ref="AJ11:AJ12"/>
    <mergeCell ref="AL18:AL19"/>
    <mergeCell ref="AM18:AM19"/>
    <mergeCell ref="AK8:AK9"/>
    <mergeCell ref="AL8:AL9"/>
    <mergeCell ref="AK11:AK12"/>
    <mergeCell ref="AL11:AL12"/>
  </mergeCells>
  <phoneticPr fontId="2" type="noConversion"/>
  <pageMargins left="0.7" right="0.7" top="0.75" bottom="0.75" header="0.3" footer="0.3"/>
  <pageSetup paperSize="9" scale="67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E31B-76B8-4613-848C-1A657BC9A33D}">
  <sheetPr codeName="Sheet5"/>
  <dimension ref="A1:P43"/>
  <sheetViews>
    <sheetView showGridLines="0" zoomScale="85" zoomScaleNormal="85" workbookViewId="0">
      <selection activeCell="L30" sqref="L30"/>
    </sheetView>
  </sheetViews>
  <sheetFormatPr defaultColWidth="9" defaultRowHeight="20.100000000000001" customHeight="1" outlineLevelRow="1" outlineLevelCol="1" x14ac:dyDescent="0.3"/>
  <cols>
    <col min="1" max="1" width="11.625" style="788" customWidth="1"/>
    <col min="2" max="2" width="28.625" style="121" customWidth="1"/>
    <col min="3" max="8" width="10.625" style="59" hidden="1" customWidth="1" outlineLevel="1"/>
    <col min="9" max="9" width="10.625" style="59" customWidth="1" collapsed="1"/>
    <col min="10" max="16" width="10.625" style="59" customWidth="1"/>
    <col min="17" max="16384" width="9" style="59"/>
  </cols>
  <sheetData>
    <row r="1" spans="1:16" ht="25.35" customHeight="1" x14ac:dyDescent="0.3">
      <c r="C1" s="61"/>
      <c r="D1" s="61"/>
      <c r="E1" s="61"/>
      <c r="F1" s="61"/>
      <c r="G1" s="61"/>
      <c r="H1" s="61"/>
    </row>
    <row r="2" spans="1:16" ht="25.35" customHeight="1" x14ac:dyDescent="0.3">
      <c r="A2" s="67" t="s">
        <v>559</v>
      </c>
      <c r="C2" s="61"/>
      <c r="D2" s="61"/>
      <c r="E2" s="61"/>
      <c r="F2" s="61"/>
      <c r="G2" s="61"/>
      <c r="H2" s="61"/>
    </row>
    <row r="3" spans="1:16" ht="25.35" customHeight="1" x14ac:dyDescent="0.3">
      <c r="A3" s="67"/>
      <c r="G3" s="614"/>
    </row>
    <row r="4" spans="1:16" ht="25.35" customHeight="1" x14ac:dyDescent="0.3">
      <c r="A4" s="67" t="s">
        <v>522</v>
      </c>
    </row>
    <row r="5" spans="1:16" ht="25.35" customHeight="1" x14ac:dyDescent="0.3">
      <c r="J5" s="68"/>
      <c r="P5" s="792" t="s">
        <v>8990</v>
      </c>
    </row>
    <row r="6" spans="1:16" ht="25.35" customHeight="1" x14ac:dyDescent="0.3">
      <c r="B6" s="107" t="s">
        <v>437</v>
      </c>
      <c r="C6" s="107" t="s">
        <v>434</v>
      </c>
      <c r="D6" s="107" t="s">
        <v>387</v>
      </c>
      <c r="E6" s="107" t="s">
        <v>360</v>
      </c>
      <c r="F6" s="107" t="s">
        <v>361</v>
      </c>
      <c r="G6" s="107" t="s">
        <v>362</v>
      </c>
      <c r="H6" s="107" t="s">
        <v>363</v>
      </c>
      <c r="I6" s="107" t="s">
        <v>398</v>
      </c>
      <c r="J6" s="107" t="s">
        <v>426</v>
      </c>
      <c r="K6" s="107" t="s">
        <v>427</v>
      </c>
      <c r="L6" s="107" t="s">
        <v>430</v>
      </c>
      <c r="M6" s="107" t="s">
        <v>431</v>
      </c>
      <c r="N6" s="107" t="s">
        <v>432</v>
      </c>
      <c r="O6" s="107" t="s">
        <v>433</v>
      </c>
      <c r="P6" s="107" t="s">
        <v>369</v>
      </c>
    </row>
    <row r="7" spans="1:16" ht="25.35" customHeight="1" x14ac:dyDescent="0.3">
      <c r="B7" s="898" t="s">
        <v>364</v>
      </c>
      <c r="C7" s="117">
        <f>SUM(C8:C11)</f>
        <v>1217308.226237</v>
      </c>
      <c r="D7" s="117">
        <f t="shared" ref="D7:O7" si="0">SUM(D8:D11)</f>
        <v>10662714.642976001</v>
      </c>
      <c r="E7" s="117">
        <f t="shared" si="0"/>
        <v>10475956.08697</v>
      </c>
      <c r="F7" s="117">
        <f t="shared" si="0"/>
        <v>10797317.255847005</v>
      </c>
      <c r="G7" s="117">
        <f t="shared" si="0"/>
        <v>11388866.007744001</v>
      </c>
      <c r="H7" s="117">
        <f t="shared" si="0"/>
        <v>11778167.501111999</v>
      </c>
      <c r="I7" s="890">
        <f t="shared" si="0"/>
        <v>12060941.326685345</v>
      </c>
      <c r="J7" s="890">
        <f t="shared" si="0"/>
        <v>12230720.792255457</v>
      </c>
      <c r="K7" s="890">
        <f t="shared" si="0"/>
        <v>12418018.72086825</v>
      </c>
      <c r="L7" s="890">
        <f t="shared" si="0"/>
        <v>12628072.772931043</v>
      </c>
      <c r="M7" s="890">
        <f t="shared" si="0"/>
        <v>12848940.408019695</v>
      </c>
      <c r="N7" s="890">
        <f t="shared" si="0"/>
        <v>13098968.124168668</v>
      </c>
      <c r="O7" s="890">
        <f t="shared" si="0"/>
        <v>13375988.712828912</v>
      </c>
      <c r="P7" s="795">
        <f>SUM(I7:O7)</f>
        <v>88661650.85775736</v>
      </c>
    </row>
    <row r="8" spans="1:16" ht="25.35" customHeight="1" x14ac:dyDescent="0.3">
      <c r="B8" s="119" t="s">
        <v>286</v>
      </c>
      <c r="C8" s="117">
        <f>'3. 자금조달운영계획'!S7</f>
        <v>1206716</v>
      </c>
      <c r="D8" s="117">
        <f>'3. 자금조달운영계획'!T7</f>
        <v>9942393.7297590002</v>
      </c>
      <c r="E8" s="117">
        <f>'3. 자금조달운영계획'!U7</f>
        <v>10569338.090237999</v>
      </c>
      <c r="F8" s="117">
        <f>'3. 자금조달운영계획'!V7</f>
        <v>10886894.680059005</v>
      </c>
      <c r="G8" s="117">
        <f>'3. 자금조달운영계획'!W7</f>
        <v>11378034.037656</v>
      </c>
      <c r="H8" s="117">
        <f>'3. 자금조달운영계획'!X7</f>
        <v>11774644.187705999</v>
      </c>
      <c r="I8" s="890">
        <f>'3. 자금조달운영계획'!Y7</f>
        <v>12032603.17534546</v>
      </c>
      <c r="J8" s="890">
        <f>'3. 자금조달운영계획'!Z7</f>
        <v>12216426.443432681</v>
      </c>
      <c r="K8" s="890">
        <f>'3. 자금조달운영계획'!AA7</f>
        <v>12411089.220592096</v>
      </c>
      <c r="L8" s="890">
        <f>'3. 자금조달운영계획'!AB7</f>
        <v>12626305.991220679</v>
      </c>
      <c r="M8" s="890">
        <f>'3. 자금조달운영계획'!AC7</f>
        <v>12850430.612808114</v>
      </c>
      <c r="N8" s="890">
        <f>'3. 자금조달운영계획'!AD7</f>
        <v>13103490.567004094</v>
      </c>
      <c r="O8" s="890">
        <f>'3. 자금조달운영계획'!AE7</f>
        <v>13382835.547210557</v>
      </c>
      <c r="P8" s="795">
        <f t="shared" ref="P8:P13" si="1">SUM(I8:O8)</f>
        <v>88623181.557613686</v>
      </c>
    </row>
    <row r="9" spans="1:16" ht="25.35" customHeight="1" x14ac:dyDescent="0.3">
      <c r="B9" s="119" t="s">
        <v>525</v>
      </c>
      <c r="C9" s="117">
        <f>'3. 자금조달운영계획'!S8</f>
        <v>12559</v>
      </c>
      <c r="D9" s="117">
        <f>'3. 자금조달운영계획'!T8</f>
        <v>740901.80577899993</v>
      </c>
      <c r="E9" s="117">
        <f>'3. 자금조달운영계획'!U8</f>
        <v>0</v>
      </c>
      <c r="F9" s="117">
        <f>'3. 자금조달운영계획'!V8</f>
        <v>0</v>
      </c>
      <c r="G9" s="117">
        <f>'3. 자금조달운영계획'!W8</f>
        <v>0</v>
      </c>
      <c r="H9" s="117">
        <f>'3. 자금조달운영계획'!X8</f>
        <v>0</v>
      </c>
      <c r="I9" s="890">
        <f>'3. 자금조달운영계획'!Y8</f>
        <v>0</v>
      </c>
      <c r="J9" s="890">
        <f>'3. 자금조달운영계획'!Z8</f>
        <v>0</v>
      </c>
      <c r="K9" s="890">
        <f>'3. 자금조달운영계획'!AA8</f>
        <v>0</v>
      </c>
      <c r="L9" s="890">
        <f>'3. 자금조달운영계획'!AB8</f>
        <v>0</v>
      </c>
      <c r="M9" s="890">
        <f>'3. 자금조달운영계획'!AC8</f>
        <v>0</v>
      </c>
      <c r="N9" s="890">
        <f>'3. 자금조달운영계획'!AD8</f>
        <v>0</v>
      </c>
      <c r="O9" s="890">
        <f>'3. 자금조달운영계획'!AE8</f>
        <v>0</v>
      </c>
      <c r="P9" s="795">
        <f t="shared" si="1"/>
        <v>0</v>
      </c>
    </row>
    <row r="10" spans="1:16" ht="25.35" customHeight="1" x14ac:dyDescent="0.3">
      <c r="B10" s="119" t="s">
        <v>557</v>
      </c>
      <c r="C10" s="117">
        <f>'3. 자금조달운영계획'!S9</f>
        <v>-6602.7304130000402</v>
      </c>
      <c r="D10" s="117">
        <f>'3. 자금조달운영계획'!T9</f>
        <v>-45464.459560999996</v>
      </c>
      <c r="E10" s="117">
        <f>'3. 자금조달운영계획'!U9</f>
        <v>-15276.730486999999</v>
      </c>
      <c r="F10" s="117">
        <f>'3. 자금조달운영계획'!V9</f>
        <v>-2133.0977069999999</v>
      </c>
      <c r="G10" s="117">
        <f>'3. 자금조달운영계획'!W9</f>
        <v>-13254.542704000001</v>
      </c>
      <c r="H10" s="117">
        <f>'3. 자금조달운영계획'!X9</f>
        <v>-15296</v>
      </c>
      <c r="I10" s="890">
        <f>'3. 자금조달운영계획'!Y9</f>
        <v>0</v>
      </c>
      <c r="J10" s="890">
        <f>'3. 자금조달운영계획'!Z9</f>
        <v>0</v>
      </c>
      <c r="K10" s="890">
        <f>'3. 자금조달운영계획'!AA9</f>
        <v>0</v>
      </c>
      <c r="L10" s="890">
        <f>'3. 자금조달운영계획'!AB9</f>
        <v>0</v>
      </c>
      <c r="M10" s="890">
        <f>'3. 자금조달운영계획'!AC9</f>
        <v>0</v>
      </c>
      <c r="N10" s="890">
        <f>'3. 자금조달운영계획'!AD9</f>
        <v>0</v>
      </c>
      <c r="O10" s="890">
        <f>'3. 자금조달운영계획'!AE9</f>
        <v>0</v>
      </c>
      <c r="P10" s="795">
        <f t="shared" si="1"/>
        <v>0</v>
      </c>
    </row>
    <row r="11" spans="1:16" ht="25.35" customHeight="1" x14ac:dyDescent="0.3">
      <c r="B11" s="119" t="s">
        <v>560</v>
      </c>
      <c r="C11" s="117">
        <f>'3. 자금조달운영계획'!S10</f>
        <v>4635.9566500000074</v>
      </c>
      <c r="D11" s="117">
        <f>'3. 자금조달운영계획'!T10</f>
        <v>24883.566998999944</v>
      </c>
      <c r="E11" s="117">
        <f>'3. 자금조달운영계획'!U10</f>
        <v>-78105.272781000007</v>
      </c>
      <c r="F11" s="117">
        <f>'3. 자금조달운영계획'!V10</f>
        <v>-87444.326504999714</v>
      </c>
      <c r="G11" s="117">
        <f>'3. 자금조달운영계획'!W10</f>
        <v>24086.512791999732</v>
      </c>
      <c r="H11" s="117">
        <f>'3. 자금조달운영계획'!X10</f>
        <v>18819.31340600003</v>
      </c>
      <c r="I11" s="890">
        <f>'3. 자금조달운영계획'!Y10</f>
        <v>28338.151339885313</v>
      </c>
      <c r="J11" s="890">
        <f>'3. 자금조달운영계획'!Z10</f>
        <v>14294.34882277585</v>
      </c>
      <c r="K11" s="890">
        <f>'3. 자금조달운영계획'!AA10</f>
        <v>6929.5002761546275</v>
      </c>
      <c r="L11" s="890">
        <f>'3. 자금조달운영계획'!AB10</f>
        <v>1766.7817103643683</v>
      </c>
      <c r="M11" s="1002">
        <f>'3. 자금조달운영계획'!AC10</f>
        <v>-1490.204788419047</v>
      </c>
      <c r="N11" s="1002">
        <f>'3. 자금조달운영계획'!AD10</f>
        <v>-4522.4428354266201</v>
      </c>
      <c r="O11" s="1002">
        <f>'3. 자금조달운영계획'!AE10</f>
        <v>-6846.8343816454653</v>
      </c>
      <c r="P11" s="795">
        <f t="shared" si="1"/>
        <v>38469.300143689026</v>
      </c>
    </row>
    <row r="12" spans="1:16" ht="25.35" customHeight="1" x14ac:dyDescent="0.3">
      <c r="B12" s="898" t="s">
        <v>524</v>
      </c>
      <c r="C12" s="117">
        <f>'3. 자금조달운영계획'!C8</f>
        <v>0</v>
      </c>
      <c r="D12" s="117">
        <f>'3. 자금조달운영계획'!D8</f>
        <v>17572.952697000001</v>
      </c>
      <c r="E12" s="117">
        <f>'3. 자금조달운영계획'!E8</f>
        <v>0</v>
      </c>
      <c r="F12" s="117">
        <f>'3. 자금조달운영계획'!F8</f>
        <v>0</v>
      </c>
      <c r="G12" s="117">
        <f>'3. 자금조달운영계획'!G8</f>
        <v>0</v>
      </c>
      <c r="H12" s="117">
        <f>'3. 자금조달운영계획'!H8</f>
        <v>0</v>
      </c>
      <c r="I12" s="890">
        <f>'3. 자금조달운영계획'!I8</f>
        <v>0</v>
      </c>
      <c r="J12" s="890">
        <f>'3. 자금조달운영계획'!J8</f>
        <v>0</v>
      </c>
      <c r="K12" s="890">
        <f>'3. 자금조달운영계획'!K8</f>
        <v>0</v>
      </c>
      <c r="L12" s="890">
        <f>'3. 자금조달운영계획'!L8</f>
        <v>0</v>
      </c>
      <c r="M12" s="890">
        <f>'3. 자금조달운영계획'!M8</f>
        <v>0</v>
      </c>
      <c r="N12" s="890">
        <f>'3. 자금조달운영계획'!N8</f>
        <v>0</v>
      </c>
      <c r="O12" s="890">
        <f>'3. 자금조달운영계획'!O8</f>
        <v>0</v>
      </c>
      <c r="P12" s="795">
        <f t="shared" si="1"/>
        <v>0</v>
      </c>
    </row>
    <row r="13" spans="1:16" ht="25.35" customHeight="1" x14ac:dyDescent="0.3">
      <c r="B13" s="898" t="s">
        <v>367</v>
      </c>
      <c r="C13" s="117">
        <f>'3. 자금조달운영계획'!C9</f>
        <v>0</v>
      </c>
      <c r="D13" s="117">
        <f>'3. 자금조달운영계획'!D9</f>
        <v>0</v>
      </c>
      <c r="E13" s="117">
        <f>'3. 자금조달운영계획'!E9</f>
        <v>0</v>
      </c>
      <c r="F13" s="117">
        <f>'3. 자금조달운영계획'!F9</f>
        <v>0</v>
      </c>
      <c r="G13" s="117">
        <f>'3. 자금조달운영계획'!G9</f>
        <v>0</v>
      </c>
      <c r="H13" s="117">
        <f>'3. 자금조달운영계획'!H9</f>
        <v>0</v>
      </c>
      <c r="I13" s="890">
        <f>'3. 자금조달운영계획'!I9</f>
        <v>0</v>
      </c>
      <c r="J13" s="890">
        <f>'3. 자금조달운영계획'!J9</f>
        <v>0</v>
      </c>
      <c r="K13" s="890">
        <f>'3. 자금조달운영계획'!K9</f>
        <v>0</v>
      </c>
      <c r="L13" s="890">
        <f>'3. 자금조달운영계획'!L9</f>
        <v>0</v>
      </c>
      <c r="M13" s="890">
        <f>'3. 자금조달운영계획'!M9</f>
        <v>0</v>
      </c>
      <c r="N13" s="890">
        <f>'3. 자금조달운영계획'!N9</f>
        <v>0</v>
      </c>
      <c r="O13" s="890">
        <f>'3. 자금조달운영계획'!O9</f>
        <v>0</v>
      </c>
      <c r="P13" s="795">
        <f t="shared" si="1"/>
        <v>0</v>
      </c>
    </row>
    <row r="14" spans="1:16" ht="25.35" customHeight="1" x14ac:dyDescent="0.3">
      <c r="B14" s="113" t="s">
        <v>527</v>
      </c>
      <c r="C14" s="120">
        <f>C7+C12+C13</f>
        <v>1217308.226237</v>
      </c>
      <c r="D14" s="120">
        <f t="shared" ref="D14:P14" si="2">D7+D12+D13</f>
        <v>10680287.595673</v>
      </c>
      <c r="E14" s="120">
        <f t="shared" si="2"/>
        <v>10475956.08697</v>
      </c>
      <c r="F14" s="120">
        <f t="shared" si="2"/>
        <v>10797317.255847005</v>
      </c>
      <c r="G14" s="120">
        <f t="shared" si="2"/>
        <v>11388866.007744001</v>
      </c>
      <c r="H14" s="120">
        <f t="shared" si="2"/>
        <v>11778167.501111999</v>
      </c>
      <c r="I14" s="243">
        <f t="shared" si="2"/>
        <v>12060941.326685345</v>
      </c>
      <c r="J14" s="243">
        <f t="shared" si="2"/>
        <v>12230720.792255457</v>
      </c>
      <c r="K14" s="243">
        <f t="shared" si="2"/>
        <v>12418018.72086825</v>
      </c>
      <c r="L14" s="243">
        <f t="shared" si="2"/>
        <v>12628072.772931043</v>
      </c>
      <c r="M14" s="243">
        <f t="shared" si="2"/>
        <v>12848940.408019695</v>
      </c>
      <c r="N14" s="243">
        <f t="shared" si="2"/>
        <v>13098968.124168668</v>
      </c>
      <c r="O14" s="243">
        <f t="shared" si="2"/>
        <v>13375988.712828912</v>
      </c>
      <c r="P14" s="243">
        <f t="shared" si="2"/>
        <v>88661650.85775736</v>
      </c>
    </row>
    <row r="15" spans="1:16" ht="25.35" customHeight="1" x14ac:dyDescent="0.3">
      <c r="B15" s="59" t="s">
        <v>529</v>
      </c>
      <c r="C15" s="115"/>
      <c r="D15" s="115"/>
      <c r="E15" s="115"/>
      <c r="F15" s="115"/>
      <c r="G15" s="115"/>
      <c r="H15" s="115"/>
      <c r="I15" s="115"/>
      <c r="J15" s="115"/>
      <c r="P15" s="115"/>
    </row>
    <row r="16" spans="1:16" ht="25.35" customHeight="1" x14ac:dyDescent="0.3">
      <c r="B16" s="59"/>
    </row>
    <row r="17" spans="1:16" ht="25.35" customHeight="1" x14ac:dyDescent="0.3"/>
    <row r="18" spans="1:16" ht="25.35" customHeight="1" x14ac:dyDescent="0.3">
      <c r="A18" s="67" t="s">
        <v>530</v>
      </c>
    </row>
    <row r="19" spans="1:16" ht="25.35" customHeight="1" x14ac:dyDescent="0.3">
      <c r="J19" s="68"/>
      <c r="P19" s="792" t="s">
        <v>8990</v>
      </c>
    </row>
    <row r="20" spans="1:16" ht="25.35" customHeight="1" x14ac:dyDescent="0.3">
      <c r="B20" s="107" t="s">
        <v>437</v>
      </c>
      <c r="C20" s="107" t="s">
        <v>434</v>
      </c>
      <c r="D20" s="107" t="s">
        <v>387</v>
      </c>
      <c r="E20" s="107" t="s">
        <v>360</v>
      </c>
      <c r="F20" s="107" t="s">
        <v>361</v>
      </c>
      <c r="G20" s="107" t="s">
        <v>362</v>
      </c>
      <c r="H20" s="107" t="s">
        <v>363</v>
      </c>
      <c r="I20" s="107" t="s">
        <v>398</v>
      </c>
      <c r="J20" s="107" t="s">
        <v>426</v>
      </c>
      <c r="K20" s="107" t="s">
        <v>427</v>
      </c>
      <c r="L20" s="107" t="s">
        <v>430</v>
      </c>
      <c r="M20" s="107" t="s">
        <v>431</v>
      </c>
      <c r="N20" s="107" t="s">
        <v>432</v>
      </c>
      <c r="O20" s="107" t="s">
        <v>433</v>
      </c>
      <c r="P20" s="107" t="s">
        <v>369</v>
      </c>
    </row>
    <row r="21" spans="1:16" ht="25.35" customHeight="1" x14ac:dyDescent="0.3">
      <c r="B21" s="898" t="s">
        <v>370</v>
      </c>
      <c r="C21" s="117">
        <f>SUM(C22:C27)</f>
        <v>1036861.08621</v>
      </c>
      <c r="D21" s="117">
        <f t="shared" ref="D21:O21" si="3">SUM(D22:D27)</f>
        <v>10331537.590059999</v>
      </c>
      <c r="E21" s="117">
        <f t="shared" si="3"/>
        <v>10158125.247000478</v>
      </c>
      <c r="F21" s="117">
        <f t="shared" si="3"/>
        <v>10261295.952857003</v>
      </c>
      <c r="G21" s="117">
        <f t="shared" si="3"/>
        <v>11203214.649392998</v>
      </c>
      <c r="H21" s="117">
        <f t="shared" si="3"/>
        <v>11054067.129574001</v>
      </c>
      <c r="I21" s="117">
        <f t="shared" si="3"/>
        <v>11399699.412098898</v>
      </c>
      <c r="J21" s="117">
        <f t="shared" si="3"/>
        <v>11508221.140272934</v>
      </c>
      <c r="K21" s="117">
        <f t="shared" si="3"/>
        <v>11703111.094824351</v>
      </c>
      <c r="L21" s="117">
        <f t="shared" si="3"/>
        <v>11896379.88203018</v>
      </c>
      <c r="M21" s="117">
        <f t="shared" si="3"/>
        <v>12097464.211395932</v>
      </c>
      <c r="N21" s="117">
        <f t="shared" si="3"/>
        <v>12334060.746535197</v>
      </c>
      <c r="O21" s="117">
        <f t="shared" si="3"/>
        <v>12590659.496059099</v>
      </c>
      <c r="P21" s="118">
        <f t="shared" ref="P21:P28" si="4">SUM(I21:O21)</f>
        <v>83529595.983216599</v>
      </c>
    </row>
    <row r="22" spans="1:16" ht="25.35" customHeight="1" x14ac:dyDescent="0.3">
      <c r="B22" s="119" t="s">
        <v>290</v>
      </c>
      <c r="C22" s="117">
        <f>-'3. 자금조달운영계획'!S19</f>
        <v>200911</v>
      </c>
      <c r="D22" s="117">
        <f>-'3. 자금조달운영계획'!T19</f>
        <v>7184089.8753980007</v>
      </c>
      <c r="E22" s="117">
        <f>-'3. 자금조달운영계획'!U19</f>
        <v>7710584.3692529993</v>
      </c>
      <c r="F22" s="117">
        <f>-'3. 자금조달운영계획'!V19</f>
        <v>7986166.9117230019</v>
      </c>
      <c r="G22" s="117">
        <f>-'3. 자금조달운영계획'!W19</f>
        <v>8452920.0477119982</v>
      </c>
      <c r="H22" s="117">
        <f>-'3. 자금조달운영계획'!X19</f>
        <v>8810759.34736</v>
      </c>
      <c r="I22" s="117">
        <f>-'3. 자금조달운영계획'!Y19</f>
        <v>9008909.2566301897</v>
      </c>
      <c r="J22" s="117">
        <f>-'3. 자금조달운영계획'!Z19</f>
        <v>9186266.4907691628</v>
      </c>
      <c r="K22" s="117">
        <f>-'3. 자금조달운영계획'!AA19</f>
        <v>9371141.0904086307</v>
      </c>
      <c r="L22" s="117">
        <f>-'3. 자금조달운영계획'!AB19</f>
        <v>9570388.4201867245</v>
      </c>
      <c r="M22" s="117">
        <f>-'3. 자금조달운영계획'!AC19</f>
        <v>9763257.2092240453</v>
      </c>
      <c r="N22" s="117">
        <f>-'3. 자금조달운영계획'!AD19</f>
        <v>9977799.3608639501</v>
      </c>
      <c r="O22" s="117">
        <f>-'3. 자금조달운영계획'!AE19</f>
        <v>10211275.941211879</v>
      </c>
      <c r="P22" s="118">
        <f t="shared" si="4"/>
        <v>67089037.76929459</v>
      </c>
    </row>
    <row r="23" spans="1:16" ht="25.35" customHeight="1" x14ac:dyDescent="0.3">
      <c r="B23" s="119" t="s">
        <v>561</v>
      </c>
      <c r="C23" s="117">
        <f>-'3. 자금조달운영계획'!S20-'3. 자금조달운영계획'!S21</f>
        <v>832202</v>
      </c>
      <c r="D23" s="117">
        <f>-'3. 자금조달운영계획'!T20-'3. 자금조달운영계획'!T21</f>
        <v>1965152.2320290003</v>
      </c>
      <c r="E23" s="117">
        <f>-'3. 자금조달운영계획'!U20-'3. 자금조달운영계획'!U21</f>
        <v>2113651.6476609996</v>
      </c>
      <c r="F23" s="117">
        <f>-'3. 자금조달운영계획'!V20-'3. 자금조달운영계획'!V21</f>
        <v>2095452.9101720005</v>
      </c>
      <c r="G23" s="117">
        <f>-'3. 자금조달운영계획'!W20-'3. 자금조달운영계획'!W21</f>
        <v>2132063.3608390004</v>
      </c>
      <c r="H23" s="117">
        <f>-'3. 자금조달운영계획'!X20-'3. 자금조달운영계획'!X21</f>
        <v>2102347.9810240003</v>
      </c>
      <c r="I23" s="117">
        <f>-'3. 자금조달운영계획'!Y20-'3. 자금조달운영계획'!Y21</f>
        <v>2190448.8553100224</v>
      </c>
      <c r="J23" s="117">
        <f>-'3. 자금조달운영계획'!Z20-'3. 자금조달운영계획'!Z21</f>
        <v>2193236.7905827318</v>
      </c>
      <c r="K23" s="117">
        <f>-'3. 자금조달운영계획'!AA20-'3. 자금조달운영계획'!AA21</f>
        <v>2201406.307951537</v>
      </c>
      <c r="L23" s="117">
        <f>-'3. 자금조달운영계획'!AB20-'3. 자금조달운영계획'!AB21</f>
        <v>2201503.837231318</v>
      </c>
      <c r="M23" s="117">
        <f>-'3. 자금조달운영계획'!AC20-'3. 자금조달운영계획'!AC21</f>
        <v>2213361.571113667</v>
      </c>
      <c r="N23" s="117">
        <f>-'3. 자금조달운영계획'!AD20-'3. 자금조달운영계획'!AD21</f>
        <v>2229768.9356685607</v>
      </c>
      <c r="O23" s="117">
        <f>-'3. 자금조달운영계획'!AE20-'3. 자금조달운영계획'!AE21</f>
        <v>2252143.7868352272</v>
      </c>
      <c r="P23" s="118">
        <f t="shared" si="4"/>
        <v>15481870.084693063</v>
      </c>
    </row>
    <row r="24" spans="1:16" ht="25.35" customHeight="1" x14ac:dyDescent="0.3">
      <c r="B24" s="119" t="s">
        <v>536</v>
      </c>
      <c r="C24" s="117">
        <f>-'3. 자금조달운영계획'!S22</f>
        <v>0</v>
      </c>
      <c r="D24" s="117">
        <f>-'3. 자금조달운영계획'!T22</f>
        <v>0</v>
      </c>
      <c r="E24" s="117">
        <f>-'3. 자금조달운영계획'!U22</f>
        <v>161145.63822699999</v>
      </c>
      <c r="F24" s="117">
        <f>-'3. 자금조달운영계획'!V22</f>
        <v>234288.08161400002</v>
      </c>
      <c r="G24" s="117">
        <f>-'3. 자금조달운영계획'!W22</f>
        <v>296146.34038299997</v>
      </c>
      <c r="H24" s="117">
        <f>-'3. 자금조달운영계획'!X22</f>
        <v>184975.416646</v>
      </c>
      <c r="I24" s="117">
        <f>-'3. 자금조달운영계획'!Y22</f>
        <v>77213.903863764717</v>
      </c>
      <c r="J24" s="117">
        <f>-'3. 자금조달운영계획'!Z22</f>
        <v>58141.641916286215</v>
      </c>
      <c r="K24" s="117">
        <f>-'3. 자금조달운영계획'!AA22</f>
        <v>55612.965489054557</v>
      </c>
      <c r="L24" s="117">
        <f>-'3. 자금조달운영계획'!AB22</f>
        <v>52961.873904566281</v>
      </c>
      <c r="M24" s="117">
        <f>-'3. 자금조달운영계획'!AC22</f>
        <v>50346.202967543439</v>
      </c>
      <c r="N24" s="117">
        <f>-'3. 자금조달운영계획'!AD22</f>
        <v>52863.235787054757</v>
      </c>
      <c r="O24" s="117">
        <f>-'3. 자금조달운영계획'!AE22</f>
        <v>51946.659219721485</v>
      </c>
      <c r="P24" s="118">
        <f t="shared" si="4"/>
        <v>399086.48314799147</v>
      </c>
    </row>
    <row r="25" spans="1:16" ht="25.35" customHeight="1" x14ac:dyDescent="0.3">
      <c r="B25" s="119" t="s">
        <v>322</v>
      </c>
      <c r="C25" s="117">
        <f>-'3. 자금조달운영계획'!S23</f>
        <v>41545</v>
      </c>
      <c r="D25" s="117">
        <f>-'3. 자금조달운영계획'!T23</f>
        <v>101302.275035</v>
      </c>
      <c r="E25" s="117">
        <f>-'3. 자금조달운영계획'!U23</f>
        <v>24954.999378</v>
      </c>
      <c r="F25" s="117">
        <f>-'3. 자금조달운영계획'!V23</f>
        <v>45663.079564000007</v>
      </c>
      <c r="G25" s="117">
        <f>-'3. 자금조달운영계획'!W23</f>
        <v>17293.721777999999</v>
      </c>
      <c r="H25" s="117">
        <f>-'3. 자금조달운영계획'!X23</f>
        <v>20804.424283</v>
      </c>
      <c r="I25" s="117">
        <f>-'3. 자금조달운영계획'!Y23</f>
        <v>45134.976704364512</v>
      </c>
      <c r="J25" s="117">
        <f>-'3. 자금조달운영계획'!Z23</f>
        <v>53933.477961217432</v>
      </c>
      <c r="K25" s="117">
        <f>-'3. 자금조달운영계획'!AA23</f>
        <v>53627.777313340084</v>
      </c>
      <c r="L25" s="117">
        <f>-'3. 자금조달운영계획'!AB23</f>
        <v>53964.245165711531</v>
      </c>
      <c r="M25" s="117">
        <f>-'3. 자금조달운영계획'!AC23</f>
        <v>57820.43539428863</v>
      </c>
      <c r="N25" s="117">
        <f>-'3. 자금조달운영계획'!AD23</f>
        <v>59604.219374331515</v>
      </c>
      <c r="O25" s="117">
        <f>-'3. 자금조달운영계획'!AE23</f>
        <v>62336.63062857106</v>
      </c>
      <c r="P25" s="118">
        <f t="shared" si="4"/>
        <v>386421.76254182484</v>
      </c>
    </row>
    <row r="26" spans="1:16" ht="25.35" customHeight="1" x14ac:dyDescent="0.3">
      <c r="B26" s="119" t="s">
        <v>556</v>
      </c>
      <c r="C26" s="117">
        <f>-'3. 자금조달운영계획'!S24</f>
        <v>0</v>
      </c>
      <c r="D26" s="117">
        <f>-'3. 자금조달운영계획'!T24</f>
        <v>-9843.0414529999998</v>
      </c>
      <c r="E26" s="117">
        <f>-'3. 자금조달운영계획'!U24</f>
        <v>-8579.0016930000002</v>
      </c>
      <c r="F26" s="117">
        <f>-'3. 자금조달운영계획'!V24</f>
        <v>-19529.289534999996</v>
      </c>
      <c r="G26" s="117">
        <f>-'3. 자금조달운영계획'!W24</f>
        <v>-22583.967929000002</v>
      </c>
      <c r="H26" s="117">
        <f>-'3. 자금조달운영계획'!X24</f>
        <v>-9553</v>
      </c>
      <c r="I26" s="117">
        <f>-'3. 자금조달운영계획'!Y24</f>
        <v>0</v>
      </c>
      <c r="J26" s="117">
        <f>-'3. 자금조달운영계획'!Z24</f>
        <v>0</v>
      </c>
      <c r="K26" s="117">
        <f>-'3. 자금조달운영계획'!AA24</f>
        <v>0</v>
      </c>
      <c r="L26" s="117">
        <f>-'3. 자금조달운영계획'!AB24</f>
        <v>0</v>
      </c>
      <c r="M26" s="117">
        <f>-'3. 자금조달운영계획'!AC24</f>
        <v>0</v>
      </c>
      <c r="N26" s="117">
        <f>-'3. 자금조달운영계획'!AD24</f>
        <v>0</v>
      </c>
      <c r="O26" s="117">
        <f>-'3. 자금조달운영계획'!AE24</f>
        <v>0</v>
      </c>
      <c r="P26" s="118">
        <f t="shared" si="4"/>
        <v>0</v>
      </c>
    </row>
    <row r="27" spans="1:16" ht="25.35" customHeight="1" x14ac:dyDescent="0.3">
      <c r="B27" s="119" t="s">
        <v>560</v>
      </c>
      <c r="C27" s="117">
        <f>-'3. 자금조달운영계획'!S25-'3. 자금조달운영계획'!S26-'3. 자금조달운영계획'!S27-'3. 자금조달운영계획'!S28-'3. 자금조달운영계획'!S29</f>
        <v>-37796.913789999999</v>
      </c>
      <c r="D27" s="117">
        <f>-'3. 자금조달운영계획'!T25-'3. 자금조달운영계획'!T26-'3. 자금조달운영계획'!T27-'3. 자금조달운영계획'!T28-'3. 자금조달운영계획'!T29</f>
        <v>1090836.249051</v>
      </c>
      <c r="E27" s="117">
        <f>-'3. 자금조달운영계획'!U25-'3. 자금조달운영계획'!U26-'3. 자금조달운영계획'!U27-'3. 자금조달운영계획'!U28-'3. 자금조달운영계획'!U29</f>
        <v>156367.59417447803</v>
      </c>
      <c r="F27" s="117">
        <f>-'3. 자금조달운영계획'!V25-'3. 자금조달운영계획'!V26-'3. 자금조달운영계획'!V27-'3. 자금조달운영계획'!V28-'3. 자금조달운영계획'!V29</f>
        <v>-80745.740680999734</v>
      </c>
      <c r="G27" s="117">
        <f>-'3. 자금조달운영계획'!W25-'3. 자금조달운영계획'!W26-'3. 자금조달운영계획'!W27-'3. 자금조달운영계획'!W28-'3. 자금조달운영계획'!W29</f>
        <v>327375.14660999994</v>
      </c>
      <c r="H27" s="117">
        <f>-'3. 자금조달운영계획'!X25-'3. 자금조달운영계획'!X26-'3. 자금조달운영계획'!X27-'3. 자금조달운영계획'!X28-'3. 자금조달운영계획'!X29</f>
        <v>-55267.039739000058</v>
      </c>
      <c r="I27" s="117">
        <f>-'3. 자금조달운영계획'!Y25-'3. 자금조달운영계획'!Y26-'3. 자금조달운영계획'!Y27-'3. 자금조달운영계획'!Y28-'3. 자금조달운영계획'!Y29</f>
        <v>77992.41959055535</v>
      </c>
      <c r="J27" s="117">
        <f>-'3. 자금조달운영계획'!Z25-'3. 자금조달운영계획'!Z26-'3. 자금조달운영계획'!Z27-'3. 자금조달운영계획'!Z28-'3. 자금조달운영계획'!Z29</f>
        <v>16642.73904353541</v>
      </c>
      <c r="K27" s="117">
        <f>-'3. 자금조달운영계획'!AA25-'3. 자금조달운영계획'!AA26-'3. 자금조달운영계획'!AA27-'3. 자금조달운영계획'!AA28-'3. 자금조달운영계획'!AA29</f>
        <v>21322.953661790103</v>
      </c>
      <c r="L27" s="117">
        <f>-'3. 자금조달운영계획'!AB25-'3. 자금조달운영계획'!AB26-'3. 자금조달운영계획'!AB27-'3. 자금조달운영계획'!AB28-'3. 자금조달운영계획'!AB29</f>
        <v>17561.505541861316</v>
      </c>
      <c r="M27" s="117">
        <f>-'3. 자금조달운영계획'!AC25-'3. 자금조달운영계획'!AC26-'3. 자금조달운영계획'!AC27-'3. 자금조달운영계획'!AC28-'3. 자금조달운영계획'!AC29</f>
        <v>12678.792696388951</v>
      </c>
      <c r="N27" s="117">
        <f>-'3. 자금조달운영계획'!AD25-'3. 자금조달운영계획'!AD26-'3. 자금조달운영계획'!AD27-'3. 자금조달운영계획'!AD28-'3. 자금조달운영계획'!AD29</f>
        <v>14024.994841299613</v>
      </c>
      <c r="O27" s="117">
        <f>-'3. 자금조달운영계획'!AE25-'3. 자금조달운영계획'!AE26-'3. 자금조달운영계획'!AE27-'3. 자금조달운영계획'!AE28-'3. 자금조달운영계획'!AE29</f>
        <v>12956.478163701438</v>
      </c>
      <c r="P27" s="118">
        <f t="shared" si="4"/>
        <v>173179.88353913219</v>
      </c>
    </row>
    <row r="28" spans="1:16" ht="25.35" customHeight="1" x14ac:dyDescent="0.3">
      <c r="B28" s="898" t="s">
        <v>532</v>
      </c>
      <c r="C28" s="117">
        <f>SUM(C29:C30)</f>
        <v>238544.09475199995</v>
      </c>
      <c r="D28" s="117">
        <f t="shared" ref="D28:O28" si="5">SUM(D29:D30)</f>
        <v>1159011.0469409984</v>
      </c>
      <c r="E28" s="117">
        <f t="shared" si="5"/>
        <v>225672.76185300009</v>
      </c>
      <c r="F28" s="117">
        <f t="shared" si="5"/>
        <v>491491.21590900345</v>
      </c>
      <c r="G28" s="117">
        <f t="shared" si="5"/>
        <v>341442.5451789996</v>
      </c>
      <c r="H28" s="117">
        <f t="shared" si="5"/>
        <v>243187.90863400287</v>
      </c>
      <c r="I28" s="117">
        <f t="shared" si="5"/>
        <v>691586.6219741893</v>
      </c>
      <c r="J28" s="117">
        <f t="shared" si="5"/>
        <v>541930.58438662137</v>
      </c>
      <c r="K28" s="117">
        <f t="shared" si="5"/>
        <v>535342.86718774273</v>
      </c>
      <c r="L28" s="117">
        <f t="shared" si="5"/>
        <v>576639.81313113833</v>
      </c>
      <c r="M28" s="117">
        <f t="shared" si="5"/>
        <v>595534.09369915375</v>
      </c>
      <c r="N28" s="117">
        <f t="shared" si="5"/>
        <v>601681.93440635642</v>
      </c>
      <c r="O28" s="117">
        <f t="shared" si="5"/>
        <v>617947.7345731603</v>
      </c>
      <c r="P28" s="118">
        <f t="shared" si="4"/>
        <v>4160663.6493583624</v>
      </c>
    </row>
    <row r="29" spans="1:16" ht="25.35" customHeight="1" x14ac:dyDescent="0.3">
      <c r="B29" s="119" t="s">
        <v>502</v>
      </c>
      <c r="C29" s="117">
        <f>-'3. 자금조달운영계획'!S34-'3. 자금조달운영계획'!S36-'3. 자금조달운영계획'!S37</f>
        <v>222825.09475199995</v>
      </c>
      <c r="D29" s="117">
        <f>-'3. 자금조달운영계획'!T34-'3. 자금조달운영계획'!T36-'3. 자금조달운영계획'!T37</f>
        <v>563226.924180998</v>
      </c>
      <c r="E29" s="117">
        <f>-'3. 자금조달운영계획'!U34-'3. 자금조달운영계획'!U36-'3. 자금조달운영계획'!U37</f>
        <v>-397643.89086199965</v>
      </c>
      <c r="F29" s="117">
        <f>-'3. 자금조달운영계획'!V34-'3. 자금조달운영계획'!V36-'3. 자금조달운영계획'!V37</f>
        <v>-192051.15597099724</v>
      </c>
      <c r="G29" s="117">
        <f>-'3. 자금조달운영계획'!W34-'3. 자금조달운영계획'!W36-'3. 자금조달운영계획'!W37</f>
        <v>-216769.0900180004</v>
      </c>
      <c r="H29" s="117">
        <f>-'3. 자금조달운영계획'!X34-'3. 자금조달운영계획'!X36-'3. 자금조달운영계획'!X37</f>
        <v>-195322.90164499686</v>
      </c>
      <c r="I29" s="1002">
        <f>-'3. 자금조달운영계획'!Y34-'3. 자금조달운영계획'!Y36-'3. 자금조달운영계획'!Y37</f>
        <v>110756.59583796299</v>
      </c>
      <c r="J29" s="1002">
        <f>-'3. 자금조달운영계획'!Z34-'3. 자금조달운영계획'!Z36-'3. 자금조달운영계획'!Z37</f>
        <v>-7978.0166020590314</v>
      </c>
      <c r="K29" s="1002">
        <f>-'3. 자금조달운영계획'!AA34-'3. 자금조달운영계획'!AA36-'3. 자금조달운영계획'!AA37</f>
        <v>-17372.184782952907</v>
      </c>
      <c r="L29" s="1002">
        <f>-'3. 자금조달운영계획'!AB34-'3. 자금조달운영계획'!AB36-'3. 자금조달운영계획'!AB37</f>
        <v>-10907.749168918235</v>
      </c>
      <c r="M29" s="1002">
        <f>-'3. 자금조달운영계획'!AC34-'3. 자금조달운영계획'!AC36-'3. 자금조달운영계획'!AC37</f>
        <v>1793.6887903665192</v>
      </c>
      <c r="N29" s="1002">
        <f>-'3. 자금조달운영계획'!AD34-'3. 자금조달운영계획'!AD36-'3. 자금조달운영계획'!AD37</f>
        <v>-4396.1916502721142</v>
      </c>
      <c r="O29" s="1002">
        <f>-'3. 자금조달운영계획'!AE34-'3. 자금조달운영계획'!AE36-'3. 자금조달운영계획'!AE37</f>
        <v>-1365.962272652192</v>
      </c>
      <c r="P29" s="1002">
        <f t="shared" ref="P29:P34" si="6">SUM(I29:O29)</f>
        <v>70530.18015147504</v>
      </c>
    </row>
    <row r="30" spans="1:16" ht="25.35" customHeight="1" x14ac:dyDescent="0.3">
      <c r="B30" s="119" t="s">
        <v>562</v>
      </c>
      <c r="C30" s="117">
        <f>-'3. 자금조달운영계획'!S35</f>
        <v>15719</v>
      </c>
      <c r="D30" s="117">
        <f>-'3. 자금조달운영계획'!T35</f>
        <v>595784.12276000041</v>
      </c>
      <c r="E30" s="117">
        <f>-'3. 자금조달운영계획'!U35</f>
        <v>623316.65271499974</v>
      </c>
      <c r="F30" s="117">
        <f>-'3. 자금조달운영계획'!V35</f>
        <v>683542.37188000069</v>
      </c>
      <c r="G30" s="117">
        <f>-'3. 자금조달운영계획'!W35</f>
        <v>558211.635197</v>
      </c>
      <c r="H30" s="117">
        <f>-'3. 자금조달운영계획'!X35</f>
        <v>438510.81027899974</v>
      </c>
      <c r="I30" s="117">
        <f>-'3. 자금조달운영계획'!Y35</f>
        <v>580830.02613622625</v>
      </c>
      <c r="J30" s="117">
        <f>-'3. 자금조달운영계획'!Z35</f>
        <v>549908.60098868038</v>
      </c>
      <c r="K30" s="117">
        <f>-'3. 자금조달운영계획'!AA35</f>
        <v>552715.05197069561</v>
      </c>
      <c r="L30" s="117">
        <f>-'3. 자금조달운영계획'!AB35</f>
        <v>587547.56230005657</v>
      </c>
      <c r="M30" s="117">
        <f>-'3. 자금조달운영계획'!AC35</f>
        <v>593740.40490878723</v>
      </c>
      <c r="N30" s="117">
        <f>-'3. 자금조달운영계획'!AD35</f>
        <v>606078.12605662853</v>
      </c>
      <c r="O30" s="117">
        <f>-'3. 자금조달운영계획'!AE35</f>
        <v>619313.69684581249</v>
      </c>
      <c r="P30" s="118">
        <f t="shared" si="6"/>
        <v>4090133.4692068873</v>
      </c>
    </row>
    <row r="31" spans="1:16" ht="25.35" customHeight="1" x14ac:dyDescent="0.3">
      <c r="B31" s="898" t="s">
        <v>372</v>
      </c>
      <c r="C31" s="117">
        <f>SUM(C32:C34)</f>
        <v>38788</v>
      </c>
      <c r="D31" s="117">
        <f t="shared" ref="D31:O31" si="7">SUM(D32:D34)</f>
        <v>-917858.49033300008</v>
      </c>
      <c r="E31" s="117">
        <f t="shared" si="7"/>
        <v>-209604.0642609997</v>
      </c>
      <c r="F31" s="117">
        <f t="shared" si="7"/>
        <v>-68828.760821000236</v>
      </c>
      <c r="G31" s="117">
        <f t="shared" si="7"/>
        <v>188290.97420000119</v>
      </c>
      <c r="H31" s="117">
        <f t="shared" si="7"/>
        <v>267298.50293960777</v>
      </c>
      <c r="I31" s="117">
        <f t="shared" si="7"/>
        <v>113608.75897438871</v>
      </c>
      <c r="J31" s="117">
        <f t="shared" si="7"/>
        <v>143349.21051067207</v>
      </c>
      <c r="K31" s="117">
        <f t="shared" si="7"/>
        <v>140483.90979166864</v>
      </c>
      <c r="L31" s="117">
        <f t="shared" si="7"/>
        <v>138118.03320171381</v>
      </c>
      <c r="M31" s="117">
        <f t="shared" si="7"/>
        <v>137313.55637128884</v>
      </c>
      <c r="N31" s="117">
        <f t="shared" si="7"/>
        <v>142734.04402237781</v>
      </c>
      <c r="O31" s="117">
        <f t="shared" si="7"/>
        <v>144840.94514754228</v>
      </c>
      <c r="P31" s="118">
        <f t="shared" si="6"/>
        <v>960448.45801965217</v>
      </c>
    </row>
    <row r="32" spans="1:16" ht="25.35" customHeight="1" x14ac:dyDescent="0.3">
      <c r="B32" s="119" t="s">
        <v>509</v>
      </c>
      <c r="C32" s="117">
        <f>-'3. 자금조달운영계획'!S42</f>
        <v>0</v>
      </c>
      <c r="D32" s="117">
        <f>-'3. 자금조달운영계획'!T42</f>
        <v>-1037839.4903330001</v>
      </c>
      <c r="E32" s="117">
        <f>-'3. 자금조달운영계획'!U42</f>
        <v>-332220.0942609997</v>
      </c>
      <c r="F32" s="117">
        <f>-'3. 자금조달운영계획'!V42</f>
        <v>-112766.17157100025</v>
      </c>
      <c r="G32" s="117">
        <f>-'3. 자금조달운영계획'!W42</f>
        <v>136571.84620000119</v>
      </c>
      <c r="H32" s="117">
        <f>-'3. 자금조달운영계획'!X42</f>
        <v>225515.70793960779</v>
      </c>
      <c r="I32" s="117">
        <f>-'3. 자금조달운영계획'!Y42</f>
        <v>79961.758974388707</v>
      </c>
      <c r="J32" s="117">
        <f>-'3. 자금조달운영계획'!Z42</f>
        <v>86036.21051067207</v>
      </c>
      <c r="K32" s="117">
        <f>-'3. 자금조달운영계획'!AA42</f>
        <v>72147.909791668644</v>
      </c>
      <c r="L32" s="117">
        <f>-'3. 자금조달운영계획'!AB42</f>
        <v>70165.033201713813</v>
      </c>
      <c r="M32" s="117">
        <f>-'3. 자금조달운영계획'!AC42</f>
        <v>68938.55637128884</v>
      </c>
      <c r="N32" s="117">
        <f>-'3. 자금조달운영계획'!AD42</f>
        <v>69528.044022377813</v>
      </c>
      <c r="O32" s="117">
        <f>-'3. 자금조달운영계획'!AE42</f>
        <v>69399.945147542283</v>
      </c>
      <c r="P32" s="118">
        <f t="shared" si="6"/>
        <v>516177.45801965217</v>
      </c>
    </row>
    <row r="33" spans="1:16" ht="25.35" customHeight="1" x14ac:dyDescent="0.3">
      <c r="B33" s="119" t="s">
        <v>232</v>
      </c>
      <c r="C33" s="117">
        <f>-'3. 자금조달운영계획'!S43</f>
        <v>38788</v>
      </c>
      <c r="D33" s="117">
        <f>-'3. 자금조달운영계획'!T43</f>
        <v>119981</v>
      </c>
      <c r="E33" s="117">
        <f>-'3. 자금조달운영계획'!U43</f>
        <v>122616.03</v>
      </c>
      <c r="F33" s="117">
        <f>-'3. 자금조달운영계획'!V43</f>
        <v>43937.410750000003</v>
      </c>
      <c r="G33" s="117">
        <f>-'3. 자금조달운영계획'!W43</f>
        <v>51719.127999999997</v>
      </c>
      <c r="H33" s="117">
        <f>-'3. 자금조달운영계획'!X43</f>
        <v>41782.794999999998</v>
      </c>
      <c r="I33" s="117">
        <f>-'3. 자금조달운영계획'!Y43</f>
        <v>33647</v>
      </c>
      <c r="J33" s="117">
        <f>-'3. 자금조달운영계획'!Z43</f>
        <v>57313</v>
      </c>
      <c r="K33" s="117">
        <f>-'3. 자금조달운영계획'!AA43</f>
        <v>68336</v>
      </c>
      <c r="L33" s="117">
        <f>-'3. 자금조달운영계획'!AB43</f>
        <v>67953</v>
      </c>
      <c r="M33" s="117">
        <f>-'3. 자금조달운영계획'!AC43</f>
        <v>68375</v>
      </c>
      <c r="N33" s="117">
        <f>-'3. 자금조달운영계획'!AD43</f>
        <v>73206</v>
      </c>
      <c r="O33" s="117">
        <f>-'3. 자금조달운영계획'!AE43</f>
        <v>75441</v>
      </c>
      <c r="P33" s="118">
        <f t="shared" si="6"/>
        <v>444271</v>
      </c>
    </row>
    <row r="34" spans="1:16" ht="25.35" customHeight="1" x14ac:dyDescent="0.3">
      <c r="B34" s="119" t="s">
        <v>563</v>
      </c>
      <c r="C34" s="117"/>
      <c r="D34" s="117"/>
      <c r="E34" s="117"/>
      <c r="F34" s="117"/>
      <c r="G34" s="117"/>
      <c r="H34" s="117"/>
      <c r="I34" s="117">
        <v>0</v>
      </c>
      <c r="J34" s="117">
        <v>0</v>
      </c>
      <c r="K34" s="117">
        <v>0</v>
      </c>
      <c r="L34" s="117">
        <v>0</v>
      </c>
      <c r="M34" s="117">
        <v>0</v>
      </c>
      <c r="N34" s="117">
        <v>0</v>
      </c>
      <c r="O34" s="117">
        <v>0</v>
      </c>
      <c r="P34" s="118">
        <f t="shared" si="6"/>
        <v>0</v>
      </c>
    </row>
    <row r="35" spans="1:16" ht="25.35" customHeight="1" x14ac:dyDescent="0.3">
      <c r="B35" s="113" t="s">
        <v>527</v>
      </c>
      <c r="C35" s="120">
        <f>C21+C28+C31</f>
        <v>1314193.180962</v>
      </c>
      <c r="D35" s="120">
        <f t="shared" ref="D35:P35" si="8">D21+D28+D31</f>
        <v>10572690.146667998</v>
      </c>
      <c r="E35" s="120">
        <f t="shared" si="8"/>
        <v>10174193.944592478</v>
      </c>
      <c r="F35" s="120">
        <f t="shared" si="8"/>
        <v>10683958.407945007</v>
      </c>
      <c r="G35" s="120">
        <f t="shared" si="8"/>
        <v>11732948.168771999</v>
      </c>
      <c r="H35" s="120">
        <f t="shared" si="8"/>
        <v>11564553.541147612</v>
      </c>
      <c r="I35" s="120">
        <f t="shared" si="8"/>
        <v>12204894.793047475</v>
      </c>
      <c r="J35" s="120">
        <f t="shared" si="8"/>
        <v>12193500.935170226</v>
      </c>
      <c r="K35" s="120">
        <f t="shared" si="8"/>
        <v>12378937.871803762</v>
      </c>
      <c r="L35" s="120">
        <f t="shared" si="8"/>
        <v>12611137.728363032</v>
      </c>
      <c r="M35" s="120">
        <f t="shared" si="8"/>
        <v>12830311.861466374</v>
      </c>
      <c r="N35" s="120">
        <f t="shared" si="8"/>
        <v>13078476.724963931</v>
      </c>
      <c r="O35" s="120">
        <f t="shared" si="8"/>
        <v>13353448.175779803</v>
      </c>
      <c r="P35" s="120">
        <f t="shared" si="8"/>
        <v>88650708.09059462</v>
      </c>
    </row>
    <row r="36" spans="1:16" ht="25.35" customHeight="1" x14ac:dyDescent="0.3">
      <c r="B36" s="59" t="s">
        <v>534</v>
      </c>
      <c r="G36" s="62"/>
    </row>
    <row r="37" spans="1:16" ht="25.35" customHeight="1" x14ac:dyDescent="0.3">
      <c r="B37" s="59" t="s">
        <v>535</v>
      </c>
    </row>
    <row r="38" spans="1:16" ht="25.35" customHeight="1" x14ac:dyDescent="0.3">
      <c r="B38" s="59" t="s">
        <v>564</v>
      </c>
    </row>
    <row r="39" spans="1:16" ht="25.35" customHeight="1" x14ac:dyDescent="0.3"/>
    <row r="40" spans="1:16" ht="25.35" hidden="1" customHeight="1" outlineLevel="1" x14ac:dyDescent="0.3">
      <c r="A40" s="790"/>
      <c r="C40" s="616">
        <f>C14-C35</f>
        <v>-96884.954725000076</v>
      </c>
      <c r="D40" s="616">
        <f t="shared" ref="D40:I40" si="9">D14-D35</f>
        <v>107597.44900500216</v>
      </c>
      <c r="E40" s="616">
        <f t="shared" si="9"/>
        <v>301762.14237752184</v>
      </c>
      <c r="F40" s="616">
        <f t="shared" si="9"/>
        <v>113358.84790199809</v>
      </c>
      <c r="G40" s="616">
        <f t="shared" si="9"/>
        <v>-344082.16102799773</v>
      </c>
      <c r="H40" s="616">
        <f t="shared" si="9"/>
        <v>213613.95996438712</v>
      </c>
      <c r="I40" s="616">
        <f t="shared" si="9"/>
        <v>-143953.4663621299</v>
      </c>
      <c r="J40" s="616">
        <f t="shared" ref="J40:O40" si="10">J14-J35</f>
        <v>37219.857085231692</v>
      </c>
      <c r="K40" s="616">
        <f t="shared" si="10"/>
        <v>39080.849064487964</v>
      </c>
      <c r="L40" s="616">
        <f t="shared" si="10"/>
        <v>16935.044568011537</v>
      </c>
      <c r="M40" s="616">
        <f t="shared" si="10"/>
        <v>18628.546553321183</v>
      </c>
      <c r="N40" s="616">
        <f t="shared" si="10"/>
        <v>20491.399204736575</v>
      </c>
      <c r="O40" s="616">
        <f t="shared" si="10"/>
        <v>22540.537049109116</v>
      </c>
    </row>
    <row r="41" spans="1:16" ht="25.35" hidden="1" customHeight="1" outlineLevel="1" x14ac:dyDescent="0.3">
      <c r="A41" s="790"/>
      <c r="C41" s="616">
        <f>'3. 자금조달운영계획'!C26</f>
        <v>-96884.954725000076</v>
      </c>
      <c r="D41" s="616">
        <f>'3. 자금조달운영계획'!D26</f>
        <v>107597.44900500216</v>
      </c>
      <c r="E41" s="616">
        <f>'3. 자금조달운영계획'!E26</f>
        <v>301762.14237752184</v>
      </c>
      <c r="F41" s="616">
        <f>'3. 자금조달운영계획'!F26</f>
        <v>113358.84790199809</v>
      </c>
      <c r="G41" s="616">
        <f>'3. 자금조달운영계획'!G26</f>
        <v>-344082.16102799587</v>
      </c>
      <c r="H41" s="616">
        <f>'3. 자금조달운영계획'!H26</f>
        <v>213613.95996438898</v>
      </c>
      <c r="I41" s="616">
        <f>'3. 자금조달운영계획'!I26</f>
        <v>-143953.46636212803</v>
      </c>
      <c r="J41" s="616">
        <f>'3. 자금조달운영계획'!J26</f>
        <v>37219.857085231692</v>
      </c>
      <c r="K41" s="616">
        <f>'3. 자금조달운영계획'!K26</f>
        <v>39080.849064487964</v>
      </c>
      <c r="L41" s="616">
        <f>'3. 자금조달운영계획'!L26</f>
        <v>16935.044568009675</v>
      </c>
      <c r="M41" s="616">
        <f>'3. 자금조달운영계획'!M26</f>
        <v>18628.54655331932</v>
      </c>
      <c r="N41" s="616">
        <f>'3. 자금조달운영계획'!N26</f>
        <v>20491.399204736575</v>
      </c>
      <c r="O41" s="616">
        <f>'3. 자금조달운영계획'!O26</f>
        <v>22540.537049109116</v>
      </c>
    </row>
    <row r="42" spans="1:16" ht="25.35" hidden="1" customHeight="1" outlineLevel="1" x14ac:dyDescent="0.3">
      <c r="A42" s="790"/>
      <c r="C42" s="616">
        <f>C40-C41</f>
        <v>0</v>
      </c>
      <c r="D42" s="616">
        <f t="shared" ref="D42:I42" si="11">D40-D41</f>
        <v>0</v>
      </c>
      <c r="E42" s="616">
        <f t="shared" si="11"/>
        <v>0</v>
      </c>
      <c r="F42" s="616">
        <f t="shared" si="11"/>
        <v>0</v>
      </c>
      <c r="G42" s="616">
        <f t="shared" si="11"/>
        <v>-1.862645149230957E-9</v>
      </c>
      <c r="H42" s="616">
        <f t="shared" si="11"/>
        <v>-1.862645149230957E-9</v>
      </c>
      <c r="I42" s="616">
        <f t="shared" si="11"/>
        <v>-1.862645149230957E-9</v>
      </c>
      <c r="J42" s="616">
        <f t="shared" ref="J42:O42" si="12">J40-J41</f>
        <v>0</v>
      </c>
      <c r="K42" s="616">
        <f t="shared" si="12"/>
        <v>0</v>
      </c>
      <c r="L42" s="616">
        <f t="shared" si="12"/>
        <v>1.862645149230957E-9</v>
      </c>
      <c r="M42" s="616">
        <f t="shared" si="12"/>
        <v>1.862645149230957E-9</v>
      </c>
      <c r="N42" s="616">
        <f t="shared" si="12"/>
        <v>0</v>
      </c>
      <c r="O42" s="616">
        <f t="shared" si="12"/>
        <v>0</v>
      </c>
    </row>
    <row r="43" spans="1:16" ht="25.35" customHeight="1" collapsed="1" x14ac:dyDescent="0.3"/>
  </sheetData>
  <phoneticPr fontId="2" type="noConversion"/>
  <pageMargins left="0.7" right="0.7" top="0.75" bottom="0.75" header="0.3" footer="0.3"/>
  <pageSetup paperSize="9" scale="64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BC72-9A53-4C2D-931A-0B95BD54B927}">
  <sheetPr codeName="Sheet6"/>
  <dimension ref="A1:AQ56"/>
  <sheetViews>
    <sheetView showGridLines="0" zoomScale="85" zoomScaleNormal="85" workbookViewId="0">
      <selection sqref="A1:AB2"/>
    </sheetView>
  </sheetViews>
  <sheetFormatPr defaultColWidth="9" defaultRowHeight="13.5" outlineLevelRow="1" outlineLevelCol="1" x14ac:dyDescent="0.3"/>
  <cols>
    <col min="1" max="1" width="9" style="121"/>
    <col min="2" max="2" width="19.25" style="59" customWidth="1"/>
    <col min="3" max="3" width="10.625" style="152" hidden="1" customWidth="1" outlineLevel="1"/>
    <col min="4" max="4" width="10.625" style="66" hidden="1" customWidth="1" outlineLevel="1"/>
    <col min="5" max="5" width="10.625" style="152" hidden="1" customWidth="1" outlineLevel="1"/>
    <col min="6" max="6" width="10.625" style="66" hidden="1" customWidth="1" outlineLevel="1"/>
    <col min="7" max="7" width="10.625" style="152" hidden="1" customWidth="1" outlineLevel="1"/>
    <col min="8" max="8" width="10.625" style="66" hidden="1" customWidth="1" outlineLevel="1"/>
    <col min="9" max="9" width="10.625" style="152" hidden="1" customWidth="1" outlineLevel="1"/>
    <col min="10" max="10" width="10.625" style="66" hidden="1" customWidth="1" outlineLevel="1"/>
    <col min="11" max="11" width="10.625" style="152" hidden="1" customWidth="1" outlineLevel="1"/>
    <col min="12" max="12" width="10.625" style="66" hidden="1" customWidth="1" outlineLevel="1"/>
    <col min="13" max="13" width="10.625" style="152" hidden="1" customWidth="1" outlineLevel="1"/>
    <col min="14" max="14" width="10.625" style="66" hidden="1" customWidth="1" outlineLevel="1"/>
    <col min="15" max="15" width="10.625" style="152" customWidth="1" collapsed="1"/>
    <col min="16" max="28" width="10.625" style="66" customWidth="1"/>
    <col min="29" max="29" width="9" style="59"/>
    <col min="30" max="30" width="10.375" style="131" hidden="1" customWidth="1" outlineLevel="1"/>
    <col min="31" max="34" width="10.375" style="132" hidden="1" customWidth="1" outlineLevel="1"/>
    <col min="35" max="35" width="10.375" style="59" hidden="1" customWidth="1" outlineLevel="1"/>
    <col min="36" max="36" width="10.5" style="59" hidden="1" customWidth="1" outlineLevel="1"/>
    <col min="37" max="42" width="9" style="59" hidden="1" customWidth="1" outlineLevel="1"/>
    <col min="43" max="43" width="9" style="59" collapsed="1"/>
    <col min="44" max="16384" width="9" style="59"/>
  </cols>
  <sheetData>
    <row r="1" spans="1:42" ht="25.15" customHeight="1" x14ac:dyDescent="0.3">
      <c r="A1" s="1140" t="s">
        <v>565</v>
      </c>
      <c r="B1" s="1140"/>
      <c r="C1" s="1140"/>
      <c r="D1" s="1140"/>
      <c r="E1" s="1140"/>
      <c r="F1" s="1140"/>
      <c r="G1" s="1140"/>
      <c r="H1" s="1140"/>
      <c r="I1" s="1140"/>
      <c r="J1" s="1140"/>
      <c r="K1" s="1140"/>
      <c r="L1" s="1140"/>
      <c r="M1" s="1140"/>
      <c r="N1" s="1140"/>
      <c r="O1" s="1140"/>
      <c r="P1" s="1140"/>
      <c r="Q1" s="1140"/>
      <c r="R1" s="1140"/>
      <c r="S1" s="1140"/>
      <c r="T1" s="1140"/>
      <c r="U1" s="1140"/>
      <c r="V1" s="1140"/>
      <c r="W1" s="1140"/>
      <c r="X1" s="1140"/>
      <c r="Y1" s="1140"/>
      <c r="Z1" s="1140"/>
      <c r="AA1" s="1140"/>
      <c r="AB1" s="1140"/>
      <c r="AD1" s="136"/>
      <c r="AE1" s="137"/>
      <c r="AF1" s="137"/>
      <c r="AG1" s="137"/>
      <c r="AH1" s="137"/>
      <c r="AI1" s="61"/>
      <c r="AJ1" s="61"/>
      <c r="AK1" s="61"/>
      <c r="AL1" s="61"/>
      <c r="AM1" s="61"/>
      <c r="AN1" s="61"/>
      <c r="AO1" s="61"/>
      <c r="AP1" s="61"/>
    </row>
    <row r="2" spans="1:42" ht="25.15" customHeight="1" x14ac:dyDescent="0.3">
      <c r="A2" s="1140"/>
      <c r="B2" s="1140"/>
      <c r="C2" s="1140"/>
      <c r="D2" s="1140"/>
      <c r="E2" s="1140"/>
      <c r="F2" s="1140"/>
      <c r="G2" s="1140"/>
      <c r="H2" s="1140"/>
      <c r="I2" s="1140"/>
      <c r="J2" s="1140"/>
      <c r="K2" s="1140"/>
      <c r="L2" s="1140"/>
      <c r="M2" s="1140"/>
      <c r="N2" s="1140"/>
      <c r="O2" s="1140"/>
      <c r="P2" s="1140"/>
      <c r="Q2" s="1140"/>
      <c r="R2" s="1140"/>
      <c r="S2" s="1140"/>
      <c r="T2" s="1140"/>
      <c r="U2" s="1140"/>
      <c r="V2" s="1140"/>
      <c r="W2" s="1140"/>
      <c r="X2" s="1140"/>
      <c r="Y2" s="1140"/>
      <c r="Z2" s="1140"/>
      <c r="AA2" s="1140"/>
      <c r="AB2" s="1140"/>
      <c r="AD2" s="136"/>
      <c r="AE2" s="137"/>
      <c r="AF2" s="137"/>
      <c r="AG2" s="137"/>
      <c r="AH2" s="137"/>
      <c r="AI2" s="61"/>
      <c r="AJ2" s="61"/>
      <c r="AK2" s="61"/>
      <c r="AL2" s="61"/>
      <c r="AM2" s="61"/>
      <c r="AN2" s="61"/>
      <c r="AO2" s="61"/>
      <c r="AP2" s="61"/>
    </row>
    <row r="3" spans="1:42" ht="25.35" customHeight="1" x14ac:dyDescent="0.3">
      <c r="A3" s="648"/>
      <c r="B3" s="648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8"/>
      <c r="P3" s="648"/>
      <c r="Q3" s="648"/>
      <c r="R3" s="648"/>
      <c r="S3" s="648"/>
      <c r="T3" s="648"/>
      <c r="U3" s="648"/>
      <c r="V3" s="648"/>
      <c r="W3" s="648"/>
      <c r="X3" s="648"/>
      <c r="Y3" s="648"/>
      <c r="Z3" s="648"/>
      <c r="AA3" s="648"/>
      <c r="AB3" s="648"/>
    </row>
    <row r="4" spans="1:42" ht="25.35" customHeight="1" x14ac:dyDescent="0.3">
      <c r="A4" s="69"/>
      <c r="C4" s="617"/>
      <c r="D4" s="436"/>
      <c r="E4" s="617"/>
      <c r="F4" s="436"/>
      <c r="G4" s="617"/>
      <c r="H4" s="436"/>
      <c r="I4" s="617"/>
      <c r="J4" s="436"/>
      <c r="K4" s="617"/>
      <c r="L4" s="618"/>
      <c r="M4" s="617"/>
      <c r="N4" s="618"/>
      <c r="P4" s="59"/>
      <c r="Q4" s="619"/>
      <c r="R4" s="619"/>
      <c r="S4" s="619"/>
      <c r="T4" s="59"/>
      <c r="U4" s="619"/>
      <c r="V4" s="619"/>
      <c r="W4" s="619"/>
      <c r="X4" s="619"/>
      <c r="Y4" s="619"/>
      <c r="Z4" s="619"/>
      <c r="AA4" s="619"/>
      <c r="AB4" s="792" t="s">
        <v>429</v>
      </c>
    </row>
    <row r="5" spans="1:42" ht="25.35" customHeight="1" x14ac:dyDescent="0.3">
      <c r="A5" s="1104" t="s">
        <v>373</v>
      </c>
      <c r="B5" s="1104"/>
      <c r="C5" s="1006" t="s">
        <v>434</v>
      </c>
      <c r="D5" s="1008"/>
      <c r="E5" s="1006" t="s">
        <v>387</v>
      </c>
      <c r="F5" s="1008"/>
      <c r="G5" s="1006" t="s">
        <v>360</v>
      </c>
      <c r="H5" s="1008"/>
      <c r="I5" s="1006" t="s">
        <v>361</v>
      </c>
      <c r="J5" s="1008"/>
      <c r="K5" s="1006" t="s">
        <v>362</v>
      </c>
      <c r="L5" s="1008"/>
      <c r="M5" s="1006" t="s">
        <v>363</v>
      </c>
      <c r="N5" s="1008"/>
      <c r="O5" s="1006" t="s">
        <v>398</v>
      </c>
      <c r="P5" s="1008"/>
      <c r="Q5" s="1006" t="s">
        <v>426</v>
      </c>
      <c r="R5" s="1008"/>
      <c r="S5" s="1006" t="s">
        <v>427</v>
      </c>
      <c r="T5" s="1008"/>
      <c r="U5" s="1006" t="s">
        <v>430</v>
      </c>
      <c r="V5" s="1008"/>
      <c r="W5" s="1006" t="s">
        <v>431</v>
      </c>
      <c r="X5" s="1008"/>
      <c r="Y5" s="1006" t="s">
        <v>432</v>
      </c>
      <c r="Z5" s="1008"/>
      <c r="AA5" s="1006" t="s">
        <v>433</v>
      </c>
      <c r="AB5" s="1008"/>
    </row>
    <row r="6" spans="1:42" ht="25.35" customHeight="1" x14ac:dyDescent="0.3">
      <c r="A6" s="1104"/>
      <c r="B6" s="1104"/>
      <c r="C6" s="657" t="s">
        <v>326</v>
      </c>
      <c r="D6" s="658" t="s">
        <v>374</v>
      </c>
      <c r="E6" s="657" t="s">
        <v>326</v>
      </c>
      <c r="F6" s="658" t="s">
        <v>374</v>
      </c>
      <c r="G6" s="657" t="s">
        <v>326</v>
      </c>
      <c r="H6" s="658" t="s">
        <v>374</v>
      </c>
      <c r="I6" s="657" t="s">
        <v>326</v>
      </c>
      <c r="J6" s="658" t="s">
        <v>374</v>
      </c>
      <c r="K6" s="657" t="s">
        <v>326</v>
      </c>
      <c r="L6" s="658" t="s">
        <v>374</v>
      </c>
      <c r="M6" s="657" t="s">
        <v>326</v>
      </c>
      <c r="N6" s="658" t="s">
        <v>374</v>
      </c>
      <c r="O6" s="657" t="s">
        <v>326</v>
      </c>
      <c r="P6" s="658" t="s">
        <v>374</v>
      </c>
      <c r="Q6" s="657" t="s">
        <v>326</v>
      </c>
      <c r="R6" s="658" t="s">
        <v>374</v>
      </c>
      <c r="S6" s="657" t="s">
        <v>326</v>
      </c>
      <c r="T6" s="658" t="s">
        <v>374</v>
      </c>
      <c r="U6" s="657" t="s">
        <v>326</v>
      </c>
      <c r="V6" s="658" t="s">
        <v>374</v>
      </c>
      <c r="W6" s="657" t="s">
        <v>326</v>
      </c>
      <c r="X6" s="658" t="s">
        <v>374</v>
      </c>
      <c r="Y6" s="657" t="s">
        <v>326</v>
      </c>
      <c r="Z6" s="658" t="s">
        <v>374</v>
      </c>
      <c r="AA6" s="657" t="s">
        <v>326</v>
      </c>
      <c r="AB6" s="658" t="s">
        <v>374</v>
      </c>
      <c r="AD6" s="438">
        <v>2020</v>
      </c>
      <c r="AE6" s="438">
        <v>2021</v>
      </c>
      <c r="AF6" s="438">
        <v>2022</v>
      </c>
      <c r="AG6" s="438">
        <v>2023</v>
      </c>
      <c r="AH6" s="438">
        <v>2024</v>
      </c>
      <c r="AI6" s="438">
        <v>2025</v>
      </c>
      <c r="AJ6" s="438">
        <v>2026</v>
      </c>
      <c r="AK6" s="438">
        <v>2027</v>
      </c>
      <c r="AL6" s="438">
        <v>2028</v>
      </c>
      <c r="AM6" s="438">
        <v>2029</v>
      </c>
      <c r="AN6" s="438">
        <v>2030</v>
      </c>
      <c r="AO6" s="438">
        <v>2031</v>
      </c>
      <c r="AP6" s="438">
        <v>2032</v>
      </c>
    </row>
    <row r="7" spans="1:42" ht="25.35" customHeight="1" x14ac:dyDescent="0.3">
      <c r="A7" s="620" t="s">
        <v>442</v>
      </c>
      <c r="B7" s="621"/>
      <c r="C7" s="622">
        <f>C8+C9</f>
        <v>1561615</v>
      </c>
      <c r="D7" s="623">
        <f>C7/C$7</f>
        <v>1</v>
      </c>
      <c r="E7" s="622">
        <f>E8+E9</f>
        <v>7683258.5736330003</v>
      </c>
      <c r="F7" s="623">
        <f>E7/E$7</f>
        <v>1</v>
      </c>
      <c r="G7" s="622">
        <f>G8+G9</f>
        <v>7944462.0060779992</v>
      </c>
      <c r="H7" s="623">
        <f>G7/G$7</f>
        <v>1</v>
      </c>
      <c r="I7" s="622">
        <f>I8+I9</f>
        <v>8209320.1563220015</v>
      </c>
      <c r="J7" s="623">
        <f>I7/I$7</f>
        <v>1</v>
      </c>
      <c r="K7" s="622">
        <f>K8+K9</f>
        <v>7153797.9114529993</v>
      </c>
      <c r="L7" s="623">
        <f>K7/K$7</f>
        <v>1</v>
      </c>
      <c r="M7" s="622">
        <f>M8+M9</f>
        <v>7117017.66787</v>
      </c>
      <c r="N7" s="623">
        <f>M7/M$7</f>
        <v>1</v>
      </c>
      <c r="O7" s="622">
        <f>O8+O9</f>
        <v>7099210.6987308618</v>
      </c>
      <c r="P7" s="623">
        <f>O7/O$7</f>
        <v>1</v>
      </c>
      <c r="Q7" s="622">
        <f>Q8+Q9</f>
        <v>7163823.5944128325</v>
      </c>
      <c r="R7" s="623">
        <f>Q7/Q$7</f>
        <v>1</v>
      </c>
      <c r="S7" s="622">
        <f>S8+S9</f>
        <v>7227078.5432404093</v>
      </c>
      <c r="T7" s="623">
        <f>S7/S$7</f>
        <v>1</v>
      </c>
      <c r="U7" s="622">
        <f>U8+U9</f>
        <v>7305975.2571819462</v>
      </c>
      <c r="V7" s="623">
        <f>U7/U$7</f>
        <v>1</v>
      </c>
      <c r="W7" s="622">
        <f>W8+W9</f>
        <v>7403329.6856535012</v>
      </c>
      <c r="X7" s="623">
        <f>W7/W$7</f>
        <v>1</v>
      </c>
      <c r="Y7" s="622">
        <f>Y8+Y9</f>
        <v>7507419.0980909374</v>
      </c>
      <c r="Z7" s="623">
        <f>Y7/Y$7</f>
        <v>1</v>
      </c>
      <c r="AA7" s="622">
        <f>AA8+AA9</f>
        <v>7624408.7129345993</v>
      </c>
      <c r="AB7" s="623">
        <f>AA7/AA$7</f>
        <v>1</v>
      </c>
      <c r="AE7" s="131"/>
      <c r="AF7" s="131"/>
      <c r="AG7" s="131"/>
      <c r="AH7" s="131"/>
      <c r="AI7" s="131"/>
    </row>
    <row r="8" spans="1:42" ht="25.35" customHeight="1" x14ac:dyDescent="0.3">
      <c r="A8" s="624"/>
      <c r="B8" s="625" t="s">
        <v>375</v>
      </c>
      <c r="C8" s="626">
        <f t="shared" ref="C8:C17" si="0">AD8</f>
        <v>740921</v>
      </c>
      <c r="D8" s="627">
        <f t="shared" ref="D8:F34" si="1">C8/C$7</f>
        <v>0.47445817310924909</v>
      </c>
      <c r="E8" s="626">
        <f t="shared" ref="E8:E34" si="2">AE8</f>
        <v>955684.119297</v>
      </c>
      <c r="F8" s="627">
        <f t="shared" si="1"/>
        <v>0.12438526051650352</v>
      </c>
      <c r="G8" s="626">
        <f t="shared" ref="G8:G34" si="3">AF8</f>
        <v>1219865.082651</v>
      </c>
      <c r="H8" s="627">
        <f t="shared" ref="H8:H34" si="4">G8/G$7</f>
        <v>0.15354911153426481</v>
      </c>
      <c r="I8" s="626">
        <f t="shared" ref="I8:I34" si="5">AG8</f>
        <v>1716831.8517840002</v>
      </c>
      <c r="J8" s="627">
        <f t="shared" ref="J8:J34" si="6">I8/I$7</f>
        <v>0.20913203762212479</v>
      </c>
      <c r="K8" s="626">
        <f t="shared" ref="K8:K34" si="7">AH8</f>
        <v>1422037.5130830002</v>
      </c>
      <c r="L8" s="627">
        <f t="shared" ref="L8:L34" si="8">K8/K$7</f>
        <v>0.1987807778028457</v>
      </c>
      <c r="M8" s="626">
        <f t="shared" ref="M8:M34" si="9">AI8</f>
        <v>1670243.2626199999</v>
      </c>
      <c r="N8" s="627">
        <f t="shared" ref="N8:N34" si="10">M8/M$7</f>
        <v>0.2346830288423149</v>
      </c>
      <c r="O8" s="626">
        <f t="shared" ref="O8:O17" si="11">AJ8</f>
        <v>1730328.9583667216</v>
      </c>
      <c r="P8" s="627">
        <f t="shared" ref="P8:P34" si="12">O8/O$7</f>
        <v>0.24373539986298132</v>
      </c>
      <c r="Q8" s="626">
        <f t="shared" ref="Q8:Q17" si="13">AK8</f>
        <v>1845752.2707088096</v>
      </c>
      <c r="R8" s="627">
        <f t="shared" ref="R8:R34" si="14">Q8/Q$7</f>
        <v>0.25764903984351845</v>
      </c>
      <c r="S8" s="626">
        <f t="shared" ref="S8:S17" si="15">AL8</f>
        <v>1948134.1221388455</v>
      </c>
      <c r="T8" s="627">
        <f t="shared" ref="T8:T34" si="16">S8/S$7</f>
        <v>0.26956039158602524</v>
      </c>
      <c r="U8" s="626">
        <f t="shared" ref="U8:U17" si="17">AM8</f>
        <v>1966437.3829125357</v>
      </c>
      <c r="V8" s="627">
        <f t="shared" ref="V8:V34" si="18">U8/U$7</f>
        <v>0.26915467322168679</v>
      </c>
      <c r="W8" s="626">
        <f t="shared" ref="W8:W17" si="19">AN8</f>
        <v>2000160.2924745709</v>
      </c>
      <c r="X8" s="627">
        <f t="shared" ref="X8:X34" si="20">W8/W$7</f>
        <v>0.27017036622731655</v>
      </c>
      <c r="Y8" s="626">
        <f t="shared" ref="Y8:Y17" si="21">AO8</f>
        <v>2031732.035985122</v>
      </c>
      <c r="Z8" s="627">
        <f t="shared" ref="Z8:Z34" si="22">Y8/Y$7</f>
        <v>0.27062989416719407</v>
      </c>
      <c r="AA8" s="626">
        <f t="shared" ref="AA8:AA17" si="23">AP8</f>
        <v>2070270.3891750628</v>
      </c>
      <c r="AB8" s="627">
        <f t="shared" ref="AB8:AB34" si="24">AA8/AA$7</f>
        <v>0.27153192688410133</v>
      </c>
      <c r="AD8" s="131">
        <f>'7-1. FS'!AB6</f>
        <v>740921</v>
      </c>
      <c r="AE8" s="131">
        <f>'7-1. FS'!AC6</f>
        <v>955684.119297</v>
      </c>
      <c r="AF8" s="131">
        <f>'7-1. FS'!AD6</f>
        <v>1219865.082651</v>
      </c>
      <c r="AG8" s="131">
        <f>'7-1. FS'!AE6</f>
        <v>1716831.8517840002</v>
      </c>
      <c r="AH8" s="131">
        <f>'7-1. FS'!AF6</f>
        <v>1422037.5130830002</v>
      </c>
      <c r="AI8" s="131">
        <f>'7-1. FS'!AG6</f>
        <v>1670243.2626199999</v>
      </c>
      <c r="AJ8" s="131">
        <f>'7-1. FS'!AH6</f>
        <v>1730328.9583667216</v>
      </c>
      <c r="AK8" s="131">
        <f>'7-1. FS'!AI6</f>
        <v>1845752.2707088096</v>
      </c>
      <c r="AL8" s="131">
        <f>'7-1. FS'!AJ6</f>
        <v>1948134.1221388455</v>
      </c>
      <c r="AM8" s="131">
        <f>'7-1. FS'!AK6</f>
        <v>1966437.3829125357</v>
      </c>
      <c r="AN8" s="131">
        <f>'7-1. FS'!AL6</f>
        <v>2000160.2924745709</v>
      </c>
      <c r="AO8" s="131">
        <f>'7-1. FS'!AM6</f>
        <v>2031732.035985122</v>
      </c>
      <c r="AP8" s="131">
        <f>'7-1. FS'!AN6</f>
        <v>2070270.3891750628</v>
      </c>
    </row>
    <row r="9" spans="1:42" ht="25.35" customHeight="1" x14ac:dyDescent="0.3">
      <c r="A9" s="624"/>
      <c r="B9" s="625" t="s">
        <v>8913</v>
      </c>
      <c r="C9" s="626">
        <f t="shared" si="0"/>
        <v>820694</v>
      </c>
      <c r="D9" s="627">
        <f t="shared" si="1"/>
        <v>0.52554182689075091</v>
      </c>
      <c r="E9" s="626">
        <f t="shared" si="2"/>
        <v>6727574.4543360006</v>
      </c>
      <c r="F9" s="627">
        <f t="shared" si="1"/>
        <v>0.87561473948349655</v>
      </c>
      <c r="G9" s="626">
        <f t="shared" si="3"/>
        <v>6724596.9234269997</v>
      </c>
      <c r="H9" s="627">
        <f t="shared" si="4"/>
        <v>0.84645088846573524</v>
      </c>
      <c r="I9" s="626">
        <f t="shared" si="5"/>
        <v>6492488.3045380013</v>
      </c>
      <c r="J9" s="627">
        <f t="shared" si="6"/>
        <v>0.79086796237787516</v>
      </c>
      <c r="K9" s="626">
        <f t="shared" si="7"/>
        <v>5731760.3983699996</v>
      </c>
      <c r="L9" s="627">
        <f t="shared" si="8"/>
        <v>0.80121922219715436</v>
      </c>
      <c r="M9" s="626">
        <f t="shared" si="9"/>
        <v>5446774.4052499998</v>
      </c>
      <c r="N9" s="627">
        <f t="shared" si="10"/>
        <v>0.76531697115768504</v>
      </c>
      <c r="O9" s="626">
        <f t="shared" si="11"/>
        <v>5368881.7403641399</v>
      </c>
      <c r="P9" s="627">
        <f t="shared" si="12"/>
        <v>0.75626460013701868</v>
      </c>
      <c r="Q9" s="626">
        <f t="shared" si="13"/>
        <v>5318071.3237040229</v>
      </c>
      <c r="R9" s="627">
        <f t="shared" si="14"/>
        <v>0.7423509601564815</v>
      </c>
      <c r="S9" s="626">
        <f t="shared" si="15"/>
        <v>5278944.4211015636</v>
      </c>
      <c r="T9" s="627">
        <f t="shared" si="16"/>
        <v>0.73043960841397471</v>
      </c>
      <c r="U9" s="626">
        <f t="shared" si="17"/>
        <v>5339537.874269411</v>
      </c>
      <c r="V9" s="627">
        <f t="shared" si="18"/>
        <v>0.73084532677831326</v>
      </c>
      <c r="W9" s="626">
        <f t="shared" si="19"/>
        <v>5403169.3931789305</v>
      </c>
      <c r="X9" s="627">
        <f t="shared" si="20"/>
        <v>0.72982963377268351</v>
      </c>
      <c r="Y9" s="626">
        <f t="shared" si="21"/>
        <v>5475687.0621058159</v>
      </c>
      <c r="Z9" s="627">
        <f t="shared" si="22"/>
        <v>0.72937010583280604</v>
      </c>
      <c r="AA9" s="626">
        <f t="shared" si="23"/>
        <v>5554138.3237595363</v>
      </c>
      <c r="AB9" s="627">
        <f t="shared" si="24"/>
        <v>0.72846807311589867</v>
      </c>
      <c r="AD9" s="131">
        <f>'7-1. FS'!AB7</f>
        <v>820694</v>
      </c>
      <c r="AE9" s="131">
        <f>'7-1. FS'!AC7</f>
        <v>6727574.4543360006</v>
      </c>
      <c r="AF9" s="131">
        <f>'7-1. FS'!AD7</f>
        <v>6724596.9234269997</v>
      </c>
      <c r="AG9" s="131">
        <f>'7-1. FS'!AE7</f>
        <v>6492488.3045380013</v>
      </c>
      <c r="AH9" s="131">
        <f>'7-1. FS'!AF7</f>
        <v>5731760.3983699996</v>
      </c>
      <c r="AI9" s="131">
        <f>'7-1. FS'!AG7</f>
        <v>5446774.4052499998</v>
      </c>
      <c r="AJ9" s="131">
        <f>'7-1. FS'!AH7</f>
        <v>5368881.7403641399</v>
      </c>
      <c r="AK9" s="131">
        <f>'7-1. FS'!AI7</f>
        <v>5318071.3237040229</v>
      </c>
      <c r="AL9" s="131">
        <f>'7-1. FS'!AJ7</f>
        <v>5278944.4211015636</v>
      </c>
      <c r="AM9" s="131">
        <f>'7-1. FS'!AK7</f>
        <v>5339537.874269411</v>
      </c>
      <c r="AN9" s="131">
        <f>'7-1. FS'!AL7</f>
        <v>5403169.3931789305</v>
      </c>
      <c r="AO9" s="131">
        <f>'7-1. FS'!AM7</f>
        <v>5475687.0621058159</v>
      </c>
      <c r="AP9" s="131">
        <f>'7-1. FS'!AN7</f>
        <v>5554138.3237595363</v>
      </c>
    </row>
    <row r="10" spans="1:42" ht="25.35" customHeight="1" x14ac:dyDescent="0.3">
      <c r="A10" s="624"/>
      <c r="B10" s="628" t="s">
        <v>443</v>
      </c>
      <c r="C10" s="629">
        <f t="shared" si="0"/>
        <v>647462</v>
      </c>
      <c r="D10" s="630">
        <f t="shared" si="1"/>
        <v>0.41461051539592025</v>
      </c>
      <c r="E10" s="629">
        <f t="shared" si="2"/>
        <v>28090.511743999999</v>
      </c>
      <c r="F10" s="630">
        <f t="shared" si="1"/>
        <v>3.6560674712158626E-3</v>
      </c>
      <c r="G10" s="629">
        <f t="shared" si="3"/>
        <v>321054.60317899997</v>
      </c>
      <c r="H10" s="630">
        <f t="shared" si="4"/>
        <v>4.0412378199225267E-2</v>
      </c>
      <c r="I10" s="629">
        <f t="shared" si="5"/>
        <v>374834.75053799996</v>
      </c>
      <c r="J10" s="630">
        <f t="shared" si="6"/>
        <v>4.5659657974155089E-2</v>
      </c>
      <c r="K10" s="629">
        <f t="shared" si="7"/>
        <v>30752.137847000002</v>
      </c>
      <c r="L10" s="630">
        <f t="shared" si="8"/>
        <v>4.2987149242455988E-3</v>
      </c>
      <c r="M10" s="629">
        <f t="shared" si="9"/>
        <v>244366</v>
      </c>
      <c r="N10" s="630">
        <f t="shared" si="10"/>
        <v>3.4335449398024957E-2</v>
      </c>
      <c r="O10" s="629">
        <f t="shared" si="11"/>
        <v>100412.59763787199</v>
      </c>
      <c r="P10" s="630">
        <f t="shared" si="12"/>
        <v>1.4144191783999723E-2</v>
      </c>
      <c r="Q10" s="629">
        <f t="shared" si="13"/>
        <v>137632.43669302078</v>
      </c>
      <c r="R10" s="630">
        <f t="shared" si="14"/>
        <v>1.9212147658181068E-2</v>
      </c>
      <c r="S10" s="629">
        <f t="shared" si="15"/>
        <v>176713.26770092701</v>
      </c>
      <c r="T10" s="630">
        <f t="shared" si="16"/>
        <v>2.4451549356165427E-2</v>
      </c>
      <c r="U10" s="629">
        <f t="shared" si="17"/>
        <v>193648.29447101973</v>
      </c>
      <c r="V10" s="630">
        <f t="shared" si="18"/>
        <v>2.6505468148233721E-2</v>
      </c>
      <c r="W10" s="629">
        <f t="shared" si="19"/>
        <v>212276.82391812172</v>
      </c>
      <c r="X10" s="630">
        <f t="shared" si="20"/>
        <v>2.8673155584234094E-2</v>
      </c>
      <c r="Y10" s="629">
        <f t="shared" si="21"/>
        <v>232768.20630993391</v>
      </c>
      <c r="Z10" s="630">
        <f t="shared" si="22"/>
        <v>3.1005090200588985E-2</v>
      </c>
      <c r="AA10" s="629">
        <f t="shared" si="23"/>
        <v>255308.72694092733</v>
      </c>
      <c r="AB10" s="630">
        <f t="shared" si="24"/>
        <v>3.3485708407499599E-2</v>
      </c>
      <c r="AD10" s="131">
        <f>'7-1. FS'!AB8</f>
        <v>647462</v>
      </c>
      <c r="AE10" s="131">
        <f>'7-1. FS'!AC8</f>
        <v>28090.511743999999</v>
      </c>
      <c r="AF10" s="131">
        <f>'7-1. FS'!AD8</f>
        <v>321054.60317899997</v>
      </c>
      <c r="AG10" s="131">
        <f>'7-1. FS'!AE8</f>
        <v>374834.75053799996</v>
      </c>
      <c r="AH10" s="131">
        <f>'7-1. FS'!AF8</f>
        <v>30752.137847000002</v>
      </c>
      <c r="AI10" s="131">
        <f>'7-1. FS'!AG8</f>
        <v>244366</v>
      </c>
      <c r="AJ10" s="131">
        <f>'7-1. FS'!AH8</f>
        <v>100412.59763787199</v>
      </c>
      <c r="AK10" s="131">
        <f>'7-1. FS'!AI8</f>
        <v>137632.43669302078</v>
      </c>
      <c r="AL10" s="131">
        <f>'7-1. FS'!AJ8</f>
        <v>176713.26770092701</v>
      </c>
      <c r="AM10" s="131">
        <f>'7-1. FS'!AK8</f>
        <v>193648.29447101973</v>
      </c>
      <c r="AN10" s="131">
        <f>'7-1. FS'!AL8</f>
        <v>212276.82391812172</v>
      </c>
      <c r="AO10" s="131">
        <f>'7-1. FS'!AM8</f>
        <v>232768.20630993391</v>
      </c>
      <c r="AP10" s="131">
        <f>'7-1. FS'!AN8</f>
        <v>255308.72694092733</v>
      </c>
    </row>
    <row r="11" spans="1:42" ht="25.35" customHeight="1" x14ac:dyDescent="0.3">
      <c r="A11" s="624"/>
      <c r="B11" s="628" t="s">
        <v>444</v>
      </c>
      <c r="C11" s="629">
        <f t="shared" si="0"/>
        <v>48003</v>
      </c>
      <c r="D11" s="630">
        <f t="shared" si="1"/>
        <v>3.0739330756940731E-2</v>
      </c>
      <c r="E11" s="629">
        <f t="shared" si="2"/>
        <v>837444.48953200004</v>
      </c>
      <c r="F11" s="630">
        <f t="shared" si="1"/>
        <v>0.10899600495106304</v>
      </c>
      <c r="G11" s="629">
        <f t="shared" si="3"/>
        <v>915549.76231300004</v>
      </c>
      <c r="H11" s="630">
        <f t="shared" si="4"/>
        <v>0.11524377127268637</v>
      </c>
      <c r="I11" s="629">
        <f t="shared" si="5"/>
        <v>1002994.0888179997</v>
      </c>
      <c r="J11" s="630">
        <f t="shared" si="6"/>
        <v>0.12217748482443987</v>
      </c>
      <c r="K11" s="629">
        <f t="shared" si="7"/>
        <v>978907.57602599997</v>
      </c>
      <c r="L11" s="630">
        <f t="shared" si="8"/>
        <v>0.13683746565706037</v>
      </c>
      <c r="M11" s="629">
        <f t="shared" si="9"/>
        <v>960088.26261999994</v>
      </c>
      <c r="N11" s="630">
        <f t="shared" si="10"/>
        <v>0.13490036240240749</v>
      </c>
      <c r="O11" s="629">
        <f t="shared" si="11"/>
        <v>931750.11128011462</v>
      </c>
      <c r="P11" s="630">
        <f t="shared" si="12"/>
        <v>0.13124700066257861</v>
      </c>
      <c r="Q11" s="629">
        <f t="shared" si="13"/>
        <v>917455.76245733886</v>
      </c>
      <c r="R11" s="630">
        <f t="shared" si="14"/>
        <v>0.12806788865835217</v>
      </c>
      <c r="S11" s="629">
        <f t="shared" si="15"/>
        <v>910526.26218118425</v>
      </c>
      <c r="T11" s="630">
        <f t="shared" si="16"/>
        <v>0.12598815091511806</v>
      </c>
      <c r="U11" s="629">
        <f t="shared" si="17"/>
        <v>908759.48047081975</v>
      </c>
      <c r="V11" s="630">
        <f t="shared" si="18"/>
        <v>0.12438578676782237</v>
      </c>
      <c r="W11" s="629">
        <f t="shared" si="19"/>
        <v>910249.68525923893</v>
      </c>
      <c r="X11" s="630">
        <f t="shared" si="20"/>
        <v>0.12295139132101073</v>
      </c>
      <c r="Y11" s="629">
        <f t="shared" si="21"/>
        <v>914772.12809466559</v>
      </c>
      <c r="Z11" s="630">
        <f t="shared" si="22"/>
        <v>0.12184908237336625</v>
      </c>
      <c r="AA11" s="629">
        <f t="shared" si="23"/>
        <v>921618.9624763109</v>
      </c>
      <c r="AB11" s="630">
        <f t="shared" si="24"/>
        <v>0.12087743419536386</v>
      </c>
      <c r="AD11" s="131">
        <f>'7-1. FS'!AB9</f>
        <v>48003</v>
      </c>
      <c r="AE11" s="131">
        <f>'7-1. FS'!AC9</f>
        <v>837444.48953200004</v>
      </c>
      <c r="AF11" s="131">
        <f>'7-1. FS'!AD9</f>
        <v>915549.76231300004</v>
      </c>
      <c r="AG11" s="131">
        <f>'7-1. FS'!AE9</f>
        <v>1002994.0888179997</v>
      </c>
      <c r="AH11" s="131">
        <f>'7-1. FS'!AF9</f>
        <v>978907.57602599997</v>
      </c>
      <c r="AI11" s="131">
        <f>'7-1. FS'!AG9</f>
        <v>960088.26261999994</v>
      </c>
      <c r="AJ11" s="131">
        <f>'7-1. FS'!AH9</f>
        <v>931750.11128011462</v>
      </c>
      <c r="AK11" s="131">
        <f>'7-1. FS'!AI9</f>
        <v>917455.76245733886</v>
      </c>
      <c r="AL11" s="131">
        <f>'7-1. FS'!AJ9</f>
        <v>910526.26218118425</v>
      </c>
      <c r="AM11" s="131">
        <f>'7-1. FS'!AK9</f>
        <v>908759.48047081975</v>
      </c>
      <c r="AN11" s="131">
        <f>'7-1. FS'!AL9</f>
        <v>910249.68525923893</v>
      </c>
      <c r="AO11" s="131">
        <f>'7-1. FS'!AM9</f>
        <v>914772.12809466559</v>
      </c>
      <c r="AP11" s="131">
        <f>'7-1. FS'!AN9</f>
        <v>921618.9624763109</v>
      </c>
    </row>
    <row r="12" spans="1:42" ht="25.35" customHeight="1" x14ac:dyDescent="0.3">
      <c r="A12" s="624"/>
      <c r="B12" s="628" t="s">
        <v>445</v>
      </c>
      <c r="C12" s="629">
        <f t="shared" si="0"/>
        <v>35036</v>
      </c>
      <c r="D12" s="630">
        <f t="shared" si="1"/>
        <v>2.2435747607444857E-2</v>
      </c>
      <c r="E12" s="629">
        <f t="shared" si="2"/>
        <v>172439.34644600001</v>
      </c>
      <c r="F12" s="630">
        <f t="shared" si="1"/>
        <v>2.2443517264636677E-2</v>
      </c>
      <c r="G12" s="629">
        <f t="shared" si="3"/>
        <v>201528.53417100001</v>
      </c>
      <c r="H12" s="630">
        <f t="shared" si="4"/>
        <v>2.5367172001932711E-2</v>
      </c>
      <c r="I12" s="629">
        <f t="shared" si="5"/>
        <v>287483.30106900004</v>
      </c>
      <c r="J12" s="630">
        <f t="shared" si="6"/>
        <v>3.5019136249377365E-2</v>
      </c>
      <c r="K12" s="629">
        <f t="shared" si="7"/>
        <v>293653.45792300004</v>
      </c>
      <c r="L12" s="630">
        <f t="shared" si="8"/>
        <v>4.1048609641721967E-2</v>
      </c>
      <c r="M12" s="629">
        <f t="shared" si="9"/>
        <v>329648</v>
      </c>
      <c r="N12" s="630">
        <f t="shared" si="10"/>
        <v>4.6318277596556524E-2</v>
      </c>
      <c r="O12" s="629">
        <f t="shared" si="11"/>
        <v>315316.96131713572</v>
      </c>
      <c r="P12" s="630">
        <f t="shared" si="12"/>
        <v>4.4415777288242128E-2</v>
      </c>
      <c r="Q12" s="629">
        <f t="shared" si="13"/>
        <v>321681.10430617706</v>
      </c>
      <c r="R12" s="630">
        <f t="shared" si="14"/>
        <v>4.4903549070786822E-2</v>
      </c>
      <c r="S12" s="629">
        <f t="shared" si="15"/>
        <v>328064.9834514464</v>
      </c>
      <c r="T12" s="630">
        <f t="shared" si="16"/>
        <v>4.5393858872378012E-2</v>
      </c>
      <c r="U12" s="629">
        <f t="shared" si="17"/>
        <v>334878.57784677658</v>
      </c>
      <c r="V12" s="630">
        <f t="shared" si="18"/>
        <v>4.5836259507939479E-2</v>
      </c>
      <c r="W12" s="629">
        <f t="shared" si="19"/>
        <v>341775.21672867448</v>
      </c>
      <c r="X12" s="630">
        <f t="shared" si="20"/>
        <v>4.6165067779026722E-2</v>
      </c>
      <c r="Y12" s="629">
        <f t="shared" si="21"/>
        <v>349359.37320863805</v>
      </c>
      <c r="Z12" s="630">
        <f t="shared" si="22"/>
        <v>4.6535216516349363E-2</v>
      </c>
      <c r="AA12" s="629">
        <f t="shared" si="23"/>
        <v>357550.84594446945</v>
      </c>
      <c r="AB12" s="630">
        <f t="shared" si="24"/>
        <v>4.6895550777320515E-2</v>
      </c>
      <c r="AD12" s="131">
        <f>'7-1. FS'!AB10</f>
        <v>35036</v>
      </c>
      <c r="AE12" s="131">
        <f>'7-1. FS'!AC10</f>
        <v>172439.34644600001</v>
      </c>
      <c r="AF12" s="131">
        <f>'7-1. FS'!AD10</f>
        <v>201528.53417100001</v>
      </c>
      <c r="AG12" s="131">
        <f>'7-1. FS'!AE10</f>
        <v>287483.30106900004</v>
      </c>
      <c r="AH12" s="131">
        <f>'7-1. FS'!AF10</f>
        <v>293653.45792300004</v>
      </c>
      <c r="AI12" s="131">
        <f>'7-1. FS'!AG10</f>
        <v>329648</v>
      </c>
      <c r="AJ12" s="131">
        <f>'7-1. FS'!AH10</f>
        <v>315316.96131713572</v>
      </c>
      <c r="AK12" s="131">
        <f>'7-1. FS'!AI10</f>
        <v>321681.10430617706</v>
      </c>
      <c r="AL12" s="131">
        <f>'7-1. FS'!AJ10</f>
        <v>328064.9834514464</v>
      </c>
      <c r="AM12" s="131">
        <f>'7-1. FS'!AK10</f>
        <v>334878.57784677658</v>
      </c>
      <c r="AN12" s="131">
        <f>'7-1. FS'!AL10</f>
        <v>341775.21672867448</v>
      </c>
      <c r="AO12" s="131">
        <f>'7-1. FS'!AM10</f>
        <v>349359.37320863805</v>
      </c>
      <c r="AP12" s="131">
        <f>'7-1. FS'!AN10</f>
        <v>357550.84594446945</v>
      </c>
    </row>
    <row r="13" spans="1:42" ht="25.35" customHeight="1" x14ac:dyDescent="0.3">
      <c r="A13" s="624"/>
      <c r="B13" s="628" t="s">
        <v>446</v>
      </c>
      <c r="C13" s="629">
        <f t="shared" si="0"/>
        <v>10420</v>
      </c>
      <c r="D13" s="630">
        <f t="shared" si="1"/>
        <v>6.6725793489432412E-3</v>
      </c>
      <c r="E13" s="629">
        <f t="shared" si="2"/>
        <v>84232.408900999988</v>
      </c>
      <c r="F13" s="630">
        <f t="shared" si="1"/>
        <v>1.0963109999976352E-2</v>
      </c>
      <c r="G13" s="629">
        <f t="shared" si="3"/>
        <v>96415.694741999992</v>
      </c>
      <c r="H13" s="630">
        <f t="shared" si="4"/>
        <v>1.213621446842292E-2</v>
      </c>
      <c r="I13" s="629">
        <f t="shared" si="5"/>
        <v>293889.77744399995</v>
      </c>
      <c r="J13" s="630">
        <f t="shared" si="6"/>
        <v>3.5799526860659139E-2</v>
      </c>
      <c r="K13" s="629">
        <f t="shared" si="7"/>
        <v>291347.91925299994</v>
      </c>
      <c r="L13" s="630">
        <f t="shared" si="8"/>
        <v>4.0726327869363116E-2</v>
      </c>
      <c r="M13" s="629">
        <f t="shared" si="9"/>
        <v>288319</v>
      </c>
      <c r="N13" s="630">
        <f t="shared" si="10"/>
        <v>4.0511210377012996E-2</v>
      </c>
      <c r="O13" s="629">
        <f t="shared" si="11"/>
        <v>262845.46764299995</v>
      </c>
      <c r="P13" s="630">
        <f t="shared" si="12"/>
        <v>3.7024604395808298E-2</v>
      </c>
      <c r="Q13" s="629">
        <f t="shared" si="13"/>
        <v>262845.46764299995</v>
      </c>
      <c r="R13" s="630">
        <f t="shared" si="14"/>
        <v>3.6690667236417833E-2</v>
      </c>
      <c r="S13" s="629">
        <f t="shared" si="15"/>
        <v>262845.46764299995</v>
      </c>
      <c r="T13" s="630">
        <f t="shared" si="16"/>
        <v>3.6369532456353763E-2</v>
      </c>
      <c r="U13" s="629">
        <f t="shared" si="17"/>
        <v>262845.46764299995</v>
      </c>
      <c r="V13" s="630">
        <f t="shared" si="18"/>
        <v>3.5976780428405727E-2</v>
      </c>
      <c r="W13" s="629">
        <f t="shared" si="19"/>
        <v>262845.46764299995</v>
      </c>
      <c r="X13" s="630">
        <f t="shared" si="20"/>
        <v>3.5503682640576371E-2</v>
      </c>
      <c r="Y13" s="629">
        <f t="shared" si="21"/>
        <v>262845.46764299995</v>
      </c>
      <c r="Z13" s="630">
        <f t="shared" si="22"/>
        <v>3.5011428589332247E-2</v>
      </c>
      <c r="AA13" s="629">
        <f t="shared" si="23"/>
        <v>262845.46764299995</v>
      </c>
      <c r="AB13" s="630">
        <f t="shared" si="24"/>
        <v>3.4474210071803978E-2</v>
      </c>
      <c r="AD13" s="131">
        <f>'7-1. FS'!AB11</f>
        <v>10420</v>
      </c>
      <c r="AE13" s="131">
        <f>'7-1. FS'!AC11</f>
        <v>84232.408900999988</v>
      </c>
      <c r="AF13" s="131">
        <f>'7-1. FS'!AD11</f>
        <v>96415.694741999992</v>
      </c>
      <c r="AG13" s="131">
        <f>'7-1. FS'!AE11</f>
        <v>293889.77744399995</v>
      </c>
      <c r="AH13" s="131">
        <f>'7-1. FS'!AF11</f>
        <v>291347.91925299994</v>
      </c>
      <c r="AI13" s="131">
        <f>'7-1. FS'!AG11</f>
        <v>288319</v>
      </c>
      <c r="AJ13" s="131">
        <f>'7-1. FS'!AH11</f>
        <v>262845.46764299995</v>
      </c>
      <c r="AK13" s="131">
        <f>'7-1. FS'!AI11</f>
        <v>262845.46764299995</v>
      </c>
      <c r="AL13" s="131">
        <f>'7-1. FS'!AJ11</f>
        <v>262845.46764299995</v>
      </c>
      <c r="AM13" s="131">
        <f>'7-1. FS'!AK11</f>
        <v>262845.46764299995</v>
      </c>
      <c r="AN13" s="131">
        <f>'7-1. FS'!AL11</f>
        <v>262845.46764299995</v>
      </c>
      <c r="AO13" s="131">
        <f>'7-1. FS'!AM11</f>
        <v>262845.46764299995</v>
      </c>
      <c r="AP13" s="131">
        <f>'7-1. FS'!AN11</f>
        <v>262845.46764299995</v>
      </c>
    </row>
    <row r="14" spans="1:42" ht="25.35" customHeight="1" x14ac:dyDescent="0.3">
      <c r="A14" s="624"/>
      <c r="B14" s="628" t="s">
        <v>447</v>
      </c>
      <c r="C14" s="629">
        <f t="shared" si="0"/>
        <v>498903</v>
      </c>
      <c r="D14" s="630">
        <f t="shared" si="1"/>
        <v>0.31947887283357296</v>
      </c>
      <c r="E14" s="629">
        <f t="shared" si="2"/>
        <v>2941234.9888979997</v>
      </c>
      <c r="F14" s="630">
        <f t="shared" si="1"/>
        <v>0.38281088169954008</v>
      </c>
      <c r="G14" s="629">
        <f t="shared" si="3"/>
        <v>2616886.8206680003</v>
      </c>
      <c r="H14" s="630">
        <f t="shared" si="4"/>
        <v>0.3293976129114749</v>
      </c>
      <c r="I14" s="629">
        <f t="shared" si="5"/>
        <v>2454872.7707730001</v>
      </c>
      <c r="J14" s="630">
        <f t="shared" si="6"/>
        <v>0.29903484381499013</v>
      </c>
      <c r="K14" s="629">
        <f t="shared" si="7"/>
        <v>1456723.145666</v>
      </c>
      <c r="L14" s="630">
        <f t="shared" si="8"/>
        <v>0.20362933978521161</v>
      </c>
      <c r="M14" s="629">
        <f t="shared" si="9"/>
        <v>1352286</v>
      </c>
      <c r="N14" s="630">
        <f t="shared" si="10"/>
        <v>0.19000739679275178</v>
      </c>
      <c r="O14" s="629">
        <f t="shared" si="11"/>
        <v>1462879.6430619629</v>
      </c>
      <c r="P14" s="630">
        <f t="shared" si="12"/>
        <v>0.20606229412566729</v>
      </c>
      <c r="Q14" s="629">
        <f t="shared" si="13"/>
        <v>1454738.6736839039</v>
      </c>
      <c r="R14" s="630">
        <f t="shared" si="14"/>
        <v>0.20306735006965765</v>
      </c>
      <c r="S14" s="629">
        <f t="shared" si="15"/>
        <v>1437203.536124951</v>
      </c>
      <c r="T14" s="630">
        <f t="shared" si="16"/>
        <v>0.19886369402601667</v>
      </c>
      <c r="U14" s="629">
        <f t="shared" si="17"/>
        <v>1426295.7869560327</v>
      </c>
      <c r="V14" s="630">
        <f t="shared" si="18"/>
        <v>0.19522318879385067</v>
      </c>
      <c r="W14" s="629">
        <f t="shared" si="19"/>
        <v>1428089.4757463993</v>
      </c>
      <c r="X14" s="630">
        <f t="shared" si="20"/>
        <v>0.19289826826351042</v>
      </c>
      <c r="Y14" s="629">
        <f t="shared" si="21"/>
        <v>1423693.2840961271</v>
      </c>
      <c r="Z14" s="630">
        <f t="shared" si="22"/>
        <v>0.18963817864626184</v>
      </c>
      <c r="AA14" s="629">
        <f t="shared" si="23"/>
        <v>1422327.321823475</v>
      </c>
      <c r="AB14" s="630">
        <f t="shared" si="24"/>
        <v>0.18654919684598437</v>
      </c>
      <c r="AD14" s="131">
        <f>'7-1. FS'!AB12</f>
        <v>498903</v>
      </c>
      <c r="AE14" s="131">
        <f>'7-1. FS'!AC12</f>
        <v>2941234.9888979997</v>
      </c>
      <c r="AF14" s="131">
        <f>'7-1. FS'!AD12</f>
        <v>2616886.8206680003</v>
      </c>
      <c r="AG14" s="131">
        <f>'7-1. FS'!AE12</f>
        <v>2454872.7707730001</v>
      </c>
      <c r="AH14" s="131">
        <f>'7-1. FS'!AF12</f>
        <v>1456723.145666</v>
      </c>
      <c r="AI14" s="131">
        <f>'7-1. FS'!AG12</f>
        <v>1352286</v>
      </c>
      <c r="AJ14" s="131">
        <f>'7-1. FS'!AH12</f>
        <v>1462879.6430619629</v>
      </c>
      <c r="AK14" s="131">
        <f>'7-1. FS'!AI12</f>
        <v>1454738.6736839039</v>
      </c>
      <c r="AL14" s="131">
        <f>'7-1. FS'!AJ12</f>
        <v>1437203.536124951</v>
      </c>
      <c r="AM14" s="131">
        <f>'7-1. FS'!AK12</f>
        <v>1426295.7869560327</v>
      </c>
      <c r="AN14" s="131">
        <f>'7-1. FS'!AL12</f>
        <v>1428089.4757463993</v>
      </c>
      <c r="AO14" s="131">
        <f>'7-1. FS'!AM12</f>
        <v>1423693.2840961271</v>
      </c>
      <c r="AP14" s="131">
        <f>'7-1. FS'!AN12</f>
        <v>1422327.321823475</v>
      </c>
    </row>
    <row r="15" spans="1:42" ht="25.35" customHeight="1" x14ac:dyDescent="0.3">
      <c r="A15" s="624"/>
      <c r="B15" s="628" t="s">
        <v>448</v>
      </c>
      <c r="C15" s="629">
        <f t="shared" si="0"/>
        <v>203</v>
      </c>
      <c r="D15" s="630">
        <f t="shared" si="1"/>
        <v>1.2999362839112073E-4</v>
      </c>
      <c r="E15" s="629">
        <f t="shared" si="2"/>
        <v>961828.78306299995</v>
      </c>
      <c r="F15" s="630">
        <f t="shared" si="1"/>
        <v>0.12518500761691831</v>
      </c>
      <c r="G15" s="629">
        <f t="shared" si="3"/>
        <v>1008387.45075</v>
      </c>
      <c r="H15" s="630">
        <f t="shared" si="4"/>
        <v>0.12692960832067948</v>
      </c>
      <c r="I15" s="629">
        <f t="shared" si="5"/>
        <v>823561.67308200011</v>
      </c>
      <c r="J15" s="630">
        <f t="shared" si="6"/>
        <v>0.10032032584912344</v>
      </c>
      <c r="K15" s="629">
        <f t="shared" si="7"/>
        <v>870140.41134400014</v>
      </c>
      <c r="L15" s="630">
        <f t="shared" si="8"/>
        <v>0.12163335085981859</v>
      </c>
      <c r="M15" s="629">
        <f t="shared" si="9"/>
        <v>818405.40525000007</v>
      </c>
      <c r="N15" s="630">
        <f t="shared" si="10"/>
        <v>0.11499274604090376</v>
      </c>
      <c r="O15" s="629">
        <f t="shared" si="11"/>
        <v>852418.60771860951</v>
      </c>
      <c r="P15" s="630">
        <f t="shared" si="12"/>
        <v>0.12007230717507762</v>
      </c>
      <c r="Q15" s="629">
        <f t="shared" si="13"/>
        <v>862598.51275170408</v>
      </c>
      <c r="R15" s="630">
        <f t="shared" si="14"/>
        <v>0.12041035089480105</v>
      </c>
      <c r="S15" s="629">
        <f t="shared" si="15"/>
        <v>873234.70022161654</v>
      </c>
      <c r="T15" s="630">
        <f t="shared" si="16"/>
        <v>0.12082817351395268</v>
      </c>
      <c r="U15" s="629">
        <f t="shared" si="17"/>
        <v>889387.33844247158</v>
      </c>
      <c r="V15" s="630">
        <f t="shared" si="18"/>
        <v>0.1217342390488091</v>
      </c>
      <c r="W15" s="629">
        <f t="shared" si="19"/>
        <v>904310.38041472109</v>
      </c>
      <c r="X15" s="630">
        <f t="shared" si="20"/>
        <v>0.12214914353566256</v>
      </c>
      <c r="Y15" s="629">
        <f t="shared" si="21"/>
        <v>921235.82754026959</v>
      </c>
      <c r="Z15" s="630">
        <f t="shared" si="22"/>
        <v>0.12271005727847681</v>
      </c>
      <c r="AA15" s="629">
        <f t="shared" si="23"/>
        <v>940896.56593999011</v>
      </c>
      <c r="AB15" s="630">
        <f t="shared" si="24"/>
        <v>0.12340584055308905</v>
      </c>
      <c r="AD15" s="131">
        <f>'7-1. FS'!AB13</f>
        <v>203</v>
      </c>
      <c r="AE15" s="131">
        <f>'7-1. FS'!AC13</f>
        <v>961828.78306299995</v>
      </c>
      <c r="AF15" s="131">
        <f>'7-1. FS'!AD13</f>
        <v>1008387.45075</v>
      </c>
      <c r="AG15" s="131">
        <f>'7-1. FS'!AE13</f>
        <v>823561.67308200011</v>
      </c>
      <c r="AH15" s="131">
        <f>'7-1. FS'!AF13</f>
        <v>870140.41134400014</v>
      </c>
      <c r="AI15" s="131">
        <f>'7-1. FS'!AG13</f>
        <v>818405.40525000007</v>
      </c>
      <c r="AJ15" s="131">
        <f>'7-1. FS'!AH13</f>
        <v>852418.60771860951</v>
      </c>
      <c r="AK15" s="131">
        <f>'7-1. FS'!AI13</f>
        <v>862598.51275170408</v>
      </c>
      <c r="AL15" s="131">
        <f>'7-1. FS'!AJ13</f>
        <v>873234.70022161654</v>
      </c>
      <c r="AM15" s="131">
        <f>'7-1. FS'!AK13</f>
        <v>889387.33844247158</v>
      </c>
      <c r="AN15" s="131">
        <f>'7-1. FS'!AL13</f>
        <v>904310.38041472109</v>
      </c>
      <c r="AO15" s="131">
        <f>'7-1. FS'!AM13</f>
        <v>921235.82754026959</v>
      </c>
      <c r="AP15" s="131">
        <f>'7-1. FS'!AN13</f>
        <v>940896.56593999011</v>
      </c>
    </row>
    <row r="16" spans="1:42" ht="25.35" customHeight="1" x14ac:dyDescent="0.3">
      <c r="A16" s="624"/>
      <c r="B16" s="628" t="s">
        <v>449</v>
      </c>
      <c r="C16" s="629">
        <f t="shared" si="0"/>
        <v>308483</v>
      </c>
      <c r="D16" s="630">
        <f t="shared" si="1"/>
        <v>0.19754100722649309</v>
      </c>
      <c r="E16" s="629">
        <f t="shared" si="2"/>
        <v>2477085.2596720005</v>
      </c>
      <c r="F16" s="630">
        <f t="shared" si="1"/>
        <v>0.32240035083196739</v>
      </c>
      <c r="G16" s="629">
        <f t="shared" si="3"/>
        <v>2625759.8761990005</v>
      </c>
      <c r="H16" s="630">
        <f t="shared" si="4"/>
        <v>0.33051449855133469</v>
      </c>
      <c r="I16" s="629">
        <f t="shared" si="5"/>
        <v>2817749.3018050008</v>
      </c>
      <c r="J16" s="630">
        <f t="shared" si="6"/>
        <v>0.34323783798772312</v>
      </c>
      <c r="K16" s="629">
        <f t="shared" si="7"/>
        <v>3064878.8702260004</v>
      </c>
      <c r="L16" s="630">
        <f t="shared" si="8"/>
        <v>0.42842681721819798</v>
      </c>
      <c r="M16" s="629">
        <f t="shared" si="9"/>
        <v>2968681</v>
      </c>
      <c r="N16" s="630">
        <f t="shared" si="10"/>
        <v>0.41712429820178804</v>
      </c>
      <c r="O16" s="629">
        <f t="shared" si="11"/>
        <v>3016986.930072167</v>
      </c>
      <c r="P16" s="630">
        <f t="shared" si="12"/>
        <v>0.42497498075546891</v>
      </c>
      <c r="Q16" s="629">
        <f t="shared" si="13"/>
        <v>3048881.1130776876</v>
      </c>
      <c r="R16" s="630">
        <f t="shared" si="14"/>
        <v>0.42559410807596565</v>
      </c>
      <c r="S16" s="629">
        <f t="shared" si="15"/>
        <v>3079095.756879284</v>
      </c>
      <c r="T16" s="630">
        <f t="shared" si="16"/>
        <v>0.42604985381806965</v>
      </c>
      <c r="U16" s="629">
        <f t="shared" si="17"/>
        <v>3129347.6566234459</v>
      </c>
      <c r="V16" s="630">
        <f t="shared" si="18"/>
        <v>0.42832716324178943</v>
      </c>
      <c r="W16" s="629">
        <f t="shared" si="19"/>
        <v>3181537.7146676825</v>
      </c>
      <c r="X16" s="630">
        <f t="shared" si="20"/>
        <v>0.42974416239128277</v>
      </c>
      <c r="Y16" s="629">
        <f t="shared" si="21"/>
        <v>3239053.3007098823</v>
      </c>
      <c r="Z16" s="630">
        <f t="shared" si="22"/>
        <v>0.4314469804321357</v>
      </c>
      <c r="AA16" s="629">
        <f t="shared" si="23"/>
        <v>3298708.2565731215</v>
      </c>
      <c r="AB16" s="630">
        <f t="shared" si="24"/>
        <v>0.43265102656117499</v>
      </c>
      <c r="AD16" s="131">
        <f>'7-1. FS'!AB14</f>
        <v>308483</v>
      </c>
      <c r="AE16" s="131">
        <f>'7-1. FS'!AC14</f>
        <v>2477085.2596720005</v>
      </c>
      <c r="AF16" s="131">
        <f>'7-1. FS'!AD14</f>
        <v>2625759.8761990005</v>
      </c>
      <c r="AG16" s="131">
        <f>'7-1. FS'!AE14</f>
        <v>2817749.3018050008</v>
      </c>
      <c r="AH16" s="131">
        <f>'7-1. FS'!AF14</f>
        <v>3064878.8702260004</v>
      </c>
      <c r="AI16" s="131">
        <f>'7-1. FS'!AG14</f>
        <v>2968681</v>
      </c>
      <c r="AJ16" s="131">
        <f>'7-1. FS'!AH14</f>
        <v>3016986.930072167</v>
      </c>
      <c r="AK16" s="131">
        <f>'7-1. FS'!AI14</f>
        <v>3048881.1130776876</v>
      </c>
      <c r="AL16" s="131">
        <f>'7-1. FS'!AJ14</f>
        <v>3079095.756879284</v>
      </c>
      <c r="AM16" s="131">
        <f>'7-1. FS'!AK14</f>
        <v>3129347.6566234459</v>
      </c>
      <c r="AN16" s="131">
        <f>'7-1. FS'!AL14</f>
        <v>3181537.7146676825</v>
      </c>
      <c r="AO16" s="131">
        <f>'7-1. FS'!AM14</f>
        <v>3239053.3007098823</v>
      </c>
      <c r="AP16" s="131">
        <f>'7-1. FS'!AN14</f>
        <v>3298708.2565731215</v>
      </c>
    </row>
    <row r="17" spans="1:42" ht="25.35" customHeight="1" x14ac:dyDescent="0.3">
      <c r="A17" s="624"/>
      <c r="B17" s="628" t="s">
        <v>450</v>
      </c>
      <c r="C17" s="629">
        <f t="shared" si="0"/>
        <v>13105</v>
      </c>
      <c r="D17" s="630">
        <f t="shared" si="1"/>
        <v>8.3919532022937796E-3</v>
      </c>
      <c r="E17" s="629">
        <f t="shared" si="2"/>
        <v>180902.78537699993</v>
      </c>
      <c r="F17" s="630">
        <f t="shared" si="1"/>
        <v>2.3545060164682278E-2</v>
      </c>
      <c r="G17" s="629">
        <f t="shared" si="3"/>
        <v>158879.26405600001</v>
      </c>
      <c r="H17" s="630">
        <f t="shared" si="4"/>
        <v>1.9998744274243828E-2</v>
      </c>
      <c r="I17" s="629">
        <f t="shared" si="5"/>
        <v>153934.49279300004</v>
      </c>
      <c r="J17" s="630">
        <f t="shared" si="6"/>
        <v>1.8751186439531782E-2</v>
      </c>
      <c r="K17" s="629">
        <f t="shared" si="7"/>
        <v>167394.39316800004</v>
      </c>
      <c r="L17" s="630">
        <f t="shared" si="8"/>
        <v>2.3399374044380961E-2</v>
      </c>
      <c r="M17" s="629">
        <f t="shared" si="9"/>
        <v>155224</v>
      </c>
      <c r="N17" s="630">
        <f t="shared" si="10"/>
        <v>2.1810259190554442E-2</v>
      </c>
      <c r="O17" s="629">
        <f t="shared" si="11"/>
        <v>156600.38</v>
      </c>
      <c r="P17" s="630">
        <f t="shared" si="12"/>
        <v>2.2058843813157387E-2</v>
      </c>
      <c r="Q17" s="629">
        <f t="shared" si="13"/>
        <v>157990.5238</v>
      </c>
      <c r="R17" s="630">
        <f t="shared" si="14"/>
        <v>2.2053938335837728E-2</v>
      </c>
      <c r="S17" s="629">
        <f t="shared" si="15"/>
        <v>159394.56903799999</v>
      </c>
      <c r="T17" s="630">
        <f t="shared" si="16"/>
        <v>2.2055187041945742E-2</v>
      </c>
      <c r="U17" s="629">
        <f t="shared" si="17"/>
        <v>160812.65472837997</v>
      </c>
      <c r="V17" s="630">
        <f t="shared" si="18"/>
        <v>2.2011114063149522E-2</v>
      </c>
      <c r="W17" s="629">
        <f t="shared" si="19"/>
        <v>162244.92127566377</v>
      </c>
      <c r="X17" s="630">
        <f t="shared" si="20"/>
        <v>2.1915128484696438E-2</v>
      </c>
      <c r="Y17" s="629">
        <f t="shared" si="21"/>
        <v>163691.5104884204</v>
      </c>
      <c r="Z17" s="630">
        <f t="shared" si="22"/>
        <v>2.1803965963488776E-2</v>
      </c>
      <c r="AA17" s="629">
        <f t="shared" si="23"/>
        <v>165152.56559330461</v>
      </c>
      <c r="AB17" s="630">
        <f t="shared" si="24"/>
        <v>2.1661032587763539E-2</v>
      </c>
      <c r="AD17" s="131">
        <f>'7-1. FS'!AB15</f>
        <v>13105</v>
      </c>
      <c r="AE17" s="131">
        <f>'7-1. FS'!AC15</f>
        <v>180902.78537699993</v>
      </c>
      <c r="AF17" s="131">
        <f>'7-1. FS'!AD15</f>
        <v>158879.26405600001</v>
      </c>
      <c r="AG17" s="131">
        <f>'7-1. FS'!AE15</f>
        <v>153934.49279300004</v>
      </c>
      <c r="AH17" s="131">
        <f>'7-1. FS'!AF15</f>
        <v>167394.39316800004</v>
      </c>
      <c r="AI17" s="131">
        <f>'7-1. FS'!AG15</f>
        <v>155224</v>
      </c>
      <c r="AJ17" s="131">
        <f>'7-1. FS'!AH15</f>
        <v>156600.38</v>
      </c>
      <c r="AK17" s="131">
        <f>'7-1. FS'!AI15</f>
        <v>157990.5238</v>
      </c>
      <c r="AL17" s="131">
        <f>'7-1. FS'!AJ15</f>
        <v>159394.56903799999</v>
      </c>
      <c r="AM17" s="131">
        <f>'7-1. FS'!AK15</f>
        <v>160812.65472837997</v>
      </c>
      <c r="AN17" s="131">
        <f>'7-1. FS'!AL15</f>
        <v>162244.92127566377</v>
      </c>
      <c r="AO17" s="131">
        <f>'7-1. FS'!AM15</f>
        <v>163691.5104884204</v>
      </c>
      <c r="AP17" s="131">
        <f>'7-1. FS'!AN15</f>
        <v>165152.56559330461</v>
      </c>
    </row>
    <row r="18" spans="1:42" ht="25.35" customHeight="1" x14ac:dyDescent="0.3">
      <c r="A18" s="620" t="s">
        <v>377</v>
      </c>
      <c r="B18" s="631"/>
      <c r="C18" s="622">
        <f>C19+C20</f>
        <v>312868</v>
      </c>
      <c r="D18" s="623">
        <f t="shared" si="1"/>
        <v>0.20034899767228159</v>
      </c>
      <c r="E18" s="622">
        <f>E19+E20</f>
        <v>3571988.0650399998</v>
      </c>
      <c r="F18" s="623">
        <f t="shared" si="1"/>
        <v>0.46490535634166463</v>
      </c>
      <c r="G18" s="622">
        <f>G19+G20</f>
        <v>3834672.2391349999</v>
      </c>
      <c r="H18" s="623">
        <f t="shared" si="4"/>
        <v>0.48268494911313581</v>
      </c>
      <c r="I18" s="622">
        <f>I19+I20</f>
        <v>4126787.2233190006</v>
      </c>
      <c r="J18" s="623">
        <f t="shared" si="6"/>
        <v>0.50269536876826026</v>
      </c>
      <c r="K18" s="622">
        <f>K19+K20</f>
        <v>3951434.8285689983</v>
      </c>
      <c r="L18" s="623">
        <f t="shared" si="8"/>
        <v>0.55235482990690565</v>
      </c>
      <c r="M18" s="622">
        <f>M19+M20</f>
        <v>3790614.92533739</v>
      </c>
      <c r="N18" s="623">
        <f t="shared" si="10"/>
        <v>0.53261283057512143</v>
      </c>
      <c r="O18" s="622">
        <f>O19+O20</f>
        <v>3663172.6097936709</v>
      </c>
      <c r="P18" s="623">
        <f t="shared" si="12"/>
        <v>0.51599716718487343</v>
      </c>
      <c r="Q18" s="622">
        <f>Q19+Q20</f>
        <v>3614257.2811177783</v>
      </c>
      <c r="R18" s="623">
        <f t="shared" si="14"/>
        <v>0.50451511451741893</v>
      </c>
      <c r="S18" s="622">
        <f>S19+S20</f>
        <v>3575964.5307572903</v>
      </c>
      <c r="T18" s="623">
        <f t="shared" si="16"/>
        <v>0.49480083955942911</v>
      </c>
      <c r="U18" s="622">
        <f>U19+U20</f>
        <v>3551876.6503368048</v>
      </c>
      <c r="V18" s="623">
        <f t="shared" si="18"/>
        <v>0.48616050907717301</v>
      </c>
      <c r="W18" s="622">
        <f>W19+W20</f>
        <v>3534590.0043088933</v>
      </c>
      <c r="X18" s="623">
        <f t="shared" si="20"/>
        <v>0.47743247354746038</v>
      </c>
      <c r="Y18" s="622">
        <f>Y19+Y20</f>
        <v>3523282.118044911</v>
      </c>
      <c r="Z18" s="623">
        <f t="shared" si="22"/>
        <v>0.46930670474235903</v>
      </c>
      <c r="AA18" s="622">
        <f>AA19+AA20</f>
        <v>3518550.8898453629</v>
      </c>
      <c r="AB18" s="623">
        <f t="shared" si="24"/>
        <v>0.46148508327947296</v>
      </c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</row>
    <row r="19" spans="1:42" ht="25.35" customHeight="1" x14ac:dyDescent="0.3">
      <c r="A19" s="632"/>
      <c r="B19" s="895" t="s">
        <v>8914</v>
      </c>
      <c r="C19" s="626">
        <f t="shared" ref="C19:C27" si="25">AD19</f>
        <v>285467</v>
      </c>
      <c r="D19" s="627">
        <f t="shared" si="1"/>
        <v>0.18280241929028601</v>
      </c>
      <c r="E19" s="626">
        <f t="shared" si="2"/>
        <v>1569402.2462279999</v>
      </c>
      <c r="F19" s="627">
        <f t="shared" si="1"/>
        <v>0.20426258353633853</v>
      </c>
      <c r="G19" s="626">
        <f t="shared" si="3"/>
        <v>1726933.7068650001</v>
      </c>
      <c r="H19" s="627">
        <f t="shared" si="4"/>
        <v>0.21737579027299647</v>
      </c>
      <c r="I19" s="626">
        <f t="shared" si="5"/>
        <v>2077661.0903500002</v>
      </c>
      <c r="J19" s="627">
        <f t="shared" si="6"/>
        <v>0.25308564543557149</v>
      </c>
      <c r="K19" s="626">
        <f t="shared" si="7"/>
        <v>1747740.3335750001</v>
      </c>
      <c r="L19" s="627">
        <f t="shared" si="8"/>
        <v>0.24430943607966954</v>
      </c>
      <c r="M19" s="626">
        <f t="shared" si="9"/>
        <v>1726640.2626199999</v>
      </c>
      <c r="N19" s="627">
        <f t="shared" si="10"/>
        <v>0.24260727501281495</v>
      </c>
      <c r="O19" s="626">
        <f t="shared" ref="O19:O27" si="26">AJ19</f>
        <v>1793843.731716061</v>
      </c>
      <c r="P19" s="627">
        <f t="shared" si="12"/>
        <v>0.25268213718980753</v>
      </c>
      <c r="Q19" s="626">
        <f t="shared" ref="Q19:Q27" si="27">AK19</f>
        <v>1603385.6450391281</v>
      </c>
      <c r="R19" s="627">
        <f t="shared" si="14"/>
        <v>0.22381701948797725</v>
      </c>
      <c r="S19" s="626">
        <f t="shared" ref="S19:S27" si="28">AL19</f>
        <v>1613812.9500280335</v>
      </c>
      <c r="T19" s="627">
        <f t="shared" si="16"/>
        <v>0.22330087328820522</v>
      </c>
      <c r="U19" s="626">
        <f t="shared" ref="U19:U27" si="29">AM19</f>
        <v>1631567.0916893266</v>
      </c>
      <c r="V19" s="627">
        <f t="shared" si="18"/>
        <v>0.22331954793926487</v>
      </c>
      <c r="W19" s="626">
        <f t="shared" ref="W19:W27" si="30">AN19</f>
        <v>1651298.075911457</v>
      </c>
      <c r="X19" s="627">
        <f t="shared" si="20"/>
        <v>0.22304802649967287</v>
      </c>
      <c r="Y19" s="626">
        <f t="shared" ref="Y19:Y27" si="31">AO19</f>
        <v>1671790.3111253912</v>
      </c>
      <c r="Z19" s="627">
        <f t="shared" si="22"/>
        <v>0.22268509181144702</v>
      </c>
      <c r="AA19" s="626">
        <f t="shared" ref="AA19:AA27" si="32">AP19</f>
        <v>1696078.4766908807</v>
      </c>
      <c r="AB19" s="627">
        <f t="shared" si="24"/>
        <v>0.22245377189886612</v>
      </c>
      <c r="AD19" s="131">
        <f>'7-1. FS'!AB17</f>
        <v>285467</v>
      </c>
      <c r="AE19" s="131">
        <f>'7-1. FS'!AC17</f>
        <v>1569402.2462279999</v>
      </c>
      <c r="AF19" s="131">
        <f>'7-1. FS'!AD17</f>
        <v>1726933.7068650001</v>
      </c>
      <c r="AG19" s="131">
        <f>'7-1. FS'!AE17</f>
        <v>2077661.0903500002</v>
      </c>
      <c r="AH19" s="131">
        <f>'7-1. FS'!AF17</f>
        <v>1747740.3335750001</v>
      </c>
      <c r="AI19" s="131">
        <f>'7-1. FS'!AG17</f>
        <v>1726640.2626199999</v>
      </c>
      <c r="AJ19" s="131">
        <f>'7-1. FS'!AH17</f>
        <v>1793843.731716061</v>
      </c>
      <c r="AK19" s="131">
        <f>'7-1. FS'!AI17</f>
        <v>1603385.6450391281</v>
      </c>
      <c r="AL19" s="131">
        <f>'7-1. FS'!AJ17</f>
        <v>1613812.9500280335</v>
      </c>
      <c r="AM19" s="131">
        <f>'7-1. FS'!AK17</f>
        <v>1631567.0916893266</v>
      </c>
      <c r="AN19" s="131">
        <f>'7-1. FS'!AL17</f>
        <v>1651298.075911457</v>
      </c>
      <c r="AO19" s="131">
        <f>'7-1. FS'!AM17</f>
        <v>1671790.3111253912</v>
      </c>
      <c r="AP19" s="131">
        <f>'7-1. FS'!AN17</f>
        <v>1696078.4766908807</v>
      </c>
    </row>
    <row r="20" spans="1:42" ht="25.35" customHeight="1" x14ac:dyDescent="0.3">
      <c r="A20" s="632"/>
      <c r="B20" s="895" t="s">
        <v>8915</v>
      </c>
      <c r="C20" s="626">
        <f t="shared" si="25"/>
        <v>27401</v>
      </c>
      <c r="D20" s="627">
        <f t="shared" si="1"/>
        <v>1.7546578381995564E-2</v>
      </c>
      <c r="E20" s="626">
        <f t="shared" si="2"/>
        <v>2002585.8188120001</v>
      </c>
      <c r="F20" s="627">
        <f t="shared" si="1"/>
        <v>0.26064277280532611</v>
      </c>
      <c r="G20" s="626">
        <f t="shared" si="3"/>
        <v>2107738.5322699999</v>
      </c>
      <c r="H20" s="627">
        <f t="shared" si="4"/>
        <v>0.26530915884013934</v>
      </c>
      <c r="I20" s="626">
        <f t="shared" si="5"/>
        <v>2049126.1329690004</v>
      </c>
      <c r="J20" s="627">
        <f t="shared" si="6"/>
        <v>0.2496097233326888</v>
      </c>
      <c r="K20" s="626">
        <f t="shared" si="7"/>
        <v>2203694.4949939982</v>
      </c>
      <c r="L20" s="627">
        <f t="shared" si="8"/>
        <v>0.30804539382723611</v>
      </c>
      <c r="M20" s="626">
        <f t="shared" si="9"/>
        <v>2063974.6627173901</v>
      </c>
      <c r="N20" s="627">
        <f t="shared" si="10"/>
        <v>0.29000555556230645</v>
      </c>
      <c r="O20" s="626">
        <f t="shared" si="26"/>
        <v>1869328.8780776099</v>
      </c>
      <c r="P20" s="627">
        <f t="shared" si="12"/>
        <v>0.26331502999506595</v>
      </c>
      <c r="Q20" s="626">
        <f t="shared" si="27"/>
        <v>2010871.6360786501</v>
      </c>
      <c r="R20" s="627">
        <f t="shared" si="14"/>
        <v>0.28069809502944176</v>
      </c>
      <c r="S20" s="626">
        <f t="shared" si="28"/>
        <v>1962151.5807292568</v>
      </c>
      <c r="T20" s="627">
        <f t="shared" si="16"/>
        <v>0.27149996627122386</v>
      </c>
      <c r="U20" s="626">
        <f t="shared" si="29"/>
        <v>1920309.558647478</v>
      </c>
      <c r="V20" s="627">
        <f t="shared" si="18"/>
        <v>0.26284096113790811</v>
      </c>
      <c r="W20" s="626">
        <f t="shared" si="30"/>
        <v>1883291.9283974366</v>
      </c>
      <c r="X20" s="627">
        <f t="shared" si="20"/>
        <v>0.25438444704778751</v>
      </c>
      <c r="Y20" s="626">
        <f t="shared" si="31"/>
        <v>1851491.8069195196</v>
      </c>
      <c r="Z20" s="627">
        <f t="shared" si="22"/>
        <v>0.246621612930912</v>
      </c>
      <c r="AA20" s="626">
        <f t="shared" si="32"/>
        <v>1822472.4131544821</v>
      </c>
      <c r="AB20" s="627">
        <f t="shared" si="24"/>
        <v>0.23903131138060685</v>
      </c>
      <c r="AD20" s="131">
        <f>'7-1. FS'!AB18</f>
        <v>27401</v>
      </c>
      <c r="AE20" s="131">
        <f>'7-1. FS'!AC18</f>
        <v>2002585.8188120001</v>
      </c>
      <c r="AF20" s="131">
        <f>'7-1. FS'!AD18</f>
        <v>2107738.5322699999</v>
      </c>
      <c r="AG20" s="131">
        <f>'7-1. FS'!AE18</f>
        <v>2049126.1329690004</v>
      </c>
      <c r="AH20" s="131">
        <f>'7-1. FS'!AF18</f>
        <v>2203694.4949939982</v>
      </c>
      <c r="AI20" s="131">
        <f>'7-1. FS'!AG18</f>
        <v>2063974.6627173901</v>
      </c>
      <c r="AJ20" s="131">
        <f>'7-1. FS'!AH18</f>
        <v>1869328.8780776099</v>
      </c>
      <c r="AK20" s="131">
        <f>'7-1. FS'!AI18</f>
        <v>2010871.6360786501</v>
      </c>
      <c r="AL20" s="131">
        <f>'7-1. FS'!AJ18</f>
        <v>1962151.5807292568</v>
      </c>
      <c r="AM20" s="131">
        <f>'7-1. FS'!AK18</f>
        <v>1920309.558647478</v>
      </c>
      <c r="AN20" s="131">
        <f>'7-1. FS'!AL18</f>
        <v>1883291.9283974366</v>
      </c>
      <c r="AO20" s="131">
        <f>'7-1. FS'!AM18</f>
        <v>1851491.8069195196</v>
      </c>
      <c r="AP20" s="131">
        <f>'7-1. FS'!AN18</f>
        <v>1822472.4131544821</v>
      </c>
    </row>
    <row r="21" spans="1:42" ht="25.35" customHeight="1" x14ac:dyDescent="0.3">
      <c r="A21" s="624"/>
      <c r="B21" s="628" t="s">
        <v>451</v>
      </c>
      <c r="C21" s="629">
        <f t="shared" si="25"/>
        <v>194499</v>
      </c>
      <c r="D21" s="630">
        <f t="shared" si="1"/>
        <v>0.12454990506622951</v>
      </c>
      <c r="E21" s="629">
        <f t="shared" si="2"/>
        <v>659735.49572700006</v>
      </c>
      <c r="F21" s="630">
        <f t="shared" si="1"/>
        <v>8.5866626692878117E-2</v>
      </c>
      <c r="G21" s="629">
        <f t="shared" si="3"/>
        <v>765132.33848500007</v>
      </c>
      <c r="H21" s="630">
        <f t="shared" si="4"/>
        <v>9.6310151385912229E-2</v>
      </c>
      <c r="I21" s="629">
        <f t="shared" si="5"/>
        <v>970546.56911699986</v>
      </c>
      <c r="J21" s="630">
        <f t="shared" si="6"/>
        <v>0.11822496268093302</v>
      </c>
      <c r="K21" s="629">
        <f t="shared" si="7"/>
        <v>682292.61910200003</v>
      </c>
      <c r="L21" s="630">
        <f t="shared" si="8"/>
        <v>9.5374880245033419E-2</v>
      </c>
      <c r="M21" s="629">
        <f t="shared" si="9"/>
        <v>715911.26261999994</v>
      </c>
      <c r="N21" s="630">
        <f t="shared" si="10"/>
        <v>0.10059146907165958</v>
      </c>
      <c r="O21" s="629">
        <f t="shared" si="26"/>
        <v>689994.64716385514</v>
      </c>
      <c r="P21" s="630">
        <f t="shared" si="12"/>
        <v>9.7193149554950758E-2</v>
      </c>
      <c r="Q21" s="629">
        <f t="shared" si="27"/>
        <v>696242.99171335739</v>
      </c>
      <c r="R21" s="630">
        <f t="shared" si="14"/>
        <v>9.7188740417389272E-2</v>
      </c>
      <c r="S21" s="629">
        <f t="shared" si="28"/>
        <v>702783.32921171968</v>
      </c>
      <c r="T21" s="630">
        <f t="shared" si="16"/>
        <v>9.7243073394994869E-2</v>
      </c>
      <c r="U21" s="629">
        <f t="shared" si="29"/>
        <v>710080.99201102264</v>
      </c>
      <c r="V21" s="630">
        <f t="shared" si="18"/>
        <v>9.719181451004727E-2</v>
      </c>
      <c r="W21" s="629">
        <f t="shared" si="30"/>
        <v>717764.21415285405</v>
      </c>
      <c r="X21" s="630">
        <f t="shared" si="20"/>
        <v>9.6951540000139294E-2</v>
      </c>
      <c r="Y21" s="629">
        <f t="shared" si="31"/>
        <v>726783.82549822435</v>
      </c>
      <c r="Z21" s="630">
        <f t="shared" si="22"/>
        <v>9.6808745589151715E-2</v>
      </c>
      <c r="AA21" s="629">
        <f t="shared" si="32"/>
        <v>737053.24661375361</v>
      </c>
      <c r="AB21" s="630">
        <f t="shared" si="24"/>
        <v>9.6670217241025272E-2</v>
      </c>
      <c r="AD21" s="131">
        <f>'7-1. FS'!AB19</f>
        <v>194499</v>
      </c>
      <c r="AE21" s="131">
        <f>'7-1. FS'!AC19</f>
        <v>659735.49572700006</v>
      </c>
      <c r="AF21" s="131">
        <f>'7-1. FS'!AD19</f>
        <v>765132.33848500007</v>
      </c>
      <c r="AG21" s="131">
        <f>'7-1. FS'!AE19</f>
        <v>970546.56911699986</v>
      </c>
      <c r="AH21" s="131">
        <f>'7-1. FS'!AF19</f>
        <v>682292.61910200003</v>
      </c>
      <c r="AI21" s="131">
        <f>'7-1. FS'!AG19</f>
        <v>715911.26261999994</v>
      </c>
      <c r="AJ21" s="131">
        <f>'7-1. FS'!AH19</f>
        <v>689994.64716385514</v>
      </c>
      <c r="AK21" s="131">
        <f>'7-1. FS'!AI19</f>
        <v>696242.99171335739</v>
      </c>
      <c r="AL21" s="131">
        <f>'7-1. FS'!AJ19</f>
        <v>702783.32921171968</v>
      </c>
      <c r="AM21" s="131">
        <f>'7-1. FS'!AK19</f>
        <v>710080.99201102264</v>
      </c>
      <c r="AN21" s="131">
        <f>'7-1. FS'!AL19</f>
        <v>717764.21415285405</v>
      </c>
      <c r="AO21" s="131">
        <f>'7-1. FS'!AM19</f>
        <v>726783.82549822435</v>
      </c>
      <c r="AP21" s="131">
        <f>'7-1. FS'!AN19</f>
        <v>737053.24661375361</v>
      </c>
    </row>
    <row r="22" spans="1:42" ht="25.35" customHeight="1" x14ac:dyDescent="0.3">
      <c r="A22" s="624"/>
      <c r="B22" s="628" t="s">
        <v>452</v>
      </c>
      <c r="C22" s="629">
        <f t="shared" si="25"/>
        <v>0</v>
      </c>
      <c r="D22" s="630">
        <f t="shared" si="1"/>
        <v>0</v>
      </c>
      <c r="E22" s="629">
        <f t="shared" si="2"/>
        <v>2205403.241651</v>
      </c>
      <c r="F22" s="630">
        <f t="shared" si="1"/>
        <v>0.28704009119508045</v>
      </c>
      <c r="G22" s="629">
        <f t="shared" si="3"/>
        <v>2404040.3359119995</v>
      </c>
      <c r="H22" s="630">
        <f t="shared" si="4"/>
        <v>0.30260580692220085</v>
      </c>
      <c r="I22" s="629">
        <f t="shared" si="5"/>
        <v>2516806.5074829999</v>
      </c>
      <c r="J22" s="630">
        <f t="shared" si="6"/>
        <v>0.30657916362840426</v>
      </c>
      <c r="K22" s="629">
        <f t="shared" si="7"/>
        <v>2618622.2224179981</v>
      </c>
      <c r="L22" s="630">
        <f t="shared" si="8"/>
        <v>0.36604643503077833</v>
      </c>
      <c r="M22" s="629">
        <f t="shared" si="9"/>
        <v>2421304.6627173899</v>
      </c>
      <c r="N22" s="630">
        <f t="shared" si="10"/>
        <v>0.34021338371105159</v>
      </c>
      <c r="O22" s="629">
        <f t="shared" si="26"/>
        <v>2377646.1353354813</v>
      </c>
      <c r="P22" s="630">
        <f t="shared" si="12"/>
        <v>0.3349169698203967</v>
      </c>
      <c r="Q22" s="629">
        <f t="shared" si="27"/>
        <v>2328829.4976809877</v>
      </c>
      <c r="R22" s="630">
        <f t="shared" si="14"/>
        <v>0.32508191568218886</v>
      </c>
      <c r="S22" s="629">
        <f t="shared" si="28"/>
        <v>2294839.6343671083</v>
      </c>
      <c r="T22" s="630">
        <f t="shared" si="16"/>
        <v>0.3175335124195523</v>
      </c>
      <c r="U22" s="629">
        <f t="shared" si="29"/>
        <v>2265347.0268722987</v>
      </c>
      <c r="V22" s="630">
        <f t="shared" si="18"/>
        <v>0.31006771130868654</v>
      </c>
      <c r="W22" s="629">
        <f t="shared" si="30"/>
        <v>2238919.4926866293</v>
      </c>
      <c r="X22" s="630">
        <f t="shared" si="20"/>
        <v>0.30242061177220114</v>
      </c>
      <c r="Y22" s="629">
        <f t="shared" si="31"/>
        <v>2217126.9976584334</v>
      </c>
      <c r="Z22" s="630">
        <f t="shared" si="22"/>
        <v>0.2953247938725343</v>
      </c>
      <c r="AA22" s="629">
        <f t="shared" si="32"/>
        <v>2197500.0364870355</v>
      </c>
      <c r="AB22" s="630">
        <f t="shared" si="24"/>
        <v>0.28821907628837329</v>
      </c>
      <c r="AD22" s="131">
        <f>'7-1. FS'!AB20</f>
        <v>0</v>
      </c>
      <c r="AE22" s="131">
        <f>'7-1. FS'!AC20</f>
        <v>2205403.241651</v>
      </c>
      <c r="AF22" s="131">
        <f>'7-1. FS'!AD20</f>
        <v>2404040.3359119995</v>
      </c>
      <c r="AG22" s="131">
        <f>'7-1. FS'!AE20</f>
        <v>2516806.5074829999</v>
      </c>
      <c r="AH22" s="131">
        <f>'7-1. FS'!AF20</f>
        <v>2618622.2224179981</v>
      </c>
      <c r="AI22" s="131">
        <f>'7-1. FS'!AG20</f>
        <v>2421304.6627173899</v>
      </c>
      <c r="AJ22" s="131">
        <f>'7-1. FS'!AH20</f>
        <v>2377646.1353354813</v>
      </c>
      <c r="AK22" s="131">
        <f>'7-1. FS'!AI20</f>
        <v>2328829.4976809877</v>
      </c>
      <c r="AL22" s="131">
        <f>'7-1. FS'!AJ20</f>
        <v>2294839.6343671083</v>
      </c>
      <c r="AM22" s="131">
        <f>'7-1. FS'!AK20</f>
        <v>2265347.0268722987</v>
      </c>
      <c r="AN22" s="131">
        <f>'7-1. FS'!AL20</f>
        <v>2238919.4926866293</v>
      </c>
      <c r="AO22" s="131">
        <f>'7-1. FS'!AM20</f>
        <v>2217126.9976584334</v>
      </c>
      <c r="AP22" s="131">
        <f>'7-1. FS'!AN20</f>
        <v>2197500.0364870355</v>
      </c>
    </row>
    <row r="23" spans="1:42" ht="25.35" customHeight="1" x14ac:dyDescent="0.3">
      <c r="A23" s="624"/>
      <c r="B23" s="628" t="s">
        <v>453</v>
      </c>
      <c r="C23" s="629">
        <f t="shared" si="25"/>
        <v>19688</v>
      </c>
      <c r="D23" s="630">
        <f t="shared" si="1"/>
        <v>1.2607460865834409E-2</v>
      </c>
      <c r="E23" s="629">
        <f t="shared" si="2"/>
        <v>35657.101554000001</v>
      </c>
      <c r="F23" s="630">
        <f t="shared" si="1"/>
        <v>4.6408826687632451E-3</v>
      </c>
      <c r="G23" s="629">
        <f t="shared" si="3"/>
        <v>24519.525725</v>
      </c>
      <c r="H23" s="630">
        <f t="shared" si="4"/>
        <v>3.0863670448975731E-3</v>
      </c>
      <c r="I23" s="629">
        <f t="shared" si="5"/>
        <v>31886.345171000008</v>
      </c>
      <c r="J23" s="630">
        <f t="shared" si="6"/>
        <v>3.8841639214721477E-3</v>
      </c>
      <c r="K23" s="629">
        <f t="shared" si="7"/>
        <v>28809.481754000015</v>
      </c>
      <c r="L23" s="630">
        <f t="shared" si="8"/>
        <v>4.0271590154758166E-3</v>
      </c>
      <c r="M23" s="629">
        <f t="shared" si="9"/>
        <v>21283</v>
      </c>
      <c r="N23" s="630">
        <f t="shared" si="10"/>
        <v>2.9904379886652203E-3</v>
      </c>
      <c r="O23" s="629">
        <f t="shared" si="26"/>
        <v>22567.488352182256</v>
      </c>
      <c r="P23" s="630">
        <f t="shared" si="12"/>
        <v>3.1788728789549359E-3</v>
      </c>
      <c r="Q23" s="629">
        <f t="shared" si="27"/>
        <v>26966.738980608716</v>
      </c>
      <c r="R23" s="630">
        <f t="shared" si="14"/>
        <v>3.764294112663586E-3</v>
      </c>
      <c r="S23" s="629">
        <f t="shared" si="28"/>
        <v>26813.888656670042</v>
      </c>
      <c r="T23" s="630">
        <f t="shared" si="16"/>
        <v>3.7101974879945724E-3</v>
      </c>
      <c r="U23" s="629">
        <f t="shared" si="29"/>
        <v>26982.122582855765</v>
      </c>
      <c r="V23" s="630">
        <f t="shared" si="18"/>
        <v>3.6931582209139978E-3</v>
      </c>
      <c r="W23" s="629">
        <f t="shared" si="30"/>
        <v>28910.217697144315</v>
      </c>
      <c r="X23" s="630">
        <f t="shared" si="20"/>
        <v>3.9050290780873651E-3</v>
      </c>
      <c r="Y23" s="629">
        <f t="shared" si="31"/>
        <v>29802.109687165757</v>
      </c>
      <c r="Z23" s="630">
        <f t="shared" si="22"/>
        <v>3.9696877579065938E-3</v>
      </c>
      <c r="AA23" s="629">
        <f t="shared" si="32"/>
        <v>31168.31531428553</v>
      </c>
      <c r="AB23" s="630">
        <f t="shared" si="24"/>
        <v>4.0879649147624181E-3</v>
      </c>
      <c r="AD23" s="131">
        <f>'7-1. FS'!AB21</f>
        <v>19688</v>
      </c>
      <c r="AE23" s="131">
        <f>'7-1. FS'!AC21</f>
        <v>35657.101554000001</v>
      </c>
      <c r="AF23" s="131">
        <f>'7-1. FS'!AD21</f>
        <v>24519.525725</v>
      </c>
      <c r="AG23" s="131">
        <f>'7-1. FS'!AE21</f>
        <v>31886.345171000008</v>
      </c>
      <c r="AH23" s="131">
        <f>'7-1. FS'!AF21</f>
        <v>28809.481754000015</v>
      </c>
      <c r="AI23" s="131">
        <f>'7-1. FS'!AG21</f>
        <v>21283</v>
      </c>
      <c r="AJ23" s="131">
        <f>'7-1. FS'!AH21</f>
        <v>22567.488352182256</v>
      </c>
      <c r="AK23" s="131">
        <f>'7-1. FS'!AI21</f>
        <v>26966.738980608716</v>
      </c>
      <c r="AL23" s="131">
        <f>'7-1. FS'!AJ21</f>
        <v>26813.888656670042</v>
      </c>
      <c r="AM23" s="131">
        <f>'7-1. FS'!AK21</f>
        <v>26982.122582855765</v>
      </c>
      <c r="AN23" s="131">
        <f>'7-1. FS'!AL21</f>
        <v>28910.217697144315</v>
      </c>
      <c r="AO23" s="131">
        <f>'7-1. FS'!AM21</f>
        <v>29802.109687165757</v>
      </c>
      <c r="AP23" s="131">
        <f>'7-1. FS'!AN21</f>
        <v>31168.31531428553</v>
      </c>
    </row>
    <row r="24" spans="1:42" ht="25.35" customHeight="1" x14ac:dyDescent="0.3">
      <c r="A24" s="624"/>
      <c r="B24" s="628" t="s">
        <v>454</v>
      </c>
      <c r="C24" s="629">
        <f t="shared" si="25"/>
        <v>2806</v>
      </c>
      <c r="D24" s="630">
        <f t="shared" si="1"/>
        <v>1.7968577402240628E-3</v>
      </c>
      <c r="E24" s="629">
        <f t="shared" si="2"/>
        <v>2799</v>
      </c>
      <c r="F24" s="630">
        <f t="shared" si="1"/>
        <v>3.6429855551204016E-4</v>
      </c>
      <c r="G24" s="629">
        <f t="shared" si="3"/>
        <v>2932</v>
      </c>
      <c r="H24" s="630">
        <f t="shared" si="4"/>
        <v>3.6906212123071906E-4</v>
      </c>
      <c r="I24" s="629">
        <f t="shared" si="5"/>
        <v>3113</v>
      </c>
      <c r="J24" s="630">
        <f t="shared" si="6"/>
        <v>3.7920314237016047E-4</v>
      </c>
      <c r="K24" s="629">
        <f t="shared" si="7"/>
        <v>2438</v>
      </c>
      <c r="L24" s="630">
        <f t="shared" si="8"/>
        <v>3.4079799711658624E-4</v>
      </c>
      <c r="M24" s="629">
        <f t="shared" si="9"/>
        <v>1447</v>
      </c>
      <c r="N24" s="630">
        <f t="shared" si="10"/>
        <v>2.0331549920587201E-4</v>
      </c>
      <c r="O24" s="629">
        <f t="shared" si="26"/>
        <v>2168.150698192369</v>
      </c>
      <c r="P24" s="630">
        <f t="shared" si="12"/>
        <v>3.0540728965545045E-4</v>
      </c>
      <c r="Q24" s="629">
        <f t="shared" si="27"/>
        <v>2147.3453805536828</v>
      </c>
      <c r="R24" s="630">
        <f t="shared" si="14"/>
        <v>2.9974850053935277E-4</v>
      </c>
      <c r="S24" s="629">
        <f t="shared" si="28"/>
        <v>2126.8470755511139</v>
      </c>
      <c r="T24" s="630">
        <f t="shared" si="16"/>
        <v>2.9428863444972309E-4</v>
      </c>
      <c r="U24" s="629">
        <f t="shared" si="29"/>
        <v>2106.6507872972215</v>
      </c>
      <c r="V24" s="630">
        <f t="shared" si="18"/>
        <v>2.8834628001598201E-4</v>
      </c>
      <c r="W24" s="629">
        <f t="shared" si="30"/>
        <v>2088.9635964736835</v>
      </c>
      <c r="X24" s="630">
        <f t="shared" si="20"/>
        <v>2.8216541545107325E-4</v>
      </c>
      <c r="Y24" s="629">
        <f t="shared" si="31"/>
        <v>2075.1850396858113</v>
      </c>
      <c r="Z24" s="630">
        <f t="shared" si="22"/>
        <v>2.7641790242048832E-4</v>
      </c>
      <c r="AA24" s="629">
        <f t="shared" si="32"/>
        <v>2065.8552532120461</v>
      </c>
      <c r="AB24" s="630">
        <f t="shared" si="24"/>
        <v>2.709528477542632E-4</v>
      </c>
      <c r="AD24" s="131">
        <f>'7-1. FS'!AB22</f>
        <v>2806</v>
      </c>
      <c r="AE24" s="131">
        <f>'7-1. FS'!AC22</f>
        <v>2799</v>
      </c>
      <c r="AF24" s="131">
        <f>'7-1. FS'!AD22</f>
        <v>2932</v>
      </c>
      <c r="AG24" s="131">
        <f>'7-1. FS'!AE22</f>
        <v>3113</v>
      </c>
      <c r="AH24" s="131">
        <f>'7-1. FS'!AF22</f>
        <v>2438</v>
      </c>
      <c r="AI24" s="131">
        <f>'7-1. FS'!AG22</f>
        <v>1447</v>
      </c>
      <c r="AJ24" s="131">
        <f>'7-1. FS'!AH22</f>
        <v>2168.150698192369</v>
      </c>
      <c r="AK24" s="131">
        <f>'7-1. FS'!AI22</f>
        <v>2147.3453805536828</v>
      </c>
      <c r="AL24" s="131">
        <f>'7-1. FS'!AJ22</f>
        <v>2126.8470755511139</v>
      </c>
      <c r="AM24" s="131">
        <f>'7-1. FS'!AK22</f>
        <v>2106.6507872972215</v>
      </c>
      <c r="AN24" s="131">
        <f>'7-1. FS'!AL22</f>
        <v>2088.9635964736835</v>
      </c>
      <c r="AO24" s="131">
        <f>'7-1. FS'!AM22</f>
        <v>2075.1850396858113</v>
      </c>
      <c r="AP24" s="131">
        <f>'7-1. FS'!AN22</f>
        <v>2065.8552532120461</v>
      </c>
    </row>
    <row r="25" spans="1:42" ht="25.35" customHeight="1" x14ac:dyDescent="0.3">
      <c r="A25" s="624"/>
      <c r="B25" s="628" t="s">
        <v>455</v>
      </c>
      <c r="C25" s="629">
        <f t="shared" si="25"/>
        <v>68474</v>
      </c>
      <c r="D25" s="630">
        <f t="shared" si="1"/>
        <v>4.3848195617998034E-2</v>
      </c>
      <c r="E25" s="629">
        <f t="shared" si="2"/>
        <v>307736.79010999994</v>
      </c>
      <c r="F25" s="630">
        <f t="shared" si="1"/>
        <v>4.00529003626241E-2</v>
      </c>
      <c r="G25" s="629">
        <f t="shared" si="3"/>
        <v>310385.75633800001</v>
      </c>
      <c r="H25" s="630">
        <f t="shared" si="4"/>
        <v>3.906944939764781E-2</v>
      </c>
      <c r="I25" s="629">
        <f t="shared" si="5"/>
        <v>322579.45042300003</v>
      </c>
      <c r="J25" s="630">
        <f t="shared" si="6"/>
        <v>3.9294295298567622E-2</v>
      </c>
      <c r="K25" s="629">
        <f t="shared" si="7"/>
        <v>333914.122821</v>
      </c>
      <c r="L25" s="630">
        <f t="shared" si="8"/>
        <v>4.6676482471836991E-2</v>
      </c>
      <c r="M25" s="629">
        <f t="shared" si="9"/>
        <v>344466</v>
      </c>
      <c r="N25" s="630">
        <f t="shared" si="10"/>
        <v>4.8400329474395237E-2</v>
      </c>
      <c r="O25" s="629">
        <f t="shared" si="26"/>
        <v>337317.32500749518</v>
      </c>
      <c r="P25" s="630">
        <f t="shared" si="12"/>
        <v>4.7514764573447298E-2</v>
      </c>
      <c r="Q25" s="629">
        <f t="shared" si="27"/>
        <v>343600.55182017951</v>
      </c>
      <c r="R25" s="630">
        <f t="shared" si="14"/>
        <v>4.7963290454019335E-2</v>
      </c>
      <c r="S25" s="629">
        <f t="shared" si="28"/>
        <v>344011.30696657771</v>
      </c>
      <c r="T25" s="630">
        <f t="shared" si="16"/>
        <v>4.7600327699266039E-2</v>
      </c>
      <c r="U25" s="629">
        <f t="shared" si="29"/>
        <v>349645.02361994662</v>
      </c>
      <c r="V25" s="630">
        <f t="shared" si="18"/>
        <v>4.7857405933073381E-2</v>
      </c>
      <c r="W25" s="629">
        <f t="shared" si="30"/>
        <v>354408.96011258452</v>
      </c>
      <c r="X25" s="630">
        <f t="shared" si="20"/>
        <v>4.7871562548318473E-2</v>
      </c>
      <c r="Y25" s="629">
        <f t="shared" si="31"/>
        <v>358573.48114111117</v>
      </c>
      <c r="Z25" s="630">
        <f t="shared" si="22"/>
        <v>4.7762550146200428E-2</v>
      </c>
      <c r="AA25" s="629">
        <f t="shared" si="32"/>
        <v>364311.72009528358</v>
      </c>
      <c r="AB25" s="630">
        <f t="shared" si="24"/>
        <v>4.77822915601624E-2</v>
      </c>
      <c r="AD25" s="131">
        <f>'7-1. FS'!AB23</f>
        <v>68474</v>
      </c>
      <c r="AE25" s="131">
        <f>'7-1. FS'!AC23</f>
        <v>307736.79010999994</v>
      </c>
      <c r="AF25" s="131">
        <f>'7-1. FS'!AD23</f>
        <v>310385.75633800001</v>
      </c>
      <c r="AG25" s="131">
        <f>'7-1. FS'!AE23</f>
        <v>322579.45042300003</v>
      </c>
      <c r="AH25" s="131">
        <f>'7-1. FS'!AF23</f>
        <v>333914.122821</v>
      </c>
      <c r="AI25" s="131">
        <f>'7-1. FS'!AG23</f>
        <v>344466</v>
      </c>
      <c r="AJ25" s="131">
        <f>'7-1. FS'!AH23</f>
        <v>337317.32500749518</v>
      </c>
      <c r="AK25" s="131">
        <f>'7-1. FS'!AI23</f>
        <v>343600.55182017951</v>
      </c>
      <c r="AL25" s="131">
        <f>'7-1. FS'!AJ23</f>
        <v>344011.30696657771</v>
      </c>
      <c r="AM25" s="131">
        <f>'7-1. FS'!AK23</f>
        <v>349645.02361994662</v>
      </c>
      <c r="AN25" s="131">
        <f>'7-1. FS'!AL23</f>
        <v>354408.96011258452</v>
      </c>
      <c r="AO25" s="131">
        <f>'7-1. FS'!AM23</f>
        <v>358573.48114111117</v>
      </c>
      <c r="AP25" s="131">
        <f>'7-1. FS'!AN23</f>
        <v>364311.72009528358</v>
      </c>
    </row>
    <row r="26" spans="1:42" ht="25.35" customHeight="1" x14ac:dyDescent="0.3">
      <c r="A26" s="624"/>
      <c r="B26" s="628" t="s">
        <v>456</v>
      </c>
      <c r="C26" s="629">
        <f t="shared" si="25"/>
        <v>2824</v>
      </c>
      <c r="D26" s="630">
        <f t="shared" si="1"/>
        <v>1.8083842688498765E-3</v>
      </c>
      <c r="E26" s="629">
        <f t="shared" si="2"/>
        <v>1056</v>
      </c>
      <c r="F26" s="630">
        <f t="shared" si="1"/>
        <v>1.3744168439468182E-4</v>
      </c>
      <c r="G26" s="629">
        <f t="shared" si="3"/>
        <v>-7713</v>
      </c>
      <c r="H26" s="630">
        <f t="shared" si="4"/>
        <v>-9.7086498671641744E-4</v>
      </c>
      <c r="I26" s="629">
        <f t="shared" si="5"/>
        <v>-9394</v>
      </c>
      <c r="J26" s="630">
        <f t="shared" si="6"/>
        <v>-1.1443091292724983E-3</v>
      </c>
      <c r="K26" s="629">
        <f t="shared" si="7"/>
        <v>-1698</v>
      </c>
      <c r="L26" s="630">
        <f t="shared" si="8"/>
        <v>-2.3735643933714661E-4</v>
      </c>
      <c r="M26" s="629">
        <f t="shared" si="9"/>
        <v>-4265</v>
      </c>
      <c r="N26" s="630">
        <f t="shared" si="10"/>
        <v>-5.9926786738980246E-4</v>
      </c>
      <c r="O26" s="629">
        <f t="shared" si="26"/>
        <v>-4265</v>
      </c>
      <c r="P26" s="630">
        <f t="shared" si="12"/>
        <v>-6.0077101258066074E-4</v>
      </c>
      <c r="Q26" s="629">
        <f t="shared" si="27"/>
        <v>-4265</v>
      </c>
      <c r="R26" s="630">
        <f t="shared" si="14"/>
        <v>-5.9535246000841423E-4</v>
      </c>
      <c r="S26" s="629">
        <f t="shared" si="28"/>
        <v>-4265</v>
      </c>
      <c r="T26" s="630">
        <f t="shared" si="16"/>
        <v>-5.9014164222542125E-4</v>
      </c>
      <c r="U26" s="629">
        <f t="shared" si="29"/>
        <v>-4265</v>
      </c>
      <c r="V26" s="630">
        <f t="shared" si="18"/>
        <v>-5.8376874405746237E-4</v>
      </c>
      <c r="W26" s="629">
        <f t="shared" si="30"/>
        <v>-4265</v>
      </c>
      <c r="X26" s="630">
        <f t="shared" si="20"/>
        <v>-5.7609213436285369E-4</v>
      </c>
      <c r="Y26" s="629">
        <f t="shared" si="31"/>
        <v>-4265</v>
      </c>
      <c r="Z26" s="630">
        <f t="shared" si="22"/>
        <v>-5.6810469007711952E-4</v>
      </c>
      <c r="AA26" s="629">
        <f t="shared" si="32"/>
        <v>-4265</v>
      </c>
      <c r="AB26" s="630">
        <f t="shared" si="24"/>
        <v>-5.5938764048214589E-4</v>
      </c>
      <c r="AD26" s="131">
        <f>'7-1. FS'!AB24</f>
        <v>2824</v>
      </c>
      <c r="AE26" s="131">
        <f>'7-1. FS'!AC24</f>
        <v>1056</v>
      </c>
      <c r="AF26" s="131">
        <f>'7-1. FS'!AD24</f>
        <v>-7713</v>
      </c>
      <c r="AG26" s="131">
        <f>'7-1. FS'!AE24</f>
        <v>-9394</v>
      </c>
      <c r="AH26" s="131">
        <f>'7-1. FS'!AF24</f>
        <v>-1698</v>
      </c>
      <c r="AI26" s="131">
        <f>'7-1. FS'!AG24</f>
        <v>-4265</v>
      </c>
      <c r="AJ26" s="131">
        <f>'7-1. FS'!AH24</f>
        <v>-4265</v>
      </c>
      <c r="AK26" s="131">
        <f>'7-1. FS'!AI24</f>
        <v>-4265</v>
      </c>
      <c r="AL26" s="131">
        <f>'7-1. FS'!AJ24</f>
        <v>-4265</v>
      </c>
      <c r="AM26" s="131">
        <f>'7-1. FS'!AK24</f>
        <v>-4265</v>
      </c>
      <c r="AN26" s="131">
        <f>'7-1. FS'!AL24</f>
        <v>-4265</v>
      </c>
      <c r="AO26" s="131">
        <f>'7-1. FS'!AM24</f>
        <v>-4265</v>
      </c>
      <c r="AP26" s="131">
        <f>'7-1. FS'!AN24</f>
        <v>-4265</v>
      </c>
    </row>
    <row r="27" spans="1:42" ht="25.35" customHeight="1" x14ac:dyDescent="0.3">
      <c r="A27" s="624"/>
      <c r="B27" s="633" t="s">
        <v>457</v>
      </c>
      <c r="C27" s="634">
        <f t="shared" si="25"/>
        <v>24577</v>
      </c>
      <c r="D27" s="635">
        <f t="shared" si="1"/>
        <v>1.5738194113145684E-2</v>
      </c>
      <c r="E27" s="634">
        <f t="shared" si="2"/>
        <v>359600.43599800003</v>
      </c>
      <c r="F27" s="635">
        <f t="shared" si="1"/>
        <v>4.6803115182412022E-2</v>
      </c>
      <c r="G27" s="634">
        <f t="shared" si="3"/>
        <v>335375.28267500002</v>
      </c>
      <c r="H27" s="635">
        <f t="shared" si="4"/>
        <v>4.2214977227963003E-2</v>
      </c>
      <c r="I27" s="634">
        <f t="shared" si="5"/>
        <v>291249.35112499999</v>
      </c>
      <c r="J27" s="635">
        <f t="shared" si="6"/>
        <v>3.5477889225785486E-2</v>
      </c>
      <c r="K27" s="634">
        <f t="shared" si="7"/>
        <v>287056.38247399998</v>
      </c>
      <c r="L27" s="635">
        <f t="shared" si="8"/>
        <v>4.0126431586001612E-2</v>
      </c>
      <c r="M27" s="634">
        <f t="shared" si="9"/>
        <v>290468</v>
      </c>
      <c r="N27" s="635">
        <f t="shared" si="10"/>
        <v>4.0813162697533677E-2</v>
      </c>
      <c r="O27" s="634">
        <f t="shared" si="26"/>
        <v>237743.86323646479</v>
      </c>
      <c r="P27" s="635">
        <f t="shared" si="12"/>
        <v>3.3488774080049022E-2</v>
      </c>
      <c r="Q27" s="634">
        <f t="shared" si="27"/>
        <v>220735.15554209086</v>
      </c>
      <c r="R27" s="635">
        <f t="shared" si="14"/>
        <v>3.08124778106269E-2</v>
      </c>
      <c r="S27" s="634">
        <f t="shared" si="28"/>
        <v>209654.52447966349</v>
      </c>
      <c r="T27" s="635">
        <f t="shared" si="16"/>
        <v>2.9009581565397041E-2</v>
      </c>
      <c r="U27" s="634">
        <f t="shared" si="29"/>
        <v>201979.83446338354</v>
      </c>
      <c r="V27" s="635">
        <f t="shared" si="18"/>
        <v>2.7645841568493212E-2</v>
      </c>
      <c r="W27" s="634">
        <f t="shared" si="30"/>
        <v>196763.15606320769</v>
      </c>
      <c r="X27" s="635">
        <f t="shared" si="20"/>
        <v>2.6577656867625928E-2</v>
      </c>
      <c r="Y27" s="634">
        <f t="shared" si="31"/>
        <v>193185.51902028965</v>
      </c>
      <c r="Z27" s="635">
        <f t="shared" si="22"/>
        <v>2.5732614164222539E-2</v>
      </c>
      <c r="AA27" s="634">
        <f t="shared" si="32"/>
        <v>190716.71608179249</v>
      </c>
      <c r="AB27" s="635">
        <f t="shared" si="24"/>
        <v>2.5013968067877427E-2</v>
      </c>
      <c r="AD27" s="131">
        <f>'7-1. FS'!AB25</f>
        <v>24577</v>
      </c>
      <c r="AE27" s="131">
        <f>'7-1. FS'!AC25</f>
        <v>359600.43599800003</v>
      </c>
      <c r="AF27" s="131">
        <f>'7-1. FS'!AD25</f>
        <v>335375.28267500002</v>
      </c>
      <c r="AG27" s="131">
        <f>'7-1. FS'!AE25</f>
        <v>291249.35112499999</v>
      </c>
      <c r="AH27" s="131">
        <f>'7-1. FS'!AF25</f>
        <v>287056.38247399998</v>
      </c>
      <c r="AI27" s="131">
        <f>'7-1. FS'!AG25</f>
        <v>290468</v>
      </c>
      <c r="AJ27" s="131">
        <f>'7-1. FS'!AH25</f>
        <v>237743.86323646479</v>
      </c>
      <c r="AK27" s="131">
        <f>'7-1. FS'!AI25</f>
        <v>220735.15554209086</v>
      </c>
      <c r="AL27" s="131">
        <f>'7-1. FS'!AJ25</f>
        <v>209654.52447966349</v>
      </c>
      <c r="AM27" s="131">
        <f>'7-1. FS'!AK25</f>
        <v>201979.83446338354</v>
      </c>
      <c r="AN27" s="131">
        <f>'7-1. FS'!AL25</f>
        <v>196763.15606320769</v>
      </c>
      <c r="AO27" s="131">
        <f>'7-1. FS'!AM25</f>
        <v>193185.51902028965</v>
      </c>
      <c r="AP27" s="131">
        <f>'7-1. FS'!AN25</f>
        <v>190716.71608179249</v>
      </c>
    </row>
    <row r="28" spans="1:42" ht="25.35" customHeight="1" x14ac:dyDescent="0.3">
      <c r="A28" s="620" t="s">
        <v>380</v>
      </c>
      <c r="B28" s="631"/>
      <c r="C28" s="622">
        <f>SUM(C29:C31,C33:C34)</f>
        <v>1248747</v>
      </c>
      <c r="D28" s="623">
        <f t="shared" si="1"/>
        <v>0.79965100232771846</v>
      </c>
      <c r="E28" s="622">
        <f>SUM(E29:E31,E33:E34)</f>
        <v>4111270.108593001</v>
      </c>
      <c r="F28" s="623">
        <f t="shared" si="1"/>
        <v>0.53509459159709138</v>
      </c>
      <c r="G28" s="622">
        <f>SUM(G29:G31,G33:G34)</f>
        <v>4112557.7466430012</v>
      </c>
      <c r="H28" s="623">
        <f t="shared" si="4"/>
        <v>0.51766346714184586</v>
      </c>
      <c r="I28" s="622">
        <f>SUM(I29:I31,I33:I34)</f>
        <v>4085300.9158725915</v>
      </c>
      <c r="J28" s="623">
        <f t="shared" si="6"/>
        <v>0.49764180688293652</v>
      </c>
      <c r="K28" s="622">
        <f>SUM(K29:K31,K33:K34)</f>
        <v>3205131.0478069847</v>
      </c>
      <c r="L28" s="623">
        <f t="shared" si="8"/>
        <v>0.4480320925302731</v>
      </c>
      <c r="M28" s="622">
        <f>SUM(M29:M31,M33:M34)</f>
        <v>3329170.7425326114</v>
      </c>
      <c r="N28" s="623">
        <f t="shared" si="10"/>
        <v>0.46777609637843914</v>
      </c>
      <c r="O28" s="622">
        <f>SUM(O29:O31,O33:O34)</f>
        <v>3438806.0889371913</v>
      </c>
      <c r="P28" s="623">
        <f t="shared" si="12"/>
        <v>0.48439273531520238</v>
      </c>
      <c r="Q28" s="622">
        <f>SUM(Q29:Q31,Q33:Q34)</f>
        <v>3552334.3132950542</v>
      </c>
      <c r="R28" s="623">
        <f t="shared" si="14"/>
        <v>0.49587127132298037</v>
      </c>
      <c r="S28" s="622">
        <f>SUM(S29:S31,S33:S34)</f>
        <v>3653882.012483119</v>
      </c>
      <c r="T28" s="623">
        <f t="shared" si="16"/>
        <v>0.50558216444190263</v>
      </c>
      <c r="U28" s="622">
        <f>SUM(U29:U31,U33:U34)</f>
        <v>3756866.6068451405</v>
      </c>
      <c r="V28" s="623">
        <f t="shared" si="18"/>
        <v>0.51421835889083412</v>
      </c>
      <c r="W28" s="622">
        <f>SUM(W29:W31,W33:W34)</f>
        <v>3871507.6813446069</v>
      </c>
      <c r="X28" s="623">
        <f t="shared" si="20"/>
        <v>0.52294141227385638</v>
      </c>
      <c r="Y28" s="622">
        <f>SUM(Y29:Y31,Y33:Y34)</f>
        <v>3986904.9800460255</v>
      </c>
      <c r="Z28" s="623">
        <f t="shared" si="22"/>
        <v>0.5310619971995244</v>
      </c>
      <c r="AA28" s="622">
        <f>SUM(AA29:AA31,AA33:AA34)</f>
        <v>4108625.8230892355</v>
      </c>
      <c r="AB28" s="623">
        <f t="shared" si="24"/>
        <v>0.53887796126656551</v>
      </c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</row>
    <row r="29" spans="1:42" ht="25.35" customHeight="1" x14ac:dyDescent="0.3">
      <c r="A29" s="624"/>
      <c r="B29" s="628" t="s">
        <v>458</v>
      </c>
      <c r="C29" s="629">
        <f t="shared" ref="C29:C34" si="33">AD29</f>
        <v>32813</v>
      </c>
      <c r="D29" s="630">
        <f t="shared" si="1"/>
        <v>2.1012221322156868E-2</v>
      </c>
      <c r="E29" s="629">
        <f t="shared" si="2"/>
        <v>104718.00000000001</v>
      </c>
      <c r="F29" s="630">
        <f t="shared" si="1"/>
        <v>1.362937339625217E-2</v>
      </c>
      <c r="G29" s="629">
        <f t="shared" si="3"/>
        <v>104718.00000000001</v>
      </c>
      <c r="H29" s="630">
        <f t="shared" si="4"/>
        <v>1.3181257575388282E-2</v>
      </c>
      <c r="I29" s="629">
        <f t="shared" si="5"/>
        <v>104718.00000000001</v>
      </c>
      <c r="J29" s="630">
        <f t="shared" si="6"/>
        <v>1.2755989290947147E-2</v>
      </c>
      <c r="K29" s="629">
        <f t="shared" si="7"/>
        <v>83607.493000000002</v>
      </c>
      <c r="L29" s="630">
        <f t="shared" si="8"/>
        <v>1.1687147726964317E-2</v>
      </c>
      <c r="M29" s="636">
        <f t="shared" si="9"/>
        <v>83607</v>
      </c>
      <c r="N29" s="630">
        <f t="shared" si="10"/>
        <v>1.1747476808642254E-2</v>
      </c>
      <c r="O29" s="636">
        <f t="shared" ref="O29:O34" si="34">AJ29</f>
        <v>83607.493000000002</v>
      </c>
      <c r="P29" s="630">
        <f t="shared" si="12"/>
        <v>1.1777012480408092E-2</v>
      </c>
      <c r="Q29" s="636">
        <f t="shared" ref="Q29:Q34" si="35">AK29</f>
        <v>83607.493000000002</v>
      </c>
      <c r="R29" s="630">
        <f t="shared" si="14"/>
        <v>1.1670791707546606E-2</v>
      </c>
      <c r="S29" s="636">
        <f t="shared" ref="S29:S34" si="36">AL29</f>
        <v>83607.493000000002</v>
      </c>
      <c r="T29" s="630">
        <f t="shared" si="16"/>
        <v>1.1568643193756251E-2</v>
      </c>
      <c r="U29" s="636">
        <f t="shared" ref="U29:U34" si="37">AM29</f>
        <v>83607.493000000002</v>
      </c>
      <c r="V29" s="630">
        <f t="shared" si="18"/>
        <v>1.1443714227996031E-2</v>
      </c>
      <c r="W29" s="636">
        <f t="shared" ref="W29:W34" si="38">AN29</f>
        <v>83607.493000000002</v>
      </c>
      <c r="X29" s="630">
        <f t="shared" si="20"/>
        <v>1.1293228391816495E-2</v>
      </c>
      <c r="Y29" s="636">
        <f t="shared" ref="Y29:Y34" si="39">AO29</f>
        <v>83607.493000000002</v>
      </c>
      <c r="Z29" s="630">
        <f t="shared" si="22"/>
        <v>1.1136649214276656E-2</v>
      </c>
      <c r="AA29" s="636">
        <f t="shared" ref="AA29:AA34" si="40">AP29</f>
        <v>83607.493000000002</v>
      </c>
      <c r="AB29" s="630">
        <f t="shared" si="24"/>
        <v>1.0965767464454285E-2</v>
      </c>
      <c r="AD29" s="131">
        <f>'7-1. FS'!AB27</f>
        <v>32813</v>
      </c>
      <c r="AE29" s="131">
        <f>'7-1. FS'!AC27</f>
        <v>104718.00000000001</v>
      </c>
      <c r="AF29" s="131">
        <f>'7-1. FS'!AD27</f>
        <v>104718.00000000001</v>
      </c>
      <c r="AG29" s="131">
        <f>'7-1. FS'!AE27</f>
        <v>104718.00000000001</v>
      </c>
      <c r="AH29" s="131">
        <f>'7-1. FS'!AF27</f>
        <v>83607.493000000002</v>
      </c>
      <c r="AI29" s="131">
        <f>'7-1. FS'!AG27</f>
        <v>83607</v>
      </c>
      <c r="AJ29" s="131">
        <f>'7-1. FS'!AH27</f>
        <v>83607.493000000002</v>
      </c>
      <c r="AK29" s="131">
        <f>'7-1. FS'!AI27</f>
        <v>83607.493000000002</v>
      </c>
      <c r="AL29" s="131">
        <f>'7-1. FS'!AJ27</f>
        <v>83607.493000000002</v>
      </c>
      <c r="AM29" s="131">
        <f>'7-1. FS'!AK27</f>
        <v>83607.493000000002</v>
      </c>
      <c r="AN29" s="131">
        <f>'7-1. FS'!AL27</f>
        <v>83607.493000000002</v>
      </c>
      <c r="AO29" s="131">
        <f>'7-1. FS'!AM27</f>
        <v>83607.493000000002</v>
      </c>
      <c r="AP29" s="131">
        <f>'7-1. FS'!AN27</f>
        <v>83607.493000000002</v>
      </c>
    </row>
    <row r="30" spans="1:42" ht="25.35" customHeight="1" x14ac:dyDescent="0.3">
      <c r="A30" s="624"/>
      <c r="B30" s="628" t="s">
        <v>459</v>
      </c>
      <c r="C30" s="629">
        <f t="shared" si="33"/>
        <v>110531</v>
      </c>
      <c r="D30" s="630">
        <f t="shared" si="1"/>
        <v>7.0779929752211659E-2</v>
      </c>
      <c r="E30" s="629">
        <f t="shared" si="2"/>
        <v>1195692.464341</v>
      </c>
      <c r="F30" s="630">
        <f t="shared" si="1"/>
        <v>0.15562309310327183</v>
      </c>
      <c r="G30" s="629">
        <f t="shared" si="3"/>
        <v>1195692.464341</v>
      </c>
      <c r="H30" s="630">
        <f t="shared" si="4"/>
        <v>0.15050641106046225</v>
      </c>
      <c r="I30" s="629">
        <f t="shared" si="5"/>
        <v>1195692.464341</v>
      </c>
      <c r="J30" s="630">
        <f t="shared" si="6"/>
        <v>0.1456506070627781</v>
      </c>
      <c r="K30" s="629">
        <f t="shared" si="7"/>
        <v>966458.25086299994</v>
      </c>
      <c r="L30" s="630">
        <f t="shared" si="8"/>
        <v>0.13509722567305563</v>
      </c>
      <c r="M30" s="629">
        <f t="shared" si="9"/>
        <v>966458</v>
      </c>
      <c r="N30" s="630">
        <f t="shared" si="10"/>
        <v>0.13579536332516146</v>
      </c>
      <c r="O30" s="629">
        <f t="shared" si="34"/>
        <v>966458</v>
      </c>
      <c r="P30" s="630">
        <f t="shared" si="12"/>
        <v>0.13613597919734588</v>
      </c>
      <c r="Q30" s="629">
        <f t="shared" si="35"/>
        <v>966458</v>
      </c>
      <c r="R30" s="630">
        <f t="shared" si="14"/>
        <v>0.13490812375024899</v>
      </c>
      <c r="S30" s="629">
        <f t="shared" si="36"/>
        <v>966458</v>
      </c>
      <c r="T30" s="630">
        <f t="shared" si="16"/>
        <v>0.13372734144475876</v>
      </c>
      <c r="U30" s="629">
        <f t="shared" si="37"/>
        <v>966458</v>
      </c>
      <c r="V30" s="630">
        <f t="shared" si="18"/>
        <v>0.13228322927181405</v>
      </c>
      <c r="W30" s="629">
        <f t="shared" si="38"/>
        <v>966458</v>
      </c>
      <c r="X30" s="630">
        <f t="shared" si="20"/>
        <v>0.13054369331583934</v>
      </c>
      <c r="Y30" s="629">
        <f t="shared" si="39"/>
        <v>966458</v>
      </c>
      <c r="Z30" s="630">
        <f t="shared" si="22"/>
        <v>0.12873372158559268</v>
      </c>
      <c r="AA30" s="629">
        <f t="shared" si="40"/>
        <v>966458</v>
      </c>
      <c r="AB30" s="630">
        <f t="shared" si="24"/>
        <v>0.12675841975265972</v>
      </c>
      <c r="AD30" s="131">
        <f>'7-1. FS'!AB28</f>
        <v>110531</v>
      </c>
      <c r="AE30" s="131">
        <f>'7-1. FS'!AC28</f>
        <v>1195692.464341</v>
      </c>
      <c r="AF30" s="131">
        <f>'7-1. FS'!AD28</f>
        <v>1195692.464341</v>
      </c>
      <c r="AG30" s="131">
        <f>'7-1. FS'!AE28</f>
        <v>1195692.464341</v>
      </c>
      <c r="AH30" s="131">
        <f>'7-1. FS'!AF28</f>
        <v>966458.25086299994</v>
      </c>
      <c r="AI30" s="131">
        <f>'7-1. FS'!AG28</f>
        <v>966458</v>
      </c>
      <c r="AJ30" s="131">
        <f>'7-1. FS'!AH28</f>
        <v>966458</v>
      </c>
      <c r="AK30" s="131">
        <f>'7-1. FS'!AI28</f>
        <v>966458</v>
      </c>
      <c r="AL30" s="131">
        <f>'7-1. FS'!AJ28</f>
        <v>966458</v>
      </c>
      <c r="AM30" s="131">
        <f>'7-1. FS'!AK28</f>
        <v>966458</v>
      </c>
      <c r="AN30" s="131">
        <f>'7-1. FS'!AL28</f>
        <v>966458</v>
      </c>
      <c r="AO30" s="131">
        <f>'7-1. FS'!AM28</f>
        <v>966458</v>
      </c>
      <c r="AP30" s="131">
        <f>'7-1. FS'!AN28</f>
        <v>966458</v>
      </c>
    </row>
    <row r="31" spans="1:42" ht="25.35" customHeight="1" x14ac:dyDescent="0.3">
      <c r="A31" s="624"/>
      <c r="B31" s="628" t="s">
        <v>460</v>
      </c>
      <c r="C31" s="629">
        <f t="shared" si="33"/>
        <v>1199179</v>
      </c>
      <c r="D31" s="630">
        <f t="shared" si="1"/>
        <v>0.76790950394303337</v>
      </c>
      <c r="E31" s="629">
        <f t="shared" si="2"/>
        <v>2893792.9343220014</v>
      </c>
      <c r="F31" s="630">
        <f t="shared" si="1"/>
        <v>0.37663615074114082</v>
      </c>
      <c r="G31" s="629">
        <f t="shared" si="3"/>
        <v>2865790.243646001</v>
      </c>
      <c r="H31" s="630">
        <f t="shared" si="4"/>
        <v>0.36072804444825796</v>
      </c>
      <c r="I31" s="629">
        <f t="shared" si="5"/>
        <v>2791700.8620435921</v>
      </c>
      <c r="J31" s="630">
        <f t="shared" si="6"/>
        <v>0.34006480547523804</v>
      </c>
      <c r="K31" s="629">
        <f t="shared" si="7"/>
        <v>2670425.7615699852</v>
      </c>
      <c r="L31" s="630">
        <f t="shared" si="8"/>
        <v>0.37328783879884553</v>
      </c>
      <c r="M31" s="629">
        <f t="shared" si="9"/>
        <v>2754868.7425326114</v>
      </c>
      <c r="N31" s="630">
        <f t="shared" si="10"/>
        <v>0.38708190299562595</v>
      </c>
      <c r="O31" s="629">
        <f t="shared" si="34"/>
        <v>2864503.595937191</v>
      </c>
      <c r="P31" s="630">
        <f t="shared" si="12"/>
        <v>0.4034960670274631</v>
      </c>
      <c r="Q31" s="629">
        <f t="shared" si="35"/>
        <v>2978031.820295054</v>
      </c>
      <c r="R31" s="630">
        <f t="shared" si="14"/>
        <v>0.41570423685720892</v>
      </c>
      <c r="S31" s="629">
        <f t="shared" si="36"/>
        <v>3079579.5194831188</v>
      </c>
      <c r="T31" s="630">
        <f t="shared" si="16"/>
        <v>0.42611679132275293</v>
      </c>
      <c r="U31" s="629">
        <f t="shared" si="37"/>
        <v>3182564.1138451407</v>
      </c>
      <c r="V31" s="630">
        <f t="shared" si="18"/>
        <v>0.43561112675773234</v>
      </c>
      <c r="W31" s="629">
        <f t="shared" si="38"/>
        <v>3297205.1883446071</v>
      </c>
      <c r="X31" s="630">
        <f t="shared" si="20"/>
        <v>0.44536787207168105</v>
      </c>
      <c r="Y31" s="629">
        <f t="shared" si="39"/>
        <v>3412602.4870460257</v>
      </c>
      <c r="Z31" s="630">
        <f t="shared" si="22"/>
        <v>0.45456400428128713</v>
      </c>
      <c r="AA31" s="629">
        <f t="shared" si="40"/>
        <v>3534323.3300892357</v>
      </c>
      <c r="AB31" s="630">
        <f t="shared" si="24"/>
        <v>0.46355376045008623</v>
      </c>
      <c r="AD31" s="131">
        <f>'7-1. FS'!AB29</f>
        <v>1199179</v>
      </c>
      <c r="AE31" s="131">
        <f>'7-1. FS'!AC29</f>
        <v>2893792.9343220014</v>
      </c>
      <c r="AF31" s="131">
        <f>'7-1. FS'!AD29</f>
        <v>2865790.243646001</v>
      </c>
      <c r="AG31" s="131">
        <f>'7-1. FS'!AE29</f>
        <v>2791700.8620435921</v>
      </c>
      <c r="AH31" s="131">
        <f>'7-1. FS'!AF29</f>
        <v>2670425.7615699852</v>
      </c>
      <c r="AI31" s="131">
        <f>'7-1. FS'!AG29</f>
        <v>2754868.7425326114</v>
      </c>
      <c r="AJ31" s="131">
        <f>'7-1. FS'!AH29</f>
        <v>2864503.595937191</v>
      </c>
      <c r="AK31" s="131">
        <f>'7-1. FS'!AI29</f>
        <v>2978031.820295054</v>
      </c>
      <c r="AL31" s="131">
        <f>'7-1. FS'!AJ29</f>
        <v>3079579.5194831188</v>
      </c>
      <c r="AM31" s="131">
        <f>'7-1. FS'!AK29</f>
        <v>3182564.1138451407</v>
      </c>
      <c r="AN31" s="131">
        <f>'7-1. FS'!AL29</f>
        <v>3297205.1883446071</v>
      </c>
      <c r="AO31" s="131">
        <f>'7-1. FS'!AM29</f>
        <v>3412602.4870460257</v>
      </c>
      <c r="AP31" s="131">
        <f>'7-1. FS'!AN29</f>
        <v>3534323.3300892357</v>
      </c>
    </row>
    <row r="32" spans="1:42" ht="25.35" customHeight="1" x14ac:dyDescent="0.3">
      <c r="A32" s="624"/>
      <c r="B32" s="628" t="s">
        <v>461</v>
      </c>
      <c r="C32" s="629">
        <f t="shared" si="33"/>
        <v>128898</v>
      </c>
      <c r="D32" s="630">
        <f t="shared" si="1"/>
        <v>8.2541471489451623E-2</v>
      </c>
      <c r="E32" s="629">
        <f t="shared" si="2"/>
        <v>932196.84368299926</v>
      </c>
      <c r="F32" s="630">
        <f t="shared" si="1"/>
        <v>0.12132831854469443</v>
      </c>
      <c r="G32" s="629">
        <f t="shared" si="3"/>
        <v>70312.076586999989</v>
      </c>
      <c r="H32" s="630">
        <f t="shared" si="4"/>
        <v>8.8504516143707336E-3</v>
      </c>
      <c r="I32" s="629">
        <f t="shared" si="5"/>
        <v>35030.455951002194</v>
      </c>
      <c r="J32" s="630">
        <f t="shared" si="6"/>
        <v>4.2671567540249018E-3</v>
      </c>
      <c r="K32" s="629">
        <f t="shared" si="7"/>
        <v>-60803.696776999655</v>
      </c>
      <c r="L32" s="630">
        <f t="shared" si="8"/>
        <v>-8.4994988018399151E-3</v>
      </c>
      <c r="M32" s="629">
        <f t="shared" si="9"/>
        <v>84116.796480999968</v>
      </c>
      <c r="N32" s="630">
        <f t="shared" si="10"/>
        <v>1.1819107441695401E-2</v>
      </c>
      <c r="O32" s="629">
        <f t="shared" si="34"/>
        <v>143282.2824045794</v>
      </c>
      <c r="P32" s="630">
        <f t="shared" si="12"/>
        <v>2.0182846866369838E-2</v>
      </c>
      <c r="Q32" s="629">
        <f t="shared" si="35"/>
        <v>170841.24238794475</v>
      </c>
      <c r="R32" s="630">
        <f t="shared" si="14"/>
        <v>2.3847773488055491E-2</v>
      </c>
      <c r="S32" s="629">
        <f t="shared" si="36"/>
        <v>169883.71724464576</v>
      </c>
      <c r="T32" s="630">
        <f t="shared" si="16"/>
        <v>2.3506554720308173E-2</v>
      </c>
      <c r="U32" s="629">
        <f t="shared" si="37"/>
        <v>170937.61215993931</v>
      </c>
      <c r="V32" s="630">
        <f t="shared" si="18"/>
        <v>2.3396960178848621E-2</v>
      </c>
      <c r="W32" s="629">
        <f t="shared" si="38"/>
        <v>183016.09160568239</v>
      </c>
      <c r="X32" s="630">
        <f t="shared" si="20"/>
        <v>2.4720780969722186E-2</v>
      </c>
      <c r="Y32" s="629">
        <f t="shared" si="39"/>
        <v>188603.31551434379</v>
      </c>
      <c r="Z32" s="630">
        <f t="shared" si="22"/>
        <v>2.5122257469588152E-2</v>
      </c>
      <c r="AA32" s="629">
        <f t="shared" si="40"/>
        <v>197161.859461324</v>
      </c>
      <c r="AB32" s="630">
        <f t="shared" si="24"/>
        <v>2.5859298325238565E-2</v>
      </c>
      <c r="AD32" s="131">
        <f>'7-1. FS'!AB30</f>
        <v>128898</v>
      </c>
      <c r="AE32" s="131">
        <f>'7-1. FS'!AC30</f>
        <v>932196.84368299926</v>
      </c>
      <c r="AF32" s="131">
        <f>'7-1. FS'!AD30</f>
        <v>70312.076586999989</v>
      </c>
      <c r="AG32" s="131">
        <f>'7-1. FS'!AE30</f>
        <v>35030.455951002194</v>
      </c>
      <c r="AH32" s="131">
        <f>'7-1. FS'!AF30</f>
        <v>-60803.696776999655</v>
      </c>
      <c r="AI32" s="131">
        <f>'7-1. FS'!AG30</f>
        <v>84116.796480999968</v>
      </c>
      <c r="AJ32" s="131">
        <f>'7-1. FS'!AH30</f>
        <v>143282.2824045794</v>
      </c>
      <c r="AK32" s="131">
        <f>'7-1. FS'!AI30</f>
        <v>170841.24238794475</v>
      </c>
      <c r="AL32" s="131">
        <f>'7-1. FS'!AJ30</f>
        <v>169883.71724464576</v>
      </c>
      <c r="AM32" s="131">
        <f>'7-1. FS'!AK30</f>
        <v>170937.61215993931</v>
      </c>
      <c r="AN32" s="131">
        <f>'7-1. FS'!AL30</f>
        <v>183016.09160568239</v>
      </c>
      <c r="AO32" s="131">
        <f>'7-1. FS'!AM30</f>
        <v>188603.31551434379</v>
      </c>
      <c r="AP32" s="131">
        <f>'7-1. FS'!AN30</f>
        <v>197161.859461324</v>
      </c>
    </row>
    <row r="33" spans="1:42" ht="25.35" customHeight="1" x14ac:dyDescent="0.3">
      <c r="A33" s="624"/>
      <c r="B33" s="628" t="s">
        <v>463</v>
      </c>
      <c r="C33" s="629">
        <f t="shared" si="33"/>
        <v>-108730</v>
      </c>
      <c r="D33" s="630">
        <f t="shared" si="1"/>
        <v>-6.9626636526928853E-2</v>
      </c>
      <c r="E33" s="629">
        <f t="shared" si="2"/>
        <v>-98183.617004000014</v>
      </c>
      <c r="F33" s="630">
        <f t="shared" si="1"/>
        <v>-1.2778903125939474E-2</v>
      </c>
      <c r="G33" s="629">
        <f t="shared" si="3"/>
        <v>-98183.617004000014</v>
      </c>
      <c r="H33" s="630">
        <f t="shared" si="4"/>
        <v>-1.2358749645839271E-2</v>
      </c>
      <c r="I33" s="629">
        <f t="shared" si="5"/>
        <v>-68183.615271000002</v>
      </c>
      <c r="J33" s="630">
        <f t="shared" si="6"/>
        <v>-8.3056348117318546E-3</v>
      </c>
      <c r="K33" s="629">
        <f t="shared" si="7"/>
        <v>-601533.94997199997</v>
      </c>
      <c r="L33" s="630">
        <f t="shared" si="8"/>
        <v>-8.408595789503133E-2</v>
      </c>
      <c r="M33" s="629">
        <f t="shared" si="9"/>
        <v>-601534</v>
      </c>
      <c r="N33" s="630">
        <f t="shared" si="10"/>
        <v>-8.4520515203389782E-2</v>
      </c>
      <c r="O33" s="629">
        <f t="shared" si="34"/>
        <v>-601534</v>
      </c>
      <c r="P33" s="630">
        <f t="shared" si="12"/>
        <v>-8.4732518237208718E-2</v>
      </c>
      <c r="Q33" s="629">
        <f t="shared" si="35"/>
        <v>-601534</v>
      </c>
      <c r="R33" s="630">
        <f t="shared" si="14"/>
        <v>-8.396828761517032E-2</v>
      </c>
      <c r="S33" s="629">
        <f t="shared" si="36"/>
        <v>-601534</v>
      </c>
      <c r="T33" s="630">
        <f t="shared" si="16"/>
        <v>-8.3233355829877259E-2</v>
      </c>
      <c r="U33" s="629">
        <f t="shared" si="37"/>
        <v>-601534</v>
      </c>
      <c r="V33" s="630">
        <f t="shared" si="18"/>
        <v>-8.2334524663039046E-2</v>
      </c>
      <c r="W33" s="629">
        <f t="shared" si="38"/>
        <v>-601534</v>
      </c>
      <c r="X33" s="630">
        <f t="shared" si="20"/>
        <v>-8.1251818511565016E-2</v>
      </c>
      <c r="Y33" s="629">
        <f t="shared" si="39"/>
        <v>-601534</v>
      </c>
      <c r="Z33" s="630">
        <f t="shared" si="22"/>
        <v>-8.0125272365967171E-2</v>
      </c>
      <c r="AA33" s="629">
        <f t="shared" si="40"/>
        <v>-601534</v>
      </c>
      <c r="AB33" s="630">
        <f t="shared" si="24"/>
        <v>-7.8895822961263101E-2</v>
      </c>
      <c r="AD33" s="131">
        <f>'7-1. FS'!AB32</f>
        <v>-108730</v>
      </c>
      <c r="AE33" s="131">
        <f>'7-1. FS'!AC32</f>
        <v>-98183.617004000014</v>
      </c>
      <c r="AF33" s="131">
        <f>'7-1. FS'!AD32</f>
        <v>-98183.617004000014</v>
      </c>
      <c r="AG33" s="131">
        <f>'7-1. FS'!AE32</f>
        <v>-68183.615271000002</v>
      </c>
      <c r="AH33" s="131">
        <f>'7-1. FS'!AF32</f>
        <v>-601533.94997199997</v>
      </c>
      <c r="AI33" s="131">
        <f>'7-1. FS'!AG32</f>
        <v>-601534</v>
      </c>
      <c r="AJ33" s="131">
        <f>'7-1. FS'!AH32</f>
        <v>-601534</v>
      </c>
      <c r="AK33" s="131">
        <f>'7-1. FS'!AI32</f>
        <v>-601534</v>
      </c>
      <c r="AL33" s="131">
        <f>'7-1. FS'!AJ32</f>
        <v>-601534</v>
      </c>
      <c r="AM33" s="131">
        <f>'7-1. FS'!AK32</f>
        <v>-601534</v>
      </c>
      <c r="AN33" s="131">
        <f>'7-1. FS'!AL32</f>
        <v>-601534</v>
      </c>
      <c r="AO33" s="131">
        <f>'7-1. FS'!AM32</f>
        <v>-601534</v>
      </c>
      <c r="AP33" s="131">
        <f>'7-1. FS'!AN32</f>
        <v>-601534</v>
      </c>
    </row>
    <row r="34" spans="1:42" ht="25.35" customHeight="1" x14ac:dyDescent="0.3">
      <c r="A34" s="637"/>
      <c r="B34" s="638" t="s">
        <v>464</v>
      </c>
      <c r="C34" s="639">
        <f t="shared" si="33"/>
        <v>14954</v>
      </c>
      <c r="D34" s="640">
        <f t="shared" si="1"/>
        <v>9.5759838372454151E-3</v>
      </c>
      <c r="E34" s="639">
        <f t="shared" si="2"/>
        <v>15250.326933999997</v>
      </c>
      <c r="F34" s="640">
        <f t="shared" si="1"/>
        <v>1.9848774823660446E-3</v>
      </c>
      <c r="G34" s="639">
        <f t="shared" si="3"/>
        <v>44540.655660000011</v>
      </c>
      <c r="H34" s="640">
        <f t="shared" si="4"/>
        <v>5.6065037035766159E-3</v>
      </c>
      <c r="I34" s="639">
        <f t="shared" si="5"/>
        <v>61373.204758999993</v>
      </c>
      <c r="J34" s="640">
        <f t="shared" si="6"/>
        <v>7.4760398657051346E-3</v>
      </c>
      <c r="K34" s="639">
        <f t="shared" si="7"/>
        <v>86173.492345999999</v>
      </c>
      <c r="L34" s="640">
        <f t="shared" si="8"/>
        <v>1.2045838226438997E-2</v>
      </c>
      <c r="M34" s="639">
        <f t="shared" si="9"/>
        <v>125771</v>
      </c>
      <c r="N34" s="640">
        <f t="shared" si="10"/>
        <v>1.7671868452399257E-2</v>
      </c>
      <c r="O34" s="639">
        <f t="shared" si="34"/>
        <v>125771</v>
      </c>
      <c r="P34" s="640">
        <f t="shared" si="12"/>
        <v>1.7716194847193969E-2</v>
      </c>
      <c r="Q34" s="639">
        <f t="shared" si="35"/>
        <v>125771</v>
      </c>
      <c r="R34" s="640">
        <f t="shared" si="14"/>
        <v>1.7556406623146135E-2</v>
      </c>
      <c r="S34" s="639">
        <f t="shared" si="36"/>
        <v>125771</v>
      </c>
      <c r="T34" s="640">
        <f t="shared" si="16"/>
        <v>1.7402744310511947E-2</v>
      </c>
      <c r="U34" s="639">
        <f t="shared" si="37"/>
        <v>125771</v>
      </c>
      <c r="V34" s="640">
        <f t="shared" si="18"/>
        <v>1.7214813296330855E-2</v>
      </c>
      <c r="W34" s="639">
        <f t="shared" si="38"/>
        <v>125771</v>
      </c>
      <c r="X34" s="640">
        <f t="shared" si="20"/>
        <v>1.6988437006084517E-2</v>
      </c>
      <c r="Y34" s="639">
        <f t="shared" si="39"/>
        <v>125771</v>
      </c>
      <c r="Z34" s="640">
        <f t="shared" si="22"/>
        <v>1.6752894484335146E-2</v>
      </c>
      <c r="AA34" s="639">
        <f t="shared" si="40"/>
        <v>125771</v>
      </c>
      <c r="AB34" s="640">
        <f t="shared" si="24"/>
        <v>1.6495836560628363E-2</v>
      </c>
      <c r="AD34" s="131">
        <f>'7-1. FS'!AB33</f>
        <v>14954</v>
      </c>
      <c r="AE34" s="131">
        <f>'7-1. FS'!AC33</f>
        <v>15250.326933999997</v>
      </c>
      <c r="AF34" s="131">
        <f>'7-1. FS'!AD33</f>
        <v>44540.655660000011</v>
      </c>
      <c r="AG34" s="131">
        <f>'7-1. FS'!AE33</f>
        <v>61373.204758999993</v>
      </c>
      <c r="AH34" s="131">
        <f>'7-1. FS'!AF33</f>
        <v>86173.492345999999</v>
      </c>
      <c r="AI34" s="131">
        <f>'7-1. FS'!AG33</f>
        <v>125771</v>
      </c>
      <c r="AJ34" s="131">
        <f>'7-1. FS'!AH33</f>
        <v>125771</v>
      </c>
      <c r="AK34" s="131">
        <f>'7-1. FS'!AI33</f>
        <v>125771</v>
      </c>
      <c r="AL34" s="131">
        <f>'7-1. FS'!AJ33</f>
        <v>125771</v>
      </c>
      <c r="AM34" s="131">
        <f>'7-1. FS'!AK33</f>
        <v>125771</v>
      </c>
      <c r="AN34" s="131">
        <f>'7-1. FS'!AL33</f>
        <v>125771</v>
      </c>
      <c r="AO34" s="131">
        <f>'7-1. FS'!AM33</f>
        <v>125771</v>
      </c>
      <c r="AP34" s="131">
        <f>'7-1. FS'!AN33</f>
        <v>125771</v>
      </c>
    </row>
    <row r="35" spans="1:42" ht="25.35" customHeight="1" x14ac:dyDescent="0.3">
      <c r="A35" s="59" t="s">
        <v>875</v>
      </c>
      <c r="C35" s="641"/>
      <c r="D35" s="642"/>
      <c r="E35" s="641"/>
      <c r="F35" s="642"/>
      <c r="G35" s="641"/>
      <c r="H35" s="642"/>
      <c r="I35" s="641"/>
      <c r="J35" s="642"/>
      <c r="K35" s="641"/>
      <c r="L35" s="642"/>
      <c r="M35" s="641"/>
      <c r="N35" s="642"/>
      <c r="O35" s="641"/>
      <c r="P35" s="642"/>
      <c r="Q35" s="642"/>
      <c r="R35" s="642"/>
      <c r="S35" s="642"/>
      <c r="T35" s="642"/>
      <c r="U35" s="642"/>
      <c r="V35" s="642"/>
      <c r="W35" s="642"/>
      <c r="X35" s="642"/>
      <c r="Y35" s="642"/>
      <c r="Z35" s="642"/>
      <c r="AA35" s="642"/>
      <c r="AB35" s="642"/>
      <c r="AE35" s="131"/>
      <c r="AF35" s="131"/>
      <c r="AG35" s="131"/>
      <c r="AH35" s="131"/>
      <c r="AI35" s="131"/>
      <c r="AJ35" s="131"/>
    </row>
    <row r="36" spans="1:42" ht="25.35" customHeight="1" x14ac:dyDescent="0.3">
      <c r="C36" s="641"/>
      <c r="D36" s="642"/>
      <c r="E36" s="641"/>
      <c r="F36" s="642"/>
      <c r="G36" s="641"/>
      <c r="H36" s="642"/>
      <c r="I36" s="641"/>
      <c r="J36" s="642"/>
      <c r="K36" s="641"/>
      <c r="L36" s="642"/>
      <c r="M36" s="641"/>
      <c r="N36" s="642"/>
      <c r="O36" s="641"/>
      <c r="P36" s="642"/>
      <c r="Q36" s="641"/>
      <c r="R36" s="642"/>
      <c r="S36" s="641"/>
      <c r="T36" s="642"/>
      <c r="U36" s="642"/>
      <c r="V36" s="642"/>
      <c r="W36" s="642"/>
      <c r="X36" s="642"/>
      <c r="Y36" s="642"/>
      <c r="Z36" s="642"/>
      <c r="AA36" s="642"/>
      <c r="AB36" s="642"/>
      <c r="AE36" s="131"/>
      <c r="AF36" s="131"/>
      <c r="AG36" s="131"/>
      <c r="AH36" s="131"/>
      <c r="AI36" s="131"/>
      <c r="AJ36" s="131"/>
    </row>
    <row r="37" spans="1:42" ht="25.35" customHeight="1" x14ac:dyDescent="0.3">
      <c r="C37" s="641"/>
      <c r="D37" s="642"/>
      <c r="E37" s="641"/>
      <c r="F37" s="642"/>
      <c r="G37" s="641"/>
      <c r="H37" s="642"/>
      <c r="I37" s="641"/>
      <c r="J37" s="642"/>
      <c r="K37" s="641"/>
      <c r="L37" s="642"/>
      <c r="M37" s="641"/>
      <c r="N37" s="642"/>
      <c r="O37" s="641"/>
      <c r="P37" s="642"/>
      <c r="Q37" s="642"/>
      <c r="R37" s="642"/>
      <c r="S37" s="642"/>
      <c r="T37" s="642"/>
      <c r="U37" s="642"/>
      <c r="V37" s="642"/>
      <c r="W37" s="642"/>
      <c r="X37" s="642"/>
      <c r="Y37" s="642"/>
      <c r="Z37" s="642"/>
      <c r="AA37" s="642"/>
      <c r="AB37" s="642"/>
      <c r="AE37" s="131"/>
      <c r="AF37" s="131"/>
      <c r="AG37" s="131"/>
      <c r="AH37" s="131"/>
      <c r="AI37" s="131"/>
      <c r="AJ37" s="131"/>
    </row>
    <row r="38" spans="1:42" ht="25.35" customHeight="1" x14ac:dyDescent="0.3">
      <c r="D38" s="650"/>
      <c r="F38" s="650"/>
      <c r="H38" s="650"/>
      <c r="J38" s="650"/>
      <c r="L38" s="650"/>
      <c r="N38" s="650"/>
      <c r="P38" s="650"/>
      <c r="Q38" s="650"/>
      <c r="R38" s="650"/>
      <c r="S38" s="650"/>
      <c r="T38" s="650"/>
      <c r="U38" s="650"/>
      <c r="V38" s="650"/>
      <c r="W38" s="650"/>
      <c r="X38" s="650"/>
      <c r="Y38" s="650"/>
      <c r="Z38" s="650"/>
      <c r="AA38" s="650"/>
      <c r="AB38" s="650"/>
    </row>
    <row r="39" spans="1:42" ht="25.35" hidden="1" customHeight="1" outlineLevel="1" x14ac:dyDescent="0.3">
      <c r="A39" s="615"/>
      <c r="B39" s="438"/>
      <c r="C39" s="131">
        <f>SUM(C10:C17)</f>
        <v>1561615</v>
      </c>
      <c r="D39" s="643"/>
      <c r="E39" s="131">
        <f>SUM(E10:E17)</f>
        <v>7683258.5736330003</v>
      </c>
      <c r="F39" s="643"/>
      <c r="G39" s="131">
        <f>SUM(G10:G17)</f>
        <v>7944462.0060780002</v>
      </c>
      <c r="H39" s="643"/>
      <c r="I39" s="131">
        <f>SUM(I10:I17)</f>
        <v>8209320.1563220015</v>
      </c>
      <c r="J39" s="643"/>
      <c r="K39" s="131">
        <f>SUM(K10:K17)</f>
        <v>7153797.9114530012</v>
      </c>
      <c r="L39" s="643"/>
      <c r="M39" s="131">
        <f>SUM(M10:M17)</f>
        <v>7117017.66787</v>
      </c>
      <c r="O39" s="131">
        <f>SUM(O10:O17)</f>
        <v>7099210.6987308618</v>
      </c>
      <c r="Q39" s="131">
        <f>SUM(Q10:Q17)</f>
        <v>7163823.5944128325</v>
      </c>
      <c r="S39" s="131">
        <f>SUM(S10:S17)</f>
        <v>7227078.5432404093</v>
      </c>
      <c r="U39" s="131">
        <f>SUM(U10:U17)</f>
        <v>7305975.2571819471</v>
      </c>
      <c r="W39" s="131">
        <f>SUM(W10:W17)</f>
        <v>7403329.6856535021</v>
      </c>
      <c r="Y39" s="131">
        <f>SUM(Y10:Y17)</f>
        <v>7507419.0980909374</v>
      </c>
      <c r="AA39" s="131">
        <f>SUM(AA10:AA17)</f>
        <v>7624408.7129345993</v>
      </c>
    </row>
    <row r="40" spans="1:42" s="601" customFormat="1" ht="25.35" hidden="1" customHeight="1" outlineLevel="1" x14ac:dyDescent="0.3">
      <c r="A40" s="651"/>
      <c r="B40" s="652"/>
      <c r="C40" s="644">
        <f>C7-C39</f>
        <v>0</v>
      </c>
      <c r="D40" s="645"/>
      <c r="E40" s="644">
        <f>E7-E39</f>
        <v>0</v>
      </c>
      <c r="F40" s="645"/>
      <c r="G40" s="644">
        <f>G7-G39</f>
        <v>0</v>
      </c>
      <c r="H40" s="645"/>
      <c r="I40" s="644">
        <f>I7-I39</f>
        <v>0</v>
      </c>
      <c r="J40" s="645"/>
      <c r="K40" s="644">
        <f>K7-K39</f>
        <v>0</v>
      </c>
      <c r="L40" s="645"/>
      <c r="M40" s="644">
        <f>M7-M39</f>
        <v>0</v>
      </c>
      <c r="N40" s="653"/>
      <c r="O40" s="644">
        <f>O7-O39</f>
        <v>0</v>
      </c>
      <c r="P40" s="653"/>
      <c r="Q40" s="644">
        <f>Q7-Q39</f>
        <v>0</v>
      </c>
      <c r="R40" s="653"/>
      <c r="S40" s="644">
        <f>S7-S39</f>
        <v>0</v>
      </c>
      <c r="T40" s="653"/>
      <c r="U40" s="644">
        <f>U7-U39</f>
        <v>0</v>
      </c>
      <c r="V40" s="653"/>
      <c r="W40" s="644">
        <f>W7-W39</f>
        <v>0</v>
      </c>
      <c r="X40" s="653"/>
      <c r="Y40" s="644">
        <f>Y7-Y39</f>
        <v>0</v>
      </c>
      <c r="Z40" s="653"/>
      <c r="AA40" s="644">
        <f>AA7-AA39</f>
        <v>0</v>
      </c>
      <c r="AB40" s="653"/>
      <c r="AD40" s="644"/>
      <c r="AE40" s="654"/>
      <c r="AF40" s="654"/>
      <c r="AG40" s="654"/>
      <c r="AH40" s="654"/>
    </row>
    <row r="41" spans="1:42" ht="25.35" hidden="1" customHeight="1" outlineLevel="1" x14ac:dyDescent="0.3">
      <c r="A41" s="615"/>
      <c r="B41" s="438"/>
      <c r="C41" s="131"/>
      <c r="D41" s="643"/>
      <c r="E41" s="131"/>
      <c r="F41" s="643"/>
      <c r="G41" s="131"/>
      <c r="H41" s="643"/>
      <c r="I41" s="131"/>
      <c r="J41" s="643"/>
      <c r="K41" s="131"/>
      <c r="L41" s="643"/>
      <c r="M41" s="131"/>
      <c r="O41" s="131"/>
      <c r="Q41" s="131"/>
      <c r="S41" s="131"/>
      <c r="U41" s="131"/>
      <c r="W41" s="131"/>
      <c r="Y41" s="131"/>
      <c r="AA41" s="131"/>
    </row>
    <row r="42" spans="1:42" ht="25.35" hidden="1" customHeight="1" outlineLevel="1" x14ac:dyDescent="0.3">
      <c r="A42" s="615"/>
      <c r="B42" s="438"/>
      <c r="C42" s="131">
        <f>SUM(C21:C27)</f>
        <v>312868</v>
      </c>
      <c r="D42" s="643"/>
      <c r="E42" s="131">
        <f>SUM(E21:E27)</f>
        <v>3571988.0650400002</v>
      </c>
      <c r="F42" s="643"/>
      <c r="G42" s="131">
        <f>SUM(G21:G27)</f>
        <v>3834672.2391349995</v>
      </c>
      <c r="H42" s="643"/>
      <c r="I42" s="131">
        <f>SUM(I21:I27)</f>
        <v>4126787.2233189996</v>
      </c>
      <c r="J42" s="643"/>
      <c r="K42" s="131">
        <f>SUM(K21:K27)</f>
        <v>3951434.8285689983</v>
      </c>
      <c r="L42" s="643"/>
      <c r="M42" s="131">
        <f>SUM(M21:M27)</f>
        <v>3790614.92533739</v>
      </c>
      <c r="O42" s="131">
        <f>SUM(O21:O27)</f>
        <v>3663172.6097936714</v>
      </c>
      <c r="Q42" s="131">
        <f>SUM(Q21:Q27)</f>
        <v>3614257.2811177778</v>
      </c>
      <c r="S42" s="131">
        <f>SUM(S21:S27)</f>
        <v>3575964.5307572908</v>
      </c>
      <c r="U42" s="131">
        <f>SUM(U21:U27)</f>
        <v>3551876.6503368043</v>
      </c>
      <c r="W42" s="131">
        <f>SUM(W21:W27)</f>
        <v>3534590.0043088938</v>
      </c>
      <c r="Y42" s="131">
        <f>SUM(Y21:Y27)</f>
        <v>3523282.1180449105</v>
      </c>
      <c r="AA42" s="131">
        <f>SUM(AA21:AA27)</f>
        <v>3518550.8898453629</v>
      </c>
    </row>
    <row r="43" spans="1:42" s="601" customFormat="1" ht="25.35" hidden="1" customHeight="1" outlineLevel="1" x14ac:dyDescent="0.3">
      <c r="A43" s="651"/>
      <c r="B43" s="652"/>
      <c r="C43" s="644">
        <f>C18-C42</f>
        <v>0</v>
      </c>
      <c r="D43" s="645"/>
      <c r="E43" s="644">
        <f>E18-E42</f>
        <v>0</v>
      </c>
      <c r="F43" s="645"/>
      <c r="G43" s="644">
        <f>G18-G42</f>
        <v>0</v>
      </c>
      <c r="H43" s="645"/>
      <c r="I43" s="644">
        <f>I18-I42</f>
        <v>0</v>
      </c>
      <c r="J43" s="645"/>
      <c r="K43" s="644">
        <f>K18-K42</f>
        <v>0</v>
      </c>
      <c r="L43" s="645"/>
      <c r="M43" s="644">
        <f>M18-M42</f>
        <v>0</v>
      </c>
      <c r="N43" s="653"/>
      <c r="O43" s="644">
        <f>O18-O42</f>
        <v>0</v>
      </c>
      <c r="P43" s="653"/>
      <c r="Q43" s="644">
        <f>Q18-Q42</f>
        <v>0</v>
      </c>
      <c r="R43" s="653"/>
      <c r="S43" s="644">
        <f>S18-S42</f>
        <v>0</v>
      </c>
      <c r="T43" s="653"/>
      <c r="U43" s="644">
        <f>U18-U42</f>
        <v>0</v>
      </c>
      <c r="V43" s="653"/>
      <c r="W43" s="644">
        <f>W18-W42</f>
        <v>0</v>
      </c>
      <c r="X43" s="653"/>
      <c r="Y43" s="644">
        <f>Y18-Y42</f>
        <v>0</v>
      </c>
      <c r="Z43" s="653"/>
      <c r="AA43" s="644">
        <f>AA18-AA42</f>
        <v>0</v>
      </c>
      <c r="AB43" s="653"/>
      <c r="AD43" s="644"/>
      <c r="AE43" s="654"/>
      <c r="AF43" s="654"/>
      <c r="AG43" s="654"/>
      <c r="AH43" s="654"/>
    </row>
    <row r="44" spans="1:42" ht="25.35" hidden="1" customHeight="1" outlineLevel="1" x14ac:dyDescent="0.3">
      <c r="A44" s="615"/>
      <c r="B44" s="438"/>
      <c r="C44" s="131"/>
      <c r="D44" s="643"/>
      <c r="E44" s="131"/>
      <c r="F44" s="643"/>
      <c r="G44" s="131"/>
      <c r="H44" s="643"/>
      <c r="I44" s="131"/>
      <c r="J44" s="643"/>
      <c r="K44" s="131"/>
      <c r="L44" s="643"/>
      <c r="M44" s="131"/>
      <c r="O44" s="131"/>
      <c r="Q44" s="131"/>
      <c r="S44" s="131"/>
      <c r="U44" s="131"/>
      <c r="W44" s="131"/>
      <c r="Y44" s="131"/>
      <c r="AA44" s="131"/>
    </row>
    <row r="45" spans="1:42" ht="25.35" hidden="1" customHeight="1" outlineLevel="1" x14ac:dyDescent="0.3">
      <c r="A45" s="615"/>
      <c r="B45" s="438"/>
      <c r="C45" s="131">
        <f>SUM(C29:C31,C33:C34)</f>
        <v>1248747</v>
      </c>
      <c r="D45" s="643"/>
      <c r="E45" s="131">
        <f>SUM(E29:E31,E33:E34)</f>
        <v>4111270.108593001</v>
      </c>
      <c r="F45" s="643"/>
      <c r="G45" s="131">
        <f>SUM(G29:G31,G33:G34)</f>
        <v>4112557.7466430012</v>
      </c>
      <c r="H45" s="643"/>
      <c r="I45" s="131">
        <f>SUM(I29:I31,I33:I34)</f>
        <v>4085300.9158725915</v>
      </c>
      <c r="J45" s="643"/>
      <c r="K45" s="131">
        <f>SUM(K29:K31,K33:K34)</f>
        <v>3205131.0478069847</v>
      </c>
      <c r="L45" s="643"/>
      <c r="M45" s="131">
        <f>SUM(M29:M31,M33:M34)</f>
        <v>3329170.7425326114</v>
      </c>
      <c r="O45" s="131">
        <f>SUM(O29:O31,O33:O34)</f>
        <v>3438806.0889371913</v>
      </c>
      <c r="Q45" s="131">
        <f>SUM(Q29:Q31,Q33:Q34)</f>
        <v>3552334.3132950542</v>
      </c>
      <c r="S45" s="131">
        <f>SUM(S29:S31,S33:S34)</f>
        <v>3653882.012483119</v>
      </c>
      <c r="U45" s="131">
        <f>SUM(U29:U31,U33:U34)</f>
        <v>3756866.6068451405</v>
      </c>
      <c r="W45" s="131">
        <f>SUM(W29:W31,W33:W34)</f>
        <v>3871507.6813446069</v>
      </c>
      <c r="Y45" s="131">
        <f>SUM(Y29:Y31,Y33:Y34)</f>
        <v>3986904.9800460255</v>
      </c>
      <c r="AA45" s="131">
        <f>SUM(AA29:AA31,AA33:AA34)</f>
        <v>4108625.8230892355</v>
      </c>
    </row>
    <row r="46" spans="1:42" s="601" customFormat="1" ht="25.35" hidden="1" customHeight="1" outlineLevel="1" x14ac:dyDescent="0.3">
      <c r="A46" s="651"/>
      <c r="B46" s="652"/>
      <c r="C46" s="644">
        <f>C28-C45</f>
        <v>0</v>
      </c>
      <c r="D46" s="645"/>
      <c r="E46" s="644">
        <f>E28-E45</f>
        <v>0</v>
      </c>
      <c r="F46" s="645"/>
      <c r="G46" s="644">
        <f>G28-G45</f>
        <v>0</v>
      </c>
      <c r="H46" s="645"/>
      <c r="I46" s="644">
        <f>I28-I45</f>
        <v>0</v>
      </c>
      <c r="J46" s="645"/>
      <c r="K46" s="644">
        <f>K28-K45</f>
        <v>0</v>
      </c>
      <c r="L46" s="645"/>
      <c r="M46" s="644">
        <f>M28-M45</f>
        <v>0</v>
      </c>
      <c r="N46" s="653"/>
      <c r="O46" s="644">
        <f>O28-O45</f>
        <v>0</v>
      </c>
      <c r="P46" s="653"/>
      <c r="Q46" s="644">
        <f>Q28-Q45</f>
        <v>0</v>
      </c>
      <c r="R46" s="653"/>
      <c r="S46" s="644">
        <f>S28-S45</f>
        <v>0</v>
      </c>
      <c r="T46" s="653"/>
      <c r="U46" s="644">
        <f>U28-U45</f>
        <v>0</v>
      </c>
      <c r="V46" s="653"/>
      <c r="W46" s="644">
        <f>W28-W45</f>
        <v>0</v>
      </c>
      <c r="X46" s="653"/>
      <c r="Y46" s="644">
        <f>Y28-Y45</f>
        <v>0</v>
      </c>
      <c r="Z46" s="653"/>
      <c r="AA46" s="644">
        <f>AA28-AA45</f>
        <v>0</v>
      </c>
      <c r="AB46" s="653"/>
      <c r="AD46" s="644"/>
      <c r="AE46" s="654"/>
      <c r="AF46" s="654"/>
      <c r="AG46" s="654"/>
      <c r="AH46" s="654"/>
    </row>
    <row r="47" spans="1:42" ht="25.35" hidden="1" customHeight="1" outlineLevel="1" x14ac:dyDescent="0.3">
      <c r="A47" s="615"/>
      <c r="B47" s="438"/>
      <c r="Q47" s="152"/>
      <c r="S47" s="152"/>
      <c r="U47" s="152"/>
      <c r="W47" s="152"/>
      <c r="Y47" s="152"/>
      <c r="AA47" s="152"/>
    </row>
    <row r="48" spans="1:42" s="644" customFormat="1" ht="25.35" hidden="1" customHeight="1" outlineLevel="1" x14ac:dyDescent="0.3">
      <c r="A48" s="646"/>
      <c r="B48" s="647"/>
      <c r="C48" s="644">
        <f>C39-C42-C45</f>
        <v>0</v>
      </c>
      <c r="D48" s="645"/>
      <c r="E48" s="644">
        <f>E39-E42-E45</f>
        <v>0.39999999897554517</v>
      </c>
      <c r="F48" s="645"/>
      <c r="G48" s="644">
        <f>G39-G42-G45</f>
        <v>-2767.979700000491</v>
      </c>
      <c r="H48" s="645"/>
      <c r="I48" s="644">
        <f>I39-I42-I45</f>
        <v>-2767.9828695897013</v>
      </c>
      <c r="J48" s="645"/>
      <c r="K48" s="644">
        <f>K39-K42-K45</f>
        <v>-2767.9649229818024</v>
      </c>
      <c r="L48" s="645"/>
      <c r="M48" s="644">
        <f>M39-M42-M45</f>
        <v>-2768.000000001397</v>
      </c>
      <c r="N48" s="645"/>
      <c r="O48" s="644">
        <f>O39-O42-O45</f>
        <v>-2768.0000000009313</v>
      </c>
      <c r="P48" s="645"/>
      <c r="Q48" s="644">
        <f>Q39-Q42-Q45</f>
        <v>-2767.9999999995343</v>
      </c>
      <c r="R48" s="645"/>
      <c r="S48" s="644">
        <f>S39-S42-S45</f>
        <v>-2768.0000000004657</v>
      </c>
      <c r="T48" s="645"/>
      <c r="U48" s="644">
        <f>U39-U42-U45</f>
        <v>-2767.9999999976717</v>
      </c>
      <c r="V48" s="645"/>
      <c r="W48" s="644">
        <f>W39-W42-W45</f>
        <v>-2767.999999998603</v>
      </c>
      <c r="X48" s="645"/>
      <c r="Y48" s="644">
        <f>Y39-Y42-Y45</f>
        <v>-2767.999999998603</v>
      </c>
      <c r="Z48" s="645"/>
      <c r="AA48" s="644">
        <f>AA39-AA42-AA45</f>
        <v>-2767.9999999990687</v>
      </c>
      <c r="AB48" s="645"/>
    </row>
    <row r="49" spans="1:28" ht="25.35" hidden="1" customHeight="1" outlineLevel="1" x14ac:dyDescent="0.3">
      <c r="A49" s="615"/>
      <c r="B49" s="438"/>
      <c r="C49" s="616">
        <f>SUM(C8:C9)-C7</f>
        <v>0</v>
      </c>
      <c r="D49" s="655"/>
      <c r="E49" s="616">
        <f>SUM(E8:E9)-E7</f>
        <v>0</v>
      </c>
      <c r="F49" s="655"/>
      <c r="G49" s="616">
        <f>SUM(G8:G9)-G7</f>
        <v>0</v>
      </c>
      <c r="H49" s="655"/>
      <c r="I49" s="616">
        <f>SUM(I8:I9)-I7</f>
        <v>0</v>
      </c>
      <c r="J49" s="655"/>
      <c r="K49" s="616">
        <f>SUM(K8:K9)-K7</f>
        <v>0</v>
      </c>
      <c r="L49" s="655"/>
      <c r="M49" s="616">
        <f>SUM(M8:M9)-M7</f>
        <v>0</v>
      </c>
      <c r="N49" s="655"/>
      <c r="O49" s="616">
        <f>SUM(O8:O9)-O7</f>
        <v>0</v>
      </c>
      <c r="P49" s="655"/>
      <c r="Q49" s="616">
        <f>SUM(Q8:Q9)-Q7</f>
        <v>0</v>
      </c>
      <c r="R49" s="656"/>
      <c r="S49" s="616">
        <f>SUM(S8:S9)-S7</f>
        <v>0</v>
      </c>
      <c r="T49" s="656"/>
      <c r="U49" s="616">
        <f>SUM(U8:U9)-U7</f>
        <v>0</v>
      </c>
      <c r="V49" s="656"/>
      <c r="W49" s="616">
        <f>SUM(W8:W9)-W7</f>
        <v>0</v>
      </c>
      <c r="X49" s="656"/>
      <c r="Y49" s="616">
        <f>SUM(Y8:Y9)-Y7</f>
        <v>0</v>
      </c>
      <c r="Z49" s="656"/>
      <c r="AA49" s="616">
        <f>SUM(AA8:AA9)-AA7</f>
        <v>0</v>
      </c>
      <c r="AB49" s="656"/>
    </row>
    <row r="50" spans="1:28" ht="25.35" hidden="1" customHeight="1" outlineLevel="1" x14ac:dyDescent="0.3">
      <c r="A50" s="615"/>
      <c r="B50" s="438"/>
      <c r="C50" s="616">
        <f>SUM(C10:C17)-C7</f>
        <v>0</v>
      </c>
      <c r="D50" s="655"/>
      <c r="E50" s="616">
        <f>SUM(E10:E17)-E7</f>
        <v>0</v>
      </c>
      <c r="F50" s="655"/>
      <c r="G50" s="616">
        <f>SUM(G10:G17)-G7</f>
        <v>0</v>
      </c>
      <c r="H50" s="655"/>
      <c r="I50" s="616">
        <f>SUM(I10:I17)-I7</f>
        <v>0</v>
      </c>
      <c r="J50" s="655"/>
      <c r="K50" s="616">
        <f>SUM(K10:K17)-K7</f>
        <v>0</v>
      </c>
      <c r="L50" s="655"/>
      <c r="M50" s="616">
        <f>SUM(M10:M17)-M7</f>
        <v>0</v>
      </c>
      <c r="N50" s="655"/>
      <c r="O50" s="616">
        <f>SUM(O10:O17)-O7</f>
        <v>0</v>
      </c>
      <c r="P50" s="655"/>
      <c r="Q50" s="616">
        <f>SUM(Q10:Q17)-Q7</f>
        <v>0</v>
      </c>
      <c r="R50" s="656"/>
      <c r="S50" s="616">
        <f>SUM(S10:S17)-S7</f>
        <v>0</v>
      </c>
      <c r="T50" s="656"/>
      <c r="U50" s="616">
        <f>SUM(U10:U17)-U7</f>
        <v>0</v>
      </c>
      <c r="V50" s="656"/>
      <c r="W50" s="616">
        <f>SUM(W10:W17)-W7</f>
        <v>0</v>
      </c>
      <c r="X50" s="656"/>
      <c r="Y50" s="616">
        <f>SUM(Y10:Y17)-Y7</f>
        <v>0</v>
      </c>
      <c r="Z50" s="656"/>
      <c r="AA50" s="616">
        <f>SUM(AA10:AA17)-AA7</f>
        <v>0</v>
      </c>
      <c r="AB50" s="656"/>
    </row>
    <row r="51" spans="1:28" ht="25.35" hidden="1" customHeight="1" outlineLevel="1" x14ac:dyDescent="0.3">
      <c r="A51" s="615"/>
      <c r="B51" s="438"/>
      <c r="C51" s="616">
        <f>SUM(C19:C20)-C18</f>
        <v>0</v>
      </c>
      <c r="D51" s="655"/>
      <c r="E51" s="616">
        <f>SUM(E19:E20)-E18</f>
        <v>0</v>
      </c>
      <c r="F51" s="655"/>
      <c r="G51" s="616">
        <f>SUM(G19:G20)-G18</f>
        <v>0</v>
      </c>
      <c r="H51" s="655"/>
      <c r="I51" s="616">
        <f>SUM(I19:I20)-I18</f>
        <v>0</v>
      </c>
      <c r="J51" s="655"/>
      <c r="K51" s="616">
        <f>SUM(K19:K20)-K18</f>
        <v>0</v>
      </c>
      <c r="L51" s="655"/>
      <c r="M51" s="616">
        <f>SUM(M19:M20)-M18</f>
        <v>0</v>
      </c>
      <c r="N51" s="655"/>
      <c r="O51" s="616">
        <f>SUM(O19:O20)-O18</f>
        <v>0</v>
      </c>
      <c r="P51" s="655"/>
      <c r="Q51" s="616">
        <f>SUM(Q19:Q20)-Q18</f>
        <v>0</v>
      </c>
      <c r="R51" s="656"/>
      <c r="S51" s="616">
        <f>SUM(S19:S20)-S18</f>
        <v>0</v>
      </c>
      <c r="T51" s="656"/>
      <c r="U51" s="616">
        <f>SUM(U19:U20)-U18</f>
        <v>0</v>
      </c>
      <c r="V51" s="656"/>
      <c r="W51" s="616">
        <f>SUM(W19:W20)-W18</f>
        <v>0</v>
      </c>
      <c r="X51" s="656"/>
      <c r="Y51" s="616">
        <f>SUM(Y19:Y20)-Y18</f>
        <v>0</v>
      </c>
      <c r="Z51" s="656"/>
      <c r="AA51" s="616">
        <f>SUM(AA19:AA20)-AA18</f>
        <v>0</v>
      </c>
      <c r="AB51" s="656"/>
    </row>
    <row r="52" spans="1:28" ht="25.35" hidden="1" customHeight="1" outlineLevel="1" x14ac:dyDescent="0.3">
      <c r="A52" s="615"/>
      <c r="B52" s="438"/>
      <c r="C52" s="616">
        <f>SUM(C21:C27)-C18</f>
        <v>0</v>
      </c>
      <c r="D52" s="655"/>
      <c r="E52" s="616">
        <f>SUM(E21:E27)-E18</f>
        <v>0</v>
      </c>
      <c r="F52" s="655"/>
      <c r="G52" s="616">
        <f>SUM(G21:G27)-G18</f>
        <v>0</v>
      </c>
      <c r="H52" s="655"/>
      <c r="I52" s="616">
        <f>SUM(I21:I27)-I18</f>
        <v>0</v>
      </c>
      <c r="J52" s="655"/>
      <c r="K52" s="616">
        <f>SUM(K21:K27)-K18</f>
        <v>0</v>
      </c>
      <c r="L52" s="655"/>
      <c r="M52" s="616">
        <f>SUM(M21:M27)-M18</f>
        <v>0</v>
      </c>
      <c r="N52" s="655"/>
      <c r="O52" s="616">
        <f>SUM(O21:O27)-O18</f>
        <v>0</v>
      </c>
      <c r="P52" s="655"/>
      <c r="Q52" s="616">
        <f>SUM(Q21:Q27)-Q18</f>
        <v>0</v>
      </c>
      <c r="R52" s="656"/>
      <c r="S52" s="616">
        <f>SUM(S21:S27)-S18</f>
        <v>0</v>
      </c>
      <c r="T52" s="656"/>
      <c r="U52" s="616">
        <f>SUM(U21:U27)-U18</f>
        <v>0</v>
      </c>
      <c r="V52" s="656"/>
      <c r="W52" s="616">
        <f>SUM(W21:W27)-W18</f>
        <v>0</v>
      </c>
      <c r="X52" s="656"/>
      <c r="Y52" s="616">
        <f>SUM(Y21:Y27)-Y18</f>
        <v>0</v>
      </c>
      <c r="Z52" s="656"/>
      <c r="AA52" s="616">
        <f>SUM(AA21:AA27)-AA18</f>
        <v>0</v>
      </c>
      <c r="AB52" s="656"/>
    </row>
    <row r="53" spans="1:28" ht="25.35" hidden="1" customHeight="1" outlineLevel="1" x14ac:dyDescent="0.3">
      <c r="A53" s="615"/>
      <c r="B53" s="438"/>
      <c r="C53" s="616">
        <f>SUM(C29:C31,C33:C34)-C28</f>
        <v>0</v>
      </c>
      <c r="D53" s="655"/>
      <c r="E53" s="616">
        <f>SUM(E29:E31,E33:E34)-E28</f>
        <v>0</v>
      </c>
      <c r="F53" s="655"/>
      <c r="G53" s="616">
        <f>SUM(G29:G31,G33:G34)-G28</f>
        <v>0</v>
      </c>
      <c r="H53" s="655"/>
      <c r="I53" s="616">
        <f>SUM(I29:I31,I33:I34)-I28</f>
        <v>0</v>
      </c>
      <c r="J53" s="655"/>
      <c r="K53" s="616">
        <f>SUM(K29:K31,K33:K34)-K28</f>
        <v>0</v>
      </c>
      <c r="L53" s="655"/>
      <c r="M53" s="616">
        <f>SUM(M29:M31,M33:M34)-M28</f>
        <v>0</v>
      </c>
      <c r="N53" s="655"/>
      <c r="O53" s="616">
        <f>SUM(O29:O31,O33:O34)-O28</f>
        <v>0</v>
      </c>
      <c r="P53" s="655"/>
      <c r="Q53" s="616">
        <f>SUM(Q29:Q31,Q33:Q34)-Q28</f>
        <v>0</v>
      </c>
      <c r="R53" s="656"/>
      <c r="S53" s="616">
        <f>SUM(S29:S31,S33:S34)-S28</f>
        <v>0</v>
      </c>
      <c r="T53" s="656"/>
      <c r="U53" s="616">
        <f>SUM(U29:U31,U33:U34)-U28</f>
        <v>0</v>
      </c>
      <c r="V53" s="656"/>
      <c r="W53" s="616">
        <f>SUM(W29:W31,W33:W34)-W28</f>
        <v>0</v>
      </c>
      <c r="X53" s="656"/>
      <c r="Y53" s="616">
        <f>SUM(Y29:Y31,Y33:Y34)-Y28</f>
        <v>0</v>
      </c>
      <c r="Z53" s="656"/>
      <c r="AA53" s="616">
        <f>SUM(AA29:AA31,AA33:AA34)-AA28</f>
        <v>0</v>
      </c>
      <c r="AB53" s="656"/>
    </row>
    <row r="54" spans="1:28" ht="25.35" hidden="1" customHeight="1" outlineLevel="1" x14ac:dyDescent="0.3">
      <c r="A54" s="615"/>
      <c r="B54" s="438"/>
      <c r="C54" s="616">
        <f>C7-C18-C28</f>
        <v>0</v>
      </c>
      <c r="D54" s="655"/>
      <c r="E54" s="616">
        <f>E7-E18-E28</f>
        <v>0.39999999944120646</v>
      </c>
      <c r="F54" s="655"/>
      <c r="G54" s="616">
        <f>G7-G18-G28</f>
        <v>-2767.979700001888</v>
      </c>
      <c r="H54" s="655"/>
      <c r="I54" s="616">
        <f>I7-I18-I28</f>
        <v>-2767.9828695906326</v>
      </c>
      <c r="J54" s="655"/>
      <c r="K54" s="616">
        <f>K7-K18-K28</f>
        <v>-2767.964922983665</v>
      </c>
      <c r="L54" s="655"/>
      <c r="M54" s="616">
        <f>M7-M18-M28</f>
        <v>-2768.000000001397</v>
      </c>
      <c r="N54" s="655"/>
      <c r="O54" s="616">
        <f>O7-O18-O28</f>
        <v>-2768.0000000004657</v>
      </c>
      <c r="P54" s="655"/>
      <c r="Q54" s="616">
        <f>Q7-Q18-Q28</f>
        <v>-2768</v>
      </c>
      <c r="R54" s="656"/>
      <c r="S54" s="616">
        <f>S7-S18-S28</f>
        <v>-2768</v>
      </c>
      <c r="T54" s="656"/>
      <c r="U54" s="616">
        <f>U7-U18-U28</f>
        <v>-2767.9999999990687</v>
      </c>
      <c r="V54" s="656"/>
      <c r="W54" s="616">
        <f>W7-W18-W28</f>
        <v>-2767.9999999990687</v>
      </c>
      <c r="X54" s="656"/>
      <c r="Y54" s="616">
        <f>Y7-Y18-Y28</f>
        <v>-2767.9999999990687</v>
      </c>
      <c r="Z54" s="656"/>
      <c r="AA54" s="616">
        <f>AA7-AA18-AA28</f>
        <v>-2767.9999999990687</v>
      </c>
      <c r="AB54" s="656"/>
    </row>
    <row r="55" spans="1:28" ht="25.35" customHeight="1" collapsed="1" x14ac:dyDescent="0.3"/>
    <row r="56" spans="1:28" ht="25.35" customHeight="1" x14ac:dyDescent="0.3"/>
  </sheetData>
  <mergeCells count="15">
    <mergeCell ref="A1:AB2"/>
    <mergeCell ref="U5:V5"/>
    <mergeCell ref="W5:X5"/>
    <mergeCell ref="Y5:Z5"/>
    <mergeCell ref="AA5:AB5"/>
    <mergeCell ref="Q5:R5"/>
    <mergeCell ref="S5:T5"/>
    <mergeCell ref="O5:P5"/>
    <mergeCell ref="A5:B6"/>
    <mergeCell ref="C5:D5"/>
    <mergeCell ref="E5:F5"/>
    <mergeCell ref="G5:H5"/>
    <mergeCell ref="I5:J5"/>
    <mergeCell ref="K5:L5"/>
    <mergeCell ref="M5:N5"/>
  </mergeCells>
  <phoneticPr fontId="2" type="noConversion"/>
  <pageMargins left="0.7" right="0.7" top="0.75" bottom="0.75" header="0.3" footer="0.3"/>
  <pageSetup paperSize="9" scale="43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FEB5-1CD5-4191-B260-41A8BC85CE19}">
  <sheetPr codeName="Sheet7"/>
  <dimension ref="A1:BG57"/>
  <sheetViews>
    <sheetView showGridLines="0" topLeftCell="B1" zoomScale="85" zoomScaleNormal="85" workbookViewId="0">
      <selection activeCell="B1" sqref="B1:O2"/>
    </sheetView>
  </sheetViews>
  <sheetFormatPr defaultColWidth="9" defaultRowHeight="13.5" outlineLevelRow="1" outlineLevelCol="1" x14ac:dyDescent="0.3"/>
  <cols>
    <col min="1" max="1" width="9" style="59" hidden="1" customWidth="1" outlineLevel="1"/>
    <col min="2" max="2" width="23" style="59" bestFit="1" customWidth="1" collapsed="1"/>
    <col min="3" max="8" width="10.625" style="59" hidden="1" customWidth="1" outlineLevel="1"/>
    <col min="9" max="9" width="10.625" style="59" customWidth="1" collapsed="1"/>
    <col min="10" max="15" width="10.625" style="59" customWidth="1"/>
    <col min="16" max="16" width="9.375" style="59" customWidth="1"/>
    <col min="17" max="17" width="11.375" style="59" hidden="1" customWidth="1" outlineLevel="1"/>
    <col min="18" max="18" width="12.625" style="661" hidden="1" customWidth="1" outlineLevel="1"/>
    <col min="19" max="29" width="12.625" style="59" hidden="1" customWidth="1" outlineLevel="1"/>
    <col min="30" max="30" width="2.75" style="59" hidden="1" customWidth="1" outlineLevel="1"/>
    <col min="31" max="41" width="10.125" style="59" hidden="1" customWidth="1" outlineLevel="1"/>
    <col min="42" max="42" width="8.875" style="59" hidden="1" customWidth="1" outlineLevel="1"/>
    <col min="43" max="43" width="2.75" style="59" hidden="1" customWidth="1" outlineLevel="1"/>
    <col min="44" max="44" width="8.625" style="59" hidden="1" customWidth="1" outlineLevel="1"/>
    <col min="45" max="46" width="11.375" style="59" hidden="1" customWidth="1" outlineLevel="1"/>
    <col min="47" max="47" width="7.625" style="59" hidden="1" customWidth="1" outlineLevel="1"/>
    <col min="48" max="49" width="8.625" style="59" hidden="1" customWidth="1" outlineLevel="1"/>
    <col min="50" max="50" width="2.75" style="59" hidden="1" customWidth="1" outlineLevel="1"/>
    <col min="51" max="51" width="33.625" style="59" hidden="1" customWidth="1" outlineLevel="1"/>
    <col min="52" max="53" width="2.75" style="59" hidden="1" customWidth="1" outlineLevel="1"/>
    <col min="54" max="54" width="8.625" style="59" hidden="1" customWidth="1" outlineLevel="1"/>
    <col min="55" max="55" width="7.625" style="59" hidden="1" customWidth="1" outlineLevel="1"/>
    <col min="56" max="56" width="8.625" style="59" hidden="1" customWidth="1" outlineLevel="1"/>
    <col min="57" max="57" width="7.625" style="59" hidden="1" customWidth="1" outlineLevel="1"/>
    <col min="58" max="58" width="9" style="59" customWidth="1" collapsed="1"/>
    <col min="59" max="60" width="9" style="59" customWidth="1"/>
    <col min="61" max="16384" width="9" style="59"/>
  </cols>
  <sheetData>
    <row r="1" spans="1:59" ht="25.35" customHeight="1" x14ac:dyDescent="0.3">
      <c r="B1" s="1140" t="s">
        <v>567</v>
      </c>
      <c r="C1" s="1140"/>
      <c r="D1" s="1140"/>
      <c r="E1" s="1140"/>
      <c r="F1" s="1140"/>
      <c r="G1" s="1140"/>
      <c r="H1" s="1140"/>
      <c r="I1" s="1140"/>
      <c r="J1" s="1140"/>
      <c r="K1" s="1140"/>
      <c r="L1" s="1140"/>
      <c r="M1" s="1140"/>
      <c r="N1" s="1140"/>
      <c r="O1" s="1140"/>
      <c r="Q1" s="61"/>
      <c r="R1" s="659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</row>
    <row r="2" spans="1:59" ht="25.35" customHeight="1" x14ac:dyDescent="0.3">
      <c r="B2" s="1140"/>
      <c r="C2" s="1140"/>
      <c r="D2" s="1140"/>
      <c r="E2" s="1140"/>
      <c r="F2" s="1140"/>
      <c r="G2" s="1140"/>
      <c r="H2" s="1140"/>
      <c r="I2" s="1140"/>
      <c r="J2" s="1140"/>
      <c r="K2" s="1140"/>
      <c r="L2" s="1140"/>
      <c r="M2" s="1140"/>
      <c r="N2" s="1140"/>
      <c r="O2" s="1140"/>
      <c r="Q2" s="61"/>
      <c r="R2" s="659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</row>
    <row r="3" spans="1:59" ht="25.35" customHeight="1" x14ac:dyDescent="0.3">
      <c r="B3" s="69"/>
      <c r="C3" s="649"/>
      <c r="D3" s="649"/>
      <c r="E3" s="649"/>
      <c r="F3" s="649"/>
      <c r="G3" s="227"/>
      <c r="H3" s="227"/>
      <c r="J3" s="68"/>
      <c r="K3" s="68"/>
      <c r="L3" s="68"/>
      <c r="M3" s="68"/>
      <c r="N3" s="68"/>
      <c r="O3" s="792" t="s">
        <v>429</v>
      </c>
      <c r="Q3" s="438"/>
      <c r="R3" s="660"/>
      <c r="S3" s="438"/>
      <c r="T3" s="438"/>
      <c r="U3" s="438"/>
      <c r="V3" s="438"/>
      <c r="W3" s="438"/>
      <c r="X3" s="438"/>
      <c r="Y3" s="438"/>
      <c r="Z3" s="438"/>
      <c r="AA3" s="438"/>
      <c r="AB3" s="438"/>
      <c r="AC3" s="438"/>
      <c r="AD3" s="438"/>
      <c r="AE3" s="438"/>
      <c r="AF3" s="438"/>
      <c r="AG3" s="438"/>
      <c r="AH3" s="438"/>
      <c r="AI3" s="438"/>
      <c r="AJ3" s="438"/>
      <c r="AK3" s="438"/>
      <c r="AL3" s="438"/>
      <c r="AM3" s="438"/>
      <c r="AN3" s="438"/>
      <c r="AO3" s="438"/>
      <c r="AP3" s="438"/>
      <c r="AQ3" s="438"/>
      <c r="AR3" s="438"/>
      <c r="AS3" s="438"/>
      <c r="AT3" s="438"/>
      <c r="AU3" s="438"/>
      <c r="AV3" s="438"/>
      <c r="AW3" s="438"/>
      <c r="AX3" s="438"/>
      <c r="AY3" s="438"/>
      <c r="AZ3" s="438"/>
      <c r="BA3" s="438"/>
      <c r="BB3" s="438"/>
      <c r="BC3" s="438"/>
      <c r="BD3" s="438"/>
      <c r="BE3" s="438"/>
    </row>
    <row r="4" spans="1:59" ht="25.35" customHeight="1" x14ac:dyDescent="0.3">
      <c r="B4" s="107" t="s">
        <v>373</v>
      </c>
      <c r="C4" s="123" t="s">
        <v>434</v>
      </c>
      <c r="D4" s="123" t="s">
        <v>387</v>
      </c>
      <c r="E4" s="123" t="s">
        <v>360</v>
      </c>
      <c r="F4" s="123" t="s">
        <v>361</v>
      </c>
      <c r="G4" s="124" t="s">
        <v>362</v>
      </c>
      <c r="H4" s="124" t="s">
        <v>363</v>
      </c>
      <c r="I4" s="124" t="s">
        <v>398</v>
      </c>
      <c r="J4" s="124" t="s">
        <v>426</v>
      </c>
      <c r="K4" s="124" t="s">
        <v>427</v>
      </c>
      <c r="L4" s="124" t="s">
        <v>430</v>
      </c>
      <c r="M4" s="124" t="s">
        <v>431</v>
      </c>
      <c r="N4" s="124" t="s">
        <v>432</v>
      </c>
      <c r="O4" s="124" t="s">
        <v>433</v>
      </c>
      <c r="Q4" s="124" t="s">
        <v>434</v>
      </c>
      <c r="R4" s="124" t="s">
        <v>387</v>
      </c>
      <c r="S4" s="124" t="s">
        <v>360</v>
      </c>
      <c r="T4" s="124" t="s">
        <v>361</v>
      </c>
      <c r="U4" s="124" t="s">
        <v>362</v>
      </c>
      <c r="V4" s="124" t="s">
        <v>363</v>
      </c>
      <c r="W4" s="124" t="s">
        <v>398</v>
      </c>
      <c r="X4" s="124" t="s">
        <v>426</v>
      </c>
      <c r="Y4" s="124" t="s">
        <v>427</v>
      </c>
      <c r="Z4" s="124" t="s">
        <v>430</v>
      </c>
      <c r="AA4" s="124" t="s">
        <v>431</v>
      </c>
      <c r="AB4" s="124" t="s">
        <v>432</v>
      </c>
      <c r="AC4" s="124" t="s">
        <v>433</v>
      </c>
      <c r="AE4" s="124" t="s">
        <v>360</v>
      </c>
      <c r="AF4" s="124" t="s">
        <v>361</v>
      </c>
      <c r="AG4" s="124" t="s">
        <v>362</v>
      </c>
      <c r="AH4" s="124" t="s">
        <v>363</v>
      </c>
      <c r="AI4" s="124" t="s">
        <v>398</v>
      </c>
      <c r="AJ4" s="124" t="s">
        <v>426</v>
      </c>
      <c r="AK4" s="124" t="s">
        <v>427</v>
      </c>
      <c r="AL4" s="124" t="s">
        <v>430</v>
      </c>
      <c r="AM4" s="124" t="s">
        <v>431</v>
      </c>
      <c r="AN4" s="124" t="s">
        <v>432</v>
      </c>
      <c r="AO4" s="124" t="s">
        <v>433</v>
      </c>
    </row>
    <row r="5" spans="1:59" ht="25.35" hidden="1" customHeight="1" outlineLevel="1" x14ac:dyDescent="0.3">
      <c r="A5" s="61"/>
      <c r="B5" s="896" t="s">
        <v>381</v>
      </c>
      <c r="C5" s="125">
        <f>C6+C12</f>
        <v>4498794.3365319995</v>
      </c>
      <c r="D5" s="125">
        <f t="shared" ref="D5:I5" si="0">D6+D12</f>
        <v>15463205.696163999</v>
      </c>
      <c r="E5" s="125">
        <f t="shared" si="0"/>
        <v>16351281.3088651</v>
      </c>
      <c r="F5" s="125">
        <f t="shared" si="0"/>
        <v>16471401.727639999</v>
      </c>
      <c r="G5" s="125">
        <f t="shared" si="0"/>
        <v>17126871.286730997</v>
      </c>
      <c r="H5" s="125">
        <f t="shared" si="0"/>
        <v>17356632.831519</v>
      </c>
      <c r="I5" s="125">
        <f t="shared" si="0"/>
        <v>17693439.760192458</v>
      </c>
      <c r="J5" s="125">
        <f t="shared" ref="J5:O5" si="1">J6+J12</f>
        <v>17924411.083514187</v>
      </c>
      <c r="K5" s="125">
        <f t="shared" si="1"/>
        <v>18164986.639054276</v>
      </c>
      <c r="L5" s="125">
        <f t="shared" si="1"/>
        <v>18430931.65932405</v>
      </c>
      <c r="M5" s="125">
        <f t="shared" si="1"/>
        <v>18707602.66956991</v>
      </c>
      <c r="N5" s="125">
        <f t="shared" si="1"/>
        <v>19025902.671861555</v>
      </c>
      <c r="O5" s="125">
        <f t="shared" si="1"/>
        <v>19382397.093463141</v>
      </c>
      <c r="Q5" s="661"/>
      <c r="S5" s="661"/>
      <c r="T5" s="661"/>
      <c r="U5" s="661"/>
      <c r="V5" s="661"/>
      <c r="W5" s="661"/>
      <c r="X5" s="661"/>
      <c r="Y5" s="661"/>
      <c r="Z5" s="661"/>
      <c r="AA5" s="661"/>
      <c r="AB5" s="661"/>
      <c r="AC5" s="661"/>
      <c r="AD5" s="661"/>
      <c r="AE5" s="889">
        <f>(E5-D5)/D5</f>
        <v>5.7431533289465889E-2</v>
      </c>
      <c r="AF5" s="889">
        <f>(F5-E5)/E5</f>
        <v>7.3462388974846853E-3</v>
      </c>
      <c r="AG5" s="889">
        <f>(G5-F5)/F5</f>
        <v>3.9794400618077382E-2</v>
      </c>
      <c r="AH5" s="889">
        <f>(H5-G5)/G5</f>
        <v>1.341526662642757E-2</v>
      </c>
      <c r="AI5" s="889">
        <f>(I5-H5)/H5</f>
        <v>1.9405084611908624E-2</v>
      </c>
      <c r="AJ5" s="889">
        <f t="shared" ref="AJ5:AO6" si="2">(J5-I5)/I5</f>
        <v>1.3054065600142951E-2</v>
      </c>
      <c r="AK5" s="889">
        <f t="shared" si="2"/>
        <v>1.3421671396576913E-2</v>
      </c>
      <c r="AL5" s="889">
        <f t="shared" si="2"/>
        <v>1.4640529363120951E-2</v>
      </c>
      <c r="AM5" s="889">
        <f t="shared" si="2"/>
        <v>1.5011233038015968E-2</v>
      </c>
      <c r="AN5" s="889">
        <f t="shared" si="2"/>
        <v>1.7014473094909045E-2</v>
      </c>
      <c r="AO5" s="889">
        <f t="shared" si="2"/>
        <v>1.8737319734575594E-2</v>
      </c>
      <c r="AP5" s="59" t="s">
        <v>568</v>
      </c>
    </row>
    <row r="6" spans="1:59" ht="25.35" hidden="1" customHeight="1" outlineLevel="1" x14ac:dyDescent="0.3">
      <c r="A6" s="61"/>
      <c r="B6" s="896" t="s">
        <v>569</v>
      </c>
      <c r="C6" s="125">
        <f>SUM(C7:C11)</f>
        <v>4498794.3365319995</v>
      </c>
      <c r="D6" s="125">
        <f t="shared" ref="D6:I6" si="3">SUM(D7:D11)</f>
        <v>4583092.6798349991</v>
      </c>
      <c r="E6" s="125">
        <f t="shared" si="3"/>
        <v>4645311.4138981141</v>
      </c>
      <c r="F6" s="125">
        <f t="shared" si="3"/>
        <v>4193447.3672530004</v>
      </c>
      <c r="G6" s="125">
        <f t="shared" si="3"/>
        <v>4051374.2173239999</v>
      </c>
      <c r="H6" s="125">
        <f t="shared" si="3"/>
        <v>3785157.3095499999</v>
      </c>
      <c r="I6" s="125">
        <f t="shared" si="3"/>
        <v>3767633.7679804387</v>
      </c>
      <c r="J6" s="125">
        <f t="shared" ref="J6:O6" si="4">SUM(J7:J11)</f>
        <v>3731480.0000000005</v>
      </c>
      <c r="K6" s="125">
        <f t="shared" si="4"/>
        <v>3695859.7333006281</v>
      </c>
      <c r="L6" s="125">
        <f t="shared" si="4"/>
        <v>3660764.2864404675</v>
      </c>
      <c r="M6" s="125">
        <f t="shared" si="4"/>
        <v>3630028.9425074859</v>
      </c>
      <c r="N6" s="125">
        <f t="shared" si="4"/>
        <v>3606085.700983129</v>
      </c>
      <c r="O6" s="125">
        <f t="shared" si="4"/>
        <v>3589873.1662197886</v>
      </c>
      <c r="Q6" s="661"/>
      <c r="S6" s="661"/>
      <c r="T6" s="661"/>
      <c r="U6" s="661"/>
      <c r="V6" s="661"/>
      <c r="W6" s="661"/>
      <c r="X6" s="661"/>
      <c r="Y6" s="661"/>
      <c r="Z6" s="661"/>
      <c r="AA6" s="661"/>
      <c r="AB6" s="661"/>
      <c r="AC6" s="661"/>
      <c r="AD6" s="661"/>
      <c r="AE6" s="662">
        <f t="shared" ref="AE6:AK44" si="5">(E6-D6)/D6</f>
        <v>1.3575709332012674E-2</v>
      </c>
      <c r="AF6" s="662">
        <f t="shared" si="5"/>
        <v>-9.7273144119724778E-2</v>
      </c>
      <c r="AG6" s="662">
        <f t="shared" si="5"/>
        <v>-3.3879798048370005E-2</v>
      </c>
      <c r="AH6" s="662">
        <f t="shared" si="5"/>
        <v>-6.571027347600604E-2</v>
      </c>
      <c r="AI6" s="662">
        <f t="shared" si="5"/>
        <v>-4.6295411620936111E-3</v>
      </c>
      <c r="AJ6" s="662">
        <f t="shared" si="2"/>
        <v>-9.595881714325346E-3</v>
      </c>
      <c r="AK6" s="662">
        <f t="shared" si="2"/>
        <v>-9.5458817143257695E-3</v>
      </c>
      <c r="AL6" s="662">
        <f t="shared" ref="AL6:AO13" si="6">(L6-K6)/K6</f>
        <v>-9.4958817143253171E-3</v>
      </c>
      <c r="AM6" s="662">
        <f>(M6-L6)/L6</f>
        <v>-8.3958817143255666E-3</v>
      </c>
      <c r="AN6" s="662">
        <f>(N6-M6)/M6</f>
        <v>-6.5958817143253416E-3</v>
      </c>
      <c r="AO6" s="662">
        <f>(O6-N6)/N6</f>
        <v>-4.4958817143254089E-3</v>
      </c>
      <c r="AP6" s="59" t="s">
        <v>570</v>
      </c>
    </row>
    <row r="7" spans="1:59" ht="25.35" hidden="1" customHeight="1" outlineLevel="1" x14ac:dyDescent="0.3">
      <c r="A7" s="61"/>
      <c r="B7" s="897" t="s">
        <v>571</v>
      </c>
      <c r="C7" s="126">
        <f t="shared" ref="C7:K12" si="7">Q7</f>
        <v>1286828.1873500003</v>
      </c>
      <c r="D7" s="126">
        <f t="shared" si="7"/>
        <v>1254473.77474</v>
      </c>
      <c r="E7" s="126">
        <f t="shared" si="7"/>
        <v>1227543.577756</v>
      </c>
      <c r="F7" s="126">
        <f t="shared" si="7"/>
        <v>1102772.0343889999</v>
      </c>
      <c r="G7" s="126">
        <f t="shared" si="7"/>
        <v>1059132.719453</v>
      </c>
      <c r="H7" s="126">
        <f t="shared" si="7"/>
        <v>946419.88354200008</v>
      </c>
      <c r="I7" s="126">
        <f t="shared" si="7"/>
        <v>938513.978005582</v>
      </c>
      <c r="J7" s="126">
        <f t="shared" si="7"/>
        <v>893277.6042657129</v>
      </c>
      <c r="K7" s="126">
        <f t="shared" si="7"/>
        <v>854048.50555297395</v>
      </c>
      <c r="L7" s="126">
        <f t="shared" ref="L7:L12" si="8">Z7</f>
        <v>819882.67804400367</v>
      </c>
      <c r="M7" s="126">
        <f t="shared" ref="M7:M12" si="9">AA7</f>
        <v>790010.34484786948</v>
      </c>
      <c r="N7" s="126">
        <f t="shared" ref="N7:N12" si="10">AB7</f>
        <v>763799.20669996215</v>
      </c>
      <c r="O7" s="126">
        <f t="shared" ref="O7:O12" si="11">AC7</f>
        <v>740726.31034168438</v>
      </c>
      <c r="Q7" s="661">
        <f>'7-1. FS'!AB43</f>
        <v>1286828.1873500003</v>
      </c>
      <c r="R7" s="661">
        <f>'7-1. FS'!AC43</f>
        <v>1254473.77474</v>
      </c>
      <c r="S7" s="661">
        <f>'7-1. FS'!AD43</f>
        <v>1227543.577756</v>
      </c>
      <c r="T7" s="661">
        <f>'7-1. FS'!AE43</f>
        <v>1102772.0343889999</v>
      </c>
      <c r="U7" s="661">
        <f>'7-1. FS'!AF43</f>
        <v>1059132.719453</v>
      </c>
      <c r="V7" s="661">
        <f>'7-1. FS'!AG43</f>
        <v>946419.88354200008</v>
      </c>
      <c r="W7" s="661">
        <f>'7-1. FS'!AH43</f>
        <v>938513.978005582</v>
      </c>
      <c r="X7" s="661">
        <f>'7-1. FS'!AI43</f>
        <v>893277.6042657129</v>
      </c>
      <c r="Y7" s="661">
        <f>'7-1. FS'!AJ43</f>
        <v>854048.50555297395</v>
      </c>
      <c r="Z7" s="661">
        <f>'7-1. FS'!AK43</f>
        <v>819882.67804400367</v>
      </c>
      <c r="AA7" s="661">
        <f>'7-1. FS'!AL43</f>
        <v>790010.34484786948</v>
      </c>
      <c r="AB7" s="661">
        <f>'7-1. FS'!AM43</f>
        <v>763799.20669996215</v>
      </c>
      <c r="AC7" s="661">
        <f>'7-1. FS'!AN43</f>
        <v>740726.31034168438</v>
      </c>
      <c r="AD7" s="661"/>
      <c r="AE7" s="662">
        <f t="shared" si="5"/>
        <v>-2.1467325603982072E-2</v>
      </c>
      <c r="AF7" s="662">
        <f t="shared" si="5"/>
        <v>-0.10164327004592991</v>
      </c>
      <c r="AG7" s="662">
        <f t="shared" si="5"/>
        <v>-3.9572380850389131E-2</v>
      </c>
      <c r="AH7" s="662">
        <f t="shared" si="5"/>
        <v>-0.1064199357085405</v>
      </c>
      <c r="AI7" s="662">
        <f t="shared" si="5"/>
        <v>-8.3534863054969145E-3</v>
      </c>
      <c r="AJ7" s="662">
        <f t="shared" si="5"/>
        <v>-4.8200000000000048E-2</v>
      </c>
      <c r="AK7" s="662">
        <f t="shared" si="5"/>
        <v>-4.3915909819530106E-2</v>
      </c>
      <c r="AL7" s="662">
        <f t="shared" si="6"/>
        <v>-4.000455159961764E-2</v>
      </c>
      <c r="AM7" s="662">
        <f t="shared" si="6"/>
        <v>-3.643488757123238E-2</v>
      </c>
      <c r="AN7" s="662">
        <f t="shared" si="6"/>
        <v>-3.3178221423106495E-2</v>
      </c>
      <c r="AO7" s="662">
        <f t="shared" si="6"/>
        <v>-3.020806536048332E-2</v>
      </c>
      <c r="AP7" s="59" t="s">
        <v>572</v>
      </c>
    </row>
    <row r="8" spans="1:59" ht="25.35" hidden="1" customHeight="1" outlineLevel="1" x14ac:dyDescent="0.3">
      <c r="A8" s="61"/>
      <c r="B8" s="897" t="s">
        <v>467</v>
      </c>
      <c r="C8" s="126">
        <f t="shared" si="7"/>
        <v>284126.36924800003</v>
      </c>
      <c r="D8" s="126">
        <f t="shared" si="7"/>
        <v>373805.20524599997</v>
      </c>
      <c r="E8" s="126">
        <f t="shared" si="7"/>
        <v>446463.85187599988</v>
      </c>
      <c r="F8" s="126">
        <f t="shared" si="7"/>
        <v>428831.81811700005</v>
      </c>
      <c r="G8" s="126">
        <f t="shared" si="7"/>
        <v>379746.36304200004</v>
      </c>
      <c r="H8" s="126">
        <f t="shared" si="7"/>
        <v>384490.27590900008</v>
      </c>
      <c r="I8" s="126">
        <f t="shared" si="7"/>
        <v>359033.71025559719</v>
      </c>
      <c r="J8" s="126">
        <f t="shared" si="7"/>
        <v>341800.09216332849</v>
      </c>
      <c r="K8" s="126">
        <f t="shared" si="7"/>
        <v>335140.5320933758</v>
      </c>
      <c r="L8" s="126">
        <f t="shared" si="8"/>
        <v>332513.18171832123</v>
      </c>
      <c r="M8" s="126">
        <f t="shared" si="9"/>
        <v>331555.54375497246</v>
      </c>
      <c r="N8" s="126">
        <f t="shared" si="10"/>
        <v>330759.81044996053</v>
      </c>
      <c r="O8" s="126">
        <f t="shared" si="11"/>
        <v>330098.2908290606</v>
      </c>
      <c r="Q8" s="661">
        <f>'7-1. FS'!AB44</f>
        <v>284126.36924800003</v>
      </c>
      <c r="R8" s="661">
        <f>'7-1. FS'!AC44</f>
        <v>373805.20524599997</v>
      </c>
      <c r="S8" s="661">
        <f>'7-1. FS'!AD44</f>
        <v>446463.85187599988</v>
      </c>
      <c r="T8" s="661">
        <f>'7-1. FS'!AE44</f>
        <v>428831.81811700005</v>
      </c>
      <c r="U8" s="661">
        <f>'7-1. FS'!AF44</f>
        <v>379746.36304200004</v>
      </c>
      <c r="V8" s="661">
        <f>'7-1. FS'!AG44</f>
        <v>384490.27590900008</v>
      </c>
      <c r="W8" s="661">
        <f>'7-1. FS'!AH44</f>
        <v>359033.71025559719</v>
      </c>
      <c r="X8" s="661">
        <f>'7-1. FS'!AI44</f>
        <v>341800.09216332849</v>
      </c>
      <c r="Y8" s="661">
        <f>'7-1. FS'!AJ44</f>
        <v>335140.5320933758</v>
      </c>
      <c r="Z8" s="661">
        <f>'7-1. FS'!AK44</f>
        <v>332513.18171832123</v>
      </c>
      <c r="AA8" s="661">
        <f>'7-1. FS'!AL44</f>
        <v>331555.54375497246</v>
      </c>
      <c r="AB8" s="661">
        <f>'7-1. FS'!AM44</f>
        <v>330759.81044996053</v>
      </c>
      <c r="AC8" s="661">
        <f>'7-1. FS'!AN44</f>
        <v>330098.2908290606</v>
      </c>
      <c r="AD8" s="661"/>
      <c r="AE8" s="662">
        <f t="shared" si="5"/>
        <v>0.194375695175736</v>
      </c>
      <c r="AF8" s="662">
        <f t="shared" si="5"/>
        <v>-3.9492634588246416E-2</v>
      </c>
      <c r="AG8" s="662">
        <f t="shared" si="5"/>
        <v>-0.11446318347023356</v>
      </c>
      <c r="AH8" s="662">
        <f t="shared" si="5"/>
        <v>1.2492319423413036E-2</v>
      </c>
      <c r="AI8" s="662">
        <f t="shared" si="5"/>
        <v>-6.620860720916609E-2</v>
      </c>
      <c r="AJ8" s="662">
        <f t="shared" si="5"/>
        <v>-4.8000000000000112E-2</v>
      </c>
      <c r="AK8" s="662">
        <f t="shared" si="5"/>
        <v>-1.9483786642077401E-2</v>
      </c>
      <c r="AL8" s="662">
        <f t="shared" si="6"/>
        <v>-7.8395482594822482E-3</v>
      </c>
      <c r="AM8" s="662">
        <f t="shared" si="6"/>
        <v>-2.880000000000005E-3</v>
      </c>
      <c r="AN8" s="662">
        <f t="shared" si="6"/>
        <v>-2.4000000000000007E-3</v>
      </c>
      <c r="AO8" s="662">
        <f t="shared" si="6"/>
        <v>-2.0000000000000148E-3</v>
      </c>
      <c r="AP8" s="59" t="s">
        <v>573</v>
      </c>
    </row>
    <row r="9" spans="1:59" ht="25.35" hidden="1" customHeight="1" outlineLevel="1" x14ac:dyDescent="0.3">
      <c r="A9" s="61"/>
      <c r="B9" s="897" t="s">
        <v>468</v>
      </c>
      <c r="C9" s="126">
        <f t="shared" si="7"/>
        <v>2854891.9399620001</v>
      </c>
      <c r="D9" s="126">
        <f t="shared" si="7"/>
        <v>2891446.6891979999</v>
      </c>
      <c r="E9" s="126">
        <f t="shared" si="7"/>
        <v>2912429.4304511147</v>
      </c>
      <c r="F9" s="126">
        <f t="shared" si="7"/>
        <v>2628283.0168940001</v>
      </c>
      <c r="G9" s="126">
        <f t="shared" si="7"/>
        <v>2584579.971262</v>
      </c>
      <c r="H9" s="126">
        <f t="shared" si="7"/>
        <v>2418763.6413699999</v>
      </c>
      <c r="I9" s="126">
        <f t="shared" si="7"/>
        <v>2443642.4624549099</v>
      </c>
      <c r="J9" s="126">
        <f t="shared" si="7"/>
        <v>2474907.9280572846</v>
      </c>
      <c r="K9" s="126">
        <f t="shared" si="7"/>
        <v>2487949.7631287631</v>
      </c>
      <c r="L9" s="126">
        <f t="shared" si="8"/>
        <v>2491294.663939774</v>
      </c>
      <c r="M9" s="126">
        <f t="shared" si="9"/>
        <v>2492406.0781562915</v>
      </c>
      <c r="N9" s="126">
        <f t="shared" si="10"/>
        <v>2496113.6987644196</v>
      </c>
      <c r="O9" s="126">
        <f t="shared" si="11"/>
        <v>2504050.4932432622</v>
      </c>
      <c r="Q9" s="661">
        <f>'7-1. FS'!AB45</f>
        <v>2854891.9399620001</v>
      </c>
      <c r="R9" s="661">
        <f>'7-1. FS'!AC45</f>
        <v>2891446.6891979999</v>
      </c>
      <c r="S9" s="661">
        <f>'7-1. FS'!AD45</f>
        <v>2912429.4304511147</v>
      </c>
      <c r="T9" s="661">
        <f>'7-1. FS'!AE45</f>
        <v>2628283.0168940001</v>
      </c>
      <c r="U9" s="661">
        <f>'7-1. FS'!AF45</f>
        <v>2584579.971262</v>
      </c>
      <c r="V9" s="661">
        <f>'7-1. FS'!AG45</f>
        <v>2418763.6413699999</v>
      </c>
      <c r="W9" s="661">
        <f>'7-1. FS'!AH45</f>
        <v>2443642.4624549099</v>
      </c>
      <c r="X9" s="661">
        <f>'7-1. FS'!AI45</f>
        <v>2474907.9280572846</v>
      </c>
      <c r="Y9" s="661">
        <f>'7-1. FS'!AJ45</f>
        <v>2487949.7631287631</v>
      </c>
      <c r="Z9" s="661">
        <f>'7-1. FS'!AK45</f>
        <v>2491294.663939774</v>
      </c>
      <c r="AA9" s="661">
        <f>'7-1. FS'!AL45</f>
        <v>2492406.0781562915</v>
      </c>
      <c r="AB9" s="661">
        <f>'7-1. FS'!AM45</f>
        <v>2496113.6987644196</v>
      </c>
      <c r="AC9" s="661">
        <f>'7-1. FS'!AN45</f>
        <v>2504050.4932432622</v>
      </c>
      <c r="AD9" s="661"/>
      <c r="AE9" s="662">
        <f t="shared" si="5"/>
        <v>7.2568314441013443E-3</v>
      </c>
      <c r="AF9" s="662">
        <f t="shared" si="5"/>
        <v>-9.7563364312350839E-2</v>
      </c>
      <c r="AG9" s="662">
        <f t="shared" si="5"/>
        <v>-1.6627983117147936E-2</v>
      </c>
      <c r="AH9" s="662">
        <f t="shared" si="5"/>
        <v>-6.4156006676409902E-2</v>
      </c>
      <c r="AI9" s="662">
        <f t="shared" si="5"/>
        <v>1.0285759492737613E-2</v>
      </c>
      <c r="AJ9" s="662">
        <f t="shared" si="5"/>
        <v>1.27946154491705E-2</v>
      </c>
      <c r="AK9" s="662">
        <f t="shared" si="5"/>
        <v>5.2696243458704682E-3</v>
      </c>
      <c r="AL9" s="662">
        <f t="shared" si="6"/>
        <v>1.3444406557488265E-3</v>
      </c>
      <c r="AM9" s="662">
        <f t="shared" si="6"/>
        <v>4.4611913339864107E-4</v>
      </c>
      <c r="AN9" s="662">
        <f t="shared" si="6"/>
        <v>1.487566829748217E-3</v>
      </c>
      <c r="AO9" s="662">
        <f t="shared" si="6"/>
        <v>3.1796606391652949E-3</v>
      </c>
    </row>
    <row r="10" spans="1:59" ht="25.35" hidden="1" customHeight="1" outlineLevel="1" x14ac:dyDescent="0.3">
      <c r="A10" s="61"/>
      <c r="B10" s="897" t="s">
        <v>469</v>
      </c>
      <c r="C10" s="126">
        <f t="shared" si="7"/>
        <v>0</v>
      </c>
      <c r="D10" s="126">
        <f t="shared" si="7"/>
        <v>0</v>
      </c>
      <c r="E10" s="126">
        <f t="shared" si="7"/>
        <v>0</v>
      </c>
      <c r="F10" s="126">
        <f t="shared" si="7"/>
        <v>0</v>
      </c>
      <c r="G10" s="126">
        <f t="shared" si="7"/>
        <v>0</v>
      </c>
      <c r="H10" s="126">
        <f t="shared" si="7"/>
        <v>0</v>
      </c>
      <c r="I10" s="126">
        <f t="shared" si="7"/>
        <v>0</v>
      </c>
      <c r="J10" s="126">
        <f t="shared" si="7"/>
        <v>0</v>
      </c>
      <c r="K10" s="126">
        <f t="shared" si="7"/>
        <v>0</v>
      </c>
      <c r="L10" s="126">
        <f t="shared" si="8"/>
        <v>0</v>
      </c>
      <c r="M10" s="126">
        <f t="shared" si="9"/>
        <v>0</v>
      </c>
      <c r="N10" s="126">
        <f t="shared" si="10"/>
        <v>0</v>
      </c>
      <c r="O10" s="126">
        <f t="shared" si="11"/>
        <v>0</v>
      </c>
      <c r="Q10" s="661">
        <f>'7-1. FS'!AB46</f>
        <v>0</v>
      </c>
      <c r="R10" s="661">
        <f>'7-1. FS'!AC46</f>
        <v>0</v>
      </c>
      <c r="S10" s="661">
        <f>'7-1. FS'!AD46</f>
        <v>0</v>
      </c>
      <c r="T10" s="661">
        <f>'7-1. FS'!AE46</f>
        <v>0</v>
      </c>
      <c r="U10" s="661">
        <f>'7-1. FS'!AF46</f>
        <v>0</v>
      </c>
      <c r="V10" s="661">
        <f>'7-1. FS'!AG46</f>
        <v>0</v>
      </c>
      <c r="W10" s="661">
        <f>'7-1. FS'!AH46</f>
        <v>0</v>
      </c>
      <c r="X10" s="661">
        <f>'7-1. FS'!AI46</f>
        <v>0</v>
      </c>
      <c r="Y10" s="661">
        <f>'7-1. FS'!AJ46</f>
        <v>0</v>
      </c>
      <c r="Z10" s="661">
        <f>'7-1. FS'!AK46</f>
        <v>0</v>
      </c>
      <c r="AA10" s="661">
        <f>'7-1. FS'!AL46</f>
        <v>0</v>
      </c>
      <c r="AB10" s="661">
        <f>'7-1. FS'!AM46</f>
        <v>0</v>
      </c>
      <c r="AC10" s="661">
        <f>'7-1. FS'!AN46</f>
        <v>0</v>
      </c>
      <c r="AD10" s="661"/>
      <c r="AE10" s="662" t="e">
        <f t="shared" si="5"/>
        <v>#DIV/0!</v>
      </c>
      <c r="AF10" s="662" t="e">
        <f t="shared" si="5"/>
        <v>#DIV/0!</v>
      </c>
      <c r="AG10" s="662" t="e">
        <f t="shared" si="5"/>
        <v>#DIV/0!</v>
      </c>
      <c r="AH10" s="662" t="e">
        <f t="shared" si="5"/>
        <v>#DIV/0!</v>
      </c>
      <c r="AI10" s="662" t="e">
        <f t="shared" si="5"/>
        <v>#DIV/0!</v>
      </c>
      <c r="AJ10" s="662" t="e">
        <f t="shared" si="5"/>
        <v>#DIV/0!</v>
      </c>
      <c r="AK10" s="662" t="e">
        <f t="shared" si="5"/>
        <v>#DIV/0!</v>
      </c>
      <c r="AL10" s="662" t="e">
        <f t="shared" si="6"/>
        <v>#DIV/0!</v>
      </c>
      <c r="AM10" s="662" t="e">
        <f t="shared" si="6"/>
        <v>#DIV/0!</v>
      </c>
      <c r="AN10" s="662" t="e">
        <f t="shared" si="6"/>
        <v>#DIV/0!</v>
      </c>
      <c r="AO10" s="662" t="e">
        <f t="shared" si="6"/>
        <v>#DIV/0!</v>
      </c>
    </row>
    <row r="11" spans="1:59" ht="25.35" hidden="1" customHeight="1" outlineLevel="1" x14ac:dyDescent="0.3">
      <c r="A11" s="61"/>
      <c r="B11" s="897" t="s">
        <v>470</v>
      </c>
      <c r="C11" s="126">
        <f t="shared" si="7"/>
        <v>72947.839971999521</v>
      </c>
      <c r="D11" s="126">
        <f t="shared" si="7"/>
        <v>63367.010651000011</v>
      </c>
      <c r="E11" s="126">
        <f t="shared" si="7"/>
        <v>58874.553814999999</v>
      </c>
      <c r="F11" s="126">
        <f t="shared" si="7"/>
        <v>33560.497853000001</v>
      </c>
      <c r="G11" s="126">
        <f t="shared" si="7"/>
        <v>27915.163566999996</v>
      </c>
      <c r="H11" s="126">
        <f t="shared" si="7"/>
        <v>35483.508729000008</v>
      </c>
      <c r="I11" s="126">
        <f t="shared" si="7"/>
        <v>26443.617264349603</v>
      </c>
      <c r="J11" s="126">
        <f t="shared" si="7"/>
        <v>21494.375513674258</v>
      </c>
      <c r="K11" s="126">
        <f t="shared" si="7"/>
        <v>18720.932525515789</v>
      </c>
      <c r="L11" s="126">
        <f t="shared" si="8"/>
        <v>17073.762738368674</v>
      </c>
      <c r="M11" s="126">
        <f t="shared" si="9"/>
        <v>16056.975748352736</v>
      </c>
      <c r="N11" s="126">
        <f t="shared" si="10"/>
        <v>15412.985068786433</v>
      </c>
      <c r="O11" s="126">
        <f t="shared" si="11"/>
        <v>14998.071805781912</v>
      </c>
      <c r="Q11" s="661">
        <f>'7-1. FS'!AB47</f>
        <v>72947.839971999521</v>
      </c>
      <c r="R11" s="661">
        <f>'7-1. FS'!AC47</f>
        <v>63367.010651000011</v>
      </c>
      <c r="S11" s="661">
        <f>'7-1. FS'!AD47</f>
        <v>58874.553814999999</v>
      </c>
      <c r="T11" s="661">
        <f>'7-1. FS'!AE47</f>
        <v>33560.497853000001</v>
      </c>
      <c r="U11" s="661">
        <f>'7-1. FS'!AF47</f>
        <v>27915.163566999996</v>
      </c>
      <c r="V11" s="661">
        <f>'7-1. FS'!AG47</f>
        <v>35483.508729000008</v>
      </c>
      <c r="W11" s="661">
        <f>'7-1. FS'!AH47</f>
        <v>26443.617264349603</v>
      </c>
      <c r="X11" s="661">
        <f>'7-1. FS'!AI47</f>
        <v>21494.375513674258</v>
      </c>
      <c r="Y11" s="661">
        <f>'7-1. FS'!AJ47</f>
        <v>18720.932525515789</v>
      </c>
      <c r="Z11" s="661">
        <f>'7-1. FS'!AK47</f>
        <v>17073.762738368674</v>
      </c>
      <c r="AA11" s="661">
        <f>'7-1. FS'!AL47</f>
        <v>16056.975748352736</v>
      </c>
      <c r="AB11" s="661">
        <f>'7-1. FS'!AM47</f>
        <v>15412.985068786433</v>
      </c>
      <c r="AC11" s="661">
        <f>'7-1. FS'!AN47</f>
        <v>14998.071805781912</v>
      </c>
      <c r="AD11" s="661"/>
      <c r="AE11" s="662">
        <f t="shared" si="5"/>
        <v>-7.089583033579816E-2</v>
      </c>
      <c r="AF11" s="662">
        <f t="shared" si="5"/>
        <v>-0.42996599246499101</v>
      </c>
      <c r="AG11" s="662">
        <f t="shared" si="5"/>
        <v>-0.16821366329925774</v>
      </c>
      <c r="AH11" s="662">
        <f t="shared" si="5"/>
        <v>0.27111949904341442</v>
      </c>
      <c r="AI11" s="662">
        <f t="shared" si="5"/>
        <v>-0.25476317840186619</v>
      </c>
      <c r="AJ11" s="662">
        <f t="shared" si="5"/>
        <v>-0.18716205506981626</v>
      </c>
      <c r="AK11" s="662">
        <f t="shared" si="5"/>
        <v>-0.12903110334115381</v>
      </c>
      <c r="AL11" s="662">
        <f t="shared" si="6"/>
        <v>-8.7985456114544336E-2</v>
      </c>
      <c r="AM11" s="662">
        <f t="shared" si="6"/>
        <v>-5.955260159091845E-2</v>
      </c>
      <c r="AN11" s="662">
        <f t="shared" si="6"/>
        <v>-4.0106598506407347E-2</v>
      </c>
      <c r="AO11" s="662">
        <f t="shared" si="6"/>
        <v>-2.6919721335796339E-2</v>
      </c>
    </row>
    <row r="12" spans="1:59" s="69" customFormat="1" ht="25.35" hidden="1" customHeight="1" outlineLevel="1" x14ac:dyDescent="0.3">
      <c r="A12" s="663"/>
      <c r="B12" s="896" t="s">
        <v>574</v>
      </c>
      <c r="C12" s="125">
        <f>Q12</f>
        <v>0</v>
      </c>
      <c r="D12" s="125">
        <f t="shared" si="7"/>
        <v>10880113.016329</v>
      </c>
      <c r="E12" s="125">
        <f t="shared" si="7"/>
        <v>11705969.894966986</v>
      </c>
      <c r="F12" s="125">
        <f t="shared" si="7"/>
        <v>12277954.360386999</v>
      </c>
      <c r="G12" s="125">
        <f t="shared" si="7"/>
        <v>13075497.069406999</v>
      </c>
      <c r="H12" s="125">
        <f t="shared" si="7"/>
        <v>13571475.521969002</v>
      </c>
      <c r="I12" s="125">
        <f t="shared" si="7"/>
        <v>13925805.992212018</v>
      </c>
      <c r="J12" s="125">
        <f t="shared" si="7"/>
        <v>14192931.083514186</v>
      </c>
      <c r="K12" s="125">
        <f t="shared" si="7"/>
        <v>14469126.905753646</v>
      </c>
      <c r="L12" s="125">
        <f t="shared" si="8"/>
        <v>14770167.372883584</v>
      </c>
      <c r="M12" s="125">
        <f t="shared" si="9"/>
        <v>15077573.727062423</v>
      </c>
      <c r="N12" s="125">
        <f t="shared" si="10"/>
        <v>15419816.970878428</v>
      </c>
      <c r="O12" s="125">
        <f t="shared" si="11"/>
        <v>15792523.927243352</v>
      </c>
      <c r="Q12" s="661">
        <f>'7-1. FS'!AB48</f>
        <v>0</v>
      </c>
      <c r="R12" s="661">
        <f>'7-1. FS'!AC48</f>
        <v>10880113.016329</v>
      </c>
      <c r="S12" s="661">
        <f>'7-1. FS'!AD48</f>
        <v>11705969.894966986</v>
      </c>
      <c r="T12" s="661">
        <f>'7-1. FS'!AE48</f>
        <v>12277954.360386999</v>
      </c>
      <c r="U12" s="661">
        <f>'7-1. FS'!AF48</f>
        <v>13075497.069406999</v>
      </c>
      <c r="V12" s="661">
        <f>'7-1. FS'!AG48</f>
        <v>13571475.521969002</v>
      </c>
      <c r="W12" s="661">
        <f>'7-1. FS'!AH48</f>
        <v>13925805.992212018</v>
      </c>
      <c r="X12" s="661">
        <f>'7-1. FS'!AI48</f>
        <v>14192931.083514186</v>
      </c>
      <c r="Y12" s="661">
        <f>'7-1. FS'!AJ48</f>
        <v>14469126.905753646</v>
      </c>
      <c r="Z12" s="661">
        <f>'7-1. FS'!AK48</f>
        <v>14770167.372883584</v>
      </c>
      <c r="AA12" s="661">
        <f>'7-1. FS'!AL48</f>
        <v>15077573.727062423</v>
      </c>
      <c r="AB12" s="661">
        <f>'7-1. FS'!AM48</f>
        <v>15419816.970878428</v>
      </c>
      <c r="AC12" s="661">
        <f>'7-1. FS'!AN48</f>
        <v>15792523.927243352</v>
      </c>
      <c r="AD12" s="664"/>
      <c r="AE12" s="662">
        <f t="shared" si="5"/>
        <v>7.5905174642812143E-2</v>
      </c>
      <c r="AF12" s="662">
        <f t="shared" si="5"/>
        <v>4.8862629115929951E-2</v>
      </c>
      <c r="AG12" s="662">
        <f t="shared" si="5"/>
        <v>6.4957295459018266E-2</v>
      </c>
      <c r="AH12" s="662">
        <f t="shared" si="5"/>
        <v>3.7931900403423521E-2</v>
      </c>
      <c r="AI12" s="662">
        <f t="shared" si="5"/>
        <v>2.6108470642668087E-2</v>
      </c>
      <c r="AJ12" s="662">
        <f t="shared" si="5"/>
        <v>1.9182020161099246E-2</v>
      </c>
      <c r="AK12" s="662">
        <f t="shared" si="5"/>
        <v>1.9460097467835658E-2</v>
      </c>
      <c r="AL12" s="662">
        <f t="shared" si="6"/>
        <v>2.0805710606507266E-2</v>
      </c>
      <c r="AM12" s="662">
        <f t="shared" si="6"/>
        <v>2.0812652045040663E-2</v>
      </c>
      <c r="AN12" s="662">
        <f t="shared" si="6"/>
        <v>2.2698827411582793E-2</v>
      </c>
      <c r="AO12" s="662">
        <f t="shared" si="6"/>
        <v>2.4170647230690956E-2</v>
      </c>
      <c r="AP12" s="59" t="s">
        <v>575</v>
      </c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F12" s="59"/>
      <c r="BG12" s="59"/>
    </row>
    <row r="13" spans="1:59" ht="25.35" customHeight="1" collapsed="1" x14ac:dyDescent="0.3">
      <c r="B13" s="898" t="s">
        <v>382</v>
      </c>
      <c r="C13" s="127">
        <f t="shared" ref="C13:I13" si="12">SUM(C14:C15)</f>
        <v>1206716</v>
      </c>
      <c r="D13" s="127">
        <f t="shared" si="12"/>
        <v>9942393.7297590002</v>
      </c>
      <c r="E13" s="127">
        <f t="shared" si="12"/>
        <v>10569338.090237999</v>
      </c>
      <c r="F13" s="127">
        <f t="shared" si="12"/>
        <v>10886894.680059005</v>
      </c>
      <c r="G13" s="127">
        <f t="shared" si="12"/>
        <v>11378034.037656</v>
      </c>
      <c r="H13" s="127">
        <f t="shared" si="12"/>
        <v>11774644.187705999</v>
      </c>
      <c r="I13" s="127">
        <f t="shared" si="12"/>
        <v>12032603.17534546</v>
      </c>
      <c r="J13" s="127">
        <f t="shared" ref="J13:O13" si="13">SUM(J14:J15)</f>
        <v>12216426.443432681</v>
      </c>
      <c r="K13" s="127">
        <f t="shared" si="13"/>
        <v>12411089.220592096</v>
      </c>
      <c r="L13" s="127">
        <f t="shared" si="13"/>
        <v>12626305.991220679</v>
      </c>
      <c r="M13" s="127">
        <f t="shared" si="13"/>
        <v>12850430.612808114</v>
      </c>
      <c r="N13" s="127">
        <f t="shared" si="13"/>
        <v>13103490.567004094</v>
      </c>
      <c r="O13" s="127">
        <f t="shared" si="13"/>
        <v>13382835.547210557</v>
      </c>
      <c r="Q13" s="661"/>
      <c r="S13" s="661"/>
      <c r="T13" s="661"/>
      <c r="U13" s="661"/>
      <c r="V13" s="661"/>
      <c r="W13" s="661"/>
      <c r="X13" s="661"/>
      <c r="Y13" s="661"/>
      <c r="Z13" s="661"/>
      <c r="AA13" s="661"/>
      <c r="AB13" s="661"/>
      <c r="AC13" s="661"/>
      <c r="AD13" s="128"/>
      <c r="AE13" s="662">
        <f t="shared" si="5"/>
        <v>6.3057687868713685E-2</v>
      </c>
      <c r="AF13" s="662">
        <f t="shared" si="5"/>
        <v>3.0045078235722757E-2</v>
      </c>
      <c r="AG13" s="662">
        <f t="shared" si="5"/>
        <v>4.5112896930709856E-2</v>
      </c>
      <c r="AH13" s="662">
        <f t="shared" si="5"/>
        <v>3.4857528878662537E-2</v>
      </c>
      <c r="AI13" s="888">
        <f t="shared" si="5"/>
        <v>2.1908007029953207E-2</v>
      </c>
      <c r="AJ13" s="888">
        <f t="shared" si="5"/>
        <v>1.5277098846230644E-2</v>
      </c>
      <c r="AK13" s="888">
        <f t="shared" si="5"/>
        <v>1.5934510641126335E-2</v>
      </c>
      <c r="AL13" s="888">
        <f t="shared" si="6"/>
        <v>1.7340683545445927E-2</v>
      </c>
      <c r="AM13" s="888">
        <f t="shared" si="6"/>
        <v>1.7750609065174967E-2</v>
      </c>
      <c r="AN13" s="888">
        <f t="shared" si="6"/>
        <v>1.9692721732122609E-2</v>
      </c>
      <c r="AO13" s="888">
        <f t="shared" si="6"/>
        <v>2.1318363895333526E-2</v>
      </c>
    </row>
    <row r="14" spans="1:59" s="69" customFormat="1" ht="25.35" customHeight="1" x14ac:dyDescent="0.3">
      <c r="B14" s="896" t="s">
        <v>569</v>
      </c>
      <c r="C14" s="127">
        <f t="shared" ref="C14:O15" si="14">Q14</f>
        <v>1206716</v>
      </c>
      <c r="D14" s="127">
        <f t="shared" si="14"/>
        <v>1227065</v>
      </c>
      <c r="E14" s="127">
        <f t="shared" si="14"/>
        <v>1239315</v>
      </c>
      <c r="F14" s="127">
        <f t="shared" si="14"/>
        <v>1131065</v>
      </c>
      <c r="G14" s="127">
        <f t="shared" si="14"/>
        <v>1052081</v>
      </c>
      <c r="H14" s="127">
        <f t="shared" si="14"/>
        <v>1049110.1877059999</v>
      </c>
      <c r="I14" s="127">
        <f t="shared" si="14"/>
        <v>1060021.4203150417</v>
      </c>
      <c r="J14" s="127">
        <f t="shared" si="14"/>
        <v>1054370.3980017116</v>
      </c>
      <c r="K14" s="127">
        <f t="shared" si="14"/>
        <v>1048778.7896114832</v>
      </c>
      <c r="L14" s="127">
        <f t="shared" si="14"/>
        <v>1043245.9677611254</v>
      </c>
      <c r="M14" s="127">
        <f t="shared" si="14"/>
        <v>1038379.8734587536</v>
      </c>
      <c r="N14" s="127">
        <f t="shared" si="14"/>
        <v>1034574.8563366034</v>
      </c>
      <c r="O14" s="127">
        <f t="shared" si="14"/>
        <v>1031990.7862373232</v>
      </c>
      <c r="Q14" s="661">
        <f>'7-1. FS'!AB50</f>
        <v>1206716</v>
      </c>
      <c r="R14" s="661">
        <f>'7-1. FS'!AC50</f>
        <v>1227065</v>
      </c>
      <c r="S14" s="661">
        <f>'7-1. FS'!AD50</f>
        <v>1239315</v>
      </c>
      <c r="T14" s="661">
        <f>'7-1. FS'!AE50</f>
        <v>1131065</v>
      </c>
      <c r="U14" s="661">
        <f>'7-1. FS'!AF50</f>
        <v>1052081</v>
      </c>
      <c r="V14" s="661">
        <f>'7-1. FS'!AG50</f>
        <v>1049110.1877059999</v>
      </c>
      <c r="W14" s="661">
        <f>'7-1. FS'!AH50</f>
        <v>1060021.4203150417</v>
      </c>
      <c r="X14" s="661">
        <f>'7-1. FS'!AI50</f>
        <v>1054370.3980017116</v>
      </c>
      <c r="Y14" s="661">
        <f>'7-1. FS'!AJ50</f>
        <v>1048778.7896114832</v>
      </c>
      <c r="Z14" s="661">
        <f>'7-1. FS'!AK50</f>
        <v>1043245.9677611254</v>
      </c>
      <c r="AA14" s="661">
        <f>'7-1. FS'!AL50</f>
        <v>1038379.8734587536</v>
      </c>
      <c r="AB14" s="661">
        <f>'7-1. FS'!AM50</f>
        <v>1034574.8563366034</v>
      </c>
      <c r="AC14" s="661">
        <f>'7-1. FS'!AN50</f>
        <v>1031990.7862373232</v>
      </c>
      <c r="AD14" s="129"/>
      <c r="AE14" s="662">
        <f t="shared" si="5"/>
        <v>9.9831712256481936E-3</v>
      </c>
      <c r="AF14" s="662">
        <f t="shared" si="5"/>
        <v>-8.7346639070776999E-2</v>
      </c>
      <c r="AG14" s="662">
        <f t="shared" si="5"/>
        <v>-6.9831530460229954E-2</v>
      </c>
      <c r="AH14" s="662">
        <f t="shared" si="5"/>
        <v>-2.8237486410267474E-3</v>
      </c>
      <c r="AI14" s="662">
        <f t="shared" si="5"/>
        <v>1.0400463875868366E-2</v>
      </c>
      <c r="AJ14" s="662">
        <f t="shared" si="5"/>
        <v>-5.3310453968473471E-3</v>
      </c>
      <c r="AK14" s="662">
        <f t="shared" si="5"/>
        <v>-5.3032676190699355E-3</v>
      </c>
      <c r="AL14" s="662">
        <f t="shared" ref="AL14:AL26" si="15">(P14-K14)/K14</f>
        <v>-1</v>
      </c>
      <c r="AM14" s="662" t="e">
        <f t="shared" ref="AM14:AO48" si="16">(Q14-P14)/P14</f>
        <v>#DIV/0!</v>
      </c>
      <c r="AN14" s="662">
        <f t="shared" si="16"/>
        <v>1.6863122723159384E-2</v>
      </c>
      <c r="AO14" s="662">
        <f t="shared" si="16"/>
        <v>9.9831712256481936E-3</v>
      </c>
      <c r="AP14" s="59" t="s">
        <v>576</v>
      </c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</row>
    <row r="15" spans="1:59" s="69" customFormat="1" ht="25.35" customHeight="1" x14ac:dyDescent="0.3">
      <c r="B15" s="896" t="s">
        <v>574</v>
      </c>
      <c r="C15" s="127">
        <f t="shared" si="14"/>
        <v>0</v>
      </c>
      <c r="D15" s="127">
        <f t="shared" si="14"/>
        <v>8715328.7297590002</v>
      </c>
      <c r="E15" s="127">
        <f t="shared" si="14"/>
        <v>9330023.0902379993</v>
      </c>
      <c r="F15" s="127">
        <f t="shared" si="14"/>
        <v>9755829.6800590046</v>
      </c>
      <c r="G15" s="127">
        <f t="shared" si="14"/>
        <v>10325953.037656</v>
      </c>
      <c r="H15" s="127">
        <f t="shared" si="14"/>
        <v>10725534</v>
      </c>
      <c r="I15" s="127">
        <f t="shared" si="14"/>
        <v>10972581.755030418</v>
      </c>
      <c r="J15" s="127">
        <f t="shared" si="14"/>
        <v>11162056.045430969</v>
      </c>
      <c r="K15" s="127">
        <f t="shared" si="14"/>
        <v>11362310.430980613</v>
      </c>
      <c r="L15" s="127">
        <f t="shared" si="14"/>
        <v>11583060.023459554</v>
      </c>
      <c r="M15" s="127">
        <f t="shared" si="14"/>
        <v>11812050.73934936</v>
      </c>
      <c r="N15" s="127">
        <f t="shared" si="14"/>
        <v>12068915.710667491</v>
      </c>
      <c r="O15" s="127">
        <f t="shared" si="14"/>
        <v>12350844.760973234</v>
      </c>
      <c r="Q15" s="661">
        <f>'7-1. FS'!AB51</f>
        <v>0</v>
      </c>
      <c r="R15" s="661">
        <f>'7-1. FS'!AC51</f>
        <v>8715328.7297590002</v>
      </c>
      <c r="S15" s="661">
        <f>'7-1. FS'!AD51</f>
        <v>9330023.0902379993</v>
      </c>
      <c r="T15" s="661">
        <f>'7-1. FS'!AE51</f>
        <v>9755829.6800590046</v>
      </c>
      <c r="U15" s="661">
        <f>'7-1. FS'!AF51</f>
        <v>10325953.037656</v>
      </c>
      <c r="V15" s="661">
        <f>'7-1. FS'!AG51</f>
        <v>10725534</v>
      </c>
      <c r="W15" s="661">
        <f>'7-1. FS'!AH51</f>
        <v>10972581.755030418</v>
      </c>
      <c r="X15" s="661">
        <f>'7-1. FS'!AI51</f>
        <v>11162056.045430969</v>
      </c>
      <c r="Y15" s="661">
        <f>'7-1. FS'!AJ51</f>
        <v>11362310.430980613</v>
      </c>
      <c r="Z15" s="661">
        <f>'7-1. FS'!AK51</f>
        <v>11583060.023459554</v>
      </c>
      <c r="AA15" s="661">
        <f>'7-1. FS'!AL51</f>
        <v>11812050.73934936</v>
      </c>
      <c r="AB15" s="661">
        <f>'7-1. FS'!AM51</f>
        <v>12068915.710667491</v>
      </c>
      <c r="AC15" s="661">
        <f>'7-1. FS'!AN51</f>
        <v>12350844.760973234</v>
      </c>
      <c r="AD15" s="129"/>
      <c r="AE15" s="662">
        <f t="shared" si="5"/>
        <v>7.0530255316714474E-2</v>
      </c>
      <c r="AF15" s="662">
        <f t="shared" si="5"/>
        <v>4.5638321116967716E-2</v>
      </c>
      <c r="AG15" s="662">
        <f t="shared" si="5"/>
        <v>5.8439248766543363E-2</v>
      </c>
      <c r="AH15" s="662">
        <f t="shared" si="5"/>
        <v>3.8696763474212484E-2</v>
      </c>
      <c r="AI15" s="662">
        <f t="shared" si="5"/>
        <v>2.3033608865574227E-2</v>
      </c>
      <c r="AJ15" s="662">
        <f t="shared" si="5"/>
        <v>1.7267977093329608E-2</v>
      </c>
      <c r="AK15" s="662">
        <f t="shared" si="5"/>
        <v>1.7940636092005229E-2</v>
      </c>
      <c r="AL15" s="662">
        <f t="shared" si="15"/>
        <v>-1</v>
      </c>
      <c r="AM15" s="662" t="e">
        <f t="shared" si="16"/>
        <v>#DIV/0!</v>
      </c>
      <c r="AN15" s="662" t="e">
        <f t="shared" si="16"/>
        <v>#DIV/0!</v>
      </c>
      <c r="AO15" s="662">
        <f t="shared" si="16"/>
        <v>7.0530255316714474E-2</v>
      </c>
      <c r="AP15" s="59" t="s">
        <v>577</v>
      </c>
      <c r="AQ15" s="59"/>
      <c r="AR15" s="59"/>
      <c r="AS15" s="59"/>
      <c r="AT15" s="121" t="s">
        <v>387</v>
      </c>
      <c r="AU15" s="665">
        <f>D15/D12</f>
        <v>0.8010329227903179</v>
      </c>
      <c r="AV15" s="121" t="s">
        <v>363</v>
      </c>
      <c r="AW15" s="665">
        <f>H15/H12</f>
        <v>0.79029977121042605</v>
      </c>
      <c r="AX15" s="121"/>
      <c r="AY15" s="121"/>
      <c r="AZ15" s="121"/>
      <c r="BA15" s="121"/>
      <c r="BB15" s="121"/>
      <c r="BC15" s="121"/>
      <c r="BD15" s="121"/>
      <c r="BE15" s="666"/>
    </row>
    <row r="16" spans="1:59" ht="25.35" customHeight="1" x14ac:dyDescent="0.3">
      <c r="B16" s="898" t="s">
        <v>290</v>
      </c>
      <c r="C16" s="899">
        <f t="shared" ref="C16:I16" si="17">SUM(C17:C18)</f>
        <v>200911</v>
      </c>
      <c r="D16" s="899">
        <f t="shared" si="17"/>
        <v>7184089.8753980007</v>
      </c>
      <c r="E16" s="899">
        <f t="shared" si="17"/>
        <v>7710584.3692529993</v>
      </c>
      <c r="F16" s="899">
        <f t="shared" si="17"/>
        <v>7986166.9117230019</v>
      </c>
      <c r="G16" s="899">
        <f t="shared" si="17"/>
        <v>8452920.0477119982</v>
      </c>
      <c r="H16" s="899">
        <f t="shared" si="17"/>
        <v>8810759.34736</v>
      </c>
      <c r="I16" s="899">
        <f t="shared" si="17"/>
        <v>9008909.2566301897</v>
      </c>
      <c r="J16" s="899">
        <f t="shared" ref="J16:O16" si="18">SUM(J17:J18)</f>
        <v>9186266.4907691628</v>
      </c>
      <c r="K16" s="899">
        <f t="shared" si="18"/>
        <v>9371141.0904086307</v>
      </c>
      <c r="L16" s="899">
        <f t="shared" si="18"/>
        <v>9570388.4201867245</v>
      </c>
      <c r="M16" s="899">
        <f t="shared" si="18"/>
        <v>9763257.2092240453</v>
      </c>
      <c r="N16" s="899">
        <f t="shared" si="18"/>
        <v>9977799.3608639501</v>
      </c>
      <c r="O16" s="899">
        <f t="shared" si="18"/>
        <v>10211275.941211879</v>
      </c>
      <c r="P16" s="76"/>
      <c r="Q16" s="661"/>
      <c r="S16" s="661"/>
      <c r="T16" s="661"/>
      <c r="U16" s="661"/>
      <c r="V16" s="661"/>
      <c r="W16" s="661"/>
      <c r="X16" s="661"/>
      <c r="Y16" s="661"/>
      <c r="Z16" s="661"/>
      <c r="AA16" s="661"/>
      <c r="AB16" s="661"/>
      <c r="AC16" s="661"/>
      <c r="AD16" s="128"/>
      <c r="AE16" s="662">
        <f t="shared" si="5"/>
        <v>7.3286178623402962E-2</v>
      </c>
      <c r="AF16" s="662">
        <f t="shared" si="5"/>
        <v>3.5740811496587123E-2</v>
      </c>
      <c r="AG16" s="662">
        <f t="shared" si="5"/>
        <v>5.8445201702940014E-2</v>
      </c>
      <c r="AH16" s="662">
        <f t="shared" si="5"/>
        <v>4.2333217116475655E-2</v>
      </c>
      <c r="AI16" s="662">
        <f t="shared" si="5"/>
        <v>2.2489538240487987E-2</v>
      </c>
      <c r="AJ16" s="662">
        <f t="shared" si="5"/>
        <v>1.9686870972581434E-2</v>
      </c>
      <c r="AK16" s="662">
        <f t="shared" si="5"/>
        <v>2.0125107389954284E-2</v>
      </c>
      <c r="AL16" s="662">
        <f t="shared" si="15"/>
        <v>-1</v>
      </c>
      <c r="AM16" s="662" t="e">
        <f t="shared" si="16"/>
        <v>#DIV/0!</v>
      </c>
      <c r="AN16" s="662" t="e">
        <f t="shared" si="16"/>
        <v>#DIV/0!</v>
      </c>
      <c r="AO16" s="662" t="e">
        <f t="shared" si="16"/>
        <v>#DIV/0!</v>
      </c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</row>
    <row r="17" spans="2:57" ht="25.35" customHeight="1" x14ac:dyDescent="0.3">
      <c r="B17" s="898" t="s">
        <v>569</v>
      </c>
      <c r="C17" s="899">
        <f t="shared" ref="C17:O18" si="19">Q17</f>
        <v>200911</v>
      </c>
      <c r="D17" s="899">
        <f t="shared" si="19"/>
        <v>192258</v>
      </c>
      <c r="E17" s="899">
        <f t="shared" si="19"/>
        <v>187896</v>
      </c>
      <c r="F17" s="899">
        <f t="shared" si="19"/>
        <v>149269</v>
      </c>
      <c r="G17" s="899">
        <f t="shared" si="19"/>
        <v>119598</v>
      </c>
      <c r="H17" s="899">
        <f t="shared" si="19"/>
        <v>139480.34736000001</v>
      </c>
      <c r="I17" s="899">
        <f t="shared" si="19"/>
        <v>139521.16706929944</v>
      </c>
      <c r="J17" s="899">
        <f t="shared" si="19"/>
        <v>142806.92456777723</v>
      </c>
      <c r="K17" s="899">
        <f t="shared" si="19"/>
        <v>146933.35538769717</v>
      </c>
      <c r="L17" s="899">
        <f t="shared" si="19"/>
        <v>149721.20462566064</v>
      </c>
      <c r="M17" s="899">
        <f t="shared" si="19"/>
        <v>152455.24345760813</v>
      </c>
      <c r="N17" s="899">
        <f t="shared" si="19"/>
        <v>155104.03930481637</v>
      </c>
      <c r="O17" s="899">
        <f t="shared" si="19"/>
        <v>157583.31365132201</v>
      </c>
      <c r="P17" s="76"/>
      <c r="Q17" s="661">
        <f>'7-1. FS'!AB53</f>
        <v>200911</v>
      </c>
      <c r="R17" s="661">
        <f>'7-1. FS'!AC53</f>
        <v>192258</v>
      </c>
      <c r="S17" s="661">
        <f>'7-1. FS'!AD53</f>
        <v>187896</v>
      </c>
      <c r="T17" s="661">
        <f>'7-1. FS'!AE53</f>
        <v>149269</v>
      </c>
      <c r="U17" s="661">
        <f>'7-1. FS'!AF53</f>
        <v>119598</v>
      </c>
      <c r="V17" s="661">
        <f>'7-1. FS'!AG53</f>
        <v>139480.34736000001</v>
      </c>
      <c r="W17" s="661">
        <f>'7-1. FS'!AH53</f>
        <v>139521.16706929944</v>
      </c>
      <c r="X17" s="661">
        <f>'7-1. FS'!AI53</f>
        <v>142806.92456777723</v>
      </c>
      <c r="Y17" s="661">
        <f>'7-1. FS'!AJ53</f>
        <v>146933.35538769717</v>
      </c>
      <c r="Z17" s="661">
        <f>'7-1. FS'!AK53</f>
        <v>149721.20462566064</v>
      </c>
      <c r="AA17" s="661">
        <f>'7-1. FS'!AL53</f>
        <v>152455.24345760813</v>
      </c>
      <c r="AB17" s="661">
        <f>'7-1. FS'!AM53</f>
        <v>155104.03930481637</v>
      </c>
      <c r="AC17" s="661">
        <f>'7-1. FS'!AN53</f>
        <v>157583.31365132201</v>
      </c>
      <c r="AD17" s="128"/>
      <c r="AE17" s="662">
        <f t="shared" si="5"/>
        <v>-2.2688262647068004E-2</v>
      </c>
      <c r="AF17" s="662">
        <f t="shared" si="5"/>
        <v>-0.20557648912164175</v>
      </c>
      <c r="AG17" s="662">
        <f t="shared" si="5"/>
        <v>-0.19877536528013184</v>
      </c>
      <c r="AH17" s="662">
        <f t="shared" si="5"/>
        <v>0.16624314252746714</v>
      </c>
      <c r="AI17" s="662">
        <f t="shared" si="5"/>
        <v>2.9265563265387656E-4</v>
      </c>
      <c r="AJ17" s="662">
        <f t="shared" si="5"/>
        <v>2.3550243790935111E-2</v>
      </c>
      <c r="AK17" s="662">
        <f t="shared" si="5"/>
        <v>2.8895173202623723E-2</v>
      </c>
      <c r="AL17" s="662">
        <f t="shared" si="15"/>
        <v>-1</v>
      </c>
      <c r="AM17" s="662" t="e">
        <f t="shared" si="16"/>
        <v>#DIV/0!</v>
      </c>
      <c r="AN17" s="662">
        <f t="shared" si="16"/>
        <v>-4.3068821517985578E-2</v>
      </c>
      <c r="AO17" s="662">
        <f t="shared" si="16"/>
        <v>-2.2688262647068004E-2</v>
      </c>
      <c r="AP17" s="59" t="s">
        <v>578</v>
      </c>
      <c r="AT17" s="121" t="s">
        <v>387</v>
      </c>
      <c r="AU17" s="665">
        <f>D17/D14</f>
        <v>0.15668118640821799</v>
      </c>
      <c r="AV17" s="121" t="s">
        <v>363</v>
      </c>
      <c r="AW17" s="665">
        <f>H17/H14</f>
        <v>0.13295109416961229</v>
      </c>
      <c r="AX17" s="121"/>
      <c r="AY17" s="601"/>
      <c r="AZ17" s="121"/>
      <c r="BA17" s="121"/>
      <c r="BB17" s="121"/>
      <c r="BC17" s="121"/>
      <c r="BD17" s="121"/>
      <c r="BE17" s="121"/>
    </row>
    <row r="18" spans="2:57" ht="25.35" customHeight="1" x14ac:dyDescent="0.3">
      <c r="B18" s="896" t="s">
        <v>574</v>
      </c>
      <c r="C18" s="899">
        <f t="shared" si="19"/>
        <v>0</v>
      </c>
      <c r="D18" s="899">
        <f t="shared" si="19"/>
        <v>6991831.8753980007</v>
      </c>
      <c r="E18" s="899">
        <f t="shared" si="19"/>
        <v>7522688.3692529993</v>
      </c>
      <c r="F18" s="899">
        <f t="shared" si="19"/>
        <v>7836897.9117230019</v>
      </c>
      <c r="G18" s="899">
        <f t="shared" si="19"/>
        <v>8333322.0477119992</v>
      </c>
      <c r="H18" s="899">
        <f t="shared" si="19"/>
        <v>8671279</v>
      </c>
      <c r="I18" s="899">
        <f t="shared" si="19"/>
        <v>8869388.0895608906</v>
      </c>
      <c r="J18" s="899">
        <f t="shared" si="19"/>
        <v>9043459.5662013851</v>
      </c>
      <c r="K18" s="899">
        <f t="shared" si="19"/>
        <v>9224207.7350209337</v>
      </c>
      <c r="L18" s="899">
        <f t="shared" si="19"/>
        <v>9420667.215561064</v>
      </c>
      <c r="M18" s="899">
        <f t="shared" si="19"/>
        <v>9610801.9657664374</v>
      </c>
      <c r="N18" s="899">
        <f t="shared" si="19"/>
        <v>9822695.321559133</v>
      </c>
      <c r="O18" s="899">
        <f t="shared" si="19"/>
        <v>10053692.627560558</v>
      </c>
      <c r="P18" s="76"/>
      <c r="Q18" s="661">
        <f>'7-1. FS'!AB54</f>
        <v>0</v>
      </c>
      <c r="R18" s="661">
        <f>'7-1. FS'!AC54</f>
        <v>6991831.8753980007</v>
      </c>
      <c r="S18" s="661">
        <f>'7-1. FS'!AD54</f>
        <v>7522688.3692529993</v>
      </c>
      <c r="T18" s="661">
        <f>'7-1. FS'!AE54</f>
        <v>7836897.9117230019</v>
      </c>
      <c r="U18" s="661">
        <f>'7-1. FS'!AF54</f>
        <v>8333322.0477119992</v>
      </c>
      <c r="V18" s="661">
        <f>'7-1. FS'!AG54</f>
        <v>8671279</v>
      </c>
      <c r="W18" s="661">
        <f>'7-1. FS'!AH54</f>
        <v>8869388.0895608906</v>
      </c>
      <c r="X18" s="661">
        <f>'7-1. FS'!AI54</f>
        <v>9043459.5662013851</v>
      </c>
      <c r="Y18" s="661">
        <f>'7-1. FS'!AJ54</f>
        <v>9224207.7350209337</v>
      </c>
      <c r="Z18" s="661">
        <f>'7-1. FS'!AK54</f>
        <v>9420667.215561064</v>
      </c>
      <c r="AA18" s="661">
        <f>'7-1. FS'!AL54</f>
        <v>9610801.9657664374</v>
      </c>
      <c r="AB18" s="661">
        <f>'7-1. FS'!AM54</f>
        <v>9822695.321559133</v>
      </c>
      <c r="AC18" s="661">
        <f>'7-1. FS'!AN54</f>
        <v>10053692.627560558</v>
      </c>
      <c r="AD18" s="128"/>
      <c r="AE18" s="662">
        <f t="shared" si="5"/>
        <v>7.5925237236168563E-2</v>
      </c>
      <c r="AF18" s="662">
        <f t="shared" si="5"/>
        <v>4.1768251859833912E-2</v>
      </c>
      <c r="AG18" s="662">
        <f t="shared" si="5"/>
        <v>6.334446889328621E-2</v>
      </c>
      <c r="AH18" s="662">
        <f t="shared" si="5"/>
        <v>4.0554889197014832E-2</v>
      </c>
      <c r="AI18" s="662">
        <f t="shared" si="5"/>
        <v>2.2846582327807764E-2</v>
      </c>
      <c r="AJ18" s="662">
        <f t="shared" si="5"/>
        <v>1.9626097638615399E-2</v>
      </c>
      <c r="AK18" s="662">
        <f t="shared" si="5"/>
        <v>1.998661767616771E-2</v>
      </c>
      <c r="AL18" s="662">
        <f t="shared" si="15"/>
        <v>-1</v>
      </c>
      <c r="AM18" s="662" t="e">
        <f t="shared" si="16"/>
        <v>#DIV/0!</v>
      </c>
      <c r="AN18" s="662" t="e">
        <f t="shared" si="16"/>
        <v>#DIV/0!</v>
      </c>
      <c r="AO18" s="662">
        <f t="shared" si="16"/>
        <v>7.5925237236168563E-2</v>
      </c>
      <c r="AP18" s="59" t="s">
        <v>579</v>
      </c>
      <c r="AT18" s="121" t="s">
        <v>387</v>
      </c>
      <c r="AU18" s="665">
        <f>D18/D15</f>
        <v>0.80224534176478979</v>
      </c>
      <c r="AV18" s="121" t="s">
        <v>363</v>
      </c>
      <c r="AW18" s="665">
        <f>H18/H15</f>
        <v>0.80847060854965358</v>
      </c>
      <c r="AX18" s="121"/>
      <c r="AY18" s="601"/>
      <c r="AZ18" s="121"/>
      <c r="BA18" s="121"/>
      <c r="BB18" s="121"/>
      <c r="BC18" s="121"/>
      <c r="BD18" s="121"/>
      <c r="BE18" s="121"/>
    </row>
    <row r="19" spans="2:57" ht="25.35" customHeight="1" x14ac:dyDescent="0.3">
      <c r="B19" s="898" t="s">
        <v>292</v>
      </c>
      <c r="C19" s="899">
        <f t="shared" ref="C19:O19" si="20">C13-C16</f>
        <v>1005805</v>
      </c>
      <c r="D19" s="899">
        <f t="shared" si="20"/>
        <v>2758303.8543609995</v>
      </c>
      <c r="E19" s="899">
        <f t="shared" si="20"/>
        <v>2858753.720985</v>
      </c>
      <c r="F19" s="899">
        <f t="shared" si="20"/>
        <v>2900727.7683360027</v>
      </c>
      <c r="G19" s="899">
        <f t="shared" si="20"/>
        <v>2925113.9899440017</v>
      </c>
      <c r="H19" s="899">
        <f t="shared" si="20"/>
        <v>2963884.8403459992</v>
      </c>
      <c r="I19" s="899">
        <f t="shared" si="20"/>
        <v>3023693.9187152702</v>
      </c>
      <c r="J19" s="899">
        <f t="shared" si="20"/>
        <v>3030159.9526635185</v>
      </c>
      <c r="K19" s="899">
        <f t="shared" si="20"/>
        <v>3039948.1301834658</v>
      </c>
      <c r="L19" s="899">
        <f t="shared" si="20"/>
        <v>3055917.5710339546</v>
      </c>
      <c r="M19" s="899">
        <f t="shared" si="20"/>
        <v>3087173.4035840686</v>
      </c>
      <c r="N19" s="899">
        <f t="shared" si="20"/>
        <v>3125691.2061401438</v>
      </c>
      <c r="O19" s="899">
        <f t="shared" si="20"/>
        <v>3171559.6059986781</v>
      </c>
      <c r="P19" s="667"/>
      <c r="Q19" s="661"/>
      <c r="S19" s="661"/>
      <c r="T19" s="661"/>
      <c r="U19" s="661"/>
      <c r="V19" s="661"/>
      <c r="W19" s="661"/>
      <c r="X19" s="661"/>
      <c r="Y19" s="661"/>
      <c r="Z19" s="661"/>
      <c r="AA19" s="661"/>
      <c r="AB19" s="661"/>
      <c r="AC19" s="661"/>
      <c r="AD19" s="661"/>
      <c r="AE19" s="662">
        <f t="shared" si="5"/>
        <v>3.6417259275182766E-2</v>
      </c>
      <c r="AF19" s="668">
        <f t="shared" si="5"/>
        <v>1.4682638466856213E-2</v>
      </c>
      <c r="AG19" s="662">
        <f t="shared" si="5"/>
        <v>8.4069321755029965E-3</v>
      </c>
      <c r="AH19" s="662">
        <f t="shared" si="5"/>
        <v>1.3254475051326049E-2</v>
      </c>
      <c r="AI19" s="662">
        <f t="shared" si="5"/>
        <v>2.0179285495548805E-2</v>
      </c>
      <c r="AJ19" s="662">
        <f t="shared" si="5"/>
        <v>2.1384551882802972E-3</v>
      </c>
      <c r="AK19" s="662">
        <f t="shared" si="5"/>
        <v>3.2302510998943991E-3</v>
      </c>
      <c r="AL19" s="662">
        <f t="shared" si="15"/>
        <v>-1</v>
      </c>
      <c r="AM19" s="662" t="e">
        <f t="shared" si="16"/>
        <v>#DIV/0!</v>
      </c>
      <c r="AN19" s="662" t="e">
        <f t="shared" si="16"/>
        <v>#DIV/0!</v>
      </c>
      <c r="AO19" s="662" t="e">
        <f t="shared" si="16"/>
        <v>#DIV/0!</v>
      </c>
      <c r="AP19" s="59" t="s">
        <v>580</v>
      </c>
      <c r="AT19" s="121" t="s">
        <v>387</v>
      </c>
      <c r="AU19" s="665">
        <f>D19/D5</f>
        <v>0.17837852697291998</v>
      </c>
      <c r="AV19" s="121" t="s">
        <v>363</v>
      </c>
      <c r="AW19" s="665">
        <f>H19/H5</f>
        <v>0.17076381514297487</v>
      </c>
      <c r="AX19" s="121"/>
      <c r="AY19" s="121" t="s">
        <v>581</v>
      </c>
      <c r="AZ19" s="121"/>
      <c r="BA19" s="121"/>
      <c r="BB19" s="121" t="s">
        <v>387</v>
      </c>
      <c r="BC19" s="665">
        <f>D19/D13</f>
        <v>0.27742854782596299</v>
      </c>
      <c r="BD19" s="121" t="s">
        <v>363</v>
      </c>
      <c r="BE19" s="665">
        <f>H19/H13</f>
        <v>0.25171757151189461</v>
      </c>
    </row>
    <row r="20" spans="2:57" ht="25.35" customHeight="1" x14ac:dyDescent="0.3">
      <c r="B20" s="898" t="s">
        <v>383</v>
      </c>
      <c r="C20" s="899">
        <f>C21+C36</f>
        <v>847921</v>
      </c>
      <c r="D20" s="899">
        <f t="shared" ref="D20:O20" si="21">D21+D36</f>
        <v>2465706.5414220002</v>
      </c>
      <c r="E20" s="899">
        <f t="shared" si="21"/>
        <v>2602341.0067929998</v>
      </c>
      <c r="F20" s="899">
        <f t="shared" si="21"/>
        <v>2585746.1512070005</v>
      </c>
      <c r="G20" s="899">
        <f t="shared" si="21"/>
        <v>2672477.6245600004</v>
      </c>
      <c r="H20" s="899">
        <f t="shared" si="21"/>
        <v>2673988.2029360002</v>
      </c>
      <c r="I20" s="899">
        <f t="shared" si="21"/>
        <v>2751529.6567007238</v>
      </c>
      <c r="J20" s="899">
        <f t="shared" si="21"/>
        <v>2760667.9432691252</v>
      </c>
      <c r="K20" s="899">
        <f t="shared" si="21"/>
        <v>2775048.803533074</v>
      </c>
      <c r="L20" s="899">
        <f t="shared" si="21"/>
        <v>2785326.2549883593</v>
      </c>
      <c r="M20" s="899">
        <f t="shared" si="21"/>
        <v>2807739.9426179952</v>
      </c>
      <c r="N20" s="899">
        <f t="shared" si="21"/>
        <v>2835757.0255839857</v>
      </c>
      <c r="O20" s="899">
        <f t="shared" si="21"/>
        <v>2870167.2147909389</v>
      </c>
      <c r="Q20" s="661"/>
      <c r="S20" s="661"/>
      <c r="T20" s="661"/>
      <c r="U20" s="661"/>
      <c r="V20" s="661"/>
      <c r="W20" s="661"/>
      <c r="X20" s="661"/>
      <c r="Y20" s="661"/>
      <c r="Z20" s="661"/>
      <c r="AA20" s="661"/>
      <c r="AB20" s="661"/>
      <c r="AC20" s="661"/>
      <c r="AD20" s="661"/>
      <c r="AE20" s="662">
        <f t="shared" si="5"/>
        <v>5.5413920138363687E-2</v>
      </c>
      <c r="AF20" s="668">
        <f t="shared" si="5"/>
        <v>-6.3768950889530138E-3</v>
      </c>
      <c r="AG20" s="662">
        <f t="shared" si="5"/>
        <v>3.3542145392932134E-2</v>
      </c>
      <c r="AH20" s="662">
        <f t="shared" si="5"/>
        <v>5.6523518180943391E-4</v>
      </c>
      <c r="AI20" s="662">
        <f t="shared" si="5"/>
        <v>2.8998427771515307E-2</v>
      </c>
      <c r="AJ20" s="662">
        <f t="shared" si="5"/>
        <v>3.3211659362446504E-3</v>
      </c>
      <c r="AK20" s="662">
        <f t="shared" si="5"/>
        <v>5.2091959480354165E-3</v>
      </c>
      <c r="AL20" s="662">
        <f t="shared" si="15"/>
        <v>-1</v>
      </c>
      <c r="AM20" s="662" t="e">
        <f t="shared" si="16"/>
        <v>#DIV/0!</v>
      </c>
      <c r="AN20" s="662" t="e">
        <f t="shared" si="16"/>
        <v>#DIV/0!</v>
      </c>
      <c r="AO20" s="662" t="e">
        <f t="shared" si="16"/>
        <v>#DIV/0!</v>
      </c>
      <c r="AP20" s="59" t="s">
        <v>582</v>
      </c>
      <c r="AT20" s="121" t="s">
        <v>387</v>
      </c>
      <c r="AU20" s="665">
        <f>D20/D5</f>
        <v>0.15945636305114114</v>
      </c>
      <c r="AV20" s="121" t="s">
        <v>363</v>
      </c>
      <c r="AW20" s="665">
        <f>H20/H5</f>
        <v>0.15406146047406943</v>
      </c>
      <c r="AX20" s="121"/>
      <c r="AY20" s="121" t="s">
        <v>583</v>
      </c>
      <c r="AZ20" s="121"/>
      <c r="BA20" s="121"/>
      <c r="BB20" s="121" t="s">
        <v>387</v>
      </c>
      <c r="BC20" s="665">
        <f>D20/D13</f>
        <v>0.24799928552837225</v>
      </c>
      <c r="BD20" s="121" t="s">
        <v>363</v>
      </c>
      <c r="BE20" s="665">
        <f>H20/H13</f>
        <v>0.22709715557502219</v>
      </c>
    </row>
    <row r="21" spans="2:57" ht="25.35" customHeight="1" x14ac:dyDescent="0.3">
      <c r="B21" s="898" t="s">
        <v>569</v>
      </c>
      <c r="C21" s="900">
        <f>SUM(C22:C35)</f>
        <v>847921</v>
      </c>
      <c r="D21" s="900">
        <f t="shared" ref="D21:N21" si="22">SUM(D22:D35)</f>
        <v>898893</v>
      </c>
      <c r="E21" s="900">
        <f t="shared" si="22"/>
        <v>908849</v>
      </c>
      <c r="F21" s="900">
        <f t="shared" si="22"/>
        <v>864887</v>
      </c>
      <c r="G21" s="900">
        <f t="shared" si="22"/>
        <v>825389</v>
      </c>
      <c r="H21" s="900">
        <f t="shared" si="22"/>
        <v>816617.20293599996</v>
      </c>
      <c r="I21" s="900">
        <f t="shared" si="22"/>
        <v>829142.22184761893</v>
      </c>
      <c r="J21" s="900">
        <f t="shared" si="22"/>
        <v>824539.04925640335</v>
      </c>
      <c r="K21" s="900">
        <f t="shared" si="22"/>
        <v>818965.02936011052</v>
      </c>
      <c r="L21" s="900">
        <f t="shared" si="22"/>
        <v>813832.0657153409</v>
      </c>
      <c r="M21" s="900">
        <f t="shared" si="22"/>
        <v>808553.07928113686</v>
      </c>
      <c r="N21" s="900">
        <f t="shared" si="22"/>
        <v>803616.35549945722</v>
      </c>
      <c r="O21" s="900">
        <f>SUM(O22:O35)</f>
        <v>799304.04555461556</v>
      </c>
      <c r="Q21" s="661"/>
      <c r="S21" s="661"/>
      <c r="T21" s="661"/>
      <c r="U21" s="661"/>
      <c r="V21" s="661"/>
      <c r="W21" s="661"/>
      <c r="X21" s="661"/>
      <c r="Y21" s="661"/>
      <c r="Z21" s="661"/>
      <c r="AA21" s="661"/>
      <c r="AB21" s="661"/>
      <c r="AC21" s="661"/>
      <c r="AD21" s="661"/>
      <c r="AE21" s="662">
        <f t="shared" si="5"/>
        <v>1.1075845512202231E-2</v>
      </c>
      <c r="AF21" s="662">
        <f t="shared" si="5"/>
        <v>-4.8371071542137364E-2</v>
      </c>
      <c r="AG21" s="662">
        <f t="shared" si="5"/>
        <v>-4.566839367454939E-2</v>
      </c>
      <c r="AH21" s="662">
        <f t="shared" si="5"/>
        <v>-1.0627470276439403E-2</v>
      </c>
      <c r="AI21" s="662">
        <f t="shared" si="5"/>
        <v>1.5337686821423214E-2</v>
      </c>
      <c r="AJ21" s="662">
        <f t="shared" si="5"/>
        <v>-5.5517286056885424E-3</v>
      </c>
      <c r="AK21" s="662">
        <f t="shared" si="5"/>
        <v>-6.7601648476438587E-3</v>
      </c>
      <c r="AL21" s="662">
        <f t="shared" si="15"/>
        <v>-1</v>
      </c>
      <c r="AM21" s="662" t="e">
        <f t="shared" si="16"/>
        <v>#DIV/0!</v>
      </c>
      <c r="AN21" s="662" t="e">
        <f t="shared" si="16"/>
        <v>#DIV/0!</v>
      </c>
      <c r="AO21" s="662" t="e">
        <f t="shared" si="16"/>
        <v>#DIV/0!</v>
      </c>
    </row>
    <row r="22" spans="2:57" ht="20.100000000000001" customHeight="1" x14ac:dyDescent="0.3">
      <c r="B22" s="901" t="s">
        <v>471</v>
      </c>
      <c r="C22" s="902">
        <f t="shared" ref="C22:O36" si="23">Q22</f>
        <v>104642</v>
      </c>
      <c r="D22" s="902">
        <f t="shared" si="23"/>
        <v>108194</v>
      </c>
      <c r="E22" s="902">
        <f t="shared" si="23"/>
        <v>74094</v>
      </c>
      <c r="F22" s="902">
        <f t="shared" si="23"/>
        <v>82590</v>
      </c>
      <c r="G22" s="902">
        <f t="shared" si="23"/>
        <v>84194</v>
      </c>
      <c r="H22" s="902">
        <f t="shared" si="23"/>
        <v>85905.775024999995</v>
      </c>
      <c r="I22" s="902">
        <f t="shared" si="23"/>
        <v>91464.316522574009</v>
      </c>
      <c r="J22" s="902">
        <f t="shared" si="23"/>
        <v>94208.24601825123</v>
      </c>
      <c r="K22" s="902">
        <f t="shared" si="23"/>
        <v>97034.493398798775</v>
      </c>
      <c r="L22" s="902">
        <f t="shared" si="23"/>
        <v>99945.528200762739</v>
      </c>
      <c r="M22" s="902">
        <f t="shared" si="23"/>
        <v>102943.89404678563</v>
      </c>
      <c r="N22" s="902">
        <f t="shared" si="23"/>
        <v>106032.2108681892</v>
      </c>
      <c r="O22" s="902">
        <f t="shared" si="23"/>
        <v>109213.17719423487</v>
      </c>
      <c r="Q22" s="661">
        <f>'7-1. FS'!AB58</f>
        <v>104642</v>
      </c>
      <c r="R22" s="661">
        <f>'7-1. FS'!AC58</f>
        <v>108194</v>
      </c>
      <c r="S22" s="661">
        <f>'7-1. FS'!AD58</f>
        <v>74094</v>
      </c>
      <c r="T22" s="661">
        <f>'7-1. FS'!AE58</f>
        <v>82590</v>
      </c>
      <c r="U22" s="661">
        <f>'7-1. FS'!AF58</f>
        <v>84194</v>
      </c>
      <c r="V22" s="661">
        <f>'7-1. FS'!AG58</f>
        <v>85905.775024999995</v>
      </c>
      <c r="W22" s="661">
        <f>'7-1. FS'!AH58</f>
        <v>91464.316522574009</v>
      </c>
      <c r="X22" s="661">
        <f>'7-1. FS'!AI58</f>
        <v>94208.24601825123</v>
      </c>
      <c r="Y22" s="661">
        <f>'7-1. FS'!AJ58</f>
        <v>97034.493398798775</v>
      </c>
      <c r="Z22" s="661">
        <f>'7-1. FS'!AK58</f>
        <v>99945.528200762739</v>
      </c>
      <c r="AA22" s="661">
        <f>'7-1. FS'!AL58</f>
        <v>102943.89404678563</v>
      </c>
      <c r="AB22" s="661">
        <f>'7-1. FS'!AM58</f>
        <v>106032.2108681892</v>
      </c>
      <c r="AC22" s="661">
        <f>'7-1. FS'!AN58</f>
        <v>109213.17719423487</v>
      </c>
      <c r="AD22" s="661"/>
      <c r="AE22" s="662">
        <f t="shared" si="5"/>
        <v>-0.31517459378523766</v>
      </c>
      <c r="AF22" s="662">
        <f t="shared" si="5"/>
        <v>0.11466515507328529</v>
      </c>
      <c r="AG22" s="662">
        <f t="shared" si="5"/>
        <v>1.9421237437946482E-2</v>
      </c>
      <c r="AH22" s="662">
        <f t="shared" si="5"/>
        <v>2.0331318443119407E-2</v>
      </c>
      <c r="AI22" s="662">
        <f t="shared" si="5"/>
        <v>6.4705096903629425E-2</v>
      </c>
      <c r="AJ22" s="662">
        <f t="shared" si="5"/>
        <v>3.0000000000000009E-2</v>
      </c>
      <c r="AK22" s="662">
        <f t="shared" si="5"/>
        <v>3.0000000000000093E-2</v>
      </c>
      <c r="AL22" s="662">
        <f t="shared" si="15"/>
        <v>-1</v>
      </c>
      <c r="AM22" s="662" t="e">
        <f t="shared" si="16"/>
        <v>#DIV/0!</v>
      </c>
      <c r="AN22" s="662">
        <f t="shared" si="16"/>
        <v>3.3944305345845839E-2</v>
      </c>
      <c r="AO22" s="662">
        <f t="shared" si="16"/>
        <v>-0.31517459378523766</v>
      </c>
      <c r="AP22" s="59" t="s">
        <v>584</v>
      </c>
    </row>
    <row r="23" spans="2:57" ht="20.100000000000001" customHeight="1" x14ac:dyDescent="0.3">
      <c r="B23" s="903" t="s">
        <v>472</v>
      </c>
      <c r="C23" s="130">
        <f t="shared" si="23"/>
        <v>84622</v>
      </c>
      <c r="D23" s="130">
        <f t="shared" si="23"/>
        <v>80631</v>
      </c>
      <c r="E23" s="130">
        <f t="shared" si="23"/>
        <v>77520</v>
      </c>
      <c r="F23" s="130">
        <f t="shared" si="23"/>
        <v>74019</v>
      </c>
      <c r="G23" s="130">
        <f t="shared" si="23"/>
        <v>67732</v>
      </c>
      <c r="H23" s="130">
        <f t="shared" si="23"/>
        <v>66615.577915000002</v>
      </c>
      <c r="I23" s="130">
        <f t="shared" si="23"/>
        <v>65664.713178818696</v>
      </c>
      <c r="J23" s="130">
        <f t="shared" si="23"/>
        <v>65034.602358349657</v>
      </c>
      <c r="K23" s="130">
        <f t="shared" si="23"/>
        <v>64413.789736898638</v>
      </c>
      <c r="L23" s="130">
        <f t="shared" si="23"/>
        <v>63802.124008785628</v>
      </c>
      <c r="M23" s="130">
        <f t="shared" si="23"/>
        <v>63266.448922485128</v>
      </c>
      <c r="N23" s="130">
        <f t="shared" si="23"/>
        <v>62849.15090890701</v>
      </c>
      <c r="O23" s="130">
        <f t="shared" si="23"/>
        <v>62566.588560574775</v>
      </c>
      <c r="Q23" s="661">
        <f>'7-1. FS'!AB59</f>
        <v>84622</v>
      </c>
      <c r="R23" s="661">
        <f>'7-1. FS'!AC59</f>
        <v>80631</v>
      </c>
      <c r="S23" s="661">
        <f>'7-1. FS'!AD59</f>
        <v>77520</v>
      </c>
      <c r="T23" s="661">
        <f>'7-1. FS'!AE59</f>
        <v>74019</v>
      </c>
      <c r="U23" s="661">
        <f>'7-1. FS'!AF59</f>
        <v>67732</v>
      </c>
      <c r="V23" s="661">
        <f>'7-1. FS'!AG59</f>
        <v>66615.577915000002</v>
      </c>
      <c r="W23" s="661">
        <f>'7-1. FS'!AH59</f>
        <v>65664.713178818696</v>
      </c>
      <c r="X23" s="661">
        <f>'7-1. FS'!AI59</f>
        <v>65034.602358349657</v>
      </c>
      <c r="Y23" s="661">
        <f>'7-1. FS'!AJ59</f>
        <v>64413.789736898638</v>
      </c>
      <c r="Z23" s="661">
        <f>'7-1. FS'!AK59</f>
        <v>63802.124008785628</v>
      </c>
      <c r="AA23" s="661">
        <f>'7-1. FS'!AL59</f>
        <v>63266.448922485128</v>
      </c>
      <c r="AB23" s="661">
        <f>'7-1. FS'!AM59</f>
        <v>62849.15090890701</v>
      </c>
      <c r="AC23" s="661">
        <f>'7-1. FS'!AN59</f>
        <v>62566.588560574775</v>
      </c>
      <c r="AD23" s="661"/>
      <c r="AE23" s="662">
        <f>(E23-D23)/D23</f>
        <v>-3.8583175205566096E-2</v>
      </c>
      <c r="AF23" s="662">
        <f t="shared" si="5"/>
        <v>-4.5162538699690405E-2</v>
      </c>
      <c r="AG23" s="662">
        <f t="shared" si="5"/>
        <v>-8.4937651143625281E-2</v>
      </c>
      <c r="AH23" s="662">
        <f t="shared" si="5"/>
        <v>-1.6482933989842297E-2</v>
      </c>
      <c r="AI23" s="662">
        <f t="shared" si="5"/>
        <v>-1.4273909586051896E-2</v>
      </c>
      <c r="AJ23" s="662">
        <f t="shared" si="5"/>
        <v>-9.5958817143252575E-3</v>
      </c>
      <c r="AK23" s="662">
        <f t="shared" si="5"/>
        <v>-9.5458817143257973E-3</v>
      </c>
      <c r="AL23" s="662">
        <f t="shared" si="15"/>
        <v>-1</v>
      </c>
      <c r="AM23" s="662" t="e">
        <f t="shared" si="16"/>
        <v>#DIV/0!</v>
      </c>
      <c r="AN23" s="662">
        <f t="shared" si="16"/>
        <v>-4.7162676372574507E-2</v>
      </c>
      <c r="AO23" s="662">
        <f t="shared" si="16"/>
        <v>-3.8583175205566096E-2</v>
      </c>
    </row>
    <row r="24" spans="2:57" ht="20.100000000000001" customHeight="1" x14ac:dyDescent="0.3">
      <c r="B24" s="904" t="s">
        <v>473</v>
      </c>
      <c r="C24" s="130">
        <f t="shared" si="23"/>
        <v>323632</v>
      </c>
      <c r="D24" s="130">
        <f t="shared" si="23"/>
        <v>354247</v>
      </c>
      <c r="E24" s="130">
        <f t="shared" si="23"/>
        <v>375984</v>
      </c>
      <c r="F24" s="130">
        <f t="shared" si="23"/>
        <v>384028</v>
      </c>
      <c r="G24" s="130">
        <f t="shared" si="23"/>
        <v>382578</v>
      </c>
      <c r="H24" s="130">
        <f t="shared" si="23"/>
        <v>380133.15956499998</v>
      </c>
      <c r="I24" s="130">
        <f t="shared" si="23"/>
        <v>377499.99999999988</v>
      </c>
      <c r="J24" s="130">
        <f t="shared" si="23"/>
        <v>375500</v>
      </c>
      <c r="K24" s="130">
        <f t="shared" si="23"/>
        <v>374500</v>
      </c>
      <c r="L24" s="130">
        <f t="shared" si="23"/>
        <v>373500</v>
      </c>
      <c r="M24" s="130">
        <f t="shared" si="23"/>
        <v>372500</v>
      </c>
      <c r="N24" s="130">
        <f t="shared" si="23"/>
        <v>371500</v>
      </c>
      <c r="O24" s="130">
        <f t="shared" si="23"/>
        <v>370500</v>
      </c>
      <c r="Q24" s="661">
        <f>'7-1. FS'!AB60</f>
        <v>323632</v>
      </c>
      <c r="R24" s="661">
        <f>'7-1. FS'!AC60</f>
        <v>354247</v>
      </c>
      <c r="S24" s="661">
        <f>'7-1. FS'!AD60</f>
        <v>375984</v>
      </c>
      <c r="T24" s="661">
        <f>'7-1. FS'!AE60</f>
        <v>384028</v>
      </c>
      <c r="U24" s="661">
        <f>'7-1. FS'!AF60</f>
        <v>382578</v>
      </c>
      <c r="V24" s="661">
        <f>'7-1. FS'!AG60</f>
        <v>380133.15956499998</v>
      </c>
      <c r="W24" s="661">
        <f>'7-1. FS'!AH60</f>
        <v>377499.99999999988</v>
      </c>
      <c r="X24" s="661">
        <f>'7-1. FS'!AI60</f>
        <v>375500</v>
      </c>
      <c r="Y24" s="661">
        <f>'7-1. FS'!AJ60</f>
        <v>374500</v>
      </c>
      <c r="Z24" s="661">
        <f>'7-1. FS'!AK60</f>
        <v>373500</v>
      </c>
      <c r="AA24" s="661">
        <f>'7-1. FS'!AL60</f>
        <v>372500</v>
      </c>
      <c r="AB24" s="661">
        <f>'7-1. FS'!AM60</f>
        <v>371500</v>
      </c>
      <c r="AC24" s="661">
        <f>'7-1. FS'!AN60</f>
        <v>370500</v>
      </c>
      <c r="AD24" s="661"/>
      <c r="AE24" s="662">
        <f t="shared" si="5"/>
        <v>6.1361140673033221E-2</v>
      </c>
      <c r="AF24" s="662">
        <f t="shared" si="5"/>
        <v>2.1394527426699009E-2</v>
      </c>
      <c r="AG24" s="662">
        <f t="shared" si="5"/>
        <v>-3.7757663503702856E-3</v>
      </c>
      <c r="AH24" s="662">
        <f t="shared" si="5"/>
        <v>-6.3904365515006613E-3</v>
      </c>
      <c r="AI24" s="662">
        <f t="shared" si="5"/>
        <v>-6.9269399386607455E-3</v>
      </c>
      <c r="AJ24" s="662">
        <f t="shared" si="5"/>
        <v>-5.2980132450328055E-3</v>
      </c>
      <c r="AK24" s="662">
        <f t="shared" si="5"/>
        <v>-2.6631158455392811E-3</v>
      </c>
      <c r="AL24" s="662">
        <f t="shared" si="15"/>
        <v>-1</v>
      </c>
      <c r="AM24" s="662" t="e">
        <f t="shared" si="16"/>
        <v>#DIV/0!</v>
      </c>
      <c r="AN24" s="662">
        <f t="shared" si="16"/>
        <v>9.4598185593513615E-2</v>
      </c>
      <c r="AO24" s="662">
        <f t="shared" si="16"/>
        <v>6.1361140673033221E-2</v>
      </c>
      <c r="AP24" s="59" t="s">
        <v>585</v>
      </c>
      <c r="AU24" s="66">
        <f>(H24-C24)/C24/5</f>
        <v>3.4916917712092738E-2</v>
      </c>
      <c r="AW24" s="152">
        <f>(H24-C24)/5</f>
        <v>11300.231912999996</v>
      </c>
    </row>
    <row r="25" spans="2:57" ht="20.100000000000001" customHeight="1" x14ac:dyDescent="0.3">
      <c r="B25" s="903" t="s">
        <v>474</v>
      </c>
      <c r="C25" s="130">
        <f t="shared" si="23"/>
        <v>77105</v>
      </c>
      <c r="D25" s="130">
        <f t="shared" si="23"/>
        <v>77199</v>
      </c>
      <c r="E25" s="130">
        <f t="shared" si="23"/>
        <v>75259</v>
      </c>
      <c r="F25" s="130">
        <f t="shared" si="23"/>
        <v>68369</v>
      </c>
      <c r="G25" s="130">
        <f t="shared" si="23"/>
        <v>64856</v>
      </c>
      <c r="H25" s="130">
        <f t="shared" si="23"/>
        <v>67342.347114999997</v>
      </c>
      <c r="I25" s="130">
        <f t="shared" si="23"/>
        <v>68885.580539074959</v>
      </c>
      <c r="J25" s="130">
        <f t="shared" si="23"/>
        <v>68224.562656399357</v>
      </c>
      <c r="K25" s="130">
        <f t="shared" si="23"/>
        <v>67573.299051269758</v>
      </c>
      <c r="L25" s="130">
        <f t="shared" si="23"/>
        <v>66931.63099643217</v>
      </c>
      <c r="M25" s="130">
        <f t="shared" si="23"/>
        <v>66369.680939639249</v>
      </c>
      <c r="N25" s="130">
        <f t="shared" si="23"/>
        <v>65931.914374743865</v>
      </c>
      <c r="O25" s="130">
        <f t="shared" si="23"/>
        <v>65635.49228651599</v>
      </c>
      <c r="Q25" s="661">
        <f>'7-1. FS'!AB61</f>
        <v>77105</v>
      </c>
      <c r="R25" s="661">
        <f>'7-1. FS'!AC61</f>
        <v>77199</v>
      </c>
      <c r="S25" s="661">
        <f>'7-1. FS'!AD61</f>
        <v>75259</v>
      </c>
      <c r="T25" s="661">
        <f>'7-1. FS'!AE61</f>
        <v>68369</v>
      </c>
      <c r="U25" s="661">
        <f>'7-1. FS'!AF61</f>
        <v>64856</v>
      </c>
      <c r="V25" s="661">
        <f>'7-1. FS'!AG61</f>
        <v>67342.347114999997</v>
      </c>
      <c r="W25" s="661">
        <f>'7-1. FS'!AH61</f>
        <v>68885.580539074959</v>
      </c>
      <c r="X25" s="661">
        <f>'7-1. FS'!AI61</f>
        <v>68224.562656399357</v>
      </c>
      <c r="Y25" s="661">
        <f>'7-1. FS'!AJ61</f>
        <v>67573.299051269758</v>
      </c>
      <c r="Z25" s="661">
        <f>'7-1. FS'!AK61</f>
        <v>66931.63099643217</v>
      </c>
      <c r="AA25" s="661">
        <f>'7-1. FS'!AL61</f>
        <v>66369.680939639249</v>
      </c>
      <c r="AB25" s="661">
        <f>'7-1. FS'!AM61</f>
        <v>65931.914374743865</v>
      </c>
      <c r="AC25" s="661">
        <f>'7-1. FS'!AN61</f>
        <v>65635.49228651599</v>
      </c>
      <c r="AD25" s="661"/>
      <c r="AE25" s="662">
        <f t="shared" si="5"/>
        <v>-2.5129859195067293E-2</v>
      </c>
      <c r="AF25" s="662">
        <f t="shared" si="5"/>
        <v>-9.1550512231095282E-2</v>
      </c>
      <c r="AG25" s="662">
        <f t="shared" si="5"/>
        <v>-5.1382936711082509E-2</v>
      </c>
      <c r="AH25" s="662">
        <f t="shared" si="5"/>
        <v>3.8336424000863401E-2</v>
      </c>
      <c r="AI25" s="662">
        <f t="shared" si="5"/>
        <v>2.2916240526033266E-2</v>
      </c>
      <c r="AJ25" s="662">
        <f t="shared" si="5"/>
        <v>-9.5958817143254414E-3</v>
      </c>
      <c r="AK25" s="662">
        <f t="shared" si="5"/>
        <v>-9.5458817143258285E-3</v>
      </c>
      <c r="AL25" s="662">
        <f t="shared" si="15"/>
        <v>-1</v>
      </c>
      <c r="AM25" s="662" t="e">
        <f t="shared" si="16"/>
        <v>#DIV/0!</v>
      </c>
      <c r="AN25" s="662">
        <f t="shared" si="16"/>
        <v>1.219116788794501E-3</v>
      </c>
      <c r="AO25" s="662">
        <f t="shared" si="16"/>
        <v>-2.5129859195067293E-2</v>
      </c>
    </row>
    <row r="26" spans="2:57" ht="20.100000000000001" customHeight="1" x14ac:dyDescent="0.3">
      <c r="B26" s="903" t="s">
        <v>475</v>
      </c>
      <c r="C26" s="130">
        <f t="shared" si="23"/>
        <v>33983</v>
      </c>
      <c r="D26" s="130">
        <f t="shared" si="23"/>
        <v>30458</v>
      </c>
      <c r="E26" s="130">
        <f t="shared" si="23"/>
        <v>29956</v>
      </c>
      <c r="F26" s="130">
        <f t="shared" si="23"/>
        <v>26237</v>
      </c>
      <c r="G26" s="130">
        <f t="shared" si="23"/>
        <v>25823</v>
      </c>
      <c r="H26" s="130">
        <f t="shared" si="23"/>
        <v>25116.099147000001</v>
      </c>
      <c r="I26" s="130">
        <f t="shared" si="23"/>
        <v>25920.821294011552</v>
      </c>
      <c r="J26" s="130">
        <f t="shared" si="23"/>
        <v>22268.551627814217</v>
      </c>
      <c r="K26" s="130">
        <f t="shared" si="23"/>
        <v>21472.688039784087</v>
      </c>
      <c r="L26" s="130">
        <f t="shared" si="23"/>
        <v>20510.246332118677</v>
      </c>
      <c r="M26" s="130">
        <f t="shared" si="23"/>
        <v>19185.748159865601</v>
      </c>
      <c r="N26" s="130">
        <f t="shared" si="23"/>
        <v>18402.738791460888</v>
      </c>
      <c r="O26" s="130">
        <f t="shared" si="23"/>
        <v>17580.920122955984</v>
      </c>
      <c r="Q26" s="661">
        <f>'7-1. FS'!AB62</f>
        <v>33983</v>
      </c>
      <c r="R26" s="661">
        <f>'7-1. FS'!AC62</f>
        <v>30458</v>
      </c>
      <c r="S26" s="661">
        <f>'7-1. FS'!AD62</f>
        <v>29956</v>
      </c>
      <c r="T26" s="661">
        <f>'7-1. FS'!AE62</f>
        <v>26237</v>
      </c>
      <c r="U26" s="661">
        <f>'7-1. FS'!AF62</f>
        <v>25823</v>
      </c>
      <c r="V26" s="661">
        <f>'7-1. FS'!AG62</f>
        <v>25116.099147000001</v>
      </c>
      <c r="W26" s="661">
        <f>'7-1. FS'!AH62</f>
        <v>25920.821294011552</v>
      </c>
      <c r="X26" s="661">
        <f>'7-1. FS'!AI62</f>
        <v>22268.551627814217</v>
      </c>
      <c r="Y26" s="661">
        <f>'7-1. FS'!AJ62</f>
        <v>21472.688039784087</v>
      </c>
      <c r="Z26" s="661">
        <f>'7-1. FS'!AK62</f>
        <v>20510.246332118677</v>
      </c>
      <c r="AA26" s="661">
        <f>'7-1. FS'!AL62</f>
        <v>19185.748159865601</v>
      </c>
      <c r="AB26" s="661">
        <f>'7-1. FS'!AM62</f>
        <v>18402.738791460888</v>
      </c>
      <c r="AC26" s="661">
        <f>'7-1. FS'!AN62</f>
        <v>17580.920122955984</v>
      </c>
      <c r="AD26" s="661"/>
      <c r="AE26" s="662">
        <f t="shared" si="5"/>
        <v>-1.6481712522161664E-2</v>
      </c>
      <c r="AF26" s="662">
        <f t="shared" si="5"/>
        <v>-0.12414875150220323</v>
      </c>
      <c r="AG26" s="662">
        <f t="shared" si="5"/>
        <v>-1.5779243053702787E-2</v>
      </c>
      <c r="AH26" s="662">
        <f t="shared" si="5"/>
        <v>-2.7374853928668209E-2</v>
      </c>
      <c r="AI26" s="662">
        <f t="shared" si="5"/>
        <v>3.2040092782786744E-2</v>
      </c>
      <c r="AJ26" s="662">
        <f t="shared" si="5"/>
        <v>-0.14090100096639738</v>
      </c>
      <c r="AK26" s="662">
        <f t="shared" si="5"/>
        <v>-3.5739351230911119E-2</v>
      </c>
      <c r="AL26" s="662">
        <f t="shared" si="15"/>
        <v>-1</v>
      </c>
      <c r="AM26" s="662" t="e">
        <f t="shared" si="16"/>
        <v>#DIV/0!</v>
      </c>
      <c r="AN26" s="662">
        <f t="shared" si="16"/>
        <v>-0.10372833475561311</v>
      </c>
      <c r="AO26" s="662">
        <f t="shared" si="16"/>
        <v>-1.6481712522161664E-2</v>
      </c>
    </row>
    <row r="27" spans="2:57" ht="20.100000000000001" customHeight="1" x14ac:dyDescent="0.3">
      <c r="B27" s="903" t="s">
        <v>476</v>
      </c>
      <c r="C27" s="130">
        <f t="shared" si="23"/>
        <v>0</v>
      </c>
      <c r="D27" s="130">
        <f t="shared" si="23"/>
        <v>0</v>
      </c>
      <c r="E27" s="130">
        <f t="shared" si="23"/>
        <v>0</v>
      </c>
      <c r="F27" s="130">
        <f t="shared" si="23"/>
        <v>0</v>
      </c>
      <c r="G27" s="130">
        <f t="shared" si="23"/>
        <v>0</v>
      </c>
      <c r="H27" s="130">
        <f t="shared" si="23"/>
        <v>0</v>
      </c>
      <c r="I27" s="130">
        <f t="shared" si="23"/>
        <v>0</v>
      </c>
      <c r="J27" s="130">
        <f t="shared" si="23"/>
        <v>0</v>
      </c>
      <c r="K27" s="130">
        <f t="shared" si="23"/>
        <v>0</v>
      </c>
      <c r="L27" s="130">
        <f t="shared" si="23"/>
        <v>0</v>
      </c>
      <c r="M27" s="130">
        <f t="shared" si="23"/>
        <v>0</v>
      </c>
      <c r="N27" s="130">
        <f t="shared" si="23"/>
        <v>0</v>
      </c>
      <c r="O27" s="130">
        <f t="shared" si="23"/>
        <v>0</v>
      </c>
      <c r="Q27" s="661">
        <f>'7-1. FS'!AB63</f>
        <v>0</v>
      </c>
      <c r="R27" s="661">
        <f>'7-1. FS'!AC63</f>
        <v>0</v>
      </c>
      <c r="S27" s="661">
        <f>'7-1. FS'!AD63</f>
        <v>0</v>
      </c>
      <c r="T27" s="661">
        <f>'7-1. FS'!AE63</f>
        <v>0</v>
      </c>
      <c r="U27" s="661">
        <f>'7-1. FS'!AF63</f>
        <v>0</v>
      </c>
      <c r="V27" s="661">
        <f>'7-1. FS'!AG63</f>
        <v>0</v>
      </c>
      <c r="W27" s="661">
        <f>'7-1. FS'!AH63</f>
        <v>0</v>
      </c>
      <c r="X27" s="661">
        <f>'7-1. FS'!AI63</f>
        <v>0</v>
      </c>
      <c r="Y27" s="661">
        <f>'7-1. FS'!AJ63</f>
        <v>0</v>
      </c>
      <c r="Z27" s="661">
        <f>'7-1. FS'!AK63</f>
        <v>0</v>
      </c>
      <c r="AA27" s="661">
        <f>'7-1. FS'!AL63</f>
        <v>0</v>
      </c>
      <c r="AB27" s="661">
        <f>'7-1. FS'!AM63</f>
        <v>0</v>
      </c>
      <c r="AC27" s="661">
        <f>'7-1. FS'!AN63</f>
        <v>0</v>
      </c>
      <c r="AD27" s="661"/>
      <c r="AE27" s="662"/>
      <c r="AF27" s="662"/>
      <c r="AG27" s="662"/>
      <c r="AH27" s="662"/>
      <c r="AI27" s="662"/>
      <c r="AJ27" s="662"/>
      <c r="AK27" s="662"/>
      <c r="AL27" s="662"/>
      <c r="AM27" s="662"/>
      <c r="AN27" s="662"/>
      <c r="AO27" s="662"/>
    </row>
    <row r="28" spans="2:57" ht="20.100000000000001" customHeight="1" x14ac:dyDescent="0.3">
      <c r="B28" s="903" t="s">
        <v>477</v>
      </c>
      <c r="C28" s="130">
        <f t="shared" si="23"/>
        <v>23912</v>
      </c>
      <c r="D28" s="130">
        <f t="shared" si="23"/>
        <v>35180</v>
      </c>
      <c r="E28" s="130">
        <f t="shared" si="23"/>
        <v>20212</v>
      </c>
      <c r="F28" s="130">
        <f t="shared" si="23"/>
        <v>28461</v>
      </c>
      <c r="G28" s="130">
        <f t="shared" si="23"/>
        <v>29762</v>
      </c>
      <c r="H28" s="130">
        <f t="shared" si="23"/>
        <v>33557.302137999999</v>
      </c>
      <c r="I28" s="130">
        <f t="shared" si="23"/>
        <v>32927.107475776778</v>
      </c>
      <c r="J28" s="130">
        <f t="shared" si="23"/>
        <v>32611.142847244344</v>
      </c>
      <c r="K28" s="130">
        <f t="shared" si="23"/>
        <v>32299.840735055568</v>
      </c>
      <c r="L28" s="130">
        <f t="shared" si="23"/>
        <v>31993.125268043936</v>
      </c>
      <c r="M28" s="130">
        <f t="shared" si="23"/>
        <v>31724.514772621838</v>
      </c>
      <c r="N28" s="130">
        <f t="shared" si="23"/>
        <v>31515.263625737258</v>
      </c>
      <c r="O28" s="130">
        <f t="shared" si="23"/>
        <v>31373.57472828016</v>
      </c>
      <c r="Q28" s="661">
        <f>'7-1. FS'!AB64</f>
        <v>23912</v>
      </c>
      <c r="R28" s="661">
        <f>'7-1. FS'!AC64</f>
        <v>35180</v>
      </c>
      <c r="S28" s="661">
        <f>'7-1. FS'!AD64</f>
        <v>20212</v>
      </c>
      <c r="T28" s="661">
        <f>'7-1. FS'!AE64</f>
        <v>28461</v>
      </c>
      <c r="U28" s="661">
        <f>'7-1. FS'!AF64</f>
        <v>29762</v>
      </c>
      <c r="V28" s="661">
        <f>'7-1. FS'!AG64</f>
        <v>33557.302137999999</v>
      </c>
      <c r="W28" s="661">
        <f>'7-1. FS'!AH64</f>
        <v>32927.107475776778</v>
      </c>
      <c r="X28" s="661">
        <f>'7-1. FS'!AI64</f>
        <v>32611.142847244344</v>
      </c>
      <c r="Y28" s="661">
        <f>'7-1. FS'!AJ64</f>
        <v>32299.840735055568</v>
      </c>
      <c r="Z28" s="661">
        <f>'7-1. FS'!AK64</f>
        <v>31993.125268043936</v>
      </c>
      <c r="AA28" s="661">
        <f>'7-1. FS'!AL64</f>
        <v>31724.514772621838</v>
      </c>
      <c r="AB28" s="661">
        <f>'7-1. FS'!AM64</f>
        <v>31515.263625737258</v>
      </c>
      <c r="AC28" s="661">
        <f>'7-1. FS'!AN64</f>
        <v>31373.57472828016</v>
      </c>
      <c r="AD28" s="661"/>
      <c r="AE28" s="662">
        <f t="shared" si="5"/>
        <v>-0.42546901648664015</v>
      </c>
      <c r="AF28" s="662">
        <f t="shared" si="5"/>
        <v>0.40812388679992084</v>
      </c>
      <c r="AG28" s="662">
        <f t="shared" si="5"/>
        <v>4.5711675626295634E-2</v>
      </c>
      <c r="AH28" s="662">
        <f t="shared" si="5"/>
        <v>0.12752174376721992</v>
      </c>
      <c r="AI28" s="662">
        <f t="shared" si="5"/>
        <v>-1.8779658139132519E-2</v>
      </c>
      <c r="AJ28" s="662">
        <f t="shared" si="5"/>
        <v>-9.5958817143254223E-3</v>
      </c>
      <c r="AK28" s="662">
        <f t="shared" si="5"/>
        <v>-9.5458817143257869E-3</v>
      </c>
      <c r="AL28" s="662">
        <f t="shared" ref="AL28:AL48" si="24">(P28-K28)/K28</f>
        <v>-1</v>
      </c>
      <c r="AM28" s="662" t="e">
        <f t="shared" si="16"/>
        <v>#DIV/0!</v>
      </c>
      <c r="AN28" s="662">
        <f t="shared" si="16"/>
        <v>0.47122783539645369</v>
      </c>
      <c r="AO28" s="662">
        <f t="shared" si="16"/>
        <v>-0.42546901648664015</v>
      </c>
    </row>
    <row r="29" spans="2:57" ht="20.100000000000001" customHeight="1" x14ac:dyDescent="0.3">
      <c r="B29" s="903" t="s">
        <v>478</v>
      </c>
      <c r="C29" s="130">
        <f t="shared" si="23"/>
        <v>15719</v>
      </c>
      <c r="D29" s="130">
        <f t="shared" si="23"/>
        <v>16977</v>
      </c>
      <c r="E29" s="130">
        <f t="shared" si="23"/>
        <v>17022</v>
      </c>
      <c r="F29" s="130">
        <f t="shared" si="23"/>
        <v>17258</v>
      </c>
      <c r="G29" s="130">
        <f t="shared" si="23"/>
        <v>15041</v>
      </c>
      <c r="H29" s="130">
        <f t="shared" si="23"/>
        <v>15120.221912000001</v>
      </c>
      <c r="I29" s="130">
        <f t="shared" si="23"/>
        <v>16323.590060885699</v>
      </c>
      <c r="J29" s="130">
        <f t="shared" si="23"/>
        <v>16071.104309590364</v>
      </c>
      <c r="K29" s="130">
        <f t="shared" si="23"/>
        <v>16008.559232541316</v>
      </c>
      <c r="L29" s="130">
        <f t="shared" si="23"/>
        <v>15956.577149117509</v>
      </c>
      <c r="M29" s="130">
        <f t="shared" si="23"/>
        <v>15895.776346999315</v>
      </c>
      <c r="N29" s="130">
        <f t="shared" si="23"/>
        <v>15835.571155282229</v>
      </c>
      <c r="O29" s="130">
        <f t="shared" si="23"/>
        <v>15776.457767560014</v>
      </c>
      <c r="Q29" s="661">
        <f>'7-1. FS'!AB65</f>
        <v>15719</v>
      </c>
      <c r="R29" s="661">
        <f>'7-1. FS'!AC65</f>
        <v>16977</v>
      </c>
      <c r="S29" s="661">
        <f>'7-1. FS'!AD65</f>
        <v>17022</v>
      </c>
      <c r="T29" s="661">
        <f>'7-1. FS'!AE65</f>
        <v>17258</v>
      </c>
      <c r="U29" s="661">
        <f>'7-1. FS'!AF65</f>
        <v>15041</v>
      </c>
      <c r="V29" s="661">
        <f>'7-1. FS'!AG65</f>
        <v>15120.221912000001</v>
      </c>
      <c r="W29" s="661">
        <f>'7-1. FS'!AH65</f>
        <v>16323.590060885699</v>
      </c>
      <c r="X29" s="661">
        <f>'7-1. FS'!AI65</f>
        <v>16071.104309590364</v>
      </c>
      <c r="Y29" s="661">
        <f>'7-1. FS'!AJ65</f>
        <v>16008.559232541316</v>
      </c>
      <c r="Z29" s="661">
        <f>'7-1. FS'!AK65</f>
        <v>15956.577149117509</v>
      </c>
      <c r="AA29" s="661">
        <f>'7-1. FS'!AL65</f>
        <v>15895.776346999315</v>
      </c>
      <c r="AB29" s="661">
        <f>'7-1. FS'!AM65</f>
        <v>15835.571155282229</v>
      </c>
      <c r="AC29" s="661">
        <f>'7-1. FS'!AN65</f>
        <v>15776.457767560014</v>
      </c>
      <c r="AD29" s="661"/>
      <c r="AE29" s="662">
        <f t="shared" si="5"/>
        <v>2.6506449902809685E-3</v>
      </c>
      <c r="AF29" s="662">
        <f t="shared" si="5"/>
        <v>1.3864410762542592E-2</v>
      </c>
      <c r="AG29" s="662">
        <f t="shared" si="5"/>
        <v>-0.12846216247537373</v>
      </c>
      <c r="AH29" s="662">
        <f t="shared" si="5"/>
        <v>5.2670641579682792E-3</v>
      </c>
      <c r="AI29" s="662">
        <f t="shared" si="5"/>
        <v>7.9586672463494601E-2</v>
      </c>
      <c r="AJ29" s="662">
        <f t="shared" si="5"/>
        <v>-1.54675381061141E-2</v>
      </c>
      <c r="AK29" s="662">
        <f t="shared" si="5"/>
        <v>-3.8917722045848707E-3</v>
      </c>
      <c r="AL29" s="662">
        <f t="shared" si="24"/>
        <v>-1</v>
      </c>
      <c r="AM29" s="662" t="e">
        <f t="shared" si="16"/>
        <v>#DIV/0!</v>
      </c>
      <c r="AN29" s="662">
        <f t="shared" si="16"/>
        <v>8.0030536293657362E-2</v>
      </c>
      <c r="AO29" s="662">
        <f t="shared" si="16"/>
        <v>2.6506449902809685E-3</v>
      </c>
    </row>
    <row r="30" spans="2:57" ht="20.100000000000001" customHeight="1" x14ac:dyDescent="0.3">
      <c r="B30" s="903" t="s">
        <v>479</v>
      </c>
      <c r="C30" s="130">
        <f t="shared" si="23"/>
        <v>19823</v>
      </c>
      <c r="D30" s="130">
        <f t="shared" si="23"/>
        <v>23767</v>
      </c>
      <c r="E30" s="130">
        <f t="shared" si="23"/>
        <v>27310</v>
      </c>
      <c r="F30" s="130">
        <f t="shared" si="23"/>
        <v>22445</v>
      </c>
      <c r="G30" s="130">
        <f t="shared" si="23"/>
        <v>23736</v>
      </c>
      <c r="H30" s="130">
        <f t="shared" si="23"/>
        <v>17215.280611999999</v>
      </c>
      <c r="I30" s="130">
        <f t="shared" si="23"/>
        <v>22488.930935500717</v>
      </c>
      <c r="J30" s="130">
        <f t="shared" si="23"/>
        <v>22273.129814362019</v>
      </c>
      <c r="K30" s="130">
        <f t="shared" si="23"/>
        <v>22060.513151746298</v>
      </c>
      <c r="L30" s="130">
        <f t="shared" si="23"/>
        <v>21851.029128299997</v>
      </c>
      <c r="M30" s="130">
        <f t="shared" si="23"/>
        <v>21667.570472402509</v>
      </c>
      <c r="N30" s="130">
        <f t="shared" si="23"/>
        <v>21524.653740529735</v>
      </c>
      <c r="O30" s="130">
        <f t="shared" si="23"/>
        <v>21427.881443370501</v>
      </c>
      <c r="Q30" s="661">
        <f>'7-1. FS'!AB66</f>
        <v>19823</v>
      </c>
      <c r="R30" s="661">
        <f>'7-1. FS'!AC66</f>
        <v>23767</v>
      </c>
      <c r="S30" s="661">
        <f>'7-1. FS'!AD66</f>
        <v>27310</v>
      </c>
      <c r="T30" s="661">
        <f>'7-1. FS'!AE66</f>
        <v>22445</v>
      </c>
      <c r="U30" s="661">
        <f>'7-1. FS'!AF66</f>
        <v>23736</v>
      </c>
      <c r="V30" s="661">
        <f>'7-1. FS'!AG66</f>
        <v>17215.280611999999</v>
      </c>
      <c r="W30" s="661">
        <f>'7-1. FS'!AH66</f>
        <v>22488.930935500717</v>
      </c>
      <c r="X30" s="661">
        <f>'7-1. FS'!AI66</f>
        <v>22273.129814362019</v>
      </c>
      <c r="Y30" s="661">
        <f>'7-1. FS'!AJ66</f>
        <v>22060.513151746298</v>
      </c>
      <c r="Z30" s="661">
        <f>'7-1. FS'!AK66</f>
        <v>21851.029128299997</v>
      </c>
      <c r="AA30" s="661">
        <f>'7-1. FS'!AL66</f>
        <v>21667.570472402509</v>
      </c>
      <c r="AB30" s="661">
        <f>'7-1. FS'!AM66</f>
        <v>21524.653740529735</v>
      </c>
      <c r="AC30" s="661">
        <f>'7-1. FS'!AN66</f>
        <v>21427.881443370501</v>
      </c>
      <c r="AD30" s="661"/>
      <c r="AE30" s="662">
        <f t="shared" si="5"/>
        <v>0.14907224302604452</v>
      </c>
      <c r="AF30" s="662">
        <f t="shared" si="5"/>
        <v>-0.17813987550347857</v>
      </c>
      <c r="AG30" s="662">
        <f t="shared" si="5"/>
        <v>5.7518378257963909E-2</v>
      </c>
      <c r="AH30" s="662">
        <f t="shared" si="5"/>
        <v>-0.27471854516346483</v>
      </c>
      <c r="AI30" s="662">
        <f t="shared" si="5"/>
        <v>0.30633542620413018</v>
      </c>
      <c r="AJ30" s="662">
        <f t="shared" si="5"/>
        <v>-9.5958817143254101E-3</v>
      </c>
      <c r="AK30" s="662">
        <f t="shared" si="5"/>
        <v>-9.5458817143257019E-3</v>
      </c>
      <c r="AL30" s="662">
        <f t="shared" si="24"/>
        <v>-1</v>
      </c>
      <c r="AM30" s="662" t="e">
        <f t="shared" si="16"/>
        <v>#DIV/0!</v>
      </c>
      <c r="AN30" s="662">
        <f t="shared" si="16"/>
        <v>0.19896080310750139</v>
      </c>
      <c r="AO30" s="662">
        <f t="shared" si="16"/>
        <v>0.14907224302604452</v>
      </c>
    </row>
    <row r="31" spans="2:57" ht="20.100000000000001" customHeight="1" x14ac:dyDescent="0.3">
      <c r="B31" s="903" t="s">
        <v>480</v>
      </c>
      <c r="C31" s="130">
        <f t="shared" si="23"/>
        <v>13563</v>
      </c>
      <c r="D31" s="130">
        <f t="shared" si="23"/>
        <v>14638</v>
      </c>
      <c r="E31" s="130">
        <f t="shared" si="23"/>
        <v>15359</v>
      </c>
      <c r="F31" s="130">
        <f t="shared" si="23"/>
        <v>14317</v>
      </c>
      <c r="G31" s="130">
        <f t="shared" si="23"/>
        <v>13830</v>
      </c>
      <c r="H31" s="130">
        <f t="shared" si="23"/>
        <v>14909</v>
      </c>
      <c r="I31" s="130">
        <f t="shared" si="23"/>
        <v>17613.999999599997</v>
      </c>
      <c r="J31" s="130">
        <f t="shared" si="23"/>
        <v>17444.978139087707</v>
      </c>
      <c r="K31" s="130">
        <f t="shared" si="23"/>
        <v>17278.450441262976</v>
      </c>
      <c r="L31" s="130">
        <f t="shared" si="23"/>
        <v>17114.376319665913</v>
      </c>
      <c r="M31" s="130">
        <f t="shared" si="23"/>
        <v>16970.686040471541</v>
      </c>
      <c r="N31" s="130">
        <f t="shared" si="23"/>
        <v>16858.749402737638</v>
      </c>
      <c r="O31" s="130">
        <f t="shared" si="23"/>
        <v>16782.954459571472</v>
      </c>
      <c r="Q31" s="661">
        <f>'7-1. FS'!AB67</f>
        <v>13563</v>
      </c>
      <c r="R31" s="661">
        <f>'7-1. FS'!AC67</f>
        <v>14638</v>
      </c>
      <c r="S31" s="661">
        <f>'7-1. FS'!AD67</f>
        <v>15359</v>
      </c>
      <c r="T31" s="661">
        <f>'7-1. FS'!AE67</f>
        <v>14317</v>
      </c>
      <c r="U31" s="661">
        <f>'7-1. FS'!AF67</f>
        <v>13830</v>
      </c>
      <c r="V31" s="661">
        <f>'7-1. FS'!AG67</f>
        <v>14909</v>
      </c>
      <c r="W31" s="661">
        <f>'7-1. FS'!AH67</f>
        <v>17613.999999599997</v>
      </c>
      <c r="X31" s="661">
        <f>'7-1. FS'!AI67</f>
        <v>17444.978139087707</v>
      </c>
      <c r="Y31" s="661">
        <f>'7-1. FS'!AJ67</f>
        <v>17278.450441262976</v>
      </c>
      <c r="Z31" s="661">
        <f>'7-1. FS'!AK67</f>
        <v>17114.376319665913</v>
      </c>
      <c r="AA31" s="661">
        <f>'7-1. FS'!AL67</f>
        <v>16970.686040471541</v>
      </c>
      <c r="AB31" s="661">
        <f>'7-1. FS'!AM67</f>
        <v>16858.749402737638</v>
      </c>
      <c r="AC31" s="661">
        <f>'7-1. FS'!AN67</f>
        <v>16782.954459571472</v>
      </c>
      <c r="AD31" s="661"/>
      <c r="AE31" s="662">
        <f t="shared" si="5"/>
        <v>4.9255362754474653E-2</v>
      </c>
      <c r="AF31" s="662">
        <f t="shared" si="5"/>
        <v>-6.7842958525945699E-2</v>
      </c>
      <c r="AG31" s="662">
        <f t="shared" si="5"/>
        <v>-3.4015506041768527E-2</v>
      </c>
      <c r="AH31" s="662">
        <f t="shared" si="5"/>
        <v>7.8018799710773676E-2</v>
      </c>
      <c r="AI31" s="662">
        <f t="shared" si="5"/>
        <v>0.18143403310751874</v>
      </c>
      <c r="AJ31" s="662">
        <f t="shared" si="5"/>
        <v>-9.5958817143254448E-3</v>
      </c>
      <c r="AK31" s="662">
        <f t="shared" si="5"/>
        <v>-9.5458817143258285E-3</v>
      </c>
      <c r="AL31" s="662">
        <f t="shared" si="24"/>
        <v>-1</v>
      </c>
      <c r="AM31" s="662" t="e">
        <f t="shared" si="16"/>
        <v>#DIV/0!</v>
      </c>
      <c r="AN31" s="662">
        <f t="shared" si="16"/>
        <v>7.9259750792597505E-2</v>
      </c>
      <c r="AO31" s="662">
        <f t="shared" si="16"/>
        <v>4.9255362754474653E-2</v>
      </c>
      <c r="AP31" s="59" t="s">
        <v>586</v>
      </c>
    </row>
    <row r="32" spans="2:57" ht="20.100000000000001" customHeight="1" x14ac:dyDescent="0.3">
      <c r="B32" s="903" t="s">
        <v>481</v>
      </c>
      <c r="C32" s="130">
        <f t="shared" si="23"/>
        <v>20001</v>
      </c>
      <c r="D32" s="130">
        <f t="shared" si="23"/>
        <v>30242</v>
      </c>
      <c r="E32" s="130">
        <f t="shared" si="23"/>
        <v>24413</v>
      </c>
      <c r="F32" s="130">
        <f t="shared" si="23"/>
        <v>23638</v>
      </c>
      <c r="G32" s="130">
        <f t="shared" si="23"/>
        <v>16605</v>
      </c>
      <c r="H32" s="130">
        <f t="shared" si="23"/>
        <v>19366.643131000001</v>
      </c>
      <c r="I32" s="130">
        <f t="shared" si="23"/>
        <v>17701.910434090158</v>
      </c>
      <c r="J32" s="130">
        <f t="shared" si="23"/>
        <v>17585.351852589905</v>
      </c>
      <c r="K32" s="130">
        <f t="shared" si="23"/>
        <v>17523.080156280299</v>
      </c>
      <c r="L32" s="130">
        <f t="shared" si="23"/>
        <v>17513.572957835928</v>
      </c>
      <c r="M32" s="130">
        <f t="shared" si="23"/>
        <v>17573.961296172871</v>
      </c>
      <c r="N32" s="130">
        <f t="shared" si="23"/>
        <v>17715.623076281405</v>
      </c>
      <c r="O32" s="130">
        <f t="shared" si="23"/>
        <v>17943.679144682279</v>
      </c>
      <c r="P32" s="763"/>
      <c r="Q32" s="661">
        <f>'7-1. FS'!AB68</f>
        <v>20001</v>
      </c>
      <c r="R32" s="661">
        <f>'7-1. FS'!AC68</f>
        <v>30242</v>
      </c>
      <c r="S32" s="661">
        <f>'7-1. FS'!AD68</f>
        <v>24413</v>
      </c>
      <c r="T32" s="661">
        <f>'7-1. FS'!AE68</f>
        <v>23638</v>
      </c>
      <c r="U32" s="661">
        <f>'7-1. FS'!AF68</f>
        <v>16605</v>
      </c>
      <c r="V32" s="661">
        <f>'7-1. FS'!AG68</f>
        <v>19366.643131000001</v>
      </c>
      <c r="W32" s="661">
        <f>'7-1. FS'!AH68</f>
        <v>17701.910434090158</v>
      </c>
      <c r="X32" s="661">
        <f>'7-1. FS'!AI68</f>
        <v>17585.351852589905</v>
      </c>
      <c r="Y32" s="661">
        <f>'7-1. FS'!AJ68</f>
        <v>17523.080156280299</v>
      </c>
      <c r="Z32" s="661">
        <f>'7-1. FS'!AK68</f>
        <v>17513.572957835928</v>
      </c>
      <c r="AA32" s="661">
        <f>'7-1. FS'!AL68</f>
        <v>17573.961296172871</v>
      </c>
      <c r="AB32" s="661">
        <f>'7-1. FS'!AM68</f>
        <v>17715.623076281405</v>
      </c>
      <c r="AC32" s="661">
        <f>'7-1. FS'!AN68</f>
        <v>17943.679144682279</v>
      </c>
      <c r="AD32" s="661"/>
      <c r="AE32" s="662">
        <f t="shared" si="5"/>
        <v>-0.19274518881026387</v>
      </c>
      <c r="AF32" s="662">
        <f t="shared" si="5"/>
        <v>-3.1745381559005449E-2</v>
      </c>
      <c r="AG32" s="662">
        <f t="shared" si="5"/>
        <v>-0.29752940181064386</v>
      </c>
      <c r="AH32" s="662">
        <f t="shared" si="5"/>
        <v>0.16631394947305034</v>
      </c>
      <c r="AI32" s="662">
        <f t="shared" si="5"/>
        <v>-8.5958763511530881E-2</v>
      </c>
      <c r="AJ32" s="662">
        <f t="shared" si="5"/>
        <v>-6.5845198988118822E-3</v>
      </c>
      <c r="AK32" s="662">
        <f t="shared" si="5"/>
        <v>-3.5411117634496004E-3</v>
      </c>
      <c r="AL32" s="662">
        <f t="shared" si="24"/>
        <v>-1</v>
      </c>
      <c r="AM32" s="662" t="e">
        <f t="shared" si="16"/>
        <v>#DIV/0!</v>
      </c>
      <c r="AN32" s="662">
        <f t="shared" si="16"/>
        <v>0.51202439878006101</v>
      </c>
      <c r="AO32" s="662">
        <f t="shared" si="16"/>
        <v>-0.19274518881026387</v>
      </c>
    </row>
    <row r="33" spans="2:57" ht="20.100000000000001" customHeight="1" x14ac:dyDescent="0.3">
      <c r="B33" s="903" t="s">
        <v>482</v>
      </c>
      <c r="C33" s="130">
        <f t="shared" si="23"/>
        <v>20017</v>
      </c>
      <c r="D33" s="130">
        <f t="shared" si="23"/>
        <v>19704</v>
      </c>
      <c r="E33" s="130">
        <f t="shared" si="23"/>
        <v>20564</v>
      </c>
      <c r="F33" s="130">
        <f t="shared" si="23"/>
        <v>23412</v>
      </c>
      <c r="G33" s="130">
        <f t="shared" si="23"/>
        <v>36946</v>
      </c>
      <c r="H33" s="130">
        <f t="shared" si="23"/>
        <v>35515.311297</v>
      </c>
      <c r="I33" s="130">
        <f t="shared" si="23"/>
        <v>35025.582193687129</v>
      </c>
      <c r="J33" s="130">
        <f t="shared" si="23"/>
        <v>34542.6060818552</v>
      </c>
      <c r="K33" s="130">
        <f t="shared" si="23"/>
        <v>34066.289842893057</v>
      </c>
      <c r="L33" s="130">
        <f t="shared" si="23"/>
        <v>33596.5416422243</v>
      </c>
      <c r="M33" s="130">
        <f t="shared" si="23"/>
        <v>33133.270911601423</v>
      </c>
      <c r="N33" s="130">
        <f t="shared" si="23"/>
        <v>32676.388331644095</v>
      </c>
      <c r="O33" s="130">
        <f t="shared" si="23"/>
        <v>32225.805814618234</v>
      </c>
      <c r="Q33" s="661">
        <f>'7-1. FS'!AB69</f>
        <v>20017</v>
      </c>
      <c r="R33" s="661">
        <f>'7-1. FS'!AC69</f>
        <v>19704</v>
      </c>
      <c r="S33" s="661">
        <f>'7-1. FS'!AD69</f>
        <v>20564</v>
      </c>
      <c r="T33" s="661">
        <f>'7-1. FS'!AE69</f>
        <v>23412</v>
      </c>
      <c r="U33" s="661">
        <f>'7-1. FS'!AF69</f>
        <v>36946</v>
      </c>
      <c r="V33" s="661">
        <f>'7-1. FS'!AG69</f>
        <v>35515.311297</v>
      </c>
      <c r="W33" s="661">
        <f>'7-1. FS'!AH69</f>
        <v>35025.582193687129</v>
      </c>
      <c r="X33" s="661">
        <f>'7-1. FS'!AI69</f>
        <v>34542.6060818552</v>
      </c>
      <c r="Y33" s="661">
        <f>'7-1. FS'!AJ69</f>
        <v>34066.289842893057</v>
      </c>
      <c r="Z33" s="661">
        <f>'7-1. FS'!AK69</f>
        <v>33596.5416422243</v>
      </c>
      <c r="AA33" s="661">
        <f>'7-1. FS'!AL69</f>
        <v>33133.270911601423</v>
      </c>
      <c r="AB33" s="661">
        <f>'7-1. FS'!AM69</f>
        <v>32676.388331644095</v>
      </c>
      <c r="AC33" s="661">
        <f>'7-1. FS'!AN69</f>
        <v>32225.805814618234</v>
      </c>
      <c r="AD33" s="661"/>
      <c r="AE33" s="662">
        <f t="shared" si="5"/>
        <v>4.3645960211124643E-2</v>
      </c>
      <c r="AF33" s="662">
        <f t="shared" si="5"/>
        <v>0.13849445633145302</v>
      </c>
      <c r="AG33" s="662">
        <f t="shared" si="5"/>
        <v>0.57807961729027846</v>
      </c>
      <c r="AH33" s="662">
        <f t="shared" si="5"/>
        <v>-3.8723778027391326E-2</v>
      </c>
      <c r="AI33" s="662">
        <f t="shared" si="5"/>
        <v>-1.37892386530831E-2</v>
      </c>
      <c r="AJ33" s="662">
        <f t="shared" si="5"/>
        <v>-1.3789238653083088E-2</v>
      </c>
      <c r="AK33" s="662">
        <f t="shared" si="5"/>
        <v>-1.3789238653083154E-2</v>
      </c>
      <c r="AL33" s="662">
        <f t="shared" si="24"/>
        <v>-1</v>
      </c>
      <c r="AM33" s="662" t="e">
        <f t="shared" si="16"/>
        <v>#DIV/0!</v>
      </c>
      <c r="AN33" s="662">
        <f t="shared" si="16"/>
        <v>-1.5636708797522107E-2</v>
      </c>
      <c r="AO33" s="662">
        <f t="shared" si="16"/>
        <v>4.3645960211124643E-2</v>
      </c>
    </row>
    <row r="34" spans="2:57" ht="20.100000000000001" customHeight="1" x14ac:dyDescent="0.3">
      <c r="B34" s="903" t="s">
        <v>483</v>
      </c>
      <c r="C34" s="130">
        <f t="shared" si="23"/>
        <v>1086</v>
      </c>
      <c r="D34" s="130">
        <f t="shared" si="23"/>
        <v>486</v>
      </c>
      <c r="E34" s="130">
        <f t="shared" si="23"/>
        <v>496</v>
      </c>
      <c r="F34" s="130">
        <f t="shared" si="23"/>
        <v>338</v>
      </c>
      <c r="G34" s="130">
        <f t="shared" si="23"/>
        <v>309</v>
      </c>
      <c r="H34" s="130">
        <f t="shared" si="23"/>
        <v>156.80850600000031</v>
      </c>
      <c r="I34" s="130">
        <f t="shared" si="23"/>
        <v>142.05520081200029</v>
      </c>
      <c r="J34" s="130">
        <f t="shared" si="23"/>
        <v>144.89630482824029</v>
      </c>
      <c r="K34" s="130">
        <f t="shared" si="23"/>
        <v>147.79423092480511</v>
      </c>
      <c r="L34" s="130">
        <f t="shared" si="23"/>
        <v>150.75011554330121</v>
      </c>
      <c r="M34" s="130">
        <f t="shared" si="23"/>
        <v>153.76511785416724</v>
      </c>
      <c r="N34" s="130">
        <f t="shared" si="23"/>
        <v>156.8404202112506</v>
      </c>
      <c r="O34" s="130">
        <f t="shared" si="23"/>
        <v>159.97722861547561</v>
      </c>
      <c r="Q34" s="661">
        <f>'7-1. FS'!AB70</f>
        <v>1086</v>
      </c>
      <c r="R34" s="661">
        <f>'7-1. FS'!AC70</f>
        <v>486</v>
      </c>
      <c r="S34" s="661">
        <f>'7-1. FS'!AD70</f>
        <v>496</v>
      </c>
      <c r="T34" s="661">
        <f>'7-1. FS'!AE70</f>
        <v>338</v>
      </c>
      <c r="U34" s="661">
        <f>'7-1. FS'!AF70</f>
        <v>309</v>
      </c>
      <c r="V34" s="661">
        <f>'7-1. FS'!AG70</f>
        <v>156.80850600000031</v>
      </c>
      <c r="W34" s="661">
        <f>'7-1. FS'!AH70</f>
        <v>142.05520081200029</v>
      </c>
      <c r="X34" s="661">
        <f>'7-1. FS'!AI70</f>
        <v>144.89630482824029</v>
      </c>
      <c r="Y34" s="661">
        <f>'7-1. FS'!AJ70</f>
        <v>147.79423092480511</v>
      </c>
      <c r="Z34" s="661">
        <f>'7-1. FS'!AK70</f>
        <v>150.75011554330121</v>
      </c>
      <c r="AA34" s="661">
        <f>'7-1. FS'!AL70</f>
        <v>153.76511785416724</v>
      </c>
      <c r="AB34" s="661">
        <f>'7-1. FS'!AM70</f>
        <v>156.8404202112506</v>
      </c>
      <c r="AC34" s="661">
        <f>'7-1. FS'!AN70</f>
        <v>159.97722861547561</v>
      </c>
      <c r="AD34" s="661"/>
      <c r="AE34" s="662">
        <f t="shared" si="5"/>
        <v>2.0576131687242798E-2</v>
      </c>
      <c r="AF34" s="662">
        <f t="shared" si="5"/>
        <v>-0.31854838709677419</v>
      </c>
      <c r="AG34" s="662">
        <f t="shared" si="5"/>
        <v>-8.5798816568047331E-2</v>
      </c>
      <c r="AH34" s="662">
        <f t="shared" si="5"/>
        <v>-0.4925291067961155</v>
      </c>
      <c r="AI34" s="662">
        <f t="shared" si="5"/>
        <v>-9.4084852692876142E-2</v>
      </c>
      <c r="AJ34" s="662">
        <f t="shared" si="5"/>
        <v>1.9999999999999928E-2</v>
      </c>
      <c r="AK34" s="662">
        <f t="shared" si="5"/>
        <v>2.0000000000000073E-2</v>
      </c>
      <c r="AL34" s="662">
        <f t="shared" si="24"/>
        <v>-1</v>
      </c>
      <c r="AM34" s="662" t="e">
        <f t="shared" si="16"/>
        <v>#DIV/0!</v>
      </c>
      <c r="AN34" s="662">
        <f t="shared" si="16"/>
        <v>-0.5524861878453039</v>
      </c>
      <c r="AO34" s="662">
        <f t="shared" si="16"/>
        <v>2.0576131687242798E-2</v>
      </c>
    </row>
    <row r="35" spans="2:57" ht="20.100000000000001" customHeight="1" x14ac:dyDescent="0.3">
      <c r="B35" s="903" t="s">
        <v>484</v>
      </c>
      <c r="C35" s="130">
        <f t="shared" si="23"/>
        <v>109816</v>
      </c>
      <c r="D35" s="130">
        <f t="shared" si="23"/>
        <v>107170</v>
      </c>
      <c r="E35" s="130">
        <f t="shared" si="23"/>
        <v>150660</v>
      </c>
      <c r="F35" s="130">
        <f t="shared" si="23"/>
        <v>99775</v>
      </c>
      <c r="G35" s="130">
        <f t="shared" si="23"/>
        <v>63977</v>
      </c>
      <c r="H35" s="130">
        <f t="shared" si="23"/>
        <v>55663.676572999895</v>
      </c>
      <c r="I35" s="130">
        <f t="shared" si="23"/>
        <v>57483.614012787235</v>
      </c>
      <c r="J35" s="130">
        <f t="shared" si="23"/>
        <v>58629.877246031123</v>
      </c>
      <c r="K35" s="130">
        <f t="shared" si="23"/>
        <v>54586.231342654959</v>
      </c>
      <c r="L35" s="130">
        <f t="shared" si="23"/>
        <v>50966.563596510809</v>
      </c>
      <c r="M35" s="130">
        <f t="shared" si="23"/>
        <v>47167.762254237678</v>
      </c>
      <c r="N35" s="130">
        <f t="shared" si="23"/>
        <v>42617.250803732728</v>
      </c>
      <c r="O35" s="130">
        <f t="shared" si="23"/>
        <v>38117.536803635812</v>
      </c>
      <c r="P35" s="230"/>
      <c r="Q35" s="661">
        <f>'7-1. FS'!AB71</f>
        <v>109816</v>
      </c>
      <c r="R35" s="661">
        <f>'7-1. FS'!AC71</f>
        <v>107170</v>
      </c>
      <c r="S35" s="661">
        <f>'7-1. FS'!AD71</f>
        <v>150660</v>
      </c>
      <c r="T35" s="661">
        <f>'7-1. FS'!AE71</f>
        <v>99775</v>
      </c>
      <c r="U35" s="661">
        <f>'7-1. FS'!AF71</f>
        <v>63977</v>
      </c>
      <c r="V35" s="661">
        <f>'7-1. FS'!AG71</f>
        <v>55663.676572999895</v>
      </c>
      <c r="W35" s="661">
        <f>'7-1. FS'!AH71</f>
        <v>57483.614012787235</v>
      </c>
      <c r="X35" s="661">
        <f>'7-1. FS'!AI71</f>
        <v>58629.877246031123</v>
      </c>
      <c r="Y35" s="661">
        <f>'7-1. FS'!AJ71</f>
        <v>54586.231342654959</v>
      </c>
      <c r="Z35" s="661">
        <f>'7-1. FS'!AK71</f>
        <v>50966.563596510809</v>
      </c>
      <c r="AA35" s="661">
        <f>'7-1. FS'!AL71</f>
        <v>47167.762254237678</v>
      </c>
      <c r="AB35" s="661">
        <f>'7-1. FS'!AM71</f>
        <v>42617.250803732728</v>
      </c>
      <c r="AC35" s="661">
        <f>'7-1. FS'!AN71</f>
        <v>38117.536803635812</v>
      </c>
      <c r="AD35" s="661"/>
      <c r="AE35" s="662">
        <f t="shared" si="5"/>
        <v>0.40580386302136789</v>
      </c>
      <c r="AF35" s="662">
        <f t="shared" si="5"/>
        <v>-0.33774724545333862</v>
      </c>
      <c r="AG35" s="662">
        <f t="shared" si="5"/>
        <v>-0.35878727136056127</v>
      </c>
      <c r="AH35" s="662">
        <f t="shared" si="5"/>
        <v>-0.12994237658846311</v>
      </c>
      <c r="AI35" s="662">
        <f t="shared" si="5"/>
        <v>3.2695243142996322E-2</v>
      </c>
      <c r="AJ35" s="662">
        <f t="shared" si="5"/>
        <v>1.9940695325608819E-2</v>
      </c>
      <c r="AK35" s="662">
        <f t="shared" si="5"/>
        <v>-6.8969032399771799E-2</v>
      </c>
      <c r="AL35" s="662">
        <f t="shared" si="24"/>
        <v>-1</v>
      </c>
      <c r="AM35" s="662" t="e">
        <f t="shared" si="16"/>
        <v>#DIV/0!</v>
      </c>
      <c r="AN35" s="662">
        <f t="shared" si="16"/>
        <v>-2.4094849566547678E-2</v>
      </c>
      <c r="AO35" s="662">
        <f t="shared" si="16"/>
        <v>0.40580386302136789</v>
      </c>
    </row>
    <row r="36" spans="2:57" s="69" customFormat="1" ht="25.35" customHeight="1" x14ac:dyDescent="0.3">
      <c r="B36" s="896" t="s">
        <v>574</v>
      </c>
      <c r="C36" s="127">
        <f t="shared" si="23"/>
        <v>0</v>
      </c>
      <c r="D36" s="127">
        <f t="shared" si="23"/>
        <v>1566813.5414220002</v>
      </c>
      <c r="E36" s="127">
        <f t="shared" si="23"/>
        <v>1693492.006793</v>
      </c>
      <c r="F36" s="127">
        <f>T36</f>
        <v>1720859.1512070005</v>
      </c>
      <c r="G36" s="127">
        <f t="shared" si="23"/>
        <v>1847088.6245600004</v>
      </c>
      <c r="H36" s="127">
        <f t="shared" si="23"/>
        <v>1857371</v>
      </c>
      <c r="I36" s="127">
        <f t="shared" si="23"/>
        <v>1922387.4348531046</v>
      </c>
      <c r="J36" s="127">
        <f t="shared" si="23"/>
        <v>1936128.894012722</v>
      </c>
      <c r="K36" s="127">
        <f t="shared" si="23"/>
        <v>1956083.7741729636</v>
      </c>
      <c r="L36" s="127">
        <f t="shared" si="23"/>
        <v>1971494.1892730186</v>
      </c>
      <c r="M36" s="127">
        <f t="shared" si="23"/>
        <v>1999186.8633368583</v>
      </c>
      <c r="N36" s="127">
        <f t="shared" si="23"/>
        <v>2032140.6700845286</v>
      </c>
      <c r="O36" s="127">
        <f t="shared" si="23"/>
        <v>2070863.1692363233</v>
      </c>
      <c r="P36" s="905"/>
      <c r="Q36" s="661">
        <f>'7-1. FS'!AB72</f>
        <v>0</v>
      </c>
      <c r="R36" s="661">
        <f>'7-1. FS'!AC72</f>
        <v>1566813.5414220002</v>
      </c>
      <c r="S36" s="661">
        <f>'7-1. FS'!AD72</f>
        <v>1693492.006793</v>
      </c>
      <c r="T36" s="661">
        <f>'7-1. FS'!AE72</f>
        <v>1720859.1512070005</v>
      </c>
      <c r="U36" s="661">
        <f>'7-1. FS'!AF72</f>
        <v>1847088.6245600004</v>
      </c>
      <c r="V36" s="661">
        <f>'7-1. FS'!AG72</f>
        <v>1857371</v>
      </c>
      <c r="W36" s="661">
        <f>'7-1. FS'!AH72</f>
        <v>1922387.4348531046</v>
      </c>
      <c r="X36" s="661">
        <f>'7-1. FS'!AI72</f>
        <v>1936128.894012722</v>
      </c>
      <c r="Y36" s="661">
        <f>'7-1. FS'!AJ72</f>
        <v>1956083.7741729636</v>
      </c>
      <c r="Z36" s="661">
        <f>'7-1. FS'!AK72</f>
        <v>1971494.1892730186</v>
      </c>
      <c r="AA36" s="661">
        <f>'7-1. FS'!AL72</f>
        <v>1999186.8633368583</v>
      </c>
      <c r="AB36" s="661">
        <f>'7-1. FS'!AM72</f>
        <v>2032140.6700845286</v>
      </c>
      <c r="AC36" s="661">
        <f>'7-1. FS'!AN72</f>
        <v>2070863.1692363233</v>
      </c>
      <c r="AD36" s="664"/>
      <c r="AE36" s="662">
        <f t="shared" si="5"/>
        <v>8.0851015147615918E-2</v>
      </c>
      <c r="AF36" s="668">
        <f t="shared" si="5"/>
        <v>1.6160185170183448E-2</v>
      </c>
      <c r="AG36" s="662">
        <f t="shared" si="5"/>
        <v>7.3352588597656754E-2</v>
      </c>
      <c r="AH36" s="662">
        <f t="shared" si="5"/>
        <v>5.5668013452516473E-3</v>
      </c>
      <c r="AI36" s="662">
        <f t="shared" si="5"/>
        <v>3.5004549362030873E-2</v>
      </c>
      <c r="AJ36" s="662">
        <f t="shared" si="5"/>
        <v>7.1481216067495459E-3</v>
      </c>
      <c r="AK36" s="662">
        <f t="shared" si="5"/>
        <v>1.0306586623416457E-2</v>
      </c>
      <c r="AL36" s="662">
        <f t="shared" si="24"/>
        <v>-1</v>
      </c>
      <c r="AM36" s="662" t="e">
        <f t="shared" si="16"/>
        <v>#DIV/0!</v>
      </c>
      <c r="AN36" s="662" t="e">
        <f t="shared" si="16"/>
        <v>#DIV/0!</v>
      </c>
      <c r="AO36" s="662">
        <f t="shared" si="16"/>
        <v>8.0851015147615918E-2</v>
      </c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</row>
    <row r="37" spans="2:57" ht="25.35" customHeight="1" x14ac:dyDescent="0.3">
      <c r="B37" s="898" t="s">
        <v>319</v>
      </c>
      <c r="C37" s="899">
        <f t="shared" ref="C37:N37" si="25">C19-C20</f>
        <v>157884</v>
      </c>
      <c r="D37" s="899">
        <f t="shared" si="25"/>
        <v>292597.31293899938</v>
      </c>
      <c r="E37" s="899">
        <f t="shared" si="25"/>
        <v>256412.71419200022</v>
      </c>
      <c r="F37" s="899">
        <f t="shared" si="25"/>
        <v>314981.61712900223</v>
      </c>
      <c r="G37" s="899">
        <f t="shared" si="25"/>
        <v>252636.36538400128</v>
      </c>
      <c r="H37" s="899">
        <f t="shared" si="25"/>
        <v>289896.63740999904</v>
      </c>
      <c r="I37" s="899">
        <f t="shared" si="25"/>
        <v>272164.26201454643</v>
      </c>
      <c r="J37" s="899">
        <f t="shared" si="25"/>
        <v>269492.0093943933</v>
      </c>
      <c r="K37" s="899">
        <f t="shared" si="25"/>
        <v>264899.3266503918</v>
      </c>
      <c r="L37" s="899">
        <f t="shared" si="25"/>
        <v>270591.31604559533</v>
      </c>
      <c r="M37" s="899">
        <f t="shared" si="25"/>
        <v>279433.46096607344</v>
      </c>
      <c r="N37" s="899">
        <f t="shared" si="25"/>
        <v>289934.18055615807</v>
      </c>
      <c r="O37" s="899">
        <f>O19-O20</f>
        <v>301392.39120773925</v>
      </c>
      <c r="Q37" s="661"/>
      <c r="S37" s="661"/>
      <c r="T37" s="661"/>
      <c r="U37" s="661"/>
      <c r="V37" s="661"/>
      <c r="W37" s="661"/>
      <c r="X37" s="661"/>
      <c r="Y37" s="661"/>
      <c r="Z37" s="661"/>
      <c r="AA37" s="661"/>
      <c r="AB37" s="661"/>
      <c r="AC37" s="661"/>
      <c r="AD37" s="661"/>
      <c r="AE37" s="662">
        <f t="shared" si="5"/>
        <v>-0.12366688669674462</v>
      </c>
      <c r="AF37" s="662">
        <f t="shared" si="5"/>
        <v>0.22841653200217674</v>
      </c>
      <c r="AG37" s="662">
        <f t="shared" si="5"/>
        <v>-0.1979329851477242</v>
      </c>
      <c r="AH37" s="662">
        <f t="shared" si="5"/>
        <v>0.14748578245797284</v>
      </c>
      <c r="AI37" s="662">
        <f t="shared" si="5"/>
        <v>-6.1167923691276951E-2</v>
      </c>
      <c r="AJ37" s="662">
        <f t="shared" si="5"/>
        <v>-9.8185287089981883E-3</v>
      </c>
      <c r="AK37" s="662">
        <f t="shared" si="5"/>
        <v>-1.704199970278248E-2</v>
      </c>
      <c r="AL37" s="662">
        <f t="shared" si="24"/>
        <v>-1</v>
      </c>
      <c r="AM37" s="662" t="e">
        <f t="shared" si="16"/>
        <v>#DIV/0!</v>
      </c>
      <c r="AN37" s="662" t="e">
        <f t="shared" si="16"/>
        <v>#DIV/0!</v>
      </c>
      <c r="AO37" s="662" t="e">
        <f t="shared" si="16"/>
        <v>#DIV/0!</v>
      </c>
      <c r="AP37" s="59" t="s">
        <v>587</v>
      </c>
      <c r="AR37" s="121"/>
      <c r="AT37" s="121" t="s">
        <v>387</v>
      </c>
      <c r="AU37" s="669">
        <f>D37/D5</f>
        <v>1.8922163921778836E-2</v>
      </c>
      <c r="AV37" s="121" t="s">
        <v>363</v>
      </c>
      <c r="AW37" s="669">
        <f>H37/H5</f>
        <v>1.6702354668905451E-2</v>
      </c>
      <c r="AX37" s="121"/>
      <c r="AY37" s="121" t="s">
        <v>588</v>
      </c>
      <c r="AZ37" s="121"/>
      <c r="BA37" s="121"/>
      <c r="BB37" s="121" t="s">
        <v>387</v>
      </c>
      <c r="BC37" s="669">
        <f>D37/D13</f>
        <v>2.9429262297590766E-2</v>
      </c>
      <c r="BD37" s="121" t="s">
        <v>363</v>
      </c>
      <c r="BE37" s="669">
        <f>H37/H13</f>
        <v>2.4620415936872423E-2</v>
      </c>
    </row>
    <row r="38" spans="2:57" ht="25.35" customHeight="1" x14ac:dyDescent="0.3">
      <c r="B38" s="896" t="s">
        <v>569</v>
      </c>
      <c r="C38" s="899">
        <f t="shared" ref="C38:N38" si="26">C14-C17-C21</f>
        <v>157884</v>
      </c>
      <c r="D38" s="899">
        <f t="shared" si="26"/>
        <v>135914</v>
      </c>
      <c r="E38" s="899">
        <f t="shared" si="26"/>
        <v>142570</v>
      </c>
      <c r="F38" s="899">
        <f t="shared" si="26"/>
        <v>116909</v>
      </c>
      <c r="G38" s="899">
        <f t="shared" si="26"/>
        <v>107094</v>
      </c>
      <c r="H38" s="899">
        <f t="shared" si="26"/>
        <v>93012.637409999967</v>
      </c>
      <c r="I38" s="899">
        <f t="shared" si="26"/>
        <v>91358.031398123363</v>
      </c>
      <c r="J38" s="899">
        <f t="shared" si="26"/>
        <v>87024.424177531037</v>
      </c>
      <c r="K38" s="899">
        <f t="shared" si="26"/>
        <v>82880.404863675474</v>
      </c>
      <c r="L38" s="899">
        <f t="shared" si="26"/>
        <v>79692.697420123848</v>
      </c>
      <c r="M38" s="899">
        <f t="shared" si="26"/>
        <v>77371.550720008556</v>
      </c>
      <c r="N38" s="899">
        <f t="shared" si="26"/>
        <v>75854.461532329791</v>
      </c>
      <c r="O38" s="899">
        <f>O14-O17-O21</f>
        <v>75103.427031385596</v>
      </c>
      <c r="Q38" s="661"/>
      <c r="S38" s="661"/>
      <c r="T38" s="661"/>
      <c r="U38" s="661"/>
      <c r="V38" s="661"/>
      <c r="W38" s="661"/>
      <c r="X38" s="661"/>
      <c r="Y38" s="661"/>
      <c r="Z38" s="661"/>
      <c r="AA38" s="661"/>
      <c r="AB38" s="661"/>
      <c r="AC38" s="661"/>
      <c r="AD38" s="661"/>
      <c r="AE38" s="662">
        <f t="shared" si="5"/>
        <v>4.8972144149977193E-2</v>
      </c>
      <c r="AF38" s="662">
        <f t="shared" si="5"/>
        <v>-0.17998877744265976</v>
      </c>
      <c r="AG38" s="662">
        <f t="shared" si="5"/>
        <v>-8.3954186589569671E-2</v>
      </c>
      <c r="AH38" s="662">
        <f t="shared" si="5"/>
        <v>-0.131486008459858</v>
      </c>
      <c r="AI38" s="662">
        <f t="shared" si="5"/>
        <v>-1.7789045208804213E-2</v>
      </c>
      <c r="AJ38" s="662">
        <f t="shared" si="5"/>
        <v>-4.7435426905240274E-2</v>
      </c>
      <c r="AK38" s="662">
        <f t="shared" si="5"/>
        <v>-4.761903744863287E-2</v>
      </c>
      <c r="AL38" s="662">
        <f t="shared" si="24"/>
        <v>-1</v>
      </c>
      <c r="AM38" s="662" t="e">
        <f t="shared" si="16"/>
        <v>#DIV/0!</v>
      </c>
      <c r="AN38" s="662" t="e">
        <f t="shared" si="16"/>
        <v>#DIV/0!</v>
      </c>
      <c r="AO38" s="662" t="e">
        <f t="shared" si="16"/>
        <v>#DIV/0!</v>
      </c>
      <c r="AR38" s="121"/>
      <c r="AT38" s="121"/>
      <c r="AU38" s="669"/>
      <c r="AV38" s="121"/>
      <c r="AW38" s="669"/>
      <c r="AX38" s="121"/>
      <c r="AY38" s="121"/>
      <c r="AZ38" s="121"/>
      <c r="BA38" s="121"/>
      <c r="BB38" s="121"/>
      <c r="BC38" s="669"/>
      <c r="BD38" s="121"/>
      <c r="BE38" s="669"/>
    </row>
    <row r="39" spans="2:57" ht="25.35" customHeight="1" x14ac:dyDescent="0.3">
      <c r="B39" s="896" t="s">
        <v>574</v>
      </c>
      <c r="C39" s="899">
        <f t="shared" ref="C39:N39" si="27">C15-C18-C36</f>
        <v>0</v>
      </c>
      <c r="D39" s="899">
        <f t="shared" si="27"/>
        <v>156683.31293899938</v>
      </c>
      <c r="E39" s="899">
        <f t="shared" si="27"/>
        <v>113842.71419199998</v>
      </c>
      <c r="F39" s="899">
        <f t="shared" si="27"/>
        <v>198072.61712900223</v>
      </c>
      <c r="G39" s="899">
        <f t="shared" si="27"/>
        <v>145542.36538400035</v>
      </c>
      <c r="H39" s="899">
        <f t="shared" si="27"/>
        <v>196884</v>
      </c>
      <c r="I39" s="899">
        <f t="shared" si="27"/>
        <v>180806.2306164226</v>
      </c>
      <c r="J39" s="899">
        <f t="shared" si="27"/>
        <v>182467.58521686238</v>
      </c>
      <c r="K39" s="899">
        <f t="shared" si="27"/>
        <v>182018.92178671621</v>
      </c>
      <c r="L39" s="899">
        <f t="shared" si="27"/>
        <v>190898.61862547114</v>
      </c>
      <c r="M39" s="899">
        <f t="shared" si="27"/>
        <v>202061.91024606396</v>
      </c>
      <c r="N39" s="899">
        <f t="shared" si="27"/>
        <v>214079.71902382933</v>
      </c>
      <c r="O39" s="899">
        <f>O15-O18-O36</f>
        <v>226288.9641763526</v>
      </c>
      <c r="Q39" s="661"/>
      <c r="S39" s="661"/>
      <c r="T39" s="661"/>
      <c r="U39" s="661"/>
      <c r="V39" s="661"/>
      <c r="W39" s="661"/>
      <c r="X39" s="661"/>
      <c r="Y39" s="661"/>
      <c r="Z39" s="661"/>
      <c r="AA39" s="661"/>
      <c r="AB39" s="661"/>
      <c r="AC39" s="661"/>
      <c r="AD39" s="661"/>
      <c r="AE39" s="662">
        <f t="shared" si="5"/>
        <v>-0.27342157849112042</v>
      </c>
      <c r="AF39" s="668">
        <f>(F39-E39)/E39</f>
        <v>0.73987960964234722</v>
      </c>
      <c r="AG39" s="662">
        <f t="shared" si="5"/>
        <v>-0.26520703621939612</v>
      </c>
      <c r="AH39" s="662">
        <f t="shared" si="5"/>
        <v>0.35276075444108246</v>
      </c>
      <c r="AI39" s="662">
        <f t="shared" si="5"/>
        <v>-8.1661127280923784E-2</v>
      </c>
      <c r="AJ39" s="662">
        <f t="shared" si="5"/>
        <v>9.1885915367834609E-3</v>
      </c>
      <c r="AK39" s="662">
        <f t="shared" si="5"/>
        <v>-2.4588664864114845E-3</v>
      </c>
      <c r="AL39" s="662">
        <f t="shared" si="24"/>
        <v>-1</v>
      </c>
      <c r="AM39" s="662" t="e">
        <f t="shared" si="16"/>
        <v>#DIV/0!</v>
      </c>
      <c r="AN39" s="662" t="e">
        <f t="shared" si="16"/>
        <v>#DIV/0!</v>
      </c>
      <c r="AO39" s="662" t="e">
        <f t="shared" si="16"/>
        <v>#DIV/0!</v>
      </c>
      <c r="AR39" s="121"/>
      <c r="AT39" s="121"/>
      <c r="AU39" s="669"/>
      <c r="AV39" s="121"/>
      <c r="AW39" s="669"/>
      <c r="AX39" s="121"/>
      <c r="AY39" s="121"/>
      <c r="AZ39" s="121"/>
      <c r="BA39" s="121"/>
      <c r="BB39" s="121"/>
      <c r="BC39" s="669"/>
      <c r="BD39" s="121"/>
      <c r="BE39" s="669"/>
    </row>
    <row r="40" spans="2:57" ht="25.35" customHeight="1" x14ac:dyDescent="0.3">
      <c r="B40" s="898" t="s">
        <v>485</v>
      </c>
      <c r="C40" s="899">
        <f>SUM(C41:C42)</f>
        <v>-6845</v>
      </c>
      <c r="D40" s="899">
        <f t="shared" ref="D40:O40" si="28">SUM(D41:D42)</f>
        <v>623839.82972499996</v>
      </c>
      <c r="E40" s="899">
        <f t="shared" si="28"/>
        <v>-103937.762993</v>
      </c>
      <c r="F40" s="899">
        <f t="shared" si="28"/>
        <v>-210483.362157</v>
      </c>
      <c r="G40" s="899">
        <f t="shared" si="28"/>
        <v>-200981.079455</v>
      </c>
      <c r="H40" s="899">
        <f t="shared" si="28"/>
        <v>-138391.36126999999</v>
      </c>
      <c r="I40" s="899">
        <f t="shared" si="28"/>
        <v>-36649.81693551287</v>
      </c>
      <c r="J40" s="899">
        <f t="shared" si="28"/>
        <v>-3311.6094671219498</v>
      </c>
      <c r="K40" s="899">
        <f t="shared" si="28"/>
        <v>-12926.713990144493</v>
      </c>
      <c r="L40" s="899">
        <f t="shared" si="28"/>
        <v>-17699.09402159309</v>
      </c>
      <c r="M40" s="899">
        <f t="shared" si="28"/>
        <v>-11203.837308953218</v>
      </c>
      <c r="N40" s="899">
        <f t="shared" si="28"/>
        <v>-13888.897514896918</v>
      </c>
      <c r="O40" s="899">
        <f t="shared" si="28"/>
        <v>-14263.942948481061</v>
      </c>
      <c r="Q40" s="661"/>
      <c r="S40" s="661"/>
      <c r="T40" s="661"/>
      <c r="U40" s="661"/>
      <c r="V40" s="661"/>
      <c r="W40" s="661"/>
      <c r="X40" s="661"/>
      <c r="Y40" s="661"/>
      <c r="Z40" s="661"/>
      <c r="AA40" s="661"/>
      <c r="AB40" s="661"/>
      <c r="AC40" s="661"/>
      <c r="AD40" s="661"/>
      <c r="AE40" s="662">
        <f t="shared" si="5"/>
        <v>-1.1666096937715851</v>
      </c>
      <c r="AF40" s="668">
        <f t="shared" si="5"/>
        <v>1.0250903626930632</v>
      </c>
      <c r="AG40" s="668">
        <f t="shared" si="5"/>
        <v>-4.5145053768726025E-2</v>
      </c>
      <c r="AH40" s="668">
        <f t="shared" si="5"/>
        <v>-0.31142094745796184</v>
      </c>
      <c r="AI40" s="662">
        <f t="shared" si="5"/>
        <v>-0.73517265384788366</v>
      </c>
      <c r="AJ40" s="662">
        <f t="shared" si="5"/>
        <v>-0.90964185515717899</v>
      </c>
      <c r="AK40" s="662">
        <f t="shared" si="5"/>
        <v>2.9034536283587897</v>
      </c>
      <c r="AL40" s="662">
        <f t="shared" si="24"/>
        <v>-1</v>
      </c>
      <c r="AM40" s="662" t="e">
        <f t="shared" si="16"/>
        <v>#DIV/0!</v>
      </c>
      <c r="AN40" s="662" t="e">
        <f t="shared" si="16"/>
        <v>#DIV/0!</v>
      </c>
      <c r="AO40" s="662" t="e">
        <f t="shared" si="16"/>
        <v>#DIV/0!</v>
      </c>
      <c r="AT40" s="121"/>
      <c r="AV40" s="121"/>
      <c r="AX40" s="121"/>
      <c r="AY40" s="121"/>
      <c r="AZ40" s="121"/>
      <c r="BA40" s="121"/>
      <c r="BB40" s="121"/>
      <c r="BD40" s="121"/>
    </row>
    <row r="41" spans="2:57" ht="25.35" customHeight="1" x14ac:dyDescent="0.3">
      <c r="B41" s="898" t="s">
        <v>569</v>
      </c>
      <c r="C41" s="899">
        <f t="shared" ref="C41:O42" si="29">Q41</f>
        <v>-6845</v>
      </c>
      <c r="D41" s="899">
        <f t="shared" si="29"/>
        <v>87066</v>
      </c>
      <c r="E41" s="899">
        <f t="shared" si="29"/>
        <v>-3292</v>
      </c>
      <c r="F41" s="899">
        <f t="shared" si="29"/>
        <v>-2499</v>
      </c>
      <c r="G41" s="899">
        <f t="shared" si="29"/>
        <v>-4169</v>
      </c>
      <c r="H41" s="899">
        <f t="shared" si="29"/>
        <v>-3225.3612699999994</v>
      </c>
      <c r="I41" s="899">
        <f t="shared" si="29"/>
        <v>-3236.2000039999994</v>
      </c>
      <c r="J41" s="899">
        <f t="shared" si="29"/>
        <v>-3236.2000039999994</v>
      </c>
      <c r="K41" s="899">
        <f t="shared" si="29"/>
        <v>-3236.2000039999994</v>
      </c>
      <c r="L41" s="899">
        <f t="shared" si="29"/>
        <v>-3236.2000039999994</v>
      </c>
      <c r="M41" s="899">
        <f t="shared" si="29"/>
        <v>-3236.2000039999994</v>
      </c>
      <c r="N41" s="899">
        <f t="shared" si="29"/>
        <v>-3236.2000039999994</v>
      </c>
      <c r="O41" s="899">
        <f t="shared" si="29"/>
        <v>-3236.2000039999994</v>
      </c>
      <c r="Q41" s="661">
        <f>'7-1. FS'!AB75</f>
        <v>-6845</v>
      </c>
      <c r="R41" s="661">
        <f>'7-1. FS'!AC75</f>
        <v>87066</v>
      </c>
      <c r="S41" s="661">
        <f>'7-1. FS'!AD75</f>
        <v>-3292</v>
      </c>
      <c r="T41" s="661">
        <f>'7-1. FS'!AE75</f>
        <v>-2499</v>
      </c>
      <c r="U41" s="661">
        <f>'7-1. FS'!AF75</f>
        <v>-4169</v>
      </c>
      <c r="V41" s="661">
        <f>'7-1. FS'!AG75</f>
        <v>-3225.3612699999994</v>
      </c>
      <c r="W41" s="661">
        <f>'7-1. FS'!AH75</f>
        <v>-3236.2000039999994</v>
      </c>
      <c r="X41" s="661">
        <f>'7-1. FS'!AI75</f>
        <v>-3236.2000039999994</v>
      </c>
      <c r="Y41" s="661">
        <f>'7-1. FS'!AJ75</f>
        <v>-3236.2000039999994</v>
      </c>
      <c r="Z41" s="661">
        <f>'7-1. FS'!AK75</f>
        <v>-3236.2000039999994</v>
      </c>
      <c r="AA41" s="661">
        <f>'7-1. FS'!AL75</f>
        <v>-3236.2000039999994</v>
      </c>
      <c r="AB41" s="661">
        <f>'7-1. FS'!AM75</f>
        <v>-3236.2000039999994</v>
      </c>
      <c r="AC41" s="661">
        <f>'7-1. FS'!AN75</f>
        <v>-3236.2000039999994</v>
      </c>
      <c r="AD41" s="661"/>
      <c r="AE41" s="662">
        <f t="shared" si="5"/>
        <v>-1.0378103967105414</v>
      </c>
      <c r="AF41" s="668">
        <f t="shared" si="5"/>
        <v>-0.24088699878493317</v>
      </c>
      <c r="AG41" s="662">
        <f t="shared" si="5"/>
        <v>0.66826730692276914</v>
      </c>
      <c r="AH41" s="662">
        <f t="shared" si="5"/>
        <v>-0.22634654113696345</v>
      </c>
      <c r="AI41" s="662">
        <f t="shared" si="5"/>
        <v>3.3604713062112056E-3</v>
      </c>
      <c r="AJ41" s="662">
        <f t="shared" si="5"/>
        <v>0</v>
      </c>
      <c r="AK41" s="662">
        <f t="shared" si="5"/>
        <v>0</v>
      </c>
      <c r="AL41" s="662">
        <f t="shared" si="24"/>
        <v>-1</v>
      </c>
      <c r="AM41" s="662" t="e">
        <f t="shared" si="16"/>
        <v>#DIV/0!</v>
      </c>
      <c r="AN41" s="662">
        <f t="shared" si="16"/>
        <v>-13.719649379108839</v>
      </c>
      <c r="AO41" s="662">
        <f t="shared" si="16"/>
        <v>-1.0378103967105414</v>
      </c>
      <c r="AP41" s="601"/>
    </row>
    <row r="42" spans="2:57" ht="25.35" customHeight="1" x14ac:dyDescent="0.3">
      <c r="B42" s="896" t="s">
        <v>574</v>
      </c>
      <c r="C42" s="899">
        <f t="shared" si="29"/>
        <v>0</v>
      </c>
      <c r="D42" s="899">
        <f t="shared" si="29"/>
        <v>536773.82972499996</v>
      </c>
      <c r="E42" s="899">
        <f t="shared" si="29"/>
        <v>-100645.762993</v>
      </c>
      <c r="F42" s="899">
        <f t="shared" si="29"/>
        <v>-207984.362157</v>
      </c>
      <c r="G42" s="899">
        <f t="shared" si="29"/>
        <v>-196812.079455</v>
      </c>
      <c r="H42" s="899">
        <f t="shared" si="29"/>
        <v>-135166</v>
      </c>
      <c r="I42" s="899">
        <f t="shared" si="29"/>
        <v>-33413.616931512872</v>
      </c>
      <c r="J42" s="899">
        <f t="shared" si="29"/>
        <v>-75.409463121950438</v>
      </c>
      <c r="K42" s="899">
        <f t="shared" si="29"/>
        <v>-9690.5139861444932</v>
      </c>
      <c r="L42" s="899">
        <f t="shared" si="29"/>
        <v>-14462.894017593091</v>
      </c>
      <c r="M42" s="899">
        <f t="shared" si="29"/>
        <v>-7967.6373049532194</v>
      </c>
      <c r="N42" s="899">
        <f t="shared" si="29"/>
        <v>-10652.69751089692</v>
      </c>
      <c r="O42" s="899">
        <f t="shared" si="29"/>
        <v>-11027.742944481062</v>
      </c>
      <c r="Q42" s="661">
        <f>'7-1. FS'!AB76</f>
        <v>0</v>
      </c>
      <c r="R42" s="661">
        <f>'7-1. FS'!AC76</f>
        <v>536773.82972499996</v>
      </c>
      <c r="S42" s="661">
        <f>'7-1. FS'!AD76</f>
        <v>-100645.762993</v>
      </c>
      <c r="T42" s="661">
        <f>'7-1. FS'!AE76</f>
        <v>-207984.362157</v>
      </c>
      <c r="U42" s="661">
        <f>'7-1. FS'!AF76</f>
        <v>-196812.079455</v>
      </c>
      <c r="V42" s="661">
        <f>'7-1. FS'!AG76</f>
        <v>-135166</v>
      </c>
      <c r="W42" s="661">
        <f>'7-1. FS'!AH76</f>
        <v>-33413.616931512872</v>
      </c>
      <c r="X42" s="661">
        <f>'7-1. FS'!AI76</f>
        <v>-75.409463121950438</v>
      </c>
      <c r="Y42" s="661">
        <f>'7-1. FS'!AJ76</f>
        <v>-9690.5139861444932</v>
      </c>
      <c r="Z42" s="661">
        <f>'7-1. FS'!AK76</f>
        <v>-14462.894017593091</v>
      </c>
      <c r="AA42" s="661">
        <f>'7-1. FS'!AL76</f>
        <v>-7967.6373049532194</v>
      </c>
      <c r="AB42" s="661">
        <f>'7-1. FS'!AM76</f>
        <v>-10652.69751089692</v>
      </c>
      <c r="AC42" s="661">
        <f>'7-1. FS'!AN76</f>
        <v>-11027.742944481062</v>
      </c>
      <c r="AD42" s="661"/>
      <c r="AE42" s="662">
        <f t="shared" si="5"/>
        <v>-1.1875012480481077</v>
      </c>
      <c r="AF42" s="668">
        <f t="shared" si="5"/>
        <v>1.0664989361893504</v>
      </c>
      <c r="AG42" s="668">
        <f t="shared" si="5"/>
        <v>-5.3716936149105471E-2</v>
      </c>
      <c r="AH42" s="668">
        <f>(H42-G42)/G42</f>
        <v>-0.31322304822806896</v>
      </c>
      <c r="AI42" s="662">
        <f t="shared" si="5"/>
        <v>-0.75279569616979958</v>
      </c>
      <c r="AJ42" s="662">
        <f t="shared" si="5"/>
        <v>-0.99774315174329931</v>
      </c>
      <c r="AK42" s="662">
        <f t="shared" si="5"/>
        <v>127.50527752031888</v>
      </c>
      <c r="AL42" s="662">
        <f t="shared" si="24"/>
        <v>-1</v>
      </c>
      <c r="AM42" s="662" t="e">
        <f t="shared" si="16"/>
        <v>#DIV/0!</v>
      </c>
      <c r="AN42" s="662" t="e">
        <f t="shared" si="16"/>
        <v>#DIV/0!</v>
      </c>
      <c r="AO42" s="662">
        <f t="shared" si="16"/>
        <v>-1.1875012480481077</v>
      </c>
      <c r="AP42" s="601"/>
    </row>
    <row r="43" spans="2:57" ht="25.35" customHeight="1" x14ac:dyDescent="0.3">
      <c r="B43" s="898" t="s">
        <v>384</v>
      </c>
      <c r="C43" s="899">
        <f>SUM(C44:C45)</f>
        <v>19404</v>
      </c>
      <c r="D43" s="899">
        <f t="shared" ref="D43:O43" si="30">SUM(D44:D45)</f>
        <v>117061.97605400001</v>
      </c>
      <c r="E43" s="899">
        <f t="shared" si="30"/>
        <v>-57207.875233999992</v>
      </c>
      <c r="F43" s="899">
        <f t="shared" si="30"/>
        <v>-23804.719457000028</v>
      </c>
      <c r="G43" s="899">
        <f t="shared" si="30"/>
        <v>-95165.260928000003</v>
      </c>
      <c r="H43" s="899">
        <f t="shared" si="30"/>
        <v>-46584.055375999997</v>
      </c>
      <c r="I43" s="899">
        <f t="shared" si="30"/>
        <v>-47097.18597008918</v>
      </c>
      <c r="J43" s="899">
        <f t="shared" si="30"/>
        <v>-41405.679578109281</v>
      </c>
      <c r="K43" s="899">
        <f t="shared" si="30"/>
        <v>-28461.118102261345</v>
      </c>
      <c r="L43" s="899">
        <f t="shared" si="30"/>
        <v>-27990.364698351063</v>
      </c>
      <c r="M43" s="899">
        <f t="shared" si="30"/>
        <v>-27393.096657148282</v>
      </c>
      <c r="N43" s="899">
        <f t="shared" si="30"/>
        <v>-27837.748152586912</v>
      </c>
      <c r="O43" s="899">
        <f t="shared" si="30"/>
        <v>-27629.958169362089</v>
      </c>
      <c r="Q43" s="661"/>
      <c r="S43" s="661"/>
      <c r="T43" s="661"/>
      <c r="U43" s="661"/>
      <c r="V43" s="661"/>
      <c r="W43" s="661"/>
      <c r="X43" s="661"/>
      <c r="Y43" s="661"/>
      <c r="Z43" s="661"/>
      <c r="AA43" s="661"/>
      <c r="AB43" s="661"/>
      <c r="AC43" s="661"/>
      <c r="AD43" s="661"/>
      <c r="AE43" s="662">
        <f t="shared" si="5"/>
        <v>-1.4886973307849367</v>
      </c>
      <c r="AF43" s="668">
        <f t="shared" si="5"/>
        <v>-0.58389086538119983</v>
      </c>
      <c r="AG43" s="662">
        <f t="shared" si="5"/>
        <v>2.9977476357116091</v>
      </c>
      <c r="AH43" s="662">
        <f t="shared" si="5"/>
        <v>-0.5104930631016239</v>
      </c>
      <c r="AI43" s="662">
        <f t="shared" si="5"/>
        <v>1.1015155077150007E-2</v>
      </c>
      <c r="AJ43" s="662">
        <f t="shared" si="5"/>
        <v>-0.12084599694755653</v>
      </c>
      <c r="AK43" s="662">
        <f t="shared" si="5"/>
        <v>-0.31262767832197541</v>
      </c>
      <c r="AL43" s="662">
        <f t="shared" si="24"/>
        <v>-1</v>
      </c>
      <c r="AM43" s="662" t="e">
        <f t="shared" si="16"/>
        <v>#DIV/0!</v>
      </c>
      <c r="AN43" s="662" t="e">
        <f t="shared" si="16"/>
        <v>#DIV/0!</v>
      </c>
      <c r="AO43" s="662" t="e">
        <f t="shared" si="16"/>
        <v>#DIV/0!</v>
      </c>
    </row>
    <row r="44" spans="2:57" ht="25.35" customHeight="1" x14ac:dyDescent="0.3">
      <c r="B44" s="898" t="s">
        <v>569</v>
      </c>
      <c r="C44" s="899">
        <f t="shared" ref="C44:O45" si="31">Q44</f>
        <v>19404</v>
      </c>
      <c r="D44" s="899">
        <f t="shared" si="31"/>
        <v>54723</v>
      </c>
      <c r="E44" s="899">
        <f t="shared" si="31"/>
        <v>9562</v>
      </c>
      <c r="F44" s="899">
        <f t="shared" si="31"/>
        <v>32050</v>
      </c>
      <c r="G44" s="899">
        <f t="shared" si="31"/>
        <v>23900</v>
      </c>
      <c r="H44" s="899">
        <f t="shared" si="31"/>
        <v>16914.944624000003</v>
      </c>
      <c r="I44" s="899">
        <f t="shared" si="31"/>
        <v>16408.224646709012</v>
      </c>
      <c r="J44" s="899">
        <f t="shared" si="31"/>
        <v>18235.407544903002</v>
      </c>
      <c r="K44" s="899">
        <f t="shared" si="31"/>
        <v>16681.876726537339</v>
      </c>
      <c r="L44" s="899">
        <f t="shared" si="31"/>
        <v>17218.947972716451</v>
      </c>
      <c r="M44" s="899">
        <f t="shared" si="31"/>
        <v>17489.189081385597</v>
      </c>
      <c r="N44" s="899">
        <f t="shared" si="31"/>
        <v>17240.449593546462</v>
      </c>
      <c r="O44" s="899">
        <f t="shared" si="31"/>
        <v>17426.640549216168</v>
      </c>
      <c r="Q44" s="661">
        <f>'7-1. FS'!AB78</f>
        <v>19404</v>
      </c>
      <c r="R44" s="661">
        <f>'7-1. FS'!AC78</f>
        <v>54723</v>
      </c>
      <c r="S44" s="661">
        <f>'7-1. FS'!AD78</f>
        <v>9562</v>
      </c>
      <c r="T44" s="661">
        <f>'7-1. FS'!AE78</f>
        <v>32050</v>
      </c>
      <c r="U44" s="661">
        <f>'7-1. FS'!AF78</f>
        <v>23900</v>
      </c>
      <c r="V44" s="661">
        <f>'7-1. FS'!AG78</f>
        <v>16914.944624000003</v>
      </c>
      <c r="W44" s="661">
        <f>'7-1. FS'!AH78</f>
        <v>16408.224646709012</v>
      </c>
      <c r="X44" s="661">
        <f>'7-1. FS'!AI78</f>
        <v>18235.407544903002</v>
      </c>
      <c r="Y44" s="661">
        <f>'7-1. FS'!AJ78</f>
        <v>16681.876726537339</v>
      </c>
      <c r="Z44" s="661">
        <f>'7-1. FS'!AK78</f>
        <v>17218.947972716451</v>
      </c>
      <c r="AA44" s="661">
        <f>'7-1. FS'!AL78</f>
        <v>17489.189081385597</v>
      </c>
      <c r="AB44" s="661">
        <f>'7-1. FS'!AM78</f>
        <v>17240.449593546462</v>
      </c>
      <c r="AC44" s="661">
        <f>'7-1. FS'!AN78</f>
        <v>17426.640549216168</v>
      </c>
      <c r="AD44" s="661"/>
      <c r="AE44" s="662">
        <f t="shared" si="5"/>
        <v>-0.82526542769950473</v>
      </c>
      <c r="AF44" s="668">
        <f t="shared" ref="AF44:AK48" si="32">(F44-E44)/E44</f>
        <v>2.3518092449278392</v>
      </c>
      <c r="AG44" s="662">
        <f t="shared" si="32"/>
        <v>-0.25429017160686429</v>
      </c>
      <c r="AH44" s="662">
        <f t="shared" si="32"/>
        <v>-0.292261731213389</v>
      </c>
      <c r="AI44" s="662">
        <f t="shared" si="32"/>
        <v>-2.9956939768636608E-2</v>
      </c>
      <c r="AJ44" s="662">
        <f t="shared" si="32"/>
        <v>0.11135774512695179</v>
      </c>
      <c r="AK44" s="662">
        <f t="shared" si="32"/>
        <v>-8.5193095604813751E-2</v>
      </c>
      <c r="AL44" s="662">
        <f t="shared" si="24"/>
        <v>-1</v>
      </c>
      <c r="AM44" s="662" t="e">
        <f t="shared" si="16"/>
        <v>#DIV/0!</v>
      </c>
      <c r="AN44" s="662">
        <f t="shared" si="16"/>
        <v>1.8201917130488559</v>
      </c>
      <c r="AO44" s="662">
        <f t="shared" si="16"/>
        <v>-0.82526542769950473</v>
      </c>
      <c r="AP44" s="601"/>
    </row>
    <row r="45" spans="2:57" ht="25.35" customHeight="1" x14ac:dyDescent="0.3">
      <c r="B45" s="896" t="s">
        <v>574</v>
      </c>
      <c r="C45" s="899">
        <f t="shared" si="31"/>
        <v>0</v>
      </c>
      <c r="D45" s="899">
        <f t="shared" si="31"/>
        <v>62338.976054000013</v>
      </c>
      <c r="E45" s="899">
        <f t="shared" si="31"/>
        <v>-66769.875233999992</v>
      </c>
      <c r="F45" s="899">
        <f t="shared" si="31"/>
        <v>-55854.719457000028</v>
      </c>
      <c r="G45" s="899">
        <f t="shared" si="31"/>
        <v>-119065.260928</v>
      </c>
      <c r="H45" s="899">
        <f t="shared" si="31"/>
        <v>-63499</v>
      </c>
      <c r="I45" s="899">
        <f t="shared" si="31"/>
        <v>-63505.410616798195</v>
      </c>
      <c r="J45" s="899">
        <f t="shared" si="31"/>
        <v>-59641.087123012279</v>
      </c>
      <c r="K45" s="899">
        <f t="shared" si="31"/>
        <v>-45142.994828798684</v>
      </c>
      <c r="L45" s="899">
        <f t="shared" si="31"/>
        <v>-45209.312671067513</v>
      </c>
      <c r="M45" s="899">
        <f t="shared" si="31"/>
        <v>-44882.285738533879</v>
      </c>
      <c r="N45" s="899">
        <f t="shared" si="31"/>
        <v>-45078.197746133374</v>
      </c>
      <c r="O45" s="899">
        <f t="shared" si="31"/>
        <v>-45056.598718578258</v>
      </c>
      <c r="Q45" s="661">
        <f>'7-1. FS'!AB79</f>
        <v>0</v>
      </c>
      <c r="R45" s="661">
        <f>'7-1. FS'!AC79</f>
        <v>62338.976054000013</v>
      </c>
      <c r="S45" s="661">
        <f>'7-1. FS'!AD79</f>
        <v>-66769.875233999992</v>
      </c>
      <c r="T45" s="661">
        <f>'7-1. FS'!AE79</f>
        <v>-55854.719457000028</v>
      </c>
      <c r="U45" s="661">
        <f>'7-1. FS'!AF79</f>
        <v>-119065.260928</v>
      </c>
      <c r="V45" s="661">
        <f>'7-1. FS'!AG79</f>
        <v>-63499</v>
      </c>
      <c r="W45" s="661">
        <f>'7-1. FS'!AH79</f>
        <v>-63505.410616798195</v>
      </c>
      <c r="X45" s="661">
        <f>'7-1. FS'!AI79</f>
        <v>-59641.087123012279</v>
      </c>
      <c r="Y45" s="661">
        <f>'7-1. FS'!AJ79</f>
        <v>-45142.994828798684</v>
      </c>
      <c r="Z45" s="661">
        <f>'7-1. FS'!AK79</f>
        <v>-45209.312671067513</v>
      </c>
      <c r="AA45" s="661">
        <f>'7-1. FS'!AL79</f>
        <v>-44882.285738533879</v>
      </c>
      <c r="AB45" s="661">
        <f>'7-1. FS'!AM79</f>
        <v>-45078.197746133374</v>
      </c>
      <c r="AC45" s="661">
        <f>'7-1. FS'!AN79</f>
        <v>-45056.598718578258</v>
      </c>
      <c r="AD45" s="661"/>
      <c r="AE45" s="662">
        <f>(E45-D45)/D45</f>
        <v>-2.0710775097775396</v>
      </c>
      <c r="AF45" s="668">
        <f t="shared" si="32"/>
        <v>-0.16347425749631833</v>
      </c>
      <c r="AG45" s="668">
        <f t="shared" si="32"/>
        <v>1.131695621883176</v>
      </c>
      <c r="AH45" s="668">
        <f t="shared" si="32"/>
        <v>-0.46668743254677364</v>
      </c>
      <c r="AI45" s="662">
        <f t="shared" si="32"/>
        <v>1.0095618510835455E-4</v>
      </c>
      <c r="AJ45" s="662">
        <f t="shared" si="32"/>
        <v>-6.0850303245873996E-2</v>
      </c>
      <c r="AK45" s="662">
        <f t="shared" si="32"/>
        <v>-0.24308900111613765</v>
      </c>
      <c r="AL45" s="662">
        <f t="shared" si="24"/>
        <v>-1</v>
      </c>
      <c r="AM45" s="662" t="e">
        <f t="shared" si="16"/>
        <v>#DIV/0!</v>
      </c>
      <c r="AN45" s="662" t="e">
        <f t="shared" si="16"/>
        <v>#DIV/0!</v>
      </c>
      <c r="AO45" s="662">
        <f t="shared" si="16"/>
        <v>-2.0710775097775396</v>
      </c>
      <c r="AP45" s="601"/>
    </row>
    <row r="46" spans="2:57" ht="25.35" customHeight="1" x14ac:dyDescent="0.3">
      <c r="B46" s="898" t="s">
        <v>385</v>
      </c>
      <c r="C46" s="899">
        <f t="shared" ref="C46:O46" si="33">C37+C40+C43</f>
        <v>170443</v>
      </c>
      <c r="D46" s="899">
        <f t="shared" si="33"/>
        <v>1033499.1187179993</v>
      </c>
      <c r="E46" s="899">
        <f t="shared" si="33"/>
        <v>95267.075965000244</v>
      </c>
      <c r="F46" s="899">
        <f t="shared" si="33"/>
        <v>80693.535515002208</v>
      </c>
      <c r="G46" s="899">
        <f t="shared" si="33"/>
        <v>-43509.974998998718</v>
      </c>
      <c r="H46" s="899">
        <f t="shared" si="33"/>
        <v>104921.22076399904</v>
      </c>
      <c r="I46" s="899">
        <f t="shared" si="33"/>
        <v>188417.25910894439</v>
      </c>
      <c r="J46" s="899">
        <f t="shared" si="33"/>
        <v>224774.72034916206</v>
      </c>
      <c r="K46" s="899">
        <f t="shared" si="33"/>
        <v>223511.49455798598</v>
      </c>
      <c r="L46" s="899">
        <f t="shared" si="33"/>
        <v>224901.85732565116</v>
      </c>
      <c r="M46" s="899">
        <f t="shared" si="33"/>
        <v>240836.52699997195</v>
      </c>
      <c r="N46" s="899">
        <f t="shared" si="33"/>
        <v>248207.53488867421</v>
      </c>
      <c r="O46" s="899">
        <f t="shared" si="33"/>
        <v>259498.49008989608</v>
      </c>
      <c r="Q46" s="661"/>
      <c r="S46" s="661"/>
      <c r="T46" s="661"/>
      <c r="U46" s="661"/>
      <c r="V46" s="661"/>
      <c r="W46" s="661"/>
      <c r="X46" s="661"/>
      <c r="Y46" s="661"/>
      <c r="Z46" s="661"/>
      <c r="AA46" s="661"/>
      <c r="AB46" s="661"/>
      <c r="AC46" s="661"/>
      <c r="AD46" s="661"/>
      <c r="AE46" s="662">
        <f>(E46-D46)/D46</f>
        <v>-0.90782084450814637</v>
      </c>
      <c r="AF46" s="662">
        <f t="shared" si="32"/>
        <v>-0.15297562460458161</v>
      </c>
      <c r="AG46" s="662">
        <f t="shared" si="32"/>
        <v>-1.5392002558979403</v>
      </c>
      <c r="AH46" s="662">
        <f t="shared" si="32"/>
        <v>-3.4114291209409693</v>
      </c>
      <c r="AI46" s="662">
        <f t="shared" si="32"/>
        <v>0.79579743484641974</v>
      </c>
      <c r="AJ46" s="662">
        <f t="shared" si="32"/>
        <v>0.19296247813049597</v>
      </c>
      <c r="AK46" s="662">
        <f t="shared" si="32"/>
        <v>-5.6199637984814506E-3</v>
      </c>
      <c r="AL46" s="662">
        <f t="shared" si="24"/>
        <v>-1</v>
      </c>
      <c r="AM46" s="662" t="e">
        <f t="shared" si="16"/>
        <v>#DIV/0!</v>
      </c>
      <c r="AN46" s="662" t="e">
        <f t="shared" si="16"/>
        <v>#DIV/0!</v>
      </c>
      <c r="AO46" s="662" t="e">
        <f t="shared" si="16"/>
        <v>#DIV/0!</v>
      </c>
      <c r="AP46" s="59" t="s">
        <v>354</v>
      </c>
      <c r="AR46" s="121" t="s">
        <v>434</v>
      </c>
      <c r="AS46" s="669">
        <f>(AS47+AT47)/(AS48+AT48)</f>
        <v>1.0120663729820538</v>
      </c>
      <c r="AV46" s="121" t="s">
        <v>363</v>
      </c>
      <c r="AW46" s="670">
        <v>0.67500000000000004</v>
      </c>
    </row>
    <row r="47" spans="2:57" ht="25.35" customHeight="1" x14ac:dyDescent="0.3">
      <c r="B47" s="898" t="s">
        <v>322</v>
      </c>
      <c r="C47" s="899">
        <f t="shared" ref="C47:O47" si="34">Q47</f>
        <v>41545</v>
      </c>
      <c r="D47" s="899">
        <f t="shared" si="34"/>
        <v>101302.275035</v>
      </c>
      <c r="E47" s="899">
        <f t="shared" si="34"/>
        <v>24954.999378</v>
      </c>
      <c r="F47" s="899">
        <f t="shared" si="34"/>
        <v>45663.079564000007</v>
      </c>
      <c r="G47" s="899">
        <f t="shared" si="34"/>
        <v>17293.721777999999</v>
      </c>
      <c r="H47" s="899">
        <f t="shared" si="34"/>
        <v>20804.424283</v>
      </c>
      <c r="I47" s="899">
        <f>W47</f>
        <v>45134.976704364512</v>
      </c>
      <c r="J47" s="899">
        <f t="shared" si="34"/>
        <v>53933.477961217432</v>
      </c>
      <c r="K47" s="899">
        <f t="shared" si="34"/>
        <v>53627.777313340084</v>
      </c>
      <c r="L47" s="899">
        <f t="shared" si="34"/>
        <v>53964.245165711531</v>
      </c>
      <c r="M47" s="899">
        <f t="shared" si="34"/>
        <v>57820.43539428863</v>
      </c>
      <c r="N47" s="899">
        <f t="shared" si="34"/>
        <v>59604.219374331515</v>
      </c>
      <c r="O47" s="899">
        <f t="shared" si="34"/>
        <v>62336.63062857106</v>
      </c>
      <c r="Q47" s="661">
        <f>'7-1. FS'!AB81</f>
        <v>41545</v>
      </c>
      <c r="R47" s="661">
        <f>'7-1. FS'!AC81</f>
        <v>101302.275035</v>
      </c>
      <c r="S47" s="661">
        <f>'7-1. FS'!AD81</f>
        <v>24954.999378</v>
      </c>
      <c r="T47" s="661">
        <f>'7-1. FS'!AE81</f>
        <v>45663.079564000007</v>
      </c>
      <c r="U47" s="661">
        <f>'7-1. FS'!AF81</f>
        <v>17293.721777999999</v>
      </c>
      <c r="V47" s="661">
        <f>'7-1. FS'!AG81</f>
        <v>20804.424283</v>
      </c>
      <c r="W47" s="661">
        <f>'7-1. FS'!AH81</f>
        <v>45134.976704364512</v>
      </c>
      <c r="X47" s="661">
        <f>'7-1. FS'!AI81</f>
        <v>53933.477961217432</v>
      </c>
      <c r="Y47" s="661">
        <f>'7-1. FS'!AJ81</f>
        <v>53627.777313340084</v>
      </c>
      <c r="Z47" s="661">
        <f>'7-1. FS'!AK81</f>
        <v>53964.245165711531</v>
      </c>
      <c r="AA47" s="661">
        <f>'7-1. FS'!AL81</f>
        <v>57820.43539428863</v>
      </c>
      <c r="AB47" s="661">
        <f>'7-1. FS'!AM81</f>
        <v>59604.219374331515</v>
      </c>
      <c r="AC47" s="661">
        <f>'7-1. FS'!AN81</f>
        <v>62336.63062857106</v>
      </c>
      <c r="AD47" s="661"/>
      <c r="AE47" s="662">
        <f>(E47-D47)/D47</f>
        <v>-0.75365805585927814</v>
      </c>
      <c r="AF47" s="662">
        <f t="shared" si="32"/>
        <v>0.82981689850315032</v>
      </c>
      <c r="AG47" s="662">
        <f t="shared" si="32"/>
        <v>-0.62127561384112007</v>
      </c>
      <c r="AH47" s="662">
        <f t="shared" si="32"/>
        <v>0.20300445156149668</v>
      </c>
      <c r="AI47" s="662">
        <f t="shared" si="32"/>
        <v>1.1694893398826629</v>
      </c>
      <c r="AJ47" s="662">
        <f t="shared" si="32"/>
        <v>0.19493753845234871</v>
      </c>
      <c r="AK47" s="662">
        <f t="shared" si="32"/>
        <v>-5.6681055892069685E-3</v>
      </c>
      <c r="AL47" s="662">
        <f t="shared" si="24"/>
        <v>-1</v>
      </c>
      <c r="AM47" s="662" t="e">
        <f t="shared" si="16"/>
        <v>#DIV/0!</v>
      </c>
      <c r="AN47" s="662">
        <f t="shared" si="16"/>
        <v>1.4383746548321097</v>
      </c>
      <c r="AO47" s="662">
        <f t="shared" si="16"/>
        <v>-0.75365805585927814</v>
      </c>
      <c r="AP47" s="59" t="s">
        <v>589</v>
      </c>
      <c r="AS47" s="65">
        <v>310136</v>
      </c>
      <c r="AT47" s="65">
        <v>3306862.9428999997</v>
      </c>
    </row>
    <row r="48" spans="2:57" ht="25.35" customHeight="1" x14ac:dyDescent="0.3">
      <c r="B48" s="898" t="s">
        <v>211</v>
      </c>
      <c r="C48" s="899">
        <f>C46-C47</f>
        <v>128898</v>
      </c>
      <c r="D48" s="899">
        <f t="shared" ref="D48:O48" si="35">D46-D47</f>
        <v>932196.84368299926</v>
      </c>
      <c r="E48" s="899">
        <f t="shared" si="35"/>
        <v>70312.076587000251</v>
      </c>
      <c r="F48" s="899">
        <f t="shared" si="35"/>
        <v>35030.455951002201</v>
      </c>
      <c r="G48" s="899">
        <f t="shared" si="35"/>
        <v>-60803.696776998717</v>
      </c>
      <c r="H48" s="899">
        <f t="shared" si="35"/>
        <v>84116.796480999037</v>
      </c>
      <c r="I48" s="899">
        <f t="shared" si="35"/>
        <v>143282.28240457986</v>
      </c>
      <c r="J48" s="899">
        <f t="shared" si="35"/>
        <v>170841.24238794463</v>
      </c>
      <c r="K48" s="899">
        <f t="shared" si="35"/>
        <v>169883.7172446459</v>
      </c>
      <c r="L48" s="899">
        <f t="shared" si="35"/>
        <v>170937.61215993963</v>
      </c>
      <c r="M48" s="899">
        <f t="shared" si="35"/>
        <v>183016.09160568332</v>
      </c>
      <c r="N48" s="899">
        <f t="shared" si="35"/>
        <v>188603.31551434268</v>
      </c>
      <c r="O48" s="899">
        <f t="shared" si="35"/>
        <v>197161.85946132502</v>
      </c>
      <c r="Q48" s="661"/>
      <c r="S48" s="661"/>
      <c r="T48" s="661"/>
      <c r="U48" s="661"/>
      <c r="V48" s="661"/>
      <c r="W48" s="661"/>
      <c r="X48" s="661"/>
      <c r="Y48" s="661"/>
      <c r="Z48" s="661"/>
      <c r="AA48" s="661"/>
      <c r="AB48" s="661"/>
      <c r="AC48" s="661"/>
      <c r="AD48" s="661"/>
      <c r="AE48" s="662">
        <f>(E48-D48)/D48</f>
        <v>-0.92457378818275593</v>
      </c>
      <c r="AF48" s="662">
        <f t="shared" si="32"/>
        <v>-0.50178607073768522</v>
      </c>
      <c r="AG48" s="662">
        <f t="shared" si="32"/>
        <v>-2.7357380920775358</v>
      </c>
      <c r="AH48" s="662">
        <f t="shared" si="32"/>
        <v>-2.3834158273221866</v>
      </c>
      <c r="AI48" s="662">
        <f t="shared" si="32"/>
        <v>0.70337302891635434</v>
      </c>
      <c r="AJ48" s="662">
        <f t="shared" si="32"/>
        <v>0.19234031954870559</v>
      </c>
      <c r="AK48" s="662">
        <f t="shared" si="32"/>
        <v>-5.6047657457582115E-3</v>
      </c>
      <c r="AL48" s="662">
        <f t="shared" si="24"/>
        <v>-1</v>
      </c>
      <c r="AM48" s="662" t="e">
        <f t="shared" si="16"/>
        <v>#DIV/0!</v>
      </c>
      <c r="AN48" s="662" t="e">
        <f t="shared" si="16"/>
        <v>#DIV/0!</v>
      </c>
      <c r="AO48" s="662" t="e">
        <f t="shared" si="16"/>
        <v>#DIV/0!</v>
      </c>
      <c r="AP48" s="59" t="s">
        <v>590</v>
      </c>
      <c r="AS48" s="65">
        <v>1238159.6653539999</v>
      </c>
      <c r="AT48" s="65">
        <v>2335715.5660130014</v>
      </c>
    </row>
    <row r="49" spans="1:46" ht="25.35" customHeight="1" x14ac:dyDescent="0.3">
      <c r="B49" s="59" t="s">
        <v>874</v>
      </c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Q49" s="661"/>
      <c r="S49" s="661"/>
      <c r="T49" s="661"/>
      <c r="U49" s="661"/>
      <c r="V49" s="661"/>
      <c r="W49" s="661"/>
      <c r="X49" s="661"/>
      <c r="Y49" s="661"/>
      <c r="Z49" s="661"/>
      <c r="AA49" s="661"/>
      <c r="AB49" s="661"/>
      <c r="AC49" s="661"/>
      <c r="AD49" s="661"/>
      <c r="AE49" s="661"/>
      <c r="AF49" s="661"/>
      <c r="AG49" s="661"/>
      <c r="AH49" s="661"/>
      <c r="AI49" s="661"/>
      <c r="AJ49" s="661"/>
      <c r="AK49" s="661"/>
      <c r="AL49" s="661"/>
      <c r="AM49" s="661"/>
      <c r="AN49" s="661"/>
      <c r="AO49" s="661"/>
      <c r="AS49" s="65"/>
      <c r="AT49" s="65"/>
    </row>
    <row r="50" spans="1:46" ht="25.35" customHeight="1" x14ac:dyDescent="0.3">
      <c r="B50" s="155"/>
      <c r="C50" s="156"/>
      <c r="D50" s="156"/>
      <c r="E50" s="156"/>
      <c r="F50" s="156"/>
      <c r="G50" s="205"/>
      <c r="H50" s="205"/>
      <c r="I50" s="205"/>
      <c r="J50" s="205"/>
      <c r="K50" s="205"/>
      <c r="L50" s="205"/>
      <c r="M50" s="205"/>
      <c r="N50" s="205"/>
      <c r="O50" s="205"/>
      <c r="Q50" s="661"/>
      <c r="S50" s="661"/>
      <c r="T50" s="661"/>
      <c r="U50" s="661"/>
      <c r="V50" s="661"/>
      <c r="W50" s="661"/>
      <c r="X50" s="661"/>
      <c r="Y50" s="661"/>
      <c r="Z50" s="661"/>
      <c r="AA50" s="661"/>
      <c r="AB50" s="661"/>
      <c r="AC50" s="661"/>
      <c r="AD50" s="661"/>
      <c r="AE50" s="661"/>
      <c r="AF50" s="661"/>
      <c r="AG50" s="661"/>
      <c r="AH50" s="661"/>
      <c r="AI50" s="661"/>
      <c r="AJ50" s="661"/>
      <c r="AK50" s="661"/>
      <c r="AL50" s="661"/>
      <c r="AM50" s="661"/>
      <c r="AN50" s="661"/>
      <c r="AO50" s="661"/>
      <c r="AS50" s="65"/>
      <c r="AT50" s="65"/>
    </row>
    <row r="51" spans="1:46" ht="25.35" hidden="1" customHeight="1" outlineLevel="1" x14ac:dyDescent="0.3">
      <c r="A51" s="61"/>
      <c r="G51" s="200">
        <f>G37-G38-G39</f>
        <v>9.3132257461547852E-10</v>
      </c>
      <c r="H51" s="200">
        <f>H37-H38-H39</f>
        <v>-9.3132257461547852E-10</v>
      </c>
      <c r="I51" s="200">
        <f>I37-I38-I39</f>
        <v>4.6566128730773926E-10</v>
      </c>
      <c r="J51" s="200">
        <f>J37-J38-J39</f>
        <v>0</v>
      </c>
      <c r="K51" s="200">
        <f>K37-K38-K39</f>
        <v>0</v>
      </c>
      <c r="L51" s="200"/>
      <c r="M51" s="200"/>
      <c r="N51" s="200"/>
      <c r="O51" s="200"/>
      <c r="Q51" s="661"/>
      <c r="S51" s="661"/>
      <c r="T51" s="661"/>
      <c r="U51" s="661"/>
      <c r="V51" s="661"/>
      <c r="W51" s="661"/>
      <c r="X51" s="661"/>
      <c r="Y51" s="661"/>
      <c r="Z51" s="661"/>
      <c r="AA51" s="661"/>
      <c r="AB51" s="661"/>
      <c r="AC51" s="661"/>
      <c r="AS51" s="669">
        <f>AS47/AS48</f>
        <v>0.25048142713591753</v>
      </c>
      <c r="AT51" s="669">
        <f>AT47/AT48</f>
        <v>1.4157815236658797</v>
      </c>
    </row>
    <row r="52" spans="1:46" ht="25.35" hidden="1" customHeight="1" outlineLevel="1" x14ac:dyDescent="0.3">
      <c r="A52" s="61"/>
      <c r="C52" s="671">
        <f>'7-1. FS'!AB84</f>
        <v>128898</v>
      </c>
      <c r="D52" s="671">
        <f>'7-1. FS'!AC84</f>
        <v>932196.84368299926</v>
      </c>
      <c r="E52" s="671">
        <f>'7-1. FS'!AD84</f>
        <v>70312.076587000251</v>
      </c>
      <c r="F52" s="671">
        <f>'7-1. FS'!AE84</f>
        <v>35030.455951002201</v>
      </c>
      <c r="G52" s="671">
        <f>'7-1. FS'!AF84</f>
        <v>-60803.696776998717</v>
      </c>
      <c r="H52" s="671">
        <f>'7-1. FS'!AG84</f>
        <v>84116.796480999037</v>
      </c>
      <c r="I52" s="671">
        <f>'7-1. FS'!AH84</f>
        <v>143282.28240457986</v>
      </c>
      <c r="J52" s="671">
        <f>'7-1. FS'!AI84</f>
        <v>170841.24238794463</v>
      </c>
      <c r="K52" s="671">
        <f>'7-1. FS'!AJ84</f>
        <v>169883.7172446459</v>
      </c>
      <c r="L52" s="671">
        <f>'7-1. FS'!AK84</f>
        <v>170937.61215993963</v>
      </c>
      <c r="M52" s="671">
        <f>'7-1. FS'!AL84</f>
        <v>183016.09160568332</v>
      </c>
      <c r="N52" s="671">
        <f>'7-1. FS'!AM84</f>
        <v>188603.31551434268</v>
      </c>
      <c r="O52" s="671">
        <f>'7-1. FS'!AN84</f>
        <v>197161.85946132502</v>
      </c>
    </row>
    <row r="53" spans="1:46" ht="25.35" hidden="1" customHeight="1" outlineLevel="1" x14ac:dyDescent="0.3">
      <c r="A53" s="61"/>
      <c r="C53" s="616">
        <f t="shared" ref="C53:I53" si="36">C48-C52</f>
        <v>0</v>
      </c>
      <c r="D53" s="616">
        <f t="shared" si="36"/>
        <v>0</v>
      </c>
      <c r="E53" s="616">
        <f t="shared" si="36"/>
        <v>0</v>
      </c>
      <c r="F53" s="616">
        <f t="shared" si="36"/>
        <v>0</v>
      </c>
      <c r="G53" s="616">
        <f t="shared" si="36"/>
        <v>0</v>
      </c>
      <c r="H53" s="616">
        <f t="shared" si="36"/>
        <v>0</v>
      </c>
      <c r="I53" s="616">
        <f t="shared" si="36"/>
        <v>0</v>
      </c>
      <c r="J53" s="616">
        <f t="shared" ref="J53:O53" si="37">J48-J52</f>
        <v>0</v>
      </c>
      <c r="K53" s="616">
        <f t="shared" si="37"/>
        <v>0</v>
      </c>
      <c r="L53" s="616">
        <f t="shared" si="37"/>
        <v>0</v>
      </c>
      <c r="M53" s="616">
        <f t="shared" si="37"/>
        <v>0</v>
      </c>
      <c r="N53" s="616">
        <f t="shared" si="37"/>
        <v>0</v>
      </c>
      <c r="O53" s="616">
        <f t="shared" si="37"/>
        <v>0</v>
      </c>
    </row>
    <row r="54" spans="1:46" ht="25.35" hidden="1" customHeight="1" outlineLevel="1" x14ac:dyDescent="0.3">
      <c r="A54" s="61"/>
      <c r="G54" s="152">
        <f>G41-'9. 추정 IS'!I88+'9. 추정 IS'!I89</f>
        <v>0</v>
      </c>
      <c r="H54" s="152">
        <f>H41-'9. 추정 IS'!J88+'9. 추정 IS'!J89</f>
        <v>0</v>
      </c>
      <c r="I54" s="152">
        <f>I41-'9. 추정 IS'!K88+'9. 추정 IS'!K89</f>
        <v>0</v>
      </c>
      <c r="J54" s="152">
        <f>J41-'9. 추정 IS'!L88+'9. 추정 IS'!L89</f>
        <v>0</v>
      </c>
      <c r="K54" s="152">
        <f>K41-'9. 추정 IS'!M88+'9. 추정 IS'!M89</f>
        <v>0</v>
      </c>
      <c r="L54" s="152">
        <f>L41-'9. 추정 IS'!N88+'9. 추정 IS'!N89</f>
        <v>0</v>
      </c>
      <c r="M54" s="152">
        <f>M41-'9. 추정 IS'!O88+'9. 추정 IS'!O89</f>
        <v>0</v>
      </c>
      <c r="N54" s="152">
        <f>N41-'9. 추정 IS'!P88+'9. 추정 IS'!P89</f>
        <v>0</v>
      </c>
      <c r="O54" s="152">
        <f>O41-'9. 추정 IS'!Q88+'9. 추정 IS'!Q89</f>
        <v>0</v>
      </c>
    </row>
    <row r="55" spans="1:46" ht="25.35" hidden="1" customHeight="1" outlineLevel="1" x14ac:dyDescent="0.3">
      <c r="A55" s="61"/>
      <c r="G55" s="152"/>
      <c r="H55" s="152">
        <f>H48-'2. 추정_요약재무제표'!E38</f>
        <v>3.7599986681016162E-3</v>
      </c>
      <c r="I55" s="152">
        <f>I48-'2. 추정_요약재무제표'!G38</f>
        <v>0</v>
      </c>
      <c r="J55" s="152">
        <f>J48-'2. 추정_요약재무제표'!I38</f>
        <v>0</v>
      </c>
      <c r="K55" s="152">
        <f>K48-'2. 추정_요약재무제표'!K38</f>
        <v>0</v>
      </c>
      <c r="L55" s="152">
        <f>L48-'2. 추정_요약재무제표'!M38</f>
        <v>0</v>
      </c>
      <c r="M55" s="152">
        <f>M48-'2. 추정_요약재무제표'!O38</f>
        <v>0</v>
      </c>
      <c r="N55" s="152">
        <f>N48-'2. 추정_요약재무제표'!Q38</f>
        <v>0</v>
      </c>
      <c r="O55" s="152">
        <f>O48-'2. 추정_요약재무제표'!S38</f>
        <v>0</v>
      </c>
    </row>
    <row r="56" spans="1:46" ht="25.35" hidden="1" customHeight="1" outlineLevel="1" collapsed="1" x14ac:dyDescent="0.3">
      <c r="A56" s="61"/>
      <c r="H56" s="152">
        <f>H46-'7-1. FS'!AG80</f>
        <v>0</v>
      </c>
      <c r="I56" s="152">
        <f>I46-'7-1. FS'!AH80</f>
        <v>0</v>
      </c>
      <c r="J56" s="152">
        <f>J46-'7-1. FS'!AI80</f>
        <v>0</v>
      </c>
      <c r="K56" s="152">
        <f>K46-'7-1. FS'!AJ80</f>
        <v>0</v>
      </c>
      <c r="L56" s="152">
        <f>L46-'7-1. FS'!AK80</f>
        <v>0</v>
      </c>
      <c r="M56" s="152">
        <f>M46-'7-1. FS'!AL80</f>
        <v>0</v>
      </c>
      <c r="N56" s="152">
        <f>N46-'7-1. FS'!AM80</f>
        <v>0</v>
      </c>
      <c r="O56" s="152">
        <f>O46-'7-1. FS'!AN80</f>
        <v>0</v>
      </c>
    </row>
    <row r="57" spans="1:46" collapsed="1" x14ac:dyDescent="0.3"/>
  </sheetData>
  <mergeCells count="1">
    <mergeCell ref="B1:O2"/>
  </mergeCells>
  <phoneticPr fontId="2" type="noConversion"/>
  <pageMargins left="0.7" right="0.7" top="0.75" bottom="0.75" header="0.3" footer="0.3"/>
  <pageSetup paperSize="9" scale="7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C050-3DCB-44ED-83E4-37D449F8FDB7}">
  <sheetPr codeName="Sheet8"/>
  <dimension ref="A1:AE29"/>
  <sheetViews>
    <sheetView showGridLines="0" zoomScale="85" zoomScaleNormal="85" workbookViewId="0">
      <selection sqref="A1:P2"/>
    </sheetView>
  </sheetViews>
  <sheetFormatPr defaultColWidth="9" defaultRowHeight="13.5" outlineLevelRow="1" outlineLevelCol="1" x14ac:dyDescent="0.3"/>
  <cols>
    <col min="1" max="1" width="3" style="59" customWidth="1"/>
    <col min="2" max="2" width="9" style="59"/>
    <col min="3" max="3" width="12.625" style="59" customWidth="1"/>
    <col min="4" max="9" width="10.625" style="59" hidden="1" customWidth="1" outlineLevel="1"/>
    <col min="10" max="10" width="10.625" style="59" customWidth="1" collapsed="1"/>
    <col min="11" max="17" width="10.625" style="59" customWidth="1"/>
    <col min="18" max="18" width="8.75" style="59" hidden="1" customWidth="1" outlineLevel="1"/>
    <col min="19" max="19" width="10.5" style="131" hidden="1" customWidth="1" outlineLevel="1"/>
    <col min="20" max="22" width="9.25" style="132" hidden="1" customWidth="1" outlineLevel="1"/>
    <col min="23" max="23" width="8.75" style="132" hidden="1" customWidth="1" outlineLevel="1"/>
    <col min="24" max="25" width="8.75" style="59" hidden="1" customWidth="1" outlineLevel="1"/>
    <col min="26" max="26" width="9.25" style="59" hidden="1" customWidth="1" outlineLevel="1"/>
    <col min="27" max="30" width="8.75" style="59" hidden="1" customWidth="1" outlineLevel="1"/>
    <col min="31" max="31" width="9" style="59" collapsed="1"/>
    <col min="32" max="16384" width="9" style="59"/>
  </cols>
  <sheetData>
    <row r="1" spans="1:30" ht="25.35" customHeight="1" x14ac:dyDescent="0.3">
      <c r="A1" s="1140" t="s">
        <v>728</v>
      </c>
      <c r="B1" s="1140"/>
      <c r="C1" s="1140"/>
      <c r="D1" s="1140"/>
      <c r="E1" s="1140"/>
      <c r="F1" s="1140"/>
      <c r="G1" s="1140"/>
      <c r="H1" s="1140"/>
      <c r="I1" s="1140"/>
      <c r="J1" s="1140"/>
      <c r="K1" s="1140"/>
      <c r="L1" s="1140"/>
      <c r="M1" s="1140"/>
      <c r="N1" s="1140"/>
      <c r="O1" s="1140"/>
      <c r="P1" s="1140"/>
      <c r="R1" s="61"/>
      <c r="S1" s="136"/>
      <c r="T1" s="137"/>
      <c r="U1" s="137"/>
      <c r="V1" s="137"/>
      <c r="W1" s="137"/>
      <c r="X1" s="61"/>
      <c r="Y1" s="61"/>
      <c r="Z1" s="61"/>
      <c r="AA1" s="61"/>
      <c r="AB1" s="61"/>
      <c r="AC1" s="61"/>
      <c r="AD1" s="61"/>
    </row>
    <row r="2" spans="1:30" ht="25.35" customHeight="1" x14ac:dyDescent="0.3">
      <c r="A2" s="1140"/>
      <c r="B2" s="1140"/>
      <c r="C2" s="1140"/>
      <c r="D2" s="1140"/>
      <c r="E2" s="1140"/>
      <c r="F2" s="1140"/>
      <c r="G2" s="1140"/>
      <c r="H2" s="1140"/>
      <c r="I2" s="1140"/>
      <c r="J2" s="1140"/>
      <c r="K2" s="1140"/>
      <c r="L2" s="1140"/>
      <c r="M2" s="1140"/>
      <c r="N2" s="1140"/>
      <c r="O2" s="1140"/>
      <c r="P2" s="1140"/>
      <c r="R2" s="61"/>
      <c r="S2" s="136"/>
      <c r="T2" s="137"/>
      <c r="U2" s="137"/>
      <c r="V2" s="137"/>
      <c r="W2" s="137"/>
      <c r="X2" s="61"/>
      <c r="Y2" s="61"/>
      <c r="Z2" s="61"/>
      <c r="AA2" s="61"/>
      <c r="AB2" s="61"/>
      <c r="AC2" s="61"/>
      <c r="AD2" s="61"/>
    </row>
    <row r="3" spans="1:30" ht="25.35" customHeight="1" x14ac:dyDescent="0.3">
      <c r="A3" s="69"/>
      <c r="D3" s="61"/>
      <c r="E3" s="61"/>
      <c r="F3" s="61"/>
      <c r="G3" s="61"/>
      <c r="H3" s="227"/>
      <c r="I3" s="227"/>
      <c r="K3" s="68"/>
      <c r="L3" s="68"/>
      <c r="M3" s="68"/>
      <c r="N3" s="68"/>
      <c r="O3" s="68"/>
      <c r="P3" s="792" t="s">
        <v>429</v>
      </c>
      <c r="R3" s="438"/>
      <c r="S3" s="452"/>
      <c r="T3" s="453"/>
      <c r="U3" s="453"/>
      <c r="V3" s="453"/>
      <c r="W3" s="453"/>
      <c r="X3" s="438"/>
      <c r="Y3" s="438"/>
      <c r="Z3" s="438"/>
      <c r="AA3" s="438"/>
      <c r="AB3" s="438"/>
      <c r="AC3" s="438"/>
      <c r="AD3" s="438"/>
    </row>
    <row r="4" spans="1:30" ht="25.35" customHeight="1" x14ac:dyDescent="0.3">
      <c r="A4" s="133" t="s">
        <v>386</v>
      </c>
      <c r="B4" s="134"/>
      <c r="C4" s="135"/>
      <c r="D4" s="107" t="s">
        <v>434</v>
      </c>
      <c r="E4" s="107" t="s">
        <v>387</v>
      </c>
      <c r="F4" s="107" t="s">
        <v>360</v>
      </c>
      <c r="G4" s="107" t="s">
        <v>361</v>
      </c>
      <c r="H4" s="107" t="s">
        <v>362</v>
      </c>
      <c r="I4" s="107" t="s">
        <v>363</v>
      </c>
      <c r="J4" s="107" t="s">
        <v>398</v>
      </c>
      <c r="K4" s="107" t="s">
        <v>426</v>
      </c>
      <c r="L4" s="107" t="s">
        <v>427</v>
      </c>
      <c r="M4" s="107" t="s">
        <v>430</v>
      </c>
      <c r="N4" s="107" t="s">
        <v>431</v>
      </c>
      <c r="O4" s="107" t="s">
        <v>432</v>
      </c>
      <c r="P4" s="107" t="s">
        <v>433</v>
      </c>
      <c r="R4" s="107"/>
      <c r="S4" s="107"/>
      <c r="T4" s="107"/>
      <c r="U4" s="107"/>
      <c r="V4" s="107" t="s">
        <v>362</v>
      </c>
      <c r="W4" s="107" t="s">
        <v>363</v>
      </c>
      <c r="X4" s="107" t="s">
        <v>398</v>
      </c>
      <c r="Y4" s="107" t="s">
        <v>426</v>
      </c>
      <c r="Z4" s="107" t="s">
        <v>427</v>
      </c>
      <c r="AA4" s="107" t="s">
        <v>430</v>
      </c>
      <c r="AB4" s="107" t="s">
        <v>431</v>
      </c>
      <c r="AC4" s="107" t="s">
        <v>432</v>
      </c>
      <c r="AD4" s="107" t="s">
        <v>433</v>
      </c>
    </row>
    <row r="5" spans="1:30" ht="25.35" customHeight="1" x14ac:dyDescent="0.3">
      <c r="A5" s="138" t="s">
        <v>388</v>
      </c>
      <c r="B5" s="139"/>
      <c r="C5" s="140"/>
      <c r="D5" s="141">
        <f>SUM(D6:D10)</f>
        <v>180447.14002699996</v>
      </c>
      <c r="E5" s="141">
        <f t="shared" ref="E5:P5" si="0">SUM(E6:E10)</f>
        <v>325880.13921299903</v>
      </c>
      <c r="F5" s="141">
        <f t="shared" si="0"/>
        <v>336643.10270652187</v>
      </c>
      <c r="G5" s="141">
        <f t="shared" si="0"/>
        <v>463272.06426159356</v>
      </c>
      <c r="H5" s="141">
        <f t="shared" si="0"/>
        <v>186504.53431739146</v>
      </c>
      <c r="I5" s="141">
        <f t="shared" si="0"/>
        <v>730174.35266662925</v>
      </c>
      <c r="J5" s="141">
        <f t="shared" si="0"/>
        <v>661241.91458644846</v>
      </c>
      <c r="K5" s="141">
        <f t="shared" si="0"/>
        <v>722499.63395244197</v>
      </c>
      <c r="L5" s="141">
        <f t="shared" si="0"/>
        <v>714907.60798731796</v>
      </c>
      <c r="M5" s="141">
        <f t="shared" si="0"/>
        <v>731692.87310294423</v>
      </c>
      <c r="N5" s="141">
        <f t="shared" si="0"/>
        <v>751476.17951754469</v>
      </c>
      <c r="O5" s="141">
        <f t="shared" si="0"/>
        <v>764907.3608205464</v>
      </c>
      <c r="P5" s="141">
        <f t="shared" si="0"/>
        <v>785329.20035169646</v>
      </c>
      <c r="R5" s="131"/>
      <c r="T5" s="131"/>
      <c r="U5" s="131"/>
      <c r="V5" s="131"/>
      <c r="W5" s="131"/>
      <c r="X5" s="131"/>
    </row>
    <row r="6" spans="1:30" ht="25.35" customHeight="1" x14ac:dyDescent="0.3">
      <c r="A6" s="142"/>
      <c r="B6" s="142" t="s">
        <v>389</v>
      </c>
      <c r="C6" s="143"/>
      <c r="D6" s="141">
        <f>R6</f>
        <v>128898</v>
      </c>
      <c r="E6" s="141">
        <f t="shared" ref="E6:P8" si="1">S6</f>
        <v>932196.84368299926</v>
      </c>
      <c r="F6" s="141">
        <f t="shared" si="1"/>
        <v>61513.872588999904</v>
      </c>
      <c r="G6" s="141">
        <f t="shared" si="1"/>
        <v>-24548.241422406485</v>
      </c>
      <c r="H6" s="141">
        <f t="shared" si="1"/>
        <v>-60803.714723608457</v>
      </c>
      <c r="I6" s="141">
        <f t="shared" si="1"/>
        <v>84116.777609629265</v>
      </c>
      <c r="J6" s="141">
        <f t="shared" si="1"/>
        <v>143282.28240457951</v>
      </c>
      <c r="K6" s="141">
        <f t="shared" si="1"/>
        <v>170841.2243578631</v>
      </c>
      <c r="L6" s="141">
        <f t="shared" si="1"/>
        <v>169883.69918806502</v>
      </c>
      <c r="M6" s="141">
        <f t="shared" si="1"/>
        <v>170937.59436202186</v>
      </c>
      <c r="N6" s="141">
        <f t="shared" si="1"/>
        <v>183016.07449946646</v>
      </c>
      <c r="O6" s="141">
        <f t="shared" si="1"/>
        <v>188603.29870141856</v>
      </c>
      <c r="P6" s="141">
        <f t="shared" si="1"/>
        <v>197161.84304321016</v>
      </c>
      <c r="R6" s="131">
        <f>'7-1. FS'!AB91</f>
        <v>128898</v>
      </c>
      <c r="S6" s="131">
        <f>'7-1. FS'!AC91</f>
        <v>932196.84368299926</v>
      </c>
      <c r="T6" s="131">
        <f>'7-1. FS'!AD91</f>
        <v>61513.872588999904</v>
      </c>
      <c r="U6" s="131">
        <f>'7-1. FS'!AE91</f>
        <v>-24548.241422406485</v>
      </c>
      <c r="V6" s="131">
        <f>'7-1. FS'!AF91</f>
        <v>-60803.714723608457</v>
      </c>
      <c r="W6" s="131">
        <f>'7-1. FS'!AG91</f>
        <v>84116.777609629265</v>
      </c>
      <c r="X6" s="131">
        <f>'7-1. FS'!AH91</f>
        <v>143282.28240457951</v>
      </c>
      <c r="Y6" s="131">
        <f>'7-1. FS'!AI91</f>
        <v>170841.2243578631</v>
      </c>
      <c r="Z6" s="131">
        <f>'7-1. FS'!AJ91</f>
        <v>169883.69918806502</v>
      </c>
      <c r="AA6" s="131">
        <f>'7-1. FS'!AK91</f>
        <v>170937.59436202186</v>
      </c>
      <c r="AB6" s="131">
        <f>'7-1. FS'!AL91</f>
        <v>183016.07449946646</v>
      </c>
      <c r="AC6" s="131">
        <f>'7-1. FS'!AM91</f>
        <v>188603.29870141856</v>
      </c>
      <c r="AD6" s="131">
        <f>'7-1. FS'!AN91</f>
        <v>197161.84304321016</v>
      </c>
    </row>
    <row r="7" spans="1:30" ht="25.35" customHeight="1" x14ac:dyDescent="0.3">
      <c r="A7" s="142"/>
      <c r="B7" s="142" t="s">
        <v>390</v>
      </c>
      <c r="C7" s="143"/>
      <c r="D7" s="141">
        <f>R7</f>
        <v>15719</v>
      </c>
      <c r="E7" s="141">
        <f t="shared" si="1"/>
        <v>500554.30939299997</v>
      </c>
      <c r="F7" s="141">
        <f t="shared" si="1"/>
        <v>488689.35913200001</v>
      </c>
      <c r="G7" s="141">
        <f t="shared" si="1"/>
        <v>490293.24103500007</v>
      </c>
      <c r="H7" s="141">
        <f t="shared" si="1"/>
        <v>540414.26372100005</v>
      </c>
      <c r="I7" s="141">
        <f t="shared" si="1"/>
        <v>571640.22191199998</v>
      </c>
      <c r="J7" s="141">
        <f t="shared" si="1"/>
        <v>561080.80139070156</v>
      </c>
      <c r="K7" s="141">
        <f t="shared" si="1"/>
        <v>567431.15268639347</v>
      </c>
      <c r="L7" s="141">
        <f t="shared" si="1"/>
        <v>573642.49558153714</v>
      </c>
      <c r="M7" s="141">
        <f t="shared" si="1"/>
        <v>583822.4177570414</v>
      </c>
      <c r="N7" s="141">
        <f t="shared" si="1"/>
        <v>594378.37150432821</v>
      </c>
      <c r="O7" s="141">
        <f t="shared" si="1"/>
        <v>605988.08991542505</v>
      </c>
      <c r="P7" s="141">
        <f t="shared" si="1"/>
        <v>618023.42795571149</v>
      </c>
      <c r="R7" s="131">
        <f>'7-1. FS'!AB93</f>
        <v>15719</v>
      </c>
      <c r="S7" s="131">
        <f>'7-1. FS'!AC93</f>
        <v>500554.30939299997</v>
      </c>
      <c r="T7" s="131">
        <f>'7-1. FS'!AD93</f>
        <v>488689.35913200001</v>
      </c>
      <c r="U7" s="131">
        <f>'7-1. FS'!AE93</f>
        <v>490293.24103500007</v>
      </c>
      <c r="V7" s="131">
        <f>'7-1. FS'!AF93</f>
        <v>540414.26372100005</v>
      </c>
      <c r="W7" s="131">
        <f>'7-1. FS'!AG93</f>
        <v>571640.22191199998</v>
      </c>
      <c r="X7" s="131">
        <f>'7-1. FS'!AH93</f>
        <v>561080.80139070156</v>
      </c>
      <c r="Y7" s="131">
        <f>'7-1. FS'!AI93</f>
        <v>567431.15268639347</v>
      </c>
      <c r="Z7" s="131">
        <f>'7-1. FS'!AJ93</f>
        <v>573642.49558153714</v>
      </c>
      <c r="AA7" s="131">
        <f>'7-1. FS'!AK93</f>
        <v>583822.4177570414</v>
      </c>
      <c r="AB7" s="131">
        <f>'7-1. FS'!AL93</f>
        <v>594378.37150432821</v>
      </c>
      <c r="AC7" s="131">
        <f>'7-1. FS'!AM93</f>
        <v>605988.08991542505</v>
      </c>
      <c r="AD7" s="131">
        <f>'7-1. FS'!AN93</f>
        <v>618023.42795571149</v>
      </c>
    </row>
    <row r="8" spans="1:30" ht="25.35" customHeight="1" x14ac:dyDescent="0.3">
      <c r="A8" s="142"/>
      <c r="B8" s="142" t="s">
        <v>391</v>
      </c>
      <c r="C8" s="143"/>
      <c r="D8" s="141">
        <f>R8</f>
        <v>35830.140026999965</v>
      </c>
      <c r="E8" s="141">
        <f t="shared" si="1"/>
        <v>-1124443.9665600001</v>
      </c>
      <c r="F8" s="141">
        <f t="shared" si="1"/>
        <v>-213560.12901447804</v>
      </c>
      <c r="G8" s="141">
        <f t="shared" si="1"/>
        <v>-2472.9353509999928</v>
      </c>
      <c r="H8" s="141">
        <f t="shared" si="1"/>
        <v>-293106.01468000014</v>
      </c>
      <c r="I8" s="141">
        <f t="shared" si="1"/>
        <v>74417.353145000088</v>
      </c>
      <c r="J8" s="141">
        <f t="shared" si="1"/>
        <v>-43121.169208832711</v>
      </c>
      <c r="K8" s="141">
        <f t="shared" si="1"/>
        <v>-15772.743091814542</v>
      </c>
      <c r="L8" s="141">
        <f t="shared" si="1"/>
        <v>-28618.586782284197</v>
      </c>
      <c r="M8" s="141">
        <f t="shared" si="1"/>
        <v>-23067.139016119072</v>
      </c>
      <c r="N8" s="141">
        <f t="shared" si="1"/>
        <v>-25918.26648624994</v>
      </c>
      <c r="O8" s="141">
        <f t="shared" si="1"/>
        <v>-29684.027796297163</v>
      </c>
      <c r="P8" s="141">
        <f t="shared" si="1"/>
        <v>-29856.070647225239</v>
      </c>
      <c r="R8" s="131">
        <f>'7-1. FS'!AB94+'7-1. FS'!AB95-'7-1. FS'!AB96+'7-1. FS'!AB99</f>
        <v>35830.140026999965</v>
      </c>
      <c r="S8" s="131">
        <f>'7-1. FS'!AC94+'7-1. FS'!AC95-'7-1. FS'!AC96+'7-1. FS'!AC99</f>
        <v>-1124443.9665600001</v>
      </c>
      <c r="T8" s="131">
        <f>'7-1. FS'!AD94+'7-1. FS'!AD95-'7-1. FS'!AD96+'7-1. FS'!AD99</f>
        <v>-213560.12901447804</v>
      </c>
      <c r="U8" s="131">
        <f>'7-1. FS'!AE94+'7-1. FS'!AE95-'7-1. FS'!AE96+'7-1. FS'!AE99</f>
        <v>-2472.9353509999928</v>
      </c>
      <c r="V8" s="131">
        <f>'7-1. FS'!AF94+'7-1. FS'!AF95-'7-1. FS'!AF96+'7-1. FS'!AF99</f>
        <v>-293106.01468000014</v>
      </c>
      <c r="W8" s="131">
        <f>'7-1. FS'!AG94+'7-1. FS'!AG95-'7-1. FS'!AG96+'7-1. FS'!AG99</f>
        <v>74417.353145000088</v>
      </c>
      <c r="X8" s="131">
        <f>'7-1. FS'!AH94+'7-1. FS'!AH95-'7-1. FS'!AH96+'7-1. FS'!AH99</f>
        <v>-43121.169208832711</v>
      </c>
      <c r="Y8" s="131">
        <f>'7-1. FS'!AI94+'7-1. FS'!AI95-'7-1. FS'!AI96+'7-1. FS'!AI99</f>
        <v>-15772.743091814542</v>
      </c>
      <c r="Z8" s="131">
        <f>'7-1. FS'!AJ94+'7-1. FS'!AJ95-'7-1. FS'!AJ96+'7-1. FS'!AJ99</f>
        <v>-28618.586782284197</v>
      </c>
      <c r="AA8" s="131">
        <f>'7-1. FS'!AK94+'7-1. FS'!AK95-'7-1. FS'!AK96+'7-1. FS'!AK99</f>
        <v>-23067.139016119072</v>
      </c>
      <c r="AB8" s="131">
        <f>'7-1. FS'!AL94+'7-1. FS'!AL95-'7-1. FS'!AL96+'7-1. FS'!AL99</f>
        <v>-25918.26648624994</v>
      </c>
      <c r="AC8" s="131">
        <f>'7-1. FS'!AM94+'7-1. FS'!AM95-'7-1. FS'!AM96+'7-1. FS'!AM99</f>
        <v>-29684.027796297163</v>
      </c>
      <c r="AD8" s="131">
        <f>'7-1. FS'!AN94+'7-1. FS'!AN95-'7-1. FS'!AN96+'7-1. FS'!AN99</f>
        <v>-29856.070647225239</v>
      </c>
    </row>
    <row r="9" spans="1:30" ht="25.35" hidden="1" customHeight="1" outlineLevel="1" x14ac:dyDescent="0.3">
      <c r="A9" s="142"/>
      <c r="B9" s="142" t="s">
        <v>729</v>
      </c>
      <c r="C9" s="143"/>
      <c r="D9" s="141">
        <f>'3. 자금조달운영계획'!C8</f>
        <v>0</v>
      </c>
      <c r="E9" s="141">
        <f>'3. 자금조달운영계획'!D8</f>
        <v>17572.952697000001</v>
      </c>
      <c r="F9" s="141">
        <f>'3. 자금조달운영계획'!E8</f>
        <v>0</v>
      </c>
      <c r="G9" s="141">
        <f>'3. 자금조달운영계획'!F8</f>
        <v>0</v>
      </c>
      <c r="H9" s="141">
        <f>'3. 자금조달운영계획'!G8</f>
        <v>0</v>
      </c>
      <c r="I9" s="141">
        <f>'3. 자금조달운영계획'!H8</f>
        <v>0</v>
      </c>
      <c r="J9" s="141">
        <f>'3. 자금조달운영계획'!I8</f>
        <v>0</v>
      </c>
      <c r="K9" s="141">
        <f>'3. 자금조달운영계획'!J8</f>
        <v>0</v>
      </c>
      <c r="L9" s="141">
        <f>'3. 자금조달운영계획'!K8</f>
        <v>0</v>
      </c>
      <c r="M9" s="141">
        <f>'3. 자금조달운영계획'!L8</f>
        <v>0</v>
      </c>
      <c r="N9" s="141">
        <f>'3. 자금조달운영계획'!M8</f>
        <v>0</v>
      </c>
      <c r="O9" s="141">
        <f>'3. 자금조달운영계획'!N8</f>
        <v>0</v>
      </c>
      <c r="P9" s="141">
        <f>'3. 자금조달운영계획'!O8</f>
        <v>0</v>
      </c>
      <c r="R9" s="131"/>
      <c r="T9" s="131"/>
      <c r="U9" s="131"/>
      <c r="V9" s="131"/>
      <c r="W9" s="131"/>
      <c r="X9" s="131"/>
    </row>
    <row r="10" spans="1:30" ht="25.35" hidden="1" customHeight="1" outlineLevel="1" x14ac:dyDescent="0.3">
      <c r="A10" s="144"/>
      <c r="B10" s="144"/>
      <c r="C10" s="145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R10" s="131"/>
      <c r="T10" s="131"/>
      <c r="U10" s="131"/>
      <c r="V10" s="131"/>
      <c r="W10" s="131"/>
      <c r="X10" s="131"/>
    </row>
    <row r="11" spans="1:30" ht="25.35" customHeight="1" collapsed="1" x14ac:dyDescent="0.3">
      <c r="A11" s="1141" t="s">
        <v>392</v>
      </c>
      <c r="B11" s="1142"/>
      <c r="C11" s="1143"/>
      <c r="D11" s="141">
        <f>SUM(D12:D15)</f>
        <v>277332.09475199995</v>
      </c>
      <c r="E11" s="141">
        <f t="shared" ref="E11:P11" si="2">SUM(E12:E15)</f>
        <v>218282.69020799838</v>
      </c>
      <c r="F11" s="141">
        <f t="shared" si="2"/>
        <v>43679.164327000413</v>
      </c>
      <c r="G11" s="141">
        <f t="shared" si="2"/>
        <v>409491.9137330032</v>
      </c>
      <c r="H11" s="141">
        <f t="shared" si="2"/>
        <v>530586.71329200082</v>
      </c>
      <c r="I11" s="141">
        <f t="shared" si="2"/>
        <v>516560.41157361062</v>
      </c>
      <c r="J11" s="141">
        <f t="shared" si="2"/>
        <v>805195.38094857801</v>
      </c>
      <c r="K11" s="141">
        <f t="shared" si="2"/>
        <v>685279.79489729344</v>
      </c>
      <c r="L11" s="141">
        <f t="shared" si="2"/>
        <v>675826.77697941137</v>
      </c>
      <c r="M11" s="141">
        <f t="shared" si="2"/>
        <v>714757.84633285215</v>
      </c>
      <c r="N11" s="141">
        <f t="shared" si="2"/>
        <v>732847.65007044259</v>
      </c>
      <c r="O11" s="141">
        <f t="shared" si="2"/>
        <v>744415.97842873423</v>
      </c>
      <c r="P11" s="141">
        <f t="shared" si="2"/>
        <v>762788.67972070258</v>
      </c>
      <c r="R11" s="131"/>
      <c r="T11" s="131"/>
      <c r="U11" s="131"/>
      <c r="V11" s="131"/>
      <c r="W11" s="131"/>
      <c r="X11" s="131"/>
    </row>
    <row r="12" spans="1:30" ht="25.35" customHeight="1" x14ac:dyDescent="0.25">
      <c r="A12" s="146"/>
      <c r="B12" s="885" t="s">
        <v>730</v>
      </c>
      <c r="C12" s="886"/>
      <c r="D12" s="887">
        <f>R12</f>
        <v>0</v>
      </c>
      <c r="E12" s="887">
        <f t="shared" ref="E12:P14" si="3">S12</f>
        <v>-1037839.4903330001</v>
      </c>
      <c r="F12" s="887">
        <f t="shared" si="3"/>
        <v>-332220.0942609997</v>
      </c>
      <c r="G12" s="887">
        <f t="shared" si="3"/>
        <v>-112766.17157100025</v>
      </c>
      <c r="H12" s="887">
        <f t="shared" si="3"/>
        <v>136571.84620000119</v>
      </c>
      <c r="I12" s="887">
        <f t="shared" si="3"/>
        <v>225515.70793960779</v>
      </c>
      <c r="J12" s="887">
        <f t="shared" si="3"/>
        <v>79961.758974388707</v>
      </c>
      <c r="K12" s="887">
        <f t="shared" si="3"/>
        <v>86036.21051067207</v>
      </c>
      <c r="L12" s="887">
        <f t="shared" si="3"/>
        <v>72147.909791668644</v>
      </c>
      <c r="M12" s="887">
        <f t="shared" si="3"/>
        <v>70165.033201713813</v>
      </c>
      <c r="N12" s="887">
        <f t="shared" si="3"/>
        <v>68938.55637128884</v>
      </c>
      <c r="O12" s="887">
        <f t="shared" si="3"/>
        <v>69528.044022377813</v>
      </c>
      <c r="P12" s="887">
        <f t="shared" si="3"/>
        <v>69399.945147542283</v>
      </c>
      <c r="R12" s="131">
        <f>-'7-1. FS'!AB121-'7-1. FS'!AB122</f>
        <v>0</v>
      </c>
      <c r="S12" s="131">
        <f>-'7-1. FS'!AC121-'7-1. FS'!AC122</f>
        <v>-1037839.4903330001</v>
      </c>
      <c r="T12" s="131">
        <f>-'7-1. FS'!AD121-'7-1. FS'!AD122</f>
        <v>-332220.0942609997</v>
      </c>
      <c r="U12" s="131">
        <f>-'7-1. FS'!AE121-'7-1. FS'!AE122</f>
        <v>-112766.17157100025</v>
      </c>
      <c r="V12" s="131">
        <f>-'7-1. FS'!AF121-'7-1. FS'!AF122</f>
        <v>136571.84620000119</v>
      </c>
      <c r="W12" s="131">
        <f>-'7-1. FS'!AG121-'7-1. FS'!AG122</f>
        <v>225515.70793960779</v>
      </c>
      <c r="X12" s="131">
        <f>-'7-1. FS'!AH121-'7-1. FS'!AH122</f>
        <v>79961.758974388707</v>
      </c>
      <c r="Y12" s="131">
        <f>-'7-1. FS'!AI121-'7-1. FS'!AI122</f>
        <v>86036.21051067207</v>
      </c>
      <c r="Z12" s="131">
        <f>-'7-1. FS'!AJ121-'7-1. FS'!AJ122</f>
        <v>72147.909791668644</v>
      </c>
      <c r="AA12" s="131">
        <f>-'7-1. FS'!AK121-'7-1. FS'!AK122</f>
        <v>70165.033201713813</v>
      </c>
      <c r="AB12" s="131">
        <f>-'7-1. FS'!AL121-'7-1. FS'!AL122</f>
        <v>68938.55637128884</v>
      </c>
      <c r="AC12" s="131">
        <f>-'7-1. FS'!AM121-'7-1. FS'!AM122</f>
        <v>69528.044022377813</v>
      </c>
      <c r="AD12" s="131">
        <f>-'7-1. FS'!AN121-'7-1. FS'!AN122</f>
        <v>69399.945147542283</v>
      </c>
    </row>
    <row r="13" spans="1:30" ht="25.35" customHeight="1" x14ac:dyDescent="0.3">
      <c r="A13" s="142"/>
      <c r="B13" s="219" t="s">
        <v>393</v>
      </c>
      <c r="C13" s="219"/>
      <c r="D13" s="141">
        <f>R13</f>
        <v>38788</v>
      </c>
      <c r="E13" s="141">
        <f t="shared" si="3"/>
        <v>119981</v>
      </c>
      <c r="F13" s="141">
        <f t="shared" si="3"/>
        <v>122616.03</v>
      </c>
      <c r="G13" s="141">
        <f t="shared" si="3"/>
        <v>43937.410750000003</v>
      </c>
      <c r="H13" s="141">
        <f t="shared" si="3"/>
        <v>51719.127999999997</v>
      </c>
      <c r="I13" s="141">
        <f t="shared" si="3"/>
        <v>41782.794999999998</v>
      </c>
      <c r="J13" s="141">
        <f t="shared" si="3"/>
        <v>33647</v>
      </c>
      <c r="K13" s="141">
        <f t="shared" si="3"/>
        <v>57313</v>
      </c>
      <c r="L13" s="141">
        <f t="shared" si="3"/>
        <v>68336</v>
      </c>
      <c r="M13" s="141">
        <f t="shared" si="3"/>
        <v>67953</v>
      </c>
      <c r="N13" s="141">
        <f t="shared" si="3"/>
        <v>68375</v>
      </c>
      <c r="O13" s="141">
        <f t="shared" si="3"/>
        <v>73206</v>
      </c>
      <c r="P13" s="141">
        <f t="shared" si="3"/>
        <v>75441</v>
      </c>
      <c r="R13" s="131">
        <f>-'7-1. FS'!AB123</f>
        <v>38788</v>
      </c>
      <c r="S13" s="131">
        <f>-'7-1. FS'!AC123</f>
        <v>119981</v>
      </c>
      <c r="T13" s="131">
        <f>-'7-1. FS'!AD123</f>
        <v>122616.03</v>
      </c>
      <c r="U13" s="131">
        <f>-'7-1. FS'!AE123</f>
        <v>43937.410750000003</v>
      </c>
      <c r="V13" s="131">
        <f>-'7-1. FS'!AF123</f>
        <v>51719.127999999997</v>
      </c>
      <c r="W13" s="131">
        <f>-'7-1. FS'!AG123</f>
        <v>41782.794999999998</v>
      </c>
      <c r="X13" s="131">
        <f>-'7-1. FS'!AH123</f>
        <v>33647</v>
      </c>
      <c r="Y13" s="131">
        <f>-'7-1. FS'!AI123</f>
        <v>57313</v>
      </c>
      <c r="Z13" s="131">
        <f>-'7-1. FS'!AJ123</f>
        <v>68336</v>
      </c>
      <c r="AA13" s="131">
        <f>-'7-1. FS'!AK123</f>
        <v>67953</v>
      </c>
      <c r="AB13" s="131">
        <f>-'7-1. FS'!AL123</f>
        <v>68375</v>
      </c>
      <c r="AC13" s="131">
        <f>-'7-1. FS'!AM123</f>
        <v>73206</v>
      </c>
      <c r="AD13" s="131">
        <f>-'7-1. FS'!AN123</f>
        <v>75441</v>
      </c>
    </row>
    <row r="14" spans="1:30" ht="25.35" customHeight="1" x14ac:dyDescent="0.3">
      <c r="A14" s="147"/>
      <c r="B14" s="885" t="s">
        <v>731</v>
      </c>
      <c r="C14" s="906"/>
      <c r="D14" s="887">
        <f>R14</f>
        <v>238544.09475199995</v>
      </c>
      <c r="E14" s="887">
        <f t="shared" si="3"/>
        <v>1136141.1805409985</v>
      </c>
      <c r="F14" s="887">
        <f t="shared" si="3"/>
        <v>253283.22858800011</v>
      </c>
      <c r="G14" s="887">
        <f t="shared" si="3"/>
        <v>478320.67455400346</v>
      </c>
      <c r="H14" s="887">
        <f t="shared" si="3"/>
        <v>342295.7390919996</v>
      </c>
      <c r="I14" s="887">
        <f t="shared" si="3"/>
        <v>249261.90863400287</v>
      </c>
      <c r="J14" s="887">
        <f t="shared" si="3"/>
        <v>691586.6219741893</v>
      </c>
      <c r="K14" s="887">
        <f t="shared" si="3"/>
        <v>541930.58438662137</v>
      </c>
      <c r="L14" s="887">
        <f t="shared" si="3"/>
        <v>535342.86718774273</v>
      </c>
      <c r="M14" s="887">
        <f t="shared" si="3"/>
        <v>576639.81313113833</v>
      </c>
      <c r="N14" s="887">
        <f t="shared" si="3"/>
        <v>595534.09369915375</v>
      </c>
      <c r="O14" s="887">
        <f t="shared" si="3"/>
        <v>601681.93440635642</v>
      </c>
      <c r="P14" s="887">
        <f t="shared" si="3"/>
        <v>617947.7345731603</v>
      </c>
      <c r="R14" s="131">
        <f>-'7-1. FS'!AB110-'7-1. FS'!AB111-'7-1. FS'!AB117</f>
        <v>238544.09475199995</v>
      </c>
      <c r="S14" s="131">
        <f>-'7-1. FS'!AC110-'7-1. FS'!AC111-'7-1. FS'!AC117</f>
        <v>1136141.1805409985</v>
      </c>
      <c r="T14" s="131">
        <f>-'7-1. FS'!AD110-'7-1. FS'!AD111-'7-1. FS'!AD117</f>
        <v>253283.22858800011</v>
      </c>
      <c r="U14" s="131">
        <f>-'7-1. FS'!AE110-'7-1. FS'!AE111-'7-1. FS'!AE117</f>
        <v>478320.67455400346</v>
      </c>
      <c r="V14" s="131">
        <f>-'7-1. FS'!AF110-'7-1. FS'!AF111-'7-1. FS'!AF117</f>
        <v>342295.7390919996</v>
      </c>
      <c r="W14" s="131">
        <f>-'7-1. FS'!AG110-'7-1. FS'!AG111-'7-1. FS'!AG117</f>
        <v>249261.90863400287</v>
      </c>
      <c r="X14" s="131">
        <f>-'7-1. FS'!AH110-'7-1. FS'!AH111-'7-1. FS'!AH117</f>
        <v>691586.6219741893</v>
      </c>
      <c r="Y14" s="131">
        <f>-'7-1. FS'!AI110-'7-1. FS'!AI111-'7-1. FS'!AI117</f>
        <v>541930.58438662137</v>
      </c>
      <c r="Z14" s="131">
        <f>-'7-1. FS'!AJ110-'7-1. FS'!AJ111-'7-1. FS'!AJ117</f>
        <v>535342.86718774273</v>
      </c>
      <c r="AA14" s="131">
        <f>-'7-1. FS'!AK110-'7-1. FS'!AK111-'7-1. FS'!AK117</f>
        <v>576639.81313113833</v>
      </c>
      <c r="AB14" s="131">
        <f>-'7-1. FS'!AL110-'7-1. FS'!AL111-'7-1. FS'!AL117</f>
        <v>595534.09369915375</v>
      </c>
      <c r="AC14" s="131">
        <f>-'7-1. FS'!AM110-'7-1. FS'!AM111-'7-1. FS'!AM117</f>
        <v>601681.93440635642</v>
      </c>
      <c r="AD14" s="131">
        <f>-'7-1. FS'!AN110-'7-1. FS'!AN111-'7-1. FS'!AN117</f>
        <v>617947.7345731603</v>
      </c>
    </row>
    <row r="15" spans="1:30" ht="25.35" hidden="1" customHeight="1" outlineLevel="1" x14ac:dyDescent="0.3">
      <c r="A15" s="217"/>
      <c r="B15" s="907" t="s">
        <v>732</v>
      </c>
      <c r="C15" s="908"/>
      <c r="D15" s="909">
        <f>SUM(D16:D17)</f>
        <v>0</v>
      </c>
      <c r="E15" s="909">
        <f t="shared" ref="E15:P15" si="4">SUM(E16:E17)</f>
        <v>0</v>
      </c>
      <c r="F15" s="909">
        <f t="shared" si="4"/>
        <v>0</v>
      </c>
      <c r="G15" s="909">
        <f t="shared" si="4"/>
        <v>0</v>
      </c>
      <c r="H15" s="909">
        <f t="shared" si="4"/>
        <v>0</v>
      </c>
      <c r="I15" s="909">
        <f t="shared" si="4"/>
        <v>0</v>
      </c>
      <c r="J15" s="909">
        <f t="shared" si="4"/>
        <v>0</v>
      </c>
      <c r="K15" s="909">
        <f t="shared" si="4"/>
        <v>0</v>
      </c>
      <c r="L15" s="909">
        <f t="shared" si="4"/>
        <v>0</v>
      </c>
      <c r="M15" s="909">
        <f t="shared" si="4"/>
        <v>0</v>
      </c>
      <c r="N15" s="909">
        <f t="shared" si="4"/>
        <v>0</v>
      </c>
      <c r="O15" s="909">
        <f t="shared" si="4"/>
        <v>0</v>
      </c>
      <c r="P15" s="909">
        <f t="shared" si="4"/>
        <v>0</v>
      </c>
      <c r="R15" s="131"/>
      <c r="T15" s="131"/>
      <c r="U15" s="131"/>
      <c r="V15" s="131"/>
      <c r="W15" s="131"/>
      <c r="X15" s="131"/>
    </row>
    <row r="16" spans="1:30" ht="25.35" hidden="1" customHeight="1" outlineLevel="1" x14ac:dyDescent="0.3">
      <c r="A16" s="217"/>
      <c r="B16" s="910"/>
      <c r="C16" s="910" t="s">
        <v>733</v>
      </c>
      <c r="D16" s="909">
        <f>R16</f>
        <v>0</v>
      </c>
      <c r="E16" s="909">
        <f t="shared" ref="E16:P16" si="5">S16</f>
        <v>0</v>
      </c>
      <c r="F16" s="909">
        <f t="shared" si="5"/>
        <v>0</v>
      </c>
      <c r="G16" s="909">
        <f t="shared" si="5"/>
        <v>0</v>
      </c>
      <c r="H16" s="909">
        <f t="shared" si="5"/>
        <v>0</v>
      </c>
      <c r="I16" s="909">
        <f t="shared" si="5"/>
        <v>0</v>
      </c>
      <c r="J16" s="909">
        <f t="shared" si="5"/>
        <v>0</v>
      </c>
      <c r="K16" s="909">
        <f t="shared" si="5"/>
        <v>0</v>
      </c>
      <c r="L16" s="909">
        <f t="shared" si="5"/>
        <v>0</v>
      </c>
      <c r="M16" s="909">
        <f t="shared" si="5"/>
        <v>0</v>
      </c>
      <c r="N16" s="909">
        <f t="shared" si="5"/>
        <v>0</v>
      </c>
      <c r="O16" s="909">
        <f t="shared" si="5"/>
        <v>0</v>
      </c>
      <c r="P16" s="909">
        <f t="shared" si="5"/>
        <v>0</v>
      </c>
      <c r="R16" s="131"/>
      <c r="T16" s="131"/>
      <c r="U16" s="131"/>
      <c r="V16" s="131"/>
      <c r="W16" s="131"/>
      <c r="X16" s="131"/>
    </row>
    <row r="17" spans="1:24" ht="25.35" hidden="1" customHeight="1" outlineLevel="1" x14ac:dyDescent="0.3">
      <c r="A17" s="218"/>
      <c r="B17" s="451"/>
      <c r="C17" s="451" t="s">
        <v>394</v>
      </c>
      <c r="D17" s="149">
        <f t="shared" ref="D17:P17" si="6">S17</f>
        <v>0</v>
      </c>
      <c r="E17" s="149">
        <f t="shared" si="6"/>
        <v>0</v>
      </c>
      <c r="F17" s="149">
        <f t="shared" si="6"/>
        <v>0</v>
      </c>
      <c r="G17" s="149">
        <f t="shared" si="6"/>
        <v>0</v>
      </c>
      <c r="H17" s="149">
        <f t="shared" si="6"/>
        <v>0</v>
      </c>
      <c r="I17" s="149">
        <f t="shared" si="6"/>
        <v>0</v>
      </c>
      <c r="J17" s="149">
        <f t="shared" si="6"/>
        <v>0</v>
      </c>
      <c r="K17" s="149">
        <f t="shared" si="6"/>
        <v>0</v>
      </c>
      <c r="L17" s="149">
        <f t="shared" si="6"/>
        <v>0</v>
      </c>
      <c r="M17" s="149">
        <f t="shared" si="6"/>
        <v>0</v>
      </c>
      <c r="N17" s="149">
        <f t="shared" si="6"/>
        <v>0</v>
      </c>
      <c r="O17" s="149">
        <f t="shared" si="6"/>
        <v>0</v>
      </c>
      <c r="P17" s="149">
        <f t="shared" si="6"/>
        <v>0</v>
      </c>
      <c r="R17" s="131"/>
      <c r="T17" s="131"/>
      <c r="U17" s="131"/>
      <c r="V17" s="131"/>
      <c r="W17" s="131"/>
      <c r="X17" s="131"/>
    </row>
    <row r="18" spans="1:24" ht="25.35" customHeight="1" collapsed="1" x14ac:dyDescent="0.3">
      <c r="A18" s="220" t="s">
        <v>395</v>
      </c>
      <c r="B18" s="220"/>
      <c r="C18" s="220"/>
      <c r="D18" s="141">
        <f>D5-D11</f>
        <v>-96884.954724999989</v>
      </c>
      <c r="E18" s="141">
        <f t="shared" ref="E18:P18" si="7">E5-E11</f>
        <v>107597.44900500064</v>
      </c>
      <c r="F18" s="141">
        <f t="shared" si="7"/>
        <v>292963.93837952148</v>
      </c>
      <c r="G18" s="141">
        <f t="shared" si="7"/>
        <v>53780.15052859037</v>
      </c>
      <c r="H18" s="141">
        <f t="shared" si="7"/>
        <v>-344082.17897460936</v>
      </c>
      <c r="I18" s="141">
        <f t="shared" si="7"/>
        <v>213613.94109301863</v>
      </c>
      <c r="J18" s="141">
        <f t="shared" si="7"/>
        <v>-143953.46636212955</v>
      </c>
      <c r="K18" s="141">
        <f t="shared" si="7"/>
        <v>37219.839055148535</v>
      </c>
      <c r="L18" s="141">
        <f t="shared" si="7"/>
        <v>39080.831007906585</v>
      </c>
      <c r="M18" s="141">
        <f t="shared" si="7"/>
        <v>16935.026770092081</v>
      </c>
      <c r="N18" s="141">
        <f t="shared" si="7"/>
        <v>18628.529447102104</v>
      </c>
      <c r="O18" s="141">
        <f t="shared" si="7"/>
        <v>20491.382391812163</v>
      </c>
      <c r="P18" s="141">
        <f t="shared" si="7"/>
        <v>22540.52063099388</v>
      </c>
      <c r="R18" s="131"/>
      <c r="T18" s="131"/>
      <c r="U18" s="131"/>
      <c r="V18" s="131"/>
      <c r="W18" s="131"/>
      <c r="X18" s="131"/>
    </row>
    <row r="19" spans="1:24" ht="25.35" customHeight="1" x14ac:dyDescent="0.3">
      <c r="A19" s="150" t="s">
        <v>396</v>
      </c>
      <c r="B19" s="151"/>
      <c r="C19" s="148"/>
      <c r="D19" s="141">
        <v>137582.95472499999</v>
      </c>
      <c r="E19" s="141">
        <f>D20</f>
        <v>40698</v>
      </c>
      <c r="F19" s="141">
        <f t="shared" ref="F19:P19" si="8">E20</f>
        <v>148295.44900500064</v>
      </c>
      <c r="G19" s="141">
        <f t="shared" si="8"/>
        <v>441259.38738452212</v>
      </c>
      <c r="H19" s="141">
        <v>374834.48511200002</v>
      </c>
      <c r="I19" s="141">
        <f t="shared" si="8"/>
        <v>30752.306137390668</v>
      </c>
      <c r="J19" s="141">
        <f t="shared" si="8"/>
        <v>244366.2472304093</v>
      </c>
      <c r="K19" s="141">
        <f t="shared" si="8"/>
        <v>100412.78086827975</v>
      </c>
      <c r="L19" s="141">
        <f t="shared" si="8"/>
        <v>137632.61992342828</v>
      </c>
      <c r="M19" s="141">
        <f t="shared" si="8"/>
        <v>176713.45093133487</v>
      </c>
      <c r="N19" s="141">
        <f t="shared" si="8"/>
        <v>193648.47770142695</v>
      </c>
      <c r="O19" s="141">
        <f t="shared" si="8"/>
        <v>212277.00714852905</v>
      </c>
      <c r="P19" s="141">
        <f t="shared" si="8"/>
        <v>232768.38954034122</v>
      </c>
      <c r="R19" s="131"/>
      <c r="T19" s="131"/>
      <c r="U19" s="131"/>
      <c r="V19" s="131"/>
      <c r="W19" s="131"/>
      <c r="X19" s="131"/>
    </row>
    <row r="20" spans="1:24" ht="25.35" customHeight="1" x14ac:dyDescent="0.3">
      <c r="A20" s="150" t="s">
        <v>397</v>
      </c>
      <c r="B20" s="151"/>
      <c r="C20" s="148"/>
      <c r="D20" s="141">
        <f>D18+D19</f>
        <v>40698</v>
      </c>
      <c r="E20" s="141">
        <f t="shared" ref="E20:P20" si="9">E18+E19</f>
        <v>148295.44900500064</v>
      </c>
      <c r="F20" s="141">
        <f t="shared" si="9"/>
        <v>441259.38738452212</v>
      </c>
      <c r="G20" s="141">
        <f t="shared" si="9"/>
        <v>495039.53791311249</v>
      </c>
      <c r="H20" s="141">
        <f t="shared" si="9"/>
        <v>30752.306137390668</v>
      </c>
      <c r="I20" s="141">
        <f t="shared" si="9"/>
        <v>244366.2472304093</v>
      </c>
      <c r="J20" s="141">
        <f t="shared" si="9"/>
        <v>100412.78086827975</v>
      </c>
      <c r="K20" s="141">
        <f t="shared" si="9"/>
        <v>137632.61992342828</v>
      </c>
      <c r="L20" s="141">
        <f t="shared" si="9"/>
        <v>176713.45093133487</v>
      </c>
      <c r="M20" s="141">
        <f t="shared" si="9"/>
        <v>193648.47770142695</v>
      </c>
      <c r="N20" s="141">
        <f t="shared" si="9"/>
        <v>212277.00714852905</v>
      </c>
      <c r="O20" s="141">
        <f t="shared" si="9"/>
        <v>232768.38954034122</v>
      </c>
      <c r="P20" s="141">
        <f t="shared" si="9"/>
        <v>255308.9101713351</v>
      </c>
      <c r="R20" s="131"/>
      <c r="T20" s="131"/>
      <c r="U20" s="131"/>
      <c r="V20" s="131"/>
      <c r="W20" s="131"/>
      <c r="X20" s="131"/>
    </row>
    <row r="21" spans="1:24" ht="25.35" customHeight="1" x14ac:dyDescent="0.3">
      <c r="A21" s="59" t="s">
        <v>875</v>
      </c>
      <c r="B21" s="228"/>
      <c r="C21" s="228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R21" s="131"/>
      <c r="T21" s="131"/>
      <c r="U21" s="131"/>
      <c r="V21" s="131"/>
      <c r="W21" s="131"/>
      <c r="X21" s="131"/>
    </row>
    <row r="22" spans="1:24" ht="25.35" customHeight="1" x14ac:dyDescent="0.3">
      <c r="A22" s="228"/>
      <c r="B22" s="228"/>
      <c r="C22" s="228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R22" s="131"/>
      <c r="T22" s="131"/>
      <c r="U22" s="131"/>
      <c r="V22" s="131"/>
      <c r="W22" s="131"/>
      <c r="X22" s="131"/>
    </row>
    <row r="23" spans="1:24" ht="25.35" customHeight="1" x14ac:dyDescent="0.3"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R23" s="131"/>
    </row>
    <row r="24" spans="1:24" ht="25.35" hidden="1" customHeight="1" outlineLevel="1" x14ac:dyDescent="0.3">
      <c r="D24" s="154">
        <f>'7-1. FS'!AB126</f>
        <v>40698</v>
      </c>
      <c r="E24" s="154">
        <f>'7-1. FS'!AC126</f>
        <v>148295.44900500064</v>
      </c>
      <c r="F24" s="154">
        <f>'7-1. FS'!AD126</f>
        <v>321054.4501235215</v>
      </c>
      <c r="G24" s="154">
        <f>'7-1. FS'!AE126</f>
        <v>374834.75370759028</v>
      </c>
      <c r="H24" s="154">
        <f>'7-1. FS'!AF126</f>
        <v>30752.571563390607</v>
      </c>
      <c r="I24" s="154">
        <f>'7-1. FS'!AG126</f>
        <v>244366.07894001857</v>
      </c>
      <c r="J24" s="154">
        <f>'7-1. FS'!AH126</f>
        <v>100412.53363787022</v>
      </c>
      <c r="K24" s="154">
        <f>'7-1. FS'!AI126</f>
        <v>137632.43669302051</v>
      </c>
      <c r="L24" s="154">
        <f>'7-1. FS'!AJ126</f>
        <v>176713.26770092724</v>
      </c>
      <c r="M24" s="154">
        <f>'7-1. FS'!AK126</f>
        <v>193648.29447101909</v>
      </c>
      <c r="N24" s="154">
        <f>'7-1. FS'!AL126</f>
        <v>212276.82391812195</v>
      </c>
      <c r="O24" s="154">
        <f>'7-1. FS'!AM126</f>
        <v>232768.20630993388</v>
      </c>
      <c r="P24" s="154">
        <f>'7-1. FS'!AN126</f>
        <v>255308.72694092779</v>
      </c>
      <c r="R24" s="131"/>
      <c r="T24" s="131"/>
      <c r="U24" s="131"/>
      <c r="V24" s="131"/>
      <c r="W24" s="131"/>
    </row>
    <row r="25" spans="1:24" ht="25.35" hidden="1" customHeight="1" outlineLevel="1" x14ac:dyDescent="0.3">
      <c r="D25" s="154">
        <f t="shared" ref="D25:P25" si="10">D20-D24</f>
        <v>0</v>
      </c>
      <c r="E25" s="154">
        <f t="shared" si="10"/>
        <v>0</v>
      </c>
      <c r="F25" s="154">
        <f t="shared" si="10"/>
        <v>120204.93726100062</v>
      </c>
      <c r="G25" s="154">
        <f t="shared" si="10"/>
        <v>120204.78420552221</v>
      </c>
      <c r="H25" s="154">
        <f t="shared" si="10"/>
        <v>-0.26542599993990734</v>
      </c>
      <c r="I25" s="154">
        <f t="shared" si="10"/>
        <v>0.16829039072035812</v>
      </c>
      <c r="J25" s="154">
        <f t="shared" si="10"/>
        <v>0.2472304095281288</v>
      </c>
      <c r="K25" s="154">
        <f t="shared" si="10"/>
        <v>0.18323040776886046</v>
      </c>
      <c r="L25" s="154">
        <f t="shared" si="10"/>
        <v>0.18323040762334131</v>
      </c>
      <c r="M25" s="154">
        <f t="shared" si="10"/>
        <v>0.18323040785617195</v>
      </c>
      <c r="N25" s="154">
        <f t="shared" si="10"/>
        <v>0.18323040709947236</v>
      </c>
      <c r="O25" s="154">
        <f t="shared" si="10"/>
        <v>0.183230407332303</v>
      </c>
      <c r="P25" s="154">
        <f t="shared" si="10"/>
        <v>0.18323040730319917</v>
      </c>
    </row>
    <row r="26" spans="1:24" ht="25.35" customHeight="1" collapsed="1" x14ac:dyDescent="0.3"/>
    <row r="27" spans="1:24" ht="25.35" customHeight="1" x14ac:dyDescent="0.3"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</row>
    <row r="29" spans="1:24" x14ac:dyDescent="0.3">
      <c r="H29" s="75"/>
    </row>
  </sheetData>
  <mergeCells count="2">
    <mergeCell ref="A11:C11"/>
    <mergeCell ref="A1:P2"/>
  </mergeCells>
  <phoneticPr fontId="2" type="noConversion"/>
  <pageMargins left="0.7" right="0.7" top="0.75" bottom="0.75" header="0.3" footer="0.3"/>
  <pageSetup paperSize="9" scale="81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1C45-C7B2-466E-8AE7-D539BC40AFCA}">
  <sheetPr codeName="Sheet9">
    <tabColor rgb="FFFF0000"/>
  </sheetPr>
  <dimension ref="A1"/>
  <sheetViews>
    <sheetView workbookViewId="0"/>
  </sheetViews>
  <sheetFormatPr defaultColWidth="9" defaultRowHeight="16.5" x14ac:dyDescent="0.3"/>
  <cols>
    <col min="1" max="16384" width="9" style="1"/>
  </cols>
  <sheetData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8F91-2CA2-416C-9734-8F9DFFDE157E}">
  <sheetPr codeName="Sheet10">
    <tabColor theme="0" tint="-0.499984740745262"/>
  </sheetPr>
  <dimension ref="A1:AO130"/>
  <sheetViews>
    <sheetView zoomScale="55" zoomScaleNormal="55" workbookViewId="0">
      <selection sqref="A1:AN1"/>
    </sheetView>
  </sheetViews>
  <sheetFormatPr defaultColWidth="9" defaultRowHeight="13.5" outlineLevelRow="1" outlineLevelCol="1" x14ac:dyDescent="0.3"/>
  <cols>
    <col min="1" max="1" width="26.875" style="122" customWidth="1"/>
    <col min="2" max="2" width="11.5" style="122" hidden="1" customWidth="1" outlineLevel="1"/>
    <col min="3" max="3" width="11.5" style="122" customWidth="1" collapsed="1"/>
    <col min="4" max="14" width="11.5" style="122" customWidth="1"/>
    <col min="15" max="15" width="11.5" style="122" hidden="1" customWidth="1" outlineLevel="1"/>
    <col min="16" max="16" width="11.5" style="122" customWidth="1" collapsed="1"/>
    <col min="17" max="27" width="11.5" style="122" customWidth="1"/>
    <col min="28" max="28" width="11.5" style="122" hidden="1" customWidth="1" outlineLevel="1"/>
    <col min="29" max="29" width="11.5" style="122" customWidth="1" collapsed="1"/>
    <col min="30" max="41" width="11.5" style="122" customWidth="1"/>
    <col min="42" max="16384" width="9" style="122"/>
  </cols>
  <sheetData>
    <row r="1" spans="1:40" ht="43.15" customHeight="1" x14ac:dyDescent="0.3">
      <c r="A1" s="1150" t="s">
        <v>439</v>
      </c>
      <c r="B1" s="1151"/>
      <c r="C1" s="1151"/>
      <c r="D1" s="1151"/>
      <c r="E1" s="1151"/>
      <c r="F1" s="1151"/>
      <c r="G1" s="1151"/>
      <c r="H1" s="1151"/>
      <c r="I1" s="1151"/>
      <c r="J1" s="1151"/>
      <c r="K1" s="1151"/>
      <c r="L1" s="1151"/>
      <c r="M1" s="1151"/>
      <c r="N1" s="1151"/>
      <c r="O1" s="1151"/>
      <c r="P1" s="1151"/>
      <c r="Q1" s="1151"/>
      <c r="R1" s="1151"/>
      <c r="S1" s="1151"/>
      <c r="T1" s="1151"/>
      <c r="U1" s="1151"/>
      <c r="V1" s="1151"/>
      <c r="W1" s="1151"/>
      <c r="X1" s="1151"/>
      <c r="Y1" s="1151"/>
      <c r="Z1" s="1151"/>
      <c r="AA1" s="1151"/>
      <c r="AB1" s="1151"/>
      <c r="AC1" s="1151"/>
      <c r="AD1" s="1151"/>
      <c r="AE1" s="1151"/>
      <c r="AF1" s="1151"/>
      <c r="AG1" s="1151"/>
      <c r="AH1" s="1151"/>
      <c r="AI1" s="1151"/>
      <c r="AJ1" s="1151"/>
      <c r="AK1" s="1151"/>
      <c r="AL1" s="1151"/>
      <c r="AM1" s="1151"/>
      <c r="AN1" s="1151"/>
    </row>
    <row r="2" spans="1:40" ht="16.5" customHeight="1" x14ac:dyDescent="0.3">
      <c r="A2" s="59" t="s">
        <v>888</v>
      </c>
      <c r="B2" s="672"/>
      <c r="C2" s="122" t="s">
        <v>887</v>
      </c>
      <c r="O2" s="672"/>
      <c r="AB2" s="672"/>
      <c r="AI2" s="68"/>
      <c r="AJ2" s="68"/>
      <c r="AK2" s="68"/>
      <c r="AL2" s="68"/>
      <c r="AM2" s="68"/>
      <c r="AN2" s="792" t="s">
        <v>429</v>
      </c>
    </row>
    <row r="3" spans="1:40" s="673" customFormat="1" ht="16.5" customHeight="1" x14ac:dyDescent="0.3">
      <c r="A3" s="1144" t="s">
        <v>373</v>
      </c>
      <c r="B3" s="1147" t="s">
        <v>440</v>
      </c>
      <c r="C3" s="1148"/>
      <c r="D3" s="1148"/>
      <c r="E3" s="1148"/>
      <c r="F3" s="1148"/>
      <c r="G3" s="1148"/>
      <c r="H3" s="1148"/>
      <c r="I3" s="1148"/>
      <c r="J3" s="1148"/>
      <c r="K3" s="1148"/>
      <c r="L3" s="1148"/>
      <c r="M3" s="1148"/>
      <c r="N3" s="1149"/>
      <c r="O3" s="1146" t="s">
        <v>400</v>
      </c>
      <c r="P3" s="1146"/>
      <c r="Q3" s="1146"/>
      <c r="R3" s="1146"/>
      <c r="S3" s="1146"/>
      <c r="T3" s="1146"/>
      <c r="U3" s="1146"/>
      <c r="V3" s="1146"/>
      <c r="W3" s="1146"/>
      <c r="X3" s="1146"/>
      <c r="Y3" s="1146"/>
      <c r="Z3" s="1146"/>
      <c r="AA3" s="1146"/>
      <c r="AB3" s="1146" t="s">
        <v>441</v>
      </c>
      <c r="AC3" s="1146"/>
      <c r="AD3" s="1146"/>
      <c r="AE3" s="1146"/>
      <c r="AF3" s="1146"/>
      <c r="AG3" s="1146"/>
      <c r="AH3" s="1146"/>
      <c r="AI3" s="1146"/>
      <c r="AJ3" s="1146"/>
      <c r="AK3" s="1146"/>
      <c r="AL3" s="1146"/>
      <c r="AM3" s="1146"/>
      <c r="AN3" s="1146"/>
    </row>
    <row r="4" spans="1:40" s="673" customFormat="1" ht="16.5" customHeight="1" x14ac:dyDescent="0.3">
      <c r="A4" s="1145"/>
      <c r="B4" s="674">
        <v>2020</v>
      </c>
      <c r="C4" s="674">
        <f t="shared" ref="C4:N4" si="0">B4+1</f>
        <v>2021</v>
      </c>
      <c r="D4" s="674">
        <f t="shared" si="0"/>
        <v>2022</v>
      </c>
      <c r="E4" s="674">
        <f t="shared" si="0"/>
        <v>2023</v>
      </c>
      <c r="F4" s="674">
        <f t="shared" si="0"/>
        <v>2024</v>
      </c>
      <c r="G4" s="674">
        <f t="shared" si="0"/>
        <v>2025</v>
      </c>
      <c r="H4" s="674">
        <f t="shared" si="0"/>
        <v>2026</v>
      </c>
      <c r="I4" s="674">
        <f t="shared" si="0"/>
        <v>2027</v>
      </c>
      <c r="J4" s="674">
        <f t="shared" si="0"/>
        <v>2028</v>
      </c>
      <c r="K4" s="674">
        <f t="shared" si="0"/>
        <v>2029</v>
      </c>
      <c r="L4" s="674">
        <f t="shared" si="0"/>
        <v>2030</v>
      </c>
      <c r="M4" s="674">
        <f t="shared" si="0"/>
        <v>2031</v>
      </c>
      <c r="N4" s="674">
        <f t="shared" si="0"/>
        <v>2032</v>
      </c>
      <c r="O4" s="674">
        <f t="shared" ref="O4:W4" si="1">B4</f>
        <v>2020</v>
      </c>
      <c r="P4" s="674">
        <f t="shared" si="1"/>
        <v>2021</v>
      </c>
      <c r="Q4" s="674">
        <f t="shared" si="1"/>
        <v>2022</v>
      </c>
      <c r="R4" s="674">
        <f t="shared" si="1"/>
        <v>2023</v>
      </c>
      <c r="S4" s="674">
        <f t="shared" si="1"/>
        <v>2024</v>
      </c>
      <c r="T4" s="674">
        <f t="shared" si="1"/>
        <v>2025</v>
      </c>
      <c r="U4" s="674">
        <f t="shared" si="1"/>
        <v>2026</v>
      </c>
      <c r="V4" s="674">
        <f t="shared" si="1"/>
        <v>2027</v>
      </c>
      <c r="W4" s="674">
        <f t="shared" si="1"/>
        <v>2028</v>
      </c>
      <c r="X4" s="674">
        <f>K4</f>
        <v>2029</v>
      </c>
      <c r="Y4" s="674">
        <f>L4</f>
        <v>2030</v>
      </c>
      <c r="Z4" s="674">
        <f>M4</f>
        <v>2031</v>
      </c>
      <c r="AA4" s="674">
        <f>N4</f>
        <v>2032</v>
      </c>
      <c r="AB4" s="674">
        <f t="shared" ref="AB4:AJ4" si="2">O4</f>
        <v>2020</v>
      </c>
      <c r="AC4" s="674">
        <f t="shared" si="2"/>
        <v>2021</v>
      </c>
      <c r="AD4" s="674">
        <f t="shared" si="2"/>
        <v>2022</v>
      </c>
      <c r="AE4" s="674">
        <f t="shared" si="2"/>
        <v>2023</v>
      </c>
      <c r="AF4" s="674">
        <f t="shared" si="2"/>
        <v>2024</v>
      </c>
      <c r="AG4" s="674">
        <f t="shared" si="2"/>
        <v>2025</v>
      </c>
      <c r="AH4" s="674">
        <f t="shared" si="2"/>
        <v>2026</v>
      </c>
      <c r="AI4" s="674">
        <f t="shared" si="2"/>
        <v>2027</v>
      </c>
      <c r="AJ4" s="674">
        <f t="shared" si="2"/>
        <v>2028</v>
      </c>
      <c r="AK4" s="674">
        <f>X4</f>
        <v>2029</v>
      </c>
      <c r="AL4" s="674">
        <f>Y4</f>
        <v>2030</v>
      </c>
      <c r="AM4" s="674">
        <f>Z4</f>
        <v>2031</v>
      </c>
      <c r="AN4" s="674">
        <f>AA4</f>
        <v>2032</v>
      </c>
    </row>
    <row r="5" spans="1:40" ht="16.5" customHeight="1" x14ac:dyDescent="0.3">
      <c r="A5" s="675" t="s">
        <v>442</v>
      </c>
      <c r="B5" s="676"/>
      <c r="C5" s="676"/>
      <c r="D5" s="676"/>
      <c r="E5" s="676"/>
      <c r="F5" s="676"/>
      <c r="G5" s="676"/>
      <c r="H5" s="676"/>
      <c r="I5" s="676"/>
      <c r="J5" s="676"/>
      <c r="K5" s="676"/>
      <c r="L5" s="676"/>
      <c r="M5" s="676"/>
      <c r="N5" s="676"/>
      <c r="O5" s="676"/>
      <c r="P5" s="676"/>
      <c r="Q5" s="676"/>
      <c r="R5" s="676"/>
      <c r="S5" s="676"/>
      <c r="T5" s="676"/>
      <c r="U5" s="676"/>
      <c r="V5" s="676"/>
      <c r="W5" s="676"/>
      <c r="X5" s="676"/>
      <c r="Y5" s="676"/>
      <c r="Z5" s="676"/>
      <c r="AA5" s="676"/>
      <c r="AB5" s="676">
        <f t="shared" ref="AB5:AN5" si="3">AB6+AB7</f>
        <v>1561615</v>
      </c>
      <c r="AC5" s="676">
        <f t="shared" si="3"/>
        <v>7683258.5736330003</v>
      </c>
      <c r="AD5" s="676">
        <f t="shared" si="3"/>
        <v>7944462.0060779992</v>
      </c>
      <c r="AE5" s="676">
        <f t="shared" si="3"/>
        <v>8209320.1563220015</v>
      </c>
      <c r="AF5" s="676">
        <f t="shared" si="3"/>
        <v>7153797.9114529993</v>
      </c>
      <c r="AG5" s="676">
        <f t="shared" si="3"/>
        <v>7117017.66787</v>
      </c>
      <c r="AH5" s="676">
        <f t="shared" si="3"/>
        <v>7099210.6987308618</v>
      </c>
      <c r="AI5" s="676">
        <f t="shared" si="3"/>
        <v>7163823.5944128325</v>
      </c>
      <c r="AJ5" s="676">
        <f t="shared" si="3"/>
        <v>7227078.5432404093</v>
      </c>
      <c r="AK5" s="676">
        <f t="shared" si="3"/>
        <v>7305975.2571819462</v>
      </c>
      <c r="AL5" s="676">
        <f t="shared" si="3"/>
        <v>7403329.6856535012</v>
      </c>
      <c r="AM5" s="676">
        <f t="shared" si="3"/>
        <v>7507419.0980909374</v>
      </c>
      <c r="AN5" s="676">
        <f t="shared" si="3"/>
        <v>7624408.7129345993</v>
      </c>
    </row>
    <row r="6" spans="1:40" ht="16.5" customHeight="1" x14ac:dyDescent="0.3">
      <c r="A6" s="677" t="s">
        <v>375</v>
      </c>
      <c r="B6" s="678">
        <f>'8. 추정 BS'!E4</f>
        <v>740921</v>
      </c>
      <c r="C6" s="678">
        <f>'8. 추정 BS'!F4</f>
        <v>94993</v>
      </c>
      <c r="D6" s="678">
        <f>'8. 추정 BS'!G4</f>
        <v>118265</v>
      </c>
      <c r="E6" s="678">
        <f>'8. 추정 BS'!H4</f>
        <v>119664</v>
      </c>
      <c r="F6" s="678">
        <f>'8. 추정 BS'!I4</f>
        <v>110461.9621</v>
      </c>
      <c r="G6" s="678">
        <f>'8. 추정 BS'!J4</f>
        <v>103815.26261999999</v>
      </c>
      <c r="H6" s="678">
        <f>'8. 추정 BS'!K4</f>
        <v>108003.96613521643</v>
      </c>
      <c r="I6" s="678">
        <f>'8. 추정 BS'!L4</f>
        <v>108255.27630890567</v>
      </c>
      <c r="J6" s="678">
        <f>'8. 추정 BS'!M4</f>
        <v>108348.18581370849</v>
      </c>
      <c r="K6" s="678">
        <f>'8. 추정 BS'!N4</f>
        <v>108367.24413982332</v>
      </c>
      <c r="L6" s="678">
        <f>'8. 추정 BS'!O4</f>
        <v>108410.94554124521</v>
      </c>
      <c r="M6" s="678">
        <f>'8. 추정 BS'!P4</f>
        <v>108537.29133117193</v>
      </c>
      <c r="N6" s="678">
        <f>'8. 추정 BS'!Q4</f>
        <v>108771.95003117906</v>
      </c>
      <c r="O6" s="678">
        <f>'11. 추정 BS'!E5</f>
        <v>848242.69682700164</v>
      </c>
      <c r="P6" s="678">
        <f>'11. 추정 BS'!F5</f>
        <v>860691.119297</v>
      </c>
      <c r="Q6" s="678">
        <f>'11. 추정 BS'!G5</f>
        <v>1101600.082651</v>
      </c>
      <c r="R6" s="678">
        <f>'11. 추정 BS'!H5</f>
        <v>1597167.8517840002</v>
      </c>
      <c r="S6" s="678">
        <f>'11. 추정 BS'!I5</f>
        <v>1311575.5509830001</v>
      </c>
      <c r="T6" s="678">
        <f>'11. 추정 BS'!J5</f>
        <v>1566428</v>
      </c>
      <c r="U6" s="678">
        <f>'11. 추정 BS'!K5</f>
        <v>1622324.9922315052</v>
      </c>
      <c r="V6" s="678">
        <f>'11. 추정 BS'!L5</f>
        <v>1737496.994399904</v>
      </c>
      <c r="W6" s="678">
        <f>'11. 추정 BS'!M5</f>
        <v>1839785.936325137</v>
      </c>
      <c r="X6" s="678">
        <f>'11. 추정 BS'!N5</f>
        <v>1858070.1387727123</v>
      </c>
      <c r="Y6" s="678">
        <f>'11. 추정 BS'!O5</f>
        <v>1891749.3469333258</v>
      </c>
      <c r="Z6" s="678">
        <f>'11. 추정 BS'!P5</f>
        <v>1923194.74465395</v>
      </c>
      <c r="AA6" s="678">
        <f>'11. 추정 BS'!Q5</f>
        <v>1961498.4391438838</v>
      </c>
      <c r="AB6" s="678">
        <f>B6</f>
        <v>740921</v>
      </c>
      <c r="AC6" s="678">
        <f t="shared" ref="AC6:AN21" si="4">C6+P6</f>
        <v>955684.119297</v>
      </c>
      <c r="AD6" s="678">
        <f t="shared" si="4"/>
        <v>1219865.082651</v>
      </c>
      <c r="AE6" s="678">
        <f t="shared" si="4"/>
        <v>1716831.8517840002</v>
      </c>
      <c r="AF6" s="678">
        <f t="shared" si="4"/>
        <v>1422037.5130830002</v>
      </c>
      <c r="AG6" s="678">
        <f t="shared" si="4"/>
        <v>1670243.2626199999</v>
      </c>
      <c r="AH6" s="678">
        <f t="shared" si="4"/>
        <v>1730328.9583667216</v>
      </c>
      <c r="AI6" s="678">
        <f t="shared" si="4"/>
        <v>1845752.2707088096</v>
      </c>
      <c r="AJ6" s="678">
        <f t="shared" si="4"/>
        <v>1948134.1221388455</v>
      </c>
      <c r="AK6" s="678">
        <f t="shared" si="4"/>
        <v>1966437.3829125357</v>
      </c>
      <c r="AL6" s="678">
        <f t="shared" si="4"/>
        <v>2000160.2924745709</v>
      </c>
      <c r="AM6" s="678">
        <f t="shared" si="4"/>
        <v>2031732.035985122</v>
      </c>
      <c r="AN6" s="678">
        <f t="shared" si="4"/>
        <v>2070270.3891750628</v>
      </c>
    </row>
    <row r="7" spans="1:40" ht="16.5" customHeight="1" x14ac:dyDescent="0.3">
      <c r="A7" s="677" t="s">
        <v>376</v>
      </c>
      <c r="B7" s="678">
        <f>'8. 추정 BS'!E11</f>
        <v>820694</v>
      </c>
      <c r="C7" s="678">
        <f>'8. 추정 BS'!F11</f>
        <v>509953.4</v>
      </c>
      <c r="D7" s="678">
        <f>'8. 추정 BS'!G11</f>
        <v>503792</v>
      </c>
      <c r="E7" s="678">
        <f>'8. 추정 BS'!H11</f>
        <v>494214</v>
      </c>
      <c r="F7" s="678">
        <f>'8. 추정 BS'!I11</f>
        <v>487448.10397400003</v>
      </c>
      <c r="G7" s="678">
        <f>'8. 추정 BS'!J11</f>
        <v>455654.40525000001</v>
      </c>
      <c r="H7" s="678">
        <f>'8. 추정 BS'!K11</f>
        <v>464349.70525</v>
      </c>
      <c r="I7" s="678">
        <f>'8. 추정 BS'!L11</f>
        <v>464203.63348834199</v>
      </c>
      <c r="J7" s="678">
        <f>'8. 추정 BS'!M11</f>
        <v>464059.37105914927</v>
      </c>
      <c r="K7" s="678">
        <f>'8. 추정 BS'!N11</f>
        <v>463907.45639421651</v>
      </c>
      <c r="L7" s="678">
        <f>'8. 추정 BS'!O11</f>
        <v>463757.78966362186</v>
      </c>
      <c r="M7" s="678">
        <f>'8. 추정 BS'!P11</f>
        <v>463610.83709653548</v>
      </c>
      <c r="N7" s="678">
        <f>'8. 추정 BS'!Q11</f>
        <v>463466.54947237554</v>
      </c>
      <c r="O7" s="678">
        <f>'11. 추정 BS'!E34</f>
        <v>4747629.8527429998</v>
      </c>
      <c r="P7" s="678">
        <f>'11. 추정 BS'!F34</f>
        <v>6217621.0543360002</v>
      </c>
      <c r="Q7" s="678">
        <f>'11. 추정 BS'!G34</f>
        <v>6220804.9234269997</v>
      </c>
      <c r="R7" s="678">
        <f>'11. 추정 BS'!H34</f>
        <v>5998274.3045380013</v>
      </c>
      <c r="S7" s="678">
        <f>'11. 추정 BS'!I34</f>
        <v>5244312.294396</v>
      </c>
      <c r="T7" s="678">
        <f>'11. 추정 BS'!J34</f>
        <v>4991120</v>
      </c>
      <c r="U7" s="678">
        <f>'11. 추정 BS'!K34</f>
        <v>4904532.0351141402</v>
      </c>
      <c r="V7" s="678">
        <f>'11. 추정 BS'!L34</f>
        <v>4853867.6902156807</v>
      </c>
      <c r="W7" s="678">
        <f>'11. 추정 BS'!M34</f>
        <v>4814885.0500424141</v>
      </c>
      <c r="X7" s="678">
        <f>'11. 추정 BS'!N34</f>
        <v>4875630.417875194</v>
      </c>
      <c r="Y7" s="678">
        <f>'11. 추정 BS'!O34</f>
        <v>4939411.6035153084</v>
      </c>
      <c r="Z7" s="678">
        <f>'11. 추정 BS'!P34</f>
        <v>5012076.2250092803</v>
      </c>
      <c r="AA7" s="678">
        <f>'11. 추정 BS'!Q34</f>
        <v>5090671.7742871605</v>
      </c>
      <c r="AB7" s="678">
        <f t="shared" ref="AB7:AB33" si="5">B7</f>
        <v>820694</v>
      </c>
      <c r="AC7" s="678">
        <f t="shared" si="4"/>
        <v>6727574.4543360006</v>
      </c>
      <c r="AD7" s="678">
        <f t="shared" si="4"/>
        <v>6724596.9234269997</v>
      </c>
      <c r="AE7" s="678">
        <f t="shared" si="4"/>
        <v>6492488.3045380013</v>
      </c>
      <c r="AF7" s="678">
        <f t="shared" si="4"/>
        <v>5731760.3983699996</v>
      </c>
      <c r="AG7" s="678">
        <f t="shared" si="4"/>
        <v>5446774.4052499998</v>
      </c>
      <c r="AH7" s="678">
        <f t="shared" si="4"/>
        <v>5368881.7403641399</v>
      </c>
      <c r="AI7" s="678">
        <f t="shared" si="4"/>
        <v>5318071.3237040229</v>
      </c>
      <c r="AJ7" s="678">
        <f t="shared" si="4"/>
        <v>5278944.4211015636</v>
      </c>
      <c r="AK7" s="678">
        <f t="shared" si="4"/>
        <v>5339537.874269411</v>
      </c>
      <c r="AL7" s="678">
        <f t="shared" si="4"/>
        <v>5403169.3931789305</v>
      </c>
      <c r="AM7" s="678">
        <f t="shared" si="4"/>
        <v>5475687.0621058159</v>
      </c>
      <c r="AN7" s="678">
        <f t="shared" si="4"/>
        <v>5554138.3237595363</v>
      </c>
    </row>
    <row r="8" spans="1:40" ht="16.5" customHeight="1" x14ac:dyDescent="0.3">
      <c r="A8" s="679" t="s">
        <v>443</v>
      </c>
      <c r="B8" s="678">
        <f>'8. 추정 BS'!E5+'8. 추정 BS'!E8</f>
        <v>647462</v>
      </c>
      <c r="C8" s="678">
        <f>'8. 추정 BS'!F5+'8. 추정 BS'!F8</f>
        <v>3212</v>
      </c>
      <c r="D8" s="678">
        <f>'8. 추정 BS'!G5+'8. 추정 BS'!G8</f>
        <v>2979</v>
      </c>
      <c r="E8" s="678">
        <f>'8. 추정 BS'!H5+'8. 추정 BS'!H8</f>
        <v>6335</v>
      </c>
      <c r="F8" s="678">
        <f>'8. 추정 BS'!I5+'8. 추정 BS'!I8</f>
        <v>3360</v>
      </c>
      <c r="G8" s="678">
        <f>'8. 추정 BS'!J5+'8. 추정 BS'!J8</f>
        <v>7363</v>
      </c>
      <c r="H8" s="678">
        <f>'8. 추정 BS'!K5+'8. 추정 BS'!K8</f>
        <v>7363</v>
      </c>
      <c r="I8" s="678">
        <f>'8. 추정 BS'!L5+'8. 추정 BS'!L8</f>
        <v>7363</v>
      </c>
      <c r="J8" s="678">
        <f>'8. 추정 BS'!M5+'8. 추정 BS'!M8</f>
        <v>7363</v>
      </c>
      <c r="K8" s="678">
        <f>'8. 추정 BS'!N5+'8. 추정 BS'!N8</f>
        <v>7363</v>
      </c>
      <c r="L8" s="678">
        <f>'8. 추정 BS'!O5+'8. 추정 BS'!O8</f>
        <v>7363</v>
      </c>
      <c r="M8" s="678">
        <f>'8. 추정 BS'!P5+'8. 추정 BS'!P8</f>
        <v>7363</v>
      </c>
      <c r="N8" s="678">
        <f>'8. 추정 BS'!Q5+'8. 추정 BS'!Q8</f>
        <v>7363</v>
      </c>
      <c r="O8" s="678">
        <f>'11. 추정 BS'!Y6</f>
        <v>17572.952697000001</v>
      </c>
      <c r="P8" s="678">
        <f>'11. 추정 BS'!Z6</f>
        <v>24878.511743999999</v>
      </c>
      <c r="Q8" s="678">
        <f>'11. 추정 BS'!AA6</f>
        <v>318075.60317899997</v>
      </c>
      <c r="R8" s="678">
        <f>'11. 추정 BS'!AB6</f>
        <v>368499.75053799996</v>
      </c>
      <c r="S8" s="678">
        <f>'11. 추정 BS'!AC6</f>
        <v>27392.137847000002</v>
      </c>
      <c r="T8" s="678">
        <f>'11. 추정 BS'!AD6</f>
        <v>237003</v>
      </c>
      <c r="U8" s="678">
        <f>'11. 추정 BS'!AE6</f>
        <v>93049.597637871993</v>
      </c>
      <c r="V8" s="678">
        <f>'11. 추정 BS'!AF6</f>
        <v>130269.43669302078</v>
      </c>
      <c r="W8" s="678">
        <f>'11. 추정 BS'!AG6</f>
        <v>169350.26770092701</v>
      </c>
      <c r="X8" s="678">
        <f>'11. 추정 BS'!AH6</f>
        <v>186285.29447101973</v>
      </c>
      <c r="Y8" s="678">
        <f>'11. 추정 BS'!AI6</f>
        <v>204913.82391812172</v>
      </c>
      <c r="Z8" s="678">
        <f>'11. 추정 BS'!AJ6</f>
        <v>225405.20630993391</v>
      </c>
      <c r="AA8" s="678">
        <f>'11. 추정 BS'!AK6</f>
        <v>247945.72694092733</v>
      </c>
      <c r="AB8" s="678">
        <f t="shared" si="5"/>
        <v>647462</v>
      </c>
      <c r="AC8" s="678">
        <f t="shared" si="4"/>
        <v>28090.511743999999</v>
      </c>
      <c r="AD8" s="678">
        <f t="shared" si="4"/>
        <v>321054.60317899997</v>
      </c>
      <c r="AE8" s="678">
        <f t="shared" si="4"/>
        <v>374834.75053799996</v>
      </c>
      <c r="AF8" s="678">
        <f t="shared" si="4"/>
        <v>30752.137847000002</v>
      </c>
      <c r="AG8" s="678">
        <f t="shared" si="4"/>
        <v>244366</v>
      </c>
      <c r="AH8" s="678">
        <f t="shared" si="4"/>
        <v>100412.59763787199</v>
      </c>
      <c r="AI8" s="678">
        <f t="shared" si="4"/>
        <v>137632.43669302078</v>
      </c>
      <c r="AJ8" s="678">
        <f t="shared" si="4"/>
        <v>176713.26770092701</v>
      </c>
      <c r="AK8" s="678">
        <f t="shared" si="4"/>
        <v>193648.29447101973</v>
      </c>
      <c r="AL8" s="678">
        <f t="shared" si="4"/>
        <v>212276.82391812172</v>
      </c>
      <c r="AM8" s="678">
        <f t="shared" si="4"/>
        <v>232768.20630993391</v>
      </c>
      <c r="AN8" s="678">
        <f t="shared" si="4"/>
        <v>255308.72694092733</v>
      </c>
    </row>
    <row r="9" spans="1:40" ht="16.5" customHeight="1" x14ac:dyDescent="0.3">
      <c r="A9" s="679" t="s">
        <v>444</v>
      </c>
      <c r="B9" s="678">
        <f>'8. 추정 BS'!E7</f>
        <v>48003</v>
      </c>
      <c r="C9" s="678">
        <f>'8. 추정 BS'!F7</f>
        <v>45734</v>
      </c>
      <c r="D9" s="678">
        <f>'8. 추정 BS'!G7</f>
        <v>74440</v>
      </c>
      <c r="E9" s="678">
        <f>'8. 추정 BS'!H7</f>
        <v>76621</v>
      </c>
      <c r="F9" s="678">
        <f>'8. 추정 BS'!I7</f>
        <v>72106.962100000004</v>
      </c>
      <c r="G9" s="678">
        <f>'8. 추정 BS'!J7</f>
        <v>53263.262619999994</v>
      </c>
      <c r="H9" s="678">
        <f>'8. 추정 BS'!K7</f>
        <v>62971.429656635446</v>
      </c>
      <c r="I9" s="678">
        <f>'8. 추정 BS'!L7</f>
        <v>62367.163266268413</v>
      </c>
      <c r="J9" s="678">
        <f>'8. 추정 BS'!M7</f>
        <v>61771.813702870575</v>
      </c>
      <c r="K9" s="678">
        <f>'8. 추정 BS'!N7</f>
        <v>61185.23586666878</v>
      </c>
      <c r="L9" s="678">
        <f>'8. 추정 BS'!O7</f>
        <v>60671.531863669115</v>
      </c>
      <c r="M9" s="678">
        <f>'8. 추정 BS'!P7</f>
        <v>60271.349616069434</v>
      </c>
      <c r="N9" s="678">
        <f>'8. 추정 BS'!Q7</f>
        <v>60000.37675743283</v>
      </c>
      <c r="O9" s="678">
        <f>'11. 추정 BS'!Y9+'11. 추정 BS'!Y10</f>
        <v>814325.05653099995</v>
      </c>
      <c r="P9" s="678">
        <f>'11. 추정 BS'!Z9+'11. 추정 BS'!Z10</f>
        <v>791710.48953200004</v>
      </c>
      <c r="Q9" s="678">
        <f>'11. 추정 BS'!AA9+'11. 추정 BS'!AA10</f>
        <v>841109.76231300004</v>
      </c>
      <c r="R9" s="678">
        <f>'11. 추정 BS'!AB9+'11. 추정 BS'!AB10</f>
        <v>926373.0888179997</v>
      </c>
      <c r="S9" s="678">
        <f>'11. 추정 BS'!AC9+'11. 추정 BS'!AC10</f>
        <v>906800.61392599996</v>
      </c>
      <c r="T9" s="678">
        <f>'11. 추정 BS'!AD9+'11. 추정 BS'!AD10</f>
        <v>906825</v>
      </c>
      <c r="U9" s="678">
        <f>'11. 추정 BS'!AE9+'11. 추정 BS'!AE10</f>
        <v>868778.68162347923</v>
      </c>
      <c r="V9" s="678">
        <f>'11. 추정 BS'!AF9+'11. 추정 BS'!AF10</f>
        <v>855088.59919107042</v>
      </c>
      <c r="W9" s="678">
        <f>'11. 추정 BS'!AG9+'11. 추정 BS'!AG10</f>
        <v>848754.44847831363</v>
      </c>
      <c r="X9" s="678">
        <f>'11. 추정 BS'!AH9+'11. 추정 BS'!AH10</f>
        <v>847574.244604151</v>
      </c>
      <c r="Y9" s="678">
        <f>'11. 추정 BS'!AI9+'11. 추정 BS'!AI10</f>
        <v>849578.15339556977</v>
      </c>
      <c r="Z9" s="678">
        <f>'11. 추정 BS'!AJ9+'11. 추정 BS'!AJ10</f>
        <v>854500.77847859613</v>
      </c>
      <c r="AA9" s="678">
        <f>'11. 추정 BS'!AK9+'11. 추정 BS'!AK10</f>
        <v>861618.58571887808</v>
      </c>
      <c r="AB9" s="678">
        <f t="shared" si="5"/>
        <v>48003</v>
      </c>
      <c r="AC9" s="678">
        <f t="shared" si="4"/>
        <v>837444.48953200004</v>
      </c>
      <c r="AD9" s="678">
        <f t="shared" si="4"/>
        <v>915549.76231300004</v>
      </c>
      <c r="AE9" s="678">
        <f t="shared" si="4"/>
        <v>1002994.0888179997</v>
      </c>
      <c r="AF9" s="678">
        <f t="shared" si="4"/>
        <v>978907.57602599997</v>
      </c>
      <c r="AG9" s="678">
        <f t="shared" si="4"/>
        <v>960088.26261999994</v>
      </c>
      <c r="AH9" s="678">
        <f t="shared" si="4"/>
        <v>931750.11128011462</v>
      </c>
      <c r="AI9" s="678">
        <f t="shared" si="4"/>
        <v>917455.76245733886</v>
      </c>
      <c r="AJ9" s="678">
        <f t="shared" si="4"/>
        <v>910526.26218118425</v>
      </c>
      <c r="AK9" s="678">
        <f t="shared" si="4"/>
        <v>908759.48047081975</v>
      </c>
      <c r="AL9" s="678">
        <f t="shared" si="4"/>
        <v>910249.68525923893</v>
      </c>
      <c r="AM9" s="678">
        <f t="shared" si="4"/>
        <v>914772.12809466559</v>
      </c>
      <c r="AN9" s="678">
        <f t="shared" si="4"/>
        <v>921618.9624763109</v>
      </c>
    </row>
    <row r="10" spans="1:40" ht="16.5" customHeight="1" x14ac:dyDescent="0.3">
      <c r="A10" s="679" t="s">
        <v>445</v>
      </c>
      <c r="B10" s="678">
        <f>'8. 추정 BS'!E10</f>
        <v>35036</v>
      </c>
      <c r="C10" s="678">
        <f>'8. 추정 BS'!F10</f>
        <v>31673</v>
      </c>
      <c r="D10" s="678">
        <f>'8. 추정 BS'!G10</f>
        <v>29538</v>
      </c>
      <c r="E10" s="678">
        <f>'8. 추정 BS'!H10</f>
        <v>26929</v>
      </c>
      <c r="F10" s="678">
        <f>'8. 추정 BS'!I10</f>
        <v>27914</v>
      </c>
      <c r="G10" s="678">
        <f>'8. 추정 BS'!J10</f>
        <v>33663</v>
      </c>
      <c r="H10" s="678">
        <f>'8. 추정 BS'!K10</f>
        <v>28143.536478580976</v>
      </c>
      <c r="I10" s="678">
        <f>'8. 추정 BS'!L10</f>
        <v>28999.113042637258</v>
      </c>
      <c r="J10" s="678">
        <f>'8. 추정 BS'!M10</f>
        <v>29687.372110837929</v>
      </c>
      <c r="K10" s="678">
        <f>'8. 추정 BS'!N10</f>
        <v>30293.008273154541</v>
      </c>
      <c r="L10" s="678">
        <f>'8. 추정 BS'!O10</f>
        <v>30850.413677576104</v>
      </c>
      <c r="M10" s="678">
        <f>'8. 추정 BS'!P10</f>
        <v>31376.941715102497</v>
      </c>
      <c r="N10" s="678">
        <f>'8. 추정 BS'!Q10</f>
        <v>31882.573273746239</v>
      </c>
      <c r="O10" s="678">
        <f>'11. 추정 BS'!Y11</f>
        <v>179790.285003</v>
      </c>
      <c r="P10" s="678">
        <f>'11. 추정 BS'!Z11</f>
        <v>140766.34644600001</v>
      </c>
      <c r="Q10" s="678">
        <f>'11. 추정 BS'!AA11</f>
        <v>171990.53417100001</v>
      </c>
      <c r="R10" s="678">
        <f>'11. 추정 BS'!AB11</f>
        <v>260554.30106900001</v>
      </c>
      <c r="S10" s="678">
        <f>'11. 추정 BS'!AC11</f>
        <v>265739.45792300004</v>
      </c>
      <c r="T10" s="678">
        <f>'11. 추정 BS'!AD11</f>
        <v>295985</v>
      </c>
      <c r="U10" s="678">
        <f>'11. 추정 BS'!AE11</f>
        <v>287173.42483855475</v>
      </c>
      <c r="V10" s="678">
        <f>'11. 추정 BS'!AF11</f>
        <v>292681.99126353982</v>
      </c>
      <c r="W10" s="678">
        <f>'11. 추정 BS'!AG11</f>
        <v>298377.61134060845</v>
      </c>
      <c r="X10" s="678">
        <f>'11. 추정 BS'!AH11</f>
        <v>304585.56957362202</v>
      </c>
      <c r="Y10" s="678">
        <f>'11. 추정 BS'!AI11</f>
        <v>310924.80305109837</v>
      </c>
      <c r="Z10" s="678">
        <f>'11. 추정 BS'!AJ11</f>
        <v>317982.43149353558</v>
      </c>
      <c r="AA10" s="678">
        <f>'11. 추정 BS'!AK11</f>
        <v>325668.27267072321</v>
      </c>
      <c r="AB10" s="678">
        <f t="shared" si="5"/>
        <v>35036</v>
      </c>
      <c r="AC10" s="678">
        <f t="shared" si="4"/>
        <v>172439.34644600001</v>
      </c>
      <c r="AD10" s="678">
        <f t="shared" si="4"/>
        <v>201528.53417100001</v>
      </c>
      <c r="AE10" s="678">
        <f t="shared" si="4"/>
        <v>287483.30106900004</v>
      </c>
      <c r="AF10" s="678">
        <f t="shared" si="4"/>
        <v>293653.45792300004</v>
      </c>
      <c r="AG10" s="678">
        <f t="shared" si="4"/>
        <v>329648</v>
      </c>
      <c r="AH10" s="678">
        <f t="shared" si="4"/>
        <v>315316.96131713572</v>
      </c>
      <c r="AI10" s="678">
        <f t="shared" si="4"/>
        <v>321681.10430617706</v>
      </c>
      <c r="AJ10" s="678">
        <f t="shared" si="4"/>
        <v>328064.9834514464</v>
      </c>
      <c r="AK10" s="678">
        <f t="shared" si="4"/>
        <v>334878.57784677658</v>
      </c>
      <c r="AL10" s="678">
        <f t="shared" si="4"/>
        <v>341775.21672867448</v>
      </c>
      <c r="AM10" s="678">
        <f t="shared" si="4"/>
        <v>349359.37320863805</v>
      </c>
      <c r="AN10" s="678">
        <f t="shared" si="4"/>
        <v>357550.84594446945</v>
      </c>
    </row>
    <row r="11" spans="1:40" ht="16.5" customHeight="1" x14ac:dyDescent="0.3">
      <c r="A11" s="679" t="s">
        <v>446</v>
      </c>
      <c r="B11" s="678">
        <f>'8. 추정 BS'!E9</f>
        <v>10420</v>
      </c>
      <c r="C11" s="678">
        <f>'8. 추정 BS'!F9</f>
        <v>14374</v>
      </c>
      <c r="D11" s="678">
        <f>'8. 추정 BS'!G9</f>
        <v>11308</v>
      </c>
      <c r="E11" s="678">
        <f>'8. 추정 BS'!H9</f>
        <v>9779</v>
      </c>
      <c r="F11" s="678">
        <f>'8. 추정 BS'!I9</f>
        <v>7081</v>
      </c>
      <c r="G11" s="678">
        <f>'8. 추정 BS'!J9</f>
        <v>9526</v>
      </c>
      <c r="H11" s="678">
        <f>'8. 추정 BS'!K9</f>
        <v>9526</v>
      </c>
      <c r="I11" s="678">
        <f>'8. 추정 BS'!L9</f>
        <v>9526</v>
      </c>
      <c r="J11" s="678">
        <f>'8. 추정 BS'!M9</f>
        <v>9526</v>
      </c>
      <c r="K11" s="678">
        <f>'8. 추정 BS'!N9</f>
        <v>9526</v>
      </c>
      <c r="L11" s="678">
        <f>'8. 추정 BS'!O9</f>
        <v>9526</v>
      </c>
      <c r="M11" s="678">
        <f>'8. 추정 BS'!P9</f>
        <v>9526</v>
      </c>
      <c r="N11" s="678">
        <f>'8. 추정 BS'!Q9</f>
        <v>9526</v>
      </c>
      <c r="O11" s="678">
        <f>('11. 추정 BS'!E10+'11. 추정 BS'!E13+'11. 추정 BS'!E15+'11. 추정 BS'!E26+'11. 추정 BS'!E27)</f>
        <v>94426.992676999987</v>
      </c>
      <c r="P11" s="678">
        <f>('11. 추정 BS'!F10+'11. 추정 BS'!F13+'11. 추정 BS'!F15+'11. 추정 BS'!F26+'11. 추정 BS'!F27)</f>
        <v>69858.408900999988</v>
      </c>
      <c r="Q11" s="678">
        <f>('11. 추정 BS'!G10+'11. 추정 BS'!G13+'11. 추정 BS'!G15+'11. 추정 BS'!G26+'11. 추정 BS'!G27)</f>
        <v>85107.694741999992</v>
      </c>
      <c r="R11" s="678">
        <f>('11. 추정 BS'!H10+'11. 추정 BS'!H13+'11. 추정 BS'!H15+'11. 추정 BS'!H26+'11. 추정 BS'!H27)</f>
        <v>284110.77744399995</v>
      </c>
      <c r="S11" s="678">
        <f>('11. 추정 BS'!I10+'11. 추정 BS'!I13+'11. 추정 BS'!I15+'11. 추정 BS'!I26+'11. 추정 BS'!I27)</f>
        <v>284266.91925299994</v>
      </c>
      <c r="T11" s="678">
        <f>('11. 추정 BS'!J10+'11. 추정 BS'!J13+'11. 추정 BS'!J15+'11. 추정 BS'!J26+'11. 추정 BS'!J27)</f>
        <v>278793</v>
      </c>
      <c r="U11" s="678">
        <f>('11. 추정 BS'!K10+'11. 추정 BS'!K13+'11. 추정 BS'!K15+'11. 추정 BS'!K26+'11. 추정 BS'!K27)</f>
        <v>253319.46764299998</v>
      </c>
      <c r="V11" s="678">
        <f>('11. 추정 BS'!L10+'11. 추정 BS'!L13+'11. 추정 BS'!L15+'11. 추정 BS'!L26+'11. 추정 BS'!L27)</f>
        <v>253319.46764299998</v>
      </c>
      <c r="W11" s="678">
        <f>('11. 추정 BS'!M10+'11. 추정 BS'!M13+'11. 추정 BS'!M15+'11. 추정 BS'!M26+'11. 추정 BS'!M27)</f>
        <v>253319.46764299998</v>
      </c>
      <c r="X11" s="678">
        <f>('11. 추정 BS'!N10+'11. 추정 BS'!N13+'11. 추정 BS'!N15+'11. 추정 BS'!N26+'11. 추정 BS'!N27)</f>
        <v>253319.46764299998</v>
      </c>
      <c r="Y11" s="678">
        <f>('11. 추정 BS'!O10+'11. 추정 BS'!O13+'11. 추정 BS'!O15+'11. 추정 BS'!O26+'11. 추정 BS'!O27)</f>
        <v>253319.46764299998</v>
      </c>
      <c r="Z11" s="678">
        <f>('11. 추정 BS'!P10+'11. 추정 BS'!P13+'11. 추정 BS'!P15+'11. 추정 BS'!P26+'11. 추정 BS'!P27)</f>
        <v>253319.46764299998</v>
      </c>
      <c r="AA11" s="678">
        <f>('11. 추정 BS'!Q10+'11. 추정 BS'!Q13+'11. 추정 BS'!Q15+'11. 추정 BS'!Q26+'11. 추정 BS'!Q27)</f>
        <v>253319.46764299998</v>
      </c>
      <c r="AB11" s="678">
        <f t="shared" si="5"/>
        <v>10420</v>
      </c>
      <c r="AC11" s="678">
        <f t="shared" si="4"/>
        <v>84232.408900999988</v>
      </c>
      <c r="AD11" s="678">
        <f t="shared" si="4"/>
        <v>96415.694741999992</v>
      </c>
      <c r="AE11" s="678">
        <f t="shared" si="4"/>
        <v>293889.77744399995</v>
      </c>
      <c r="AF11" s="678">
        <f t="shared" si="4"/>
        <v>291347.91925299994</v>
      </c>
      <c r="AG11" s="678">
        <f t="shared" si="4"/>
        <v>288319</v>
      </c>
      <c r="AH11" s="678">
        <f t="shared" si="4"/>
        <v>262845.46764299995</v>
      </c>
      <c r="AI11" s="678">
        <f t="shared" si="4"/>
        <v>262845.46764299995</v>
      </c>
      <c r="AJ11" s="678">
        <f t="shared" si="4"/>
        <v>262845.46764299995</v>
      </c>
      <c r="AK11" s="678">
        <f t="shared" si="4"/>
        <v>262845.46764299995</v>
      </c>
      <c r="AL11" s="678">
        <f t="shared" si="4"/>
        <v>262845.46764299995</v>
      </c>
      <c r="AM11" s="678">
        <f t="shared" si="4"/>
        <v>262845.46764299995</v>
      </c>
      <c r="AN11" s="678">
        <f t="shared" si="4"/>
        <v>262845.46764299995</v>
      </c>
    </row>
    <row r="12" spans="1:40" ht="16.5" customHeight="1" x14ac:dyDescent="0.3">
      <c r="A12" s="679" t="s">
        <v>447</v>
      </c>
      <c r="B12" s="678">
        <f>'8. 추정 BS'!E12</f>
        <v>498903</v>
      </c>
      <c r="C12" s="678">
        <f>'8. 추정 BS'!F12</f>
        <v>25418</v>
      </c>
      <c r="D12" s="678">
        <f>'8. 추정 BS'!G12</f>
        <v>26164</v>
      </c>
      <c r="E12" s="678">
        <f>'8. 추정 BS'!H12</f>
        <v>24529</v>
      </c>
      <c r="F12" s="678">
        <f>'8. 추정 BS'!I12</f>
        <v>22303</v>
      </c>
      <c r="G12" s="678">
        <f>'8. 추정 BS'!J12</f>
        <v>10</v>
      </c>
      <c r="H12" s="678">
        <f>'8. 추정 BS'!K12</f>
        <v>10</v>
      </c>
      <c r="I12" s="678">
        <f>'8. 추정 BS'!L12</f>
        <v>10</v>
      </c>
      <c r="J12" s="678">
        <f>'8. 추정 BS'!M12</f>
        <v>10</v>
      </c>
      <c r="K12" s="678">
        <f>'8. 추정 BS'!N12</f>
        <v>10</v>
      </c>
      <c r="L12" s="678">
        <f>'8. 추정 BS'!O12</f>
        <v>10</v>
      </c>
      <c r="M12" s="678">
        <f>'8. 추정 BS'!P12</f>
        <v>10</v>
      </c>
      <c r="N12" s="678">
        <f>'8. 추정 BS'!Q12</f>
        <v>10</v>
      </c>
      <c r="O12" s="678">
        <f>'11. 추정 BS'!Y7+'11. 추정 BS'!Y8</f>
        <v>1504573.0126330017</v>
      </c>
      <c r="P12" s="678">
        <f>'11. 추정 BS'!Z7+'11. 추정 BS'!Z8</f>
        <v>2915816.9888979997</v>
      </c>
      <c r="Q12" s="678">
        <f>'11. 추정 BS'!AA7+'11. 추정 BS'!AA8</f>
        <v>2590722.8206680003</v>
      </c>
      <c r="R12" s="678">
        <f>'11. 추정 BS'!AB7+'11. 추정 BS'!AB8</f>
        <v>2430343.7707730001</v>
      </c>
      <c r="S12" s="678">
        <f>'11. 추정 BS'!AC7+'11. 추정 BS'!AC8</f>
        <v>1434420.145666</v>
      </c>
      <c r="T12" s="678">
        <f>'11. 추정 BS'!AD7+'11. 추정 BS'!AD8</f>
        <v>1352276</v>
      </c>
      <c r="U12" s="678">
        <f>'11. 추정 BS'!AE7+'11. 추정 BS'!AE8</f>
        <v>1462869.6430619629</v>
      </c>
      <c r="V12" s="678">
        <f>'11. 추정 BS'!AF7+'11. 추정 BS'!AF8</f>
        <v>1454728.6736839039</v>
      </c>
      <c r="W12" s="678">
        <f>'11. 추정 BS'!AG7+'11. 추정 BS'!AG8</f>
        <v>1437193.536124951</v>
      </c>
      <c r="X12" s="678">
        <f>'11. 추정 BS'!AH7+'11. 추정 BS'!AH8</f>
        <v>1426285.7869560327</v>
      </c>
      <c r="Y12" s="678">
        <f>'11. 추정 BS'!AI7+'11. 추정 BS'!AI8</f>
        <v>1428079.4757463993</v>
      </c>
      <c r="Z12" s="678">
        <f>'11. 추정 BS'!AJ7+'11. 추정 BS'!AJ8</f>
        <v>1423683.2840961271</v>
      </c>
      <c r="AA12" s="678">
        <f>'11. 추정 BS'!AK7+'11. 추정 BS'!AK8</f>
        <v>1422317.321823475</v>
      </c>
      <c r="AB12" s="678">
        <f t="shared" si="5"/>
        <v>498903</v>
      </c>
      <c r="AC12" s="678">
        <f t="shared" si="4"/>
        <v>2941234.9888979997</v>
      </c>
      <c r="AD12" s="678">
        <f t="shared" si="4"/>
        <v>2616886.8206680003</v>
      </c>
      <c r="AE12" s="678">
        <f t="shared" si="4"/>
        <v>2454872.7707730001</v>
      </c>
      <c r="AF12" s="678">
        <f t="shared" si="4"/>
        <v>1456723.145666</v>
      </c>
      <c r="AG12" s="678">
        <f t="shared" si="4"/>
        <v>1352286</v>
      </c>
      <c r="AH12" s="678">
        <f t="shared" si="4"/>
        <v>1462879.6430619629</v>
      </c>
      <c r="AI12" s="678">
        <f t="shared" si="4"/>
        <v>1454738.6736839039</v>
      </c>
      <c r="AJ12" s="678">
        <f t="shared" si="4"/>
        <v>1437203.536124951</v>
      </c>
      <c r="AK12" s="678">
        <f t="shared" si="4"/>
        <v>1426295.7869560327</v>
      </c>
      <c r="AL12" s="678">
        <f t="shared" si="4"/>
        <v>1428089.4757463993</v>
      </c>
      <c r="AM12" s="678">
        <f t="shared" si="4"/>
        <v>1423693.2840961271</v>
      </c>
      <c r="AN12" s="678">
        <f t="shared" si="4"/>
        <v>1422327.321823475</v>
      </c>
    </row>
    <row r="13" spans="1:40" ht="16.5" customHeight="1" x14ac:dyDescent="0.3">
      <c r="A13" s="679" t="s">
        <v>448</v>
      </c>
      <c r="B13" s="678">
        <f>'8. 추정 BS'!E23</f>
        <v>203</v>
      </c>
      <c r="C13" s="678">
        <f>'8. 추정 BS'!F23</f>
        <v>45001</v>
      </c>
      <c r="D13" s="678">
        <f>'8. 추정 BS'!G23</f>
        <v>48781</v>
      </c>
      <c r="E13" s="678">
        <f>'8. 추정 BS'!H23</f>
        <v>47987</v>
      </c>
      <c r="F13" s="678">
        <f>'8. 추정 BS'!I23</f>
        <v>48297.103974000027</v>
      </c>
      <c r="G13" s="678">
        <f>'8. 추정 BS'!J23</f>
        <v>48302.405250000011</v>
      </c>
      <c r="H13" s="678">
        <f>'8. 추정 BS'!K23</f>
        <v>48302.405250000011</v>
      </c>
      <c r="I13" s="678">
        <f>'8. 추정 BS'!L23</f>
        <v>48302.405250000011</v>
      </c>
      <c r="J13" s="678">
        <f>'8. 추정 BS'!M23</f>
        <v>48302.405250000011</v>
      </c>
      <c r="K13" s="678">
        <f>'8. 추정 BS'!N23</f>
        <v>48302.405250000011</v>
      </c>
      <c r="L13" s="678">
        <f>'8. 추정 BS'!O23</f>
        <v>48302.405250000011</v>
      </c>
      <c r="M13" s="678">
        <f>'8. 추정 BS'!P23</f>
        <v>48302.405250000011</v>
      </c>
      <c r="N13" s="678">
        <f>'8. 추정 BS'!Q23</f>
        <v>48302.405250000011</v>
      </c>
      <c r="O13" s="678">
        <f>('11. 추정 BS'!E39+'11. 추정 BS'!E56+'11. 추정 BS'!E57)</f>
        <v>864910.71355899994</v>
      </c>
      <c r="P13" s="678">
        <f>('11. 추정 BS'!F39+'11. 추정 BS'!F56+'11. 추정 BS'!F57)</f>
        <v>916827.78306299995</v>
      </c>
      <c r="Q13" s="678">
        <f>('11. 추정 BS'!G39+'11. 추정 BS'!G56+'11. 추정 BS'!G57)</f>
        <v>959606.45074999996</v>
      </c>
      <c r="R13" s="678">
        <f>('11. 추정 BS'!H39+'11. 추정 BS'!H56+'11. 추정 BS'!H57)</f>
        <v>775574.67308200011</v>
      </c>
      <c r="S13" s="678">
        <f>('11. 추정 BS'!I39+'11. 추정 BS'!I56+'11. 추정 BS'!I57)</f>
        <v>821843.30737000005</v>
      </c>
      <c r="T13" s="678">
        <f>('11. 추정 BS'!J39+'11. 추정 BS'!J56+'11. 추정 BS'!J57)</f>
        <v>770103</v>
      </c>
      <c r="U13" s="678">
        <f>('11. 추정 BS'!K39+'11. 추정 BS'!K56+'11. 추정 BS'!K57)</f>
        <v>804116.20246860944</v>
      </c>
      <c r="V13" s="678">
        <f>('11. 추정 BS'!L39+'11. 추정 BS'!L56+'11. 추정 BS'!L57)</f>
        <v>814296.10750170413</v>
      </c>
      <c r="W13" s="678">
        <f>('11. 추정 BS'!M39+'11. 추정 BS'!M56+'11. 추정 BS'!M57)</f>
        <v>824932.29497161659</v>
      </c>
      <c r="X13" s="678">
        <f>('11. 추정 BS'!N39+'11. 추정 BS'!N56+'11. 추정 BS'!N57)</f>
        <v>841084.93319247151</v>
      </c>
      <c r="Y13" s="678">
        <f>('11. 추정 BS'!O39+'11. 추정 BS'!O56+'11. 추정 BS'!O57)</f>
        <v>856007.97516472102</v>
      </c>
      <c r="Z13" s="678">
        <f>('11. 추정 BS'!P39+'11. 추정 BS'!P56+'11. 추정 BS'!P57)</f>
        <v>872933.42229026952</v>
      </c>
      <c r="AA13" s="678">
        <f>('11. 추정 BS'!Q39+'11. 추정 BS'!Q56+'11. 추정 BS'!Q57)</f>
        <v>892594.16068999015</v>
      </c>
      <c r="AB13" s="678">
        <f t="shared" si="5"/>
        <v>203</v>
      </c>
      <c r="AC13" s="678">
        <f t="shared" si="4"/>
        <v>961828.78306299995</v>
      </c>
      <c r="AD13" s="678">
        <f t="shared" si="4"/>
        <v>1008387.45075</v>
      </c>
      <c r="AE13" s="678">
        <f t="shared" si="4"/>
        <v>823561.67308200011</v>
      </c>
      <c r="AF13" s="678">
        <f t="shared" si="4"/>
        <v>870140.41134400014</v>
      </c>
      <c r="AG13" s="678">
        <f t="shared" si="4"/>
        <v>818405.40525000007</v>
      </c>
      <c r="AH13" s="678">
        <f t="shared" si="4"/>
        <v>852418.60771860951</v>
      </c>
      <c r="AI13" s="678">
        <f t="shared" si="4"/>
        <v>862598.51275170408</v>
      </c>
      <c r="AJ13" s="678">
        <f t="shared" si="4"/>
        <v>873234.70022161654</v>
      </c>
      <c r="AK13" s="678">
        <f t="shared" si="4"/>
        <v>889387.33844247158</v>
      </c>
      <c r="AL13" s="678">
        <f t="shared" si="4"/>
        <v>904310.38041472109</v>
      </c>
      <c r="AM13" s="678">
        <f t="shared" si="4"/>
        <v>921235.82754026959</v>
      </c>
      <c r="AN13" s="678">
        <f t="shared" si="4"/>
        <v>940896.56593999011</v>
      </c>
    </row>
    <row r="14" spans="1:40" ht="16.5" customHeight="1" x14ac:dyDescent="0.3">
      <c r="A14" s="679" t="s">
        <v>449</v>
      </c>
      <c r="B14" s="678">
        <f>'8. 추정 BS'!E15</f>
        <v>308483</v>
      </c>
      <c r="C14" s="678">
        <f>'8. 추정 BS'!F15</f>
        <v>424563.4</v>
      </c>
      <c r="D14" s="678">
        <f>'8. 추정 BS'!G15</f>
        <v>410985</v>
      </c>
      <c r="E14" s="678">
        <f>'8. 추정 BS'!H15</f>
        <v>403308</v>
      </c>
      <c r="F14" s="678">
        <f>'8. 추정 BS'!I15</f>
        <v>397786</v>
      </c>
      <c r="G14" s="678">
        <f>'8. 추정 BS'!J15</f>
        <v>389756</v>
      </c>
      <c r="H14" s="678">
        <f>'8. 추정 BS'!K15</f>
        <v>398451.3</v>
      </c>
      <c r="I14" s="678">
        <f>'8. 추정 BS'!L15</f>
        <v>398305.22823834198</v>
      </c>
      <c r="J14" s="678">
        <f>'8. 추정 BS'!M15</f>
        <v>398160.96580914926</v>
      </c>
      <c r="K14" s="678">
        <f>'8. 추정 BS'!N15</f>
        <v>398009.0511442165</v>
      </c>
      <c r="L14" s="678">
        <f>'8. 추정 BS'!O15</f>
        <v>397859.38441362185</v>
      </c>
      <c r="M14" s="678">
        <f>'8. 추정 BS'!P15</f>
        <v>397712.43184653547</v>
      </c>
      <c r="N14" s="678">
        <f>'8. 추정 BS'!Q15</f>
        <v>397568.14422237553</v>
      </c>
      <c r="O14" s="678">
        <f>('11. 추정 BS'!E53+'11. 추정 BS'!E55+'11. 추정 BS'!E58)</f>
        <v>2025823.1436550003</v>
      </c>
      <c r="P14" s="678">
        <f>('11. 추정 BS'!F53+'11. 추정 BS'!F55+'11. 추정 BS'!F58)</f>
        <v>2052521.8596720006</v>
      </c>
      <c r="Q14" s="678">
        <f>('11. 추정 BS'!G53+'11. 추정 BS'!G55+'11. 추정 BS'!G58)</f>
        <v>2214774.8761990005</v>
      </c>
      <c r="R14" s="678">
        <f>('11. 추정 BS'!H53+'11. 추정 BS'!H55+'11. 추정 BS'!H58)</f>
        <v>2414441.3018050008</v>
      </c>
      <c r="S14" s="678">
        <f>('11. 추정 BS'!I53+'11. 추정 BS'!I55+'11. 추정 BS'!I58)</f>
        <v>2667092.8702260004</v>
      </c>
      <c r="T14" s="678">
        <f>('11. 추정 BS'!J53+'11. 추정 BS'!J55+'11. 추정 BS'!J58)</f>
        <v>2578925</v>
      </c>
      <c r="U14" s="678">
        <f>('11. 추정 BS'!K53+'11. 추정 BS'!K55+'11. 추정 BS'!K58)</f>
        <v>2618535.6300721671</v>
      </c>
      <c r="V14" s="678">
        <f>('11. 추정 BS'!L53+'11. 추정 BS'!L55+'11. 추정 BS'!L58)</f>
        <v>2650575.8848393457</v>
      </c>
      <c r="W14" s="678">
        <f>('11. 추정 BS'!M53+'11. 추정 BS'!M55+'11. 추정 BS'!M58)</f>
        <v>2680934.7910701348</v>
      </c>
      <c r="X14" s="678">
        <f>('11. 추정 BS'!N53+'11. 추정 BS'!N55+'11. 추정 BS'!N58)</f>
        <v>2731338.6054792292</v>
      </c>
      <c r="Y14" s="678">
        <f>('11. 추정 BS'!O53+'11. 추정 BS'!O55+'11. 추정 BS'!O58)</f>
        <v>2783678.3302540607</v>
      </c>
      <c r="Z14" s="678">
        <f>('11. 추정 BS'!P53+'11. 추정 BS'!P55+'11. 추정 BS'!P58)</f>
        <v>2841340.868863347</v>
      </c>
      <c r="AA14" s="678">
        <f>('11. 추정 BS'!Q53+'11. 추정 BS'!Q55+'11. 추정 BS'!Q58)</f>
        <v>2901140.1123507461</v>
      </c>
      <c r="AB14" s="678">
        <f t="shared" si="5"/>
        <v>308483</v>
      </c>
      <c r="AC14" s="678">
        <f t="shared" si="4"/>
        <v>2477085.2596720005</v>
      </c>
      <c r="AD14" s="678">
        <f t="shared" si="4"/>
        <v>2625759.8761990005</v>
      </c>
      <c r="AE14" s="678">
        <f t="shared" si="4"/>
        <v>2817749.3018050008</v>
      </c>
      <c r="AF14" s="678">
        <f t="shared" si="4"/>
        <v>3064878.8702260004</v>
      </c>
      <c r="AG14" s="678">
        <f t="shared" si="4"/>
        <v>2968681</v>
      </c>
      <c r="AH14" s="678">
        <f t="shared" si="4"/>
        <v>3016986.930072167</v>
      </c>
      <c r="AI14" s="678">
        <f t="shared" si="4"/>
        <v>3048881.1130776876</v>
      </c>
      <c r="AJ14" s="678">
        <f t="shared" si="4"/>
        <v>3079095.756879284</v>
      </c>
      <c r="AK14" s="678">
        <f t="shared" si="4"/>
        <v>3129347.6566234459</v>
      </c>
      <c r="AL14" s="678">
        <f t="shared" si="4"/>
        <v>3181537.7146676825</v>
      </c>
      <c r="AM14" s="678">
        <f t="shared" si="4"/>
        <v>3239053.3007098823</v>
      </c>
      <c r="AN14" s="678">
        <f t="shared" si="4"/>
        <v>3298708.2565731215</v>
      </c>
    </row>
    <row r="15" spans="1:40" ht="16.5" customHeight="1" x14ac:dyDescent="0.3">
      <c r="A15" s="679" t="s">
        <v>450</v>
      </c>
      <c r="B15" s="678">
        <f>'8. 추정 BS'!E19</f>
        <v>13105</v>
      </c>
      <c r="C15" s="678">
        <f>'8. 추정 BS'!F19</f>
        <v>14971</v>
      </c>
      <c r="D15" s="678">
        <f>'8. 추정 BS'!G19</f>
        <v>17862</v>
      </c>
      <c r="E15" s="678">
        <f>'8. 추정 BS'!H19</f>
        <v>18390</v>
      </c>
      <c r="F15" s="678">
        <f>'8. 추정 BS'!I19</f>
        <v>19062</v>
      </c>
      <c r="G15" s="678">
        <f>'8. 추정 BS'!J19</f>
        <v>17586</v>
      </c>
      <c r="H15" s="678">
        <f>'8. 추정 BS'!K19</f>
        <v>17586</v>
      </c>
      <c r="I15" s="678">
        <f>'8. 추정 BS'!L19</f>
        <v>17586</v>
      </c>
      <c r="J15" s="678">
        <f>'8. 추정 BS'!M19</f>
        <v>17586</v>
      </c>
      <c r="K15" s="678">
        <f>'8. 추정 BS'!N19</f>
        <v>17586</v>
      </c>
      <c r="L15" s="678">
        <f>'8. 추정 BS'!O19</f>
        <v>17586</v>
      </c>
      <c r="M15" s="678">
        <f>'8. 추정 BS'!P19</f>
        <v>17586</v>
      </c>
      <c r="N15" s="678">
        <f>'8. 추정 BS'!Q19</f>
        <v>17586</v>
      </c>
      <c r="O15" s="678">
        <f>'11. 추정 BS'!E54</f>
        <v>94450.392814999999</v>
      </c>
      <c r="P15" s="678">
        <f>'11. 추정 BS'!F54</f>
        <v>165931.78537699993</v>
      </c>
      <c r="Q15" s="678">
        <f>'11. 추정 BS'!G54</f>
        <v>141017.26405600001</v>
      </c>
      <c r="R15" s="678">
        <f>'11. 추정 BS'!H54</f>
        <v>135544.49279300004</v>
      </c>
      <c r="S15" s="678">
        <f>'11. 추정 BS'!I54</f>
        <v>148332.39316800004</v>
      </c>
      <c r="T15" s="678">
        <f>'11. 추정 BS'!J54</f>
        <v>137638</v>
      </c>
      <c r="U15" s="678">
        <f>'11. 추정 BS'!K54</f>
        <v>139014.38</v>
      </c>
      <c r="V15" s="678">
        <f>'11. 추정 BS'!L54</f>
        <v>140404.5238</v>
      </c>
      <c r="W15" s="678">
        <f>'11. 추정 BS'!M54</f>
        <v>141808.56903799999</v>
      </c>
      <c r="X15" s="678">
        <f>'11. 추정 BS'!N54</f>
        <v>143226.65472837997</v>
      </c>
      <c r="Y15" s="678">
        <f>'11. 추정 BS'!O54</f>
        <v>144658.92127566377</v>
      </c>
      <c r="Z15" s="678">
        <f>'11. 추정 BS'!P54</f>
        <v>146105.5104884204</v>
      </c>
      <c r="AA15" s="678">
        <f>'11. 추정 BS'!Q54</f>
        <v>147566.56559330461</v>
      </c>
      <c r="AB15" s="678">
        <f t="shared" si="5"/>
        <v>13105</v>
      </c>
      <c r="AC15" s="678">
        <f t="shared" si="4"/>
        <v>180902.78537699993</v>
      </c>
      <c r="AD15" s="678">
        <f t="shared" si="4"/>
        <v>158879.26405600001</v>
      </c>
      <c r="AE15" s="678">
        <f t="shared" si="4"/>
        <v>153934.49279300004</v>
      </c>
      <c r="AF15" s="678">
        <f t="shared" si="4"/>
        <v>167394.39316800004</v>
      </c>
      <c r="AG15" s="678">
        <f t="shared" si="4"/>
        <v>155224</v>
      </c>
      <c r="AH15" s="678">
        <f t="shared" si="4"/>
        <v>156600.38</v>
      </c>
      <c r="AI15" s="678">
        <f t="shared" si="4"/>
        <v>157990.5238</v>
      </c>
      <c r="AJ15" s="678">
        <f t="shared" si="4"/>
        <v>159394.56903799999</v>
      </c>
      <c r="AK15" s="678">
        <f t="shared" si="4"/>
        <v>160812.65472837997</v>
      </c>
      <c r="AL15" s="678">
        <f t="shared" si="4"/>
        <v>162244.92127566377</v>
      </c>
      <c r="AM15" s="678">
        <f t="shared" si="4"/>
        <v>163691.5104884204</v>
      </c>
      <c r="AN15" s="678">
        <f t="shared" si="4"/>
        <v>165152.56559330461</v>
      </c>
    </row>
    <row r="16" spans="1:40" ht="16.5" customHeight="1" x14ac:dyDescent="0.3">
      <c r="A16" s="675" t="s">
        <v>377</v>
      </c>
      <c r="B16" s="676"/>
      <c r="C16" s="676"/>
      <c r="D16" s="676"/>
      <c r="E16" s="676"/>
      <c r="F16" s="676"/>
      <c r="G16" s="678"/>
      <c r="H16" s="678"/>
      <c r="I16" s="678"/>
      <c r="J16" s="678"/>
      <c r="K16" s="678"/>
      <c r="L16" s="678"/>
      <c r="M16" s="678"/>
      <c r="N16" s="678"/>
      <c r="O16" s="678">
        <f t="shared" ref="O16:AN16" si="6">O17+O18</f>
        <v>3278403.2765870001</v>
      </c>
      <c r="P16" s="678">
        <f t="shared" si="6"/>
        <v>4398723.0650399998</v>
      </c>
      <c r="Q16" s="678">
        <f t="shared" si="6"/>
        <v>4775193.2391349999</v>
      </c>
      <c r="R16" s="678">
        <f t="shared" si="6"/>
        <v>5119972.2233190006</v>
      </c>
      <c r="S16" s="678">
        <f t="shared" si="6"/>
        <v>5034478.7624949981</v>
      </c>
      <c r="T16" s="678">
        <f t="shared" si="6"/>
        <v>4979478</v>
      </c>
      <c r="U16" s="678">
        <f t="shared" si="6"/>
        <v>4918847.4634200167</v>
      </c>
      <c r="V16" s="678">
        <f t="shared" si="6"/>
        <v>4947622.795507865</v>
      </c>
      <c r="W16" s="678">
        <f t="shared" si="6"/>
        <v>4982858.5542272273</v>
      </c>
      <c r="X16" s="678">
        <f t="shared" si="6"/>
        <v>5030371.5042594792</v>
      </c>
      <c r="Y16" s="678">
        <f t="shared" si="6"/>
        <v>5083104.2117606541</v>
      </c>
      <c r="Z16" s="678">
        <f t="shared" si="6"/>
        <v>5140391.8225600161</v>
      </c>
      <c r="AA16" s="678">
        <f t="shared" si="6"/>
        <v>5203716.962462754</v>
      </c>
      <c r="AB16" s="678">
        <f t="shared" si="6"/>
        <v>312868</v>
      </c>
      <c r="AC16" s="678">
        <f t="shared" si="6"/>
        <v>3571988.0650399998</v>
      </c>
      <c r="AD16" s="678">
        <f t="shared" si="6"/>
        <v>3834672.2391349999</v>
      </c>
      <c r="AE16" s="678">
        <f t="shared" si="6"/>
        <v>4126787.2233190006</v>
      </c>
      <c r="AF16" s="678">
        <f t="shared" si="6"/>
        <v>3951434.8285689983</v>
      </c>
      <c r="AG16" s="678">
        <f t="shared" si="6"/>
        <v>3790614.92533739</v>
      </c>
      <c r="AH16" s="678">
        <f t="shared" si="6"/>
        <v>3663172.6097936709</v>
      </c>
      <c r="AI16" s="678">
        <f t="shared" si="6"/>
        <v>3614257.2811177783</v>
      </c>
      <c r="AJ16" s="678">
        <f t="shared" si="6"/>
        <v>3575964.5307572903</v>
      </c>
      <c r="AK16" s="678">
        <f t="shared" si="6"/>
        <v>3551876.6503368048</v>
      </c>
      <c r="AL16" s="678">
        <f t="shared" si="6"/>
        <v>3534590.0043088933</v>
      </c>
      <c r="AM16" s="678">
        <f t="shared" si="6"/>
        <v>3523282.118044911</v>
      </c>
      <c r="AN16" s="678">
        <f t="shared" si="6"/>
        <v>3518550.8898453629</v>
      </c>
    </row>
    <row r="17" spans="1:40" ht="16.5" customHeight="1" x14ac:dyDescent="0.3">
      <c r="A17" s="677" t="s">
        <v>378</v>
      </c>
      <c r="B17" s="678">
        <f>'8. 추정 BS'!E29</f>
        <v>285467</v>
      </c>
      <c r="C17" s="678">
        <f>'8. 추정 BS'!F29</f>
        <v>252855</v>
      </c>
      <c r="D17" s="678">
        <f>'8. 추정 BS'!G29</f>
        <v>280636</v>
      </c>
      <c r="E17" s="678">
        <f>'8. 추정 BS'!H29</f>
        <v>304373</v>
      </c>
      <c r="F17" s="678">
        <f>'8. 추정 BS'!I29</f>
        <v>288766.9621</v>
      </c>
      <c r="G17" s="678">
        <f>'8. 추정 BS'!J29</f>
        <v>305590.26261999999</v>
      </c>
      <c r="H17" s="678">
        <f>'8. 추정 BS'!K29</f>
        <v>239812.26030019257</v>
      </c>
      <c r="I17" s="678">
        <f>'8. 추정 BS'!L29</f>
        <v>237332.35533688767</v>
      </c>
      <c r="J17" s="678">
        <f>'8. 추정 BS'!M29</f>
        <v>234498.44559417735</v>
      </c>
      <c r="K17" s="678">
        <f>'8. 추정 BS'!N29</f>
        <v>232064.80907395174</v>
      </c>
      <c r="L17" s="678">
        <f>'8. 추정 BS'!O29</f>
        <v>229966.2385393751</v>
      </c>
      <c r="M17" s="678">
        <f>'8. 추정 BS'!P29</f>
        <v>228311.07850397599</v>
      </c>
      <c r="N17" s="678">
        <f>'8. 추정 BS'!Q29</f>
        <v>227266.66228145495</v>
      </c>
      <c r="O17" s="678">
        <f>'11. 추정 BS'!E63</f>
        <v>1261776.7339030001</v>
      </c>
      <c r="P17" s="678">
        <f>'11. 추정 BS'!F63</f>
        <v>1316547.2462279999</v>
      </c>
      <c r="Q17" s="678">
        <f>'11. 추정 BS'!G63</f>
        <v>1446297.7068650001</v>
      </c>
      <c r="R17" s="678">
        <f>'11. 추정 BS'!H63</f>
        <v>1773288.0903500002</v>
      </c>
      <c r="S17" s="678">
        <f>'11. 추정 BS'!I63</f>
        <v>1458973.3714750002</v>
      </c>
      <c r="T17" s="678">
        <f>'11. 추정 BS'!J63</f>
        <v>1421050</v>
      </c>
      <c r="U17" s="678">
        <f>'11. 추정 BS'!K63</f>
        <v>1554031.4714158685</v>
      </c>
      <c r="V17" s="678">
        <f>'11. 추정 BS'!L63</f>
        <v>1366053.2897022404</v>
      </c>
      <c r="W17" s="678">
        <f>'11. 추정 BS'!M63</f>
        <v>1379314.5044338561</v>
      </c>
      <c r="X17" s="678">
        <f>'11. 추정 BS'!N63</f>
        <v>1399502.2826153748</v>
      </c>
      <c r="Y17" s="678">
        <f>'11. 추정 BS'!O63</f>
        <v>1421331.8373720818</v>
      </c>
      <c r="Z17" s="678">
        <f>'11. 추정 BS'!P63</f>
        <v>1443479.2326214151</v>
      </c>
      <c r="AA17" s="678">
        <f>'11. 추정 BS'!Q63</f>
        <v>1468811.8144094257</v>
      </c>
      <c r="AB17" s="678">
        <f t="shared" si="5"/>
        <v>285467</v>
      </c>
      <c r="AC17" s="678">
        <f t="shared" si="4"/>
        <v>1569402.2462279999</v>
      </c>
      <c r="AD17" s="678">
        <f t="shared" si="4"/>
        <v>1726933.7068650001</v>
      </c>
      <c r="AE17" s="678">
        <f t="shared" si="4"/>
        <v>2077661.0903500002</v>
      </c>
      <c r="AF17" s="678">
        <f t="shared" si="4"/>
        <v>1747740.3335750001</v>
      </c>
      <c r="AG17" s="678">
        <f t="shared" si="4"/>
        <v>1726640.2626199999</v>
      </c>
      <c r="AH17" s="678">
        <f t="shared" si="4"/>
        <v>1793843.731716061</v>
      </c>
      <c r="AI17" s="678">
        <f t="shared" si="4"/>
        <v>1603385.6450391281</v>
      </c>
      <c r="AJ17" s="678">
        <f t="shared" si="4"/>
        <v>1613812.9500280335</v>
      </c>
      <c r="AK17" s="678">
        <f t="shared" si="4"/>
        <v>1631567.0916893266</v>
      </c>
      <c r="AL17" s="678">
        <f t="shared" si="4"/>
        <v>1651298.075911457</v>
      </c>
      <c r="AM17" s="678">
        <f t="shared" si="4"/>
        <v>1671790.3111253912</v>
      </c>
      <c r="AN17" s="678">
        <f t="shared" si="4"/>
        <v>1696078.4766908807</v>
      </c>
    </row>
    <row r="18" spans="1:40" ht="16.5" customHeight="1" x14ac:dyDescent="0.3">
      <c r="A18" s="677" t="s">
        <v>379</v>
      </c>
      <c r="B18" s="678">
        <f>'8. 추정 BS'!E36</f>
        <v>27401</v>
      </c>
      <c r="C18" s="678">
        <f>'8. 추정 BS'!F36</f>
        <v>-1079590</v>
      </c>
      <c r="D18" s="678">
        <f>'8. 추정 BS'!G36</f>
        <v>-1221157</v>
      </c>
      <c r="E18" s="678">
        <f>'8. 추정 BS'!H36</f>
        <v>-1297558</v>
      </c>
      <c r="F18" s="678">
        <f>'8. 추정 BS'!I36</f>
        <v>-1371810.8960259999</v>
      </c>
      <c r="G18" s="678">
        <f>'8. 추정 BS'!J36</f>
        <v>-1494453.3372826099</v>
      </c>
      <c r="H18" s="678">
        <f>'8. 추정 BS'!K36</f>
        <v>-1495487.1139265387</v>
      </c>
      <c r="I18" s="678">
        <f>'8. 추정 BS'!L36</f>
        <v>-1570697.8697269741</v>
      </c>
      <c r="J18" s="678">
        <f>'8. 추정 BS'!M36</f>
        <v>-1641392.4690641146</v>
      </c>
      <c r="K18" s="678">
        <f>'8. 추정 BS'!N36</f>
        <v>-1710559.6629966265</v>
      </c>
      <c r="L18" s="678">
        <f>'8. 추정 BS'!O36</f>
        <v>-1778480.4459911357</v>
      </c>
      <c r="M18" s="678">
        <f>'8. 추정 BS'!P36</f>
        <v>-1845420.783019081</v>
      </c>
      <c r="N18" s="678">
        <f>'8. 추정 BS'!Q36</f>
        <v>-1912432.7348988464</v>
      </c>
      <c r="O18" s="678">
        <f>'11. 추정 BS'!E86</f>
        <v>2016626.5426839998</v>
      </c>
      <c r="P18" s="678">
        <f>'11. 추정 BS'!F86</f>
        <v>3082175.8188120001</v>
      </c>
      <c r="Q18" s="678">
        <f>'11. 추정 BS'!G86</f>
        <v>3328895.5322699999</v>
      </c>
      <c r="R18" s="678">
        <f>'11. 추정 BS'!H86</f>
        <v>3346684.1329690004</v>
      </c>
      <c r="S18" s="678">
        <f>'11. 추정 BS'!I86</f>
        <v>3575505.3910199981</v>
      </c>
      <c r="T18" s="678">
        <f>'11. 추정 BS'!J86</f>
        <v>3558428</v>
      </c>
      <c r="U18" s="678">
        <f>'11. 추정 BS'!K86</f>
        <v>3364815.9920041487</v>
      </c>
      <c r="V18" s="678">
        <f>'11. 추정 BS'!L86</f>
        <v>3581569.5058056242</v>
      </c>
      <c r="W18" s="678">
        <f>'11. 추정 BS'!M86</f>
        <v>3603544.0497933715</v>
      </c>
      <c r="X18" s="678">
        <f>'11. 추정 BS'!N86</f>
        <v>3630869.2216441045</v>
      </c>
      <c r="Y18" s="678">
        <f>'11. 추정 BS'!O86</f>
        <v>3661772.3743885723</v>
      </c>
      <c r="Z18" s="678">
        <f>'11. 추정 BS'!P86</f>
        <v>3696912.5899386005</v>
      </c>
      <c r="AA18" s="678">
        <f>'11. 추정 BS'!Q86</f>
        <v>3734905.1480533285</v>
      </c>
      <c r="AB18" s="678">
        <f t="shared" si="5"/>
        <v>27401</v>
      </c>
      <c r="AC18" s="678">
        <f t="shared" si="4"/>
        <v>2002585.8188120001</v>
      </c>
      <c r="AD18" s="678">
        <f t="shared" si="4"/>
        <v>2107738.5322699999</v>
      </c>
      <c r="AE18" s="678">
        <f t="shared" si="4"/>
        <v>2049126.1329690004</v>
      </c>
      <c r="AF18" s="678">
        <f>F18+S18</f>
        <v>2203694.4949939982</v>
      </c>
      <c r="AG18" s="678">
        <f t="shared" si="4"/>
        <v>2063974.6627173901</v>
      </c>
      <c r="AH18" s="678">
        <f t="shared" si="4"/>
        <v>1869328.8780776099</v>
      </c>
      <c r="AI18" s="678">
        <f t="shared" si="4"/>
        <v>2010871.6360786501</v>
      </c>
      <c r="AJ18" s="678">
        <f t="shared" si="4"/>
        <v>1962151.5807292568</v>
      </c>
      <c r="AK18" s="678">
        <f t="shared" si="4"/>
        <v>1920309.558647478</v>
      </c>
      <c r="AL18" s="678">
        <f t="shared" si="4"/>
        <v>1883291.9283974366</v>
      </c>
      <c r="AM18" s="678">
        <f t="shared" si="4"/>
        <v>1851491.8069195196</v>
      </c>
      <c r="AN18" s="678">
        <f t="shared" si="4"/>
        <v>1822472.4131544821</v>
      </c>
    </row>
    <row r="19" spans="1:40" ht="16.5" customHeight="1" x14ac:dyDescent="0.3">
      <c r="A19" s="679" t="s">
        <v>890</v>
      </c>
      <c r="B19" s="678">
        <f>'8. 추정 BS'!E30</f>
        <v>194499</v>
      </c>
      <c r="C19" s="678">
        <f>'8. 추정 BS'!F30</f>
        <v>188079</v>
      </c>
      <c r="D19" s="678">
        <f>'8. 추정 BS'!G30</f>
        <v>229146</v>
      </c>
      <c r="E19" s="678">
        <f>'8. 추정 BS'!H30</f>
        <v>214067</v>
      </c>
      <c r="F19" s="678">
        <f>'8. 추정 BS'!I30</f>
        <v>170757.9621</v>
      </c>
      <c r="G19" s="678">
        <f>'8. 추정 BS'!J30</f>
        <v>161884.26261999999</v>
      </c>
      <c r="H19" s="678">
        <f>'8. 추정 BS'!K30</f>
        <v>170754.57171018593</v>
      </c>
      <c r="I19" s="678">
        <f>'8. 추정 BS'!L30</f>
        <v>169116.03103787469</v>
      </c>
      <c r="J19" s="678">
        <f>'8. 추정 BS'!M30</f>
        <v>167501.66940959092</v>
      </c>
      <c r="K19" s="678">
        <f>'8. 추정 BS'!N30</f>
        <v>165911.09336992542</v>
      </c>
      <c r="L19" s="678">
        <f>'8. 추정 BS'!O30</f>
        <v>164518.12345489708</v>
      </c>
      <c r="M19" s="678">
        <f>'8. 추정 BS'!P30</f>
        <v>163432.98137272583</v>
      </c>
      <c r="N19" s="678">
        <f>'8. 추정 BS'!Q30</f>
        <v>162698.2060202545</v>
      </c>
      <c r="O19" s="678">
        <f>'11. 추정 BS'!Y17</f>
        <v>509900.08990000002</v>
      </c>
      <c r="P19" s="678">
        <f>'11. 추정 BS'!Z17</f>
        <v>471656.49572700012</v>
      </c>
      <c r="Q19" s="678">
        <f>'11. 추정 BS'!AA17</f>
        <v>535986.33848500007</v>
      </c>
      <c r="R19" s="678">
        <f>'11. 추정 BS'!AB17</f>
        <v>756479.56911699986</v>
      </c>
      <c r="S19" s="678">
        <f>'11. 추정 BS'!AC17</f>
        <v>511534.65700200002</v>
      </c>
      <c r="T19" s="678">
        <f>'11. 추정 BS'!AD17</f>
        <v>554027</v>
      </c>
      <c r="U19" s="678">
        <f>'11. 추정 BS'!AE17</f>
        <v>519240.07545366924</v>
      </c>
      <c r="V19" s="678">
        <f>'11. 추정 BS'!AF17</f>
        <v>527126.96067548275</v>
      </c>
      <c r="W19" s="678">
        <f>'11. 추정 BS'!AG17</f>
        <v>535281.65980212879</v>
      </c>
      <c r="X19" s="678">
        <f>'11. 추정 BS'!AH17</f>
        <v>544169.89864109724</v>
      </c>
      <c r="Y19" s="678">
        <f>'11. 추정 BS'!AI17</f>
        <v>553246.09069795697</v>
      </c>
      <c r="Z19" s="678">
        <f>'11. 추정 BS'!AJ17</f>
        <v>563350.84412549855</v>
      </c>
      <c r="AA19" s="678">
        <f>'11. 추정 BS'!AK17</f>
        <v>574355.04059349908</v>
      </c>
      <c r="AB19" s="678">
        <f t="shared" si="5"/>
        <v>194499</v>
      </c>
      <c r="AC19" s="678">
        <f t="shared" si="4"/>
        <v>659735.49572700006</v>
      </c>
      <c r="AD19" s="678">
        <f t="shared" si="4"/>
        <v>765132.33848500007</v>
      </c>
      <c r="AE19" s="678">
        <f t="shared" si="4"/>
        <v>970546.56911699986</v>
      </c>
      <c r="AF19" s="678">
        <f t="shared" si="4"/>
        <v>682292.61910200003</v>
      </c>
      <c r="AG19" s="678">
        <f t="shared" si="4"/>
        <v>715911.26261999994</v>
      </c>
      <c r="AH19" s="678">
        <f t="shared" si="4"/>
        <v>689994.64716385514</v>
      </c>
      <c r="AI19" s="678">
        <f t="shared" si="4"/>
        <v>696242.99171335739</v>
      </c>
      <c r="AJ19" s="678">
        <f t="shared" si="4"/>
        <v>702783.32921171968</v>
      </c>
      <c r="AK19" s="678">
        <f t="shared" si="4"/>
        <v>710080.99201102264</v>
      </c>
      <c r="AL19" s="678">
        <f t="shared" si="4"/>
        <v>717764.21415285405</v>
      </c>
      <c r="AM19" s="678">
        <f t="shared" si="4"/>
        <v>726783.82549822435</v>
      </c>
      <c r="AN19" s="678">
        <f t="shared" si="4"/>
        <v>737053.24661375361</v>
      </c>
    </row>
    <row r="20" spans="1:40" ht="16.5" customHeight="1" x14ac:dyDescent="0.3">
      <c r="A20" s="679" t="s">
        <v>452</v>
      </c>
      <c r="B20" s="678"/>
      <c r="C20" s="678">
        <f>'8. 추정 BS'!F37</f>
        <v>-1128491</v>
      </c>
      <c r="D20" s="678">
        <f>'8. 추정 BS'!G37</f>
        <v>-1262074</v>
      </c>
      <c r="E20" s="678">
        <f>'8. 추정 BS'!H37</f>
        <v>-1336691</v>
      </c>
      <c r="F20" s="678">
        <f>'8. 추정 BS'!I37</f>
        <v>-1418863.8960259999</v>
      </c>
      <c r="G20" s="678">
        <f>'8. 추정 BS'!J37</f>
        <v>-1538785.3372826099</v>
      </c>
      <c r="H20" s="678">
        <f>'8. 추정 BS'!K37</f>
        <v>-1539819.1139265387</v>
      </c>
      <c r="I20" s="678">
        <f>'8. 추정 BS'!L37</f>
        <v>-1615029.8697269741</v>
      </c>
      <c r="J20" s="678">
        <f>'8. 추정 BS'!M37</f>
        <v>-1685724.4690641146</v>
      </c>
      <c r="K20" s="678">
        <f>'8. 추정 BS'!N37</f>
        <v>-1754891.6629966265</v>
      </c>
      <c r="L20" s="678">
        <f>'8. 추정 BS'!O37</f>
        <v>-1822812.4459911357</v>
      </c>
      <c r="M20" s="678">
        <f>'8. 추정 BS'!P37</f>
        <v>-1889752.783019081</v>
      </c>
      <c r="N20" s="678">
        <f>'8. 추정 BS'!Q37</f>
        <v>-1956764.7348988464</v>
      </c>
      <c r="O20" s="678">
        <f>'11. 추정 BS'!Y15+'11. 추정 BS'!Y16</f>
        <v>2296054.7513179998</v>
      </c>
      <c r="P20" s="678">
        <f>'11. 추정 BS'!Z15+'11. 추정 BS'!Z16</f>
        <v>3333894.241651</v>
      </c>
      <c r="Q20" s="678">
        <f>'11. 추정 BS'!AA15+'11. 추정 BS'!AA16</f>
        <v>3666114.3359119995</v>
      </c>
      <c r="R20" s="678">
        <f>'11. 추정 BS'!AB15+'11. 추정 BS'!AB16</f>
        <v>3853497.5074829999</v>
      </c>
      <c r="S20" s="678">
        <f>'11. 추정 BS'!AC15+'11. 추정 BS'!AC16</f>
        <v>4037486.118443998</v>
      </c>
      <c r="T20" s="678">
        <f>'11. 추정 BS'!AD15+'11. 추정 BS'!AD16</f>
        <v>3960090</v>
      </c>
      <c r="U20" s="678">
        <f>'11. 추정 BS'!AE15+'11. 추정 BS'!AE16</f>
        <v>3917465.24926202</v>
      </c>
      <c r="V20" s="678">
        <f>'11. 추정 BS'!AF15+'11. 추정 BS'!AF16</f>
        <v>3943859.3674079617</v>
      </c>
      <c r="W20" s="678">
        <f>'11. 추정 BS'!AG15+'11. 추정 BS'!AG16</f>
        <v>3980564.103431223</v>
      </c>
      <c r="X20" s="678">
        <f>'11. 추정 BS'!AH15+'11. 추정 BS'!AH16</f>
        <v>4020238.6898689251</v>
      </c>
      <c r="Y20" s="678">
        <f>'11. 추정 BS'!AI15+'11. 추정 BS'!AI16</f>
        <v>4061731.938677765</v>
      </c>
      <c r="Z20" s="678">
        <f>'11. 추정 BS'!AJ15+'11. 추정 BS'!AJ16</f>
        <v>4106879.7806775146</v>
      </c>
      <c r="AA20" s="678">
        <f>'11. 추정 BS'!AK15+'11. 추정 BS'!AK16</f>
        <v>4154264.771385882</v>
      </c>
      <c r="AB20" s="678">
        <f t="shared" si="5"/>
        <v>0</v>
      </c>
      <c r="AC20" s="678">
        <f t="shared" si="4"/>
        <v>2205403.241651</v>
      </c>
      <c r="AD20" s="678">
        <f t="shared" si="4"/>
        <v>2404040.3359119995</v>
      </c>
      <c r="AE20" s="678">
        <f t="shared" si="4"/>
        <v>2516806.5074829999</v>
      </c>
      <c r="AF20" s="678">
        <f t="shared" si="4"/>
        <v>2618622.2224179981</v>
      </c>
      <c r="AG20" s="678">
        <f t="shared" si="4"/>
        <v>2421304.6627173899</v>
      </c>
      <c r="AH20" s="678">
        <f t="shared" si="4"/>
        <v>2377646.1353354813</v>
      </c>
      <c r="AI20" s="678">
        <f t="shared" si="4"/>
        <v>2328829.4976809877</v>
      </c>
      <c r="AJ20" s="678">
        <f t="shared" si="4"/>
        <v>2294839.6343671083</v>
      </c>
      <c r="AK20" s="678">
        <f t="shared" si="4"/>
        <v>2265347.0268722987</v>
      </c>
      <c r="AL20" s="678">
        <f t="shared" si="4"/>
        <v>2238919.4926866293</v>
      </c>
      <c r="AM20" s="678">
        <f t="shared" si="4"/>
        <v>2217126.9976584334</v>
      </c>
      <c r="AN20" s="678">
        <f t="shared" si="4"/>
        <v>2197500.0364870355</v>
      </c>
    </row>
    <row r="21" spans="1:40" ht="16.5" customHeight="1" x14ac:dyDescent="0.3">
      <c r="A21" s="679" t="s">
        <v>453</v>
      </c>
      <c r="B21" s="678">
        <f>'8. 추정 BS'!E34</f>
        <v>19688</v>
      </c>
      <c r="C21" s="678">
        <f>'8. 추정 BS'!F34</f>
        <v>0</v>
      </c>
      <c r="D21" s="678">
        <f>'8. 추정 BS'!G34</f>
        <v>0</v>
      </c>
      <c r="E21" s="678">
        <f>'8. 추정 BS'!H34</f>
        <v>29436</v>
      </c>
      <c r="F21" s="678">
        <f>'8. 추정 BS'!I34</f>
        <v>58688</v>
      </c>
      <c r="G21" s="678">
        <f>'8. 추정 BS'!J34</f>
        <v>83335</v>
      </c>
      <c r="H21" s="678">
        <f>'8. 추정 BS'!K34</f>
        <v>12417.136780940733</v>
      </c>
      <c r="I21" s="678">
        <f>'8. 추정 BS'!L34</f>
        <v>12113.857256290641</v>
      </c>
      <c r="J21" s="678">
        <f>'8. 추정 BS'!M34</f>
        <v>11424.453687085475</v>
      </c>
      <c r="K21" s="678">
        <f>'8. 추정 BS'!N34</f>
        <v>11103.726738501664</v>
      </c>
      <c r="L21" s="678">
        <f>'8. 추정 BS'!O34</f>
        <v>10855.567245632566</v>
      </c>
      <c r="M21" s="678">
        <f>'8. 추정 BS'!P34</f>
        <v>10641.902011383076</v>
      </c>
      <c r="N21" s="678">
        <f>'8. 추정 BS'!Q34</f>
        <v>10573.555990177041</v>
      </c>
      <c r="O21" s="678">
        <f>'11. 추정 BS'!E80</f>
        <v>29568.024300000005</v>
      </c>
      <c r="P21" s="678">
        <f>'11. 추정 BS'!F80</f>
        <v>35657.101554000001</v>
      </c>
      <c r="Q21" s="678">
        <f>'11. 추정 BS'!G80</f>
        <v>24519.525725</v>
      </c>
      <c r="R21" s="678">
        <f>'11. 추정 BS'!H80</f>
        <v>2450.3451710000081</v>
      </c>
      <c r="S21" s="678">
        <f>'11. 추정 BS'!I80</f>
        <v>-29878.518245999985</v>
      </c>
      <c r="T21" s="678">
        <f>'11. 추정 BS'!J80</f>
        <v>-62052</v>
      </c>
      <c r="U21" s="678">
        <f>'11. 추정 BS'!K80</f>
        <v>10150.351571241525</v>
      </c>
      <c r="V21" s="678">
        <f>'11. 추정 BS'!L80</f>
        <v>14852.881724318075</v>
      </c>
      <c r="W21" s="678">
        <f>'11. 추정 BS'!M80</f>
        <v>15389.434969584567</v>
      </c>
      <c r="X21" s="678">
        <f>'11. 추정 BS'!N80</f>
        <v>15878.395844354103</v>
      </c>
      <c r="Y21" s="678">
        <f>'11. 추정 BS'!O80</f>
        <v>18054.650451511749</v>
      </c>
      <c r="Z21" s="678">
        <f>'11. 추정 BS'!P80</f>
        <v>19160.20767578268</v>
      </c>
      <c r="AA21" s="678">
        <f>'11. 추정 BS'!Q80</f>
        <v>20594.759324108491</v>
      </c>
      <c r="AB21" s="678">
        <f t="shared" si="5"/>
        <v>19688</v>
      </c>
      <c r="AC21" s="678">
        <f t="shared" si="4"/>
        <v>35657.101554000001</v>
      </c>
      <c r="AD21" s="678">
        <f t="shared" si="4"/>
        <v>24519.525725</v>
      </c>
      <c r="AE21" s="678">
        <f t="shared" si="4"/>
        <v>31886.345171000008</v>
      </c>
      <c r="AF21" s="678">
        <f t="shared" si="4"/>
        <v>28809.481754000015</v>
      </c>
      <c r="AG21" s="678">
        <f t="shared" si="4"/>
        <v>21283</v>
      </c>
      <c r="AH21" s="678">
        <f t="shared" si="4"/>
        <v>22567.488352182256</v>
      </c>
      <c r="AI21" s="678">
        <f t="shared" si="4"/>
        <v>26966.738980608716</v>
      </c>
      <c r="AJ21" s="678">
        <f t="shared" si="4"/>
        <v>26813.888656670042</v>
      </c>
      <c r="AK21" s="678">
        <f t="shared" si="4"/>
        <v>26982.122582855765</v>
      </c>
      <c r="AL21" s="678">
        <f t="shared" si="4"/>
        <v>28910.217697144315</v>
      </c>
      <c r="AM21" s="678">
        <f t="shared" si="4"/>
        <v>29802.109687165757</v>
      </c>
      <c r="AN21" s="678">
        <f t="shared" si="4"/>
        <v>31168.31531428553</v>
      </c>
    </row>
    <row r="22" spans="1:40" ht="16.5" customHeight="1" x14ac:dyDescent="0.3">
      <c r="A22" s="679" t="s">
        <v>454</v>
      </c>
      <c r="B22" s="678">
        <f>'8. 추정 BS'!E35+'8. 추정 BS'!E41</f>
        <v>2806</v>
      </c>
      <c r="C22" s="678">
        <f>'8. 추정 BS'!F35+'8. 추정 BS'!F41</f>
        <v>2799</v>
      </c>
      <c r="D22" s="678">
        <f>'8. 추정 BS'!G35+'8. 추정 BS'!G41</f>
        <v>2932</v>
      </c>
      <c r="E22" s="678">
        <f>'8. 추정 BS'!H35+'8. 추정 BS'!H41</f>
        <v>3113</v>
      </c>
      <c r="F22" s="678">
        <f>'8. 추정 BS'!I35+'8. 추정 BS'!I41</f>
        <v>2438</v>
      </c>
      <c r="G22" s="678">
        <f>'8. 추정 BS'!J35+'8. 추정 BS'!J41</f>
        <v>1447</v>
      </c>
      <c r="H22" s="678">
        <f>'8. 추정 BS'!K35+'8. 추정 BS'!K41</f>
        <v>2168.150698192369</v>
      </c>
      <c r="I22" s="678">
        <f>'8. 추정 BS'!L35+'8. 추정 BS'!L41</f>
        <v>2147.3453805536828</v>
      </c>
      <c r="J22" s="678">
        <f>'8. 추정 BS'!M35+'8. 추정 BS'!M41</f>
        <v>2126.8470755511139</v>
      </c>
      <c r="K22" s="678">
        <f>'8. 추정 BS'!N35+'8. 추정 BS'!N41</f>
        <v>2106.6507872972215</v>
      </c>
      <c r="L22" s="678">
        <f>'8. 추정 BS'!O35+'8. 추정 BS'!O41</f>
        <v>2088.9635964736835</v>
      </c>
      <c r="M22" s="678">
        <f>'8. 추정 BS'!P35+'8. 추정 BS'!P41</f>
        <v>2075.1850396858113</v>
      </c>
      <c r="N22" s="678">
        <f>'8. 추정 BS'!Q35+'8. 추정 BS'!Q41</f>
        <v>2065.8552532120461</v>
      </c>
      <c r="O22" s="678"/>
      <c r="P22" s="678"/>
      <c r="Q22" s="678"/>
      <c r="R22" s="678"/>
      <c r="S22" s="678"/>
      <c r="T22" s="678"/>
      <c r="U22" s="678"/>
      <c r="V22" s="678"/>
      <c r="W22" s="678"/>
      <c r="X22" s="678"/>
      <c r="Y22" s="678"/>
      <c r="Z22" s="678"/>
      <c r="AA22" s="678"/>
      <c r="AB22" s="678">
        <f t="shared" si="5"/>
        <v>2806</v>
      </c>
      <c r="AC22" s="678">
        <f t="shared" ref="AC22:AN33" si="7">C22+P22</f>
        <v>2799</v>
      </c>
      <c r="AD22" s="678">
        <f t="shared" si="7"/>
        <v>2932</v>
      </c>
      <c r="AE22" s="678">
        <f t="shared" si="7"/>
        <v>3113</v>
      </c>
      <c r="AF22" s="678">
        <f t="shared" si="7"/>
        <v>2438</v>
      </c>
      <c r="AG22" s="678">
        <f t="shared" si="7"/>
        <v>1447</v>
      </c>
      <c r="AH22" s="678">
        <f t="shared" si="7"/>
        <v>2168.150698192369</v>
      </c>
      <c r="AI22" s="678">
        <f t="shared" si="7"/>
        <v>2147.3453805536828</v>
      </c>
      <c r="AJ22" s="678">
        <f t="shared" si="7"/>
        <v>2126.8470755511139</v>
      </c>
      <c r="AK22" s="678">
        <f t="shared" si="7"/>
        <v>2106.6507872972215</v>
      </c>
      <c r="AL22" s="678">
        <f t="shared" si="7"/>
        <v>2088.9635964736835</v>
      </c>
      <c r="AM22" s="678">
        <f t="shared" si="7"/>
        <v>2075.1850396858113</v>
      </c>
      <c r="AN22" s="678">
        <f t="shared" si="7"/>
        <v>2065.8552532120461</v>
      </c>
    </row>
    <row r="23" spans="1:40" ht="16.5" customHeight="1" x14ac:dyDescent="0.3">
      <c r="A23" s="679" t="s">
        <v>455</v>
      </c>
      <c r="B23" s="678">
        <f>'8. 추정 BS'!E31</f>
        <v>68474</v>
      </c>
      <c r="C23" s="678">
        <f>'8. 추정 BS'!F31</f>
        <v>61977</v>
      </c>
      <c r="D23" s="678">
        <f>'8. 추정 BS'!G31</f>
        <v>48558</v>
      </c>
      <c r="E23" s="678">
        <f>'8. 추정 BS'!H31</f>
        <v>57757</v>
      </c>
      <c r="F23" s="678">
        <f>'8. 추정 BS'!I31</f>
        <v>56883</v>
      </c>
      <c r="G23" s="678">
        <f>'8. 추정 BS'!J31</f>
        <v>58924</v>
      </c>
      <c r="H23" s="678">
        <f>'8. 추정 BS'!K31</f>
        <v>54472.401110873558</v>
      </c>
      <c r="I23" s="678">
        <f>'8. 추정 BS'!L31</f>
        <v>53955.12166216864</v>
      </c>
      <c r="J23" s="678">
        <f>'8. 추정 BS'!M31</f>
        <v>53445.475421949828</v>
      </c>
      <c r="K23" s="678">
        <f>'8. 추정 BS'!N31</f>
        <v>52943.338178227423</v>
      </c>
      <c r="L23" s="678">
        <f>'8. 추정 BS'!O31</f>
        <v>52503.584242371799</v>
      </c>
      <c r="M23" s="678">
        <f>'8. 추정 BS'!P31</f>
        <v>52161.010080181302</v>
      </c>
      <c r="N23" s="678">
        <f>'8. 추정 BS'!Q31</f>
        <v>51929.045017811382</v>
      </c>
      <c r="O23" s="678">
        <f>('11. 추정 BS'!E69+'11. 추정 BS'!E71+'11. 추정 BS'!E79)+'11. 추정 BS'!E67+'11. 추정 BS'!E83+'11. 추정 BS'!E89</f>
        <v>226498.66237800001</v>
      </c>
      <c r="P23" s="678">
        <f>('11. 추정 BS'!F69+'11. 추정 BS'!F71+'11. 추정 BS'!F79)+'11. 추정 BS'!F67+'11. 추정 BS'!F89</f>
        <v>245759.79010999997</v>
      </c>
      <c r="Q23" s="678">
        <f>('11. 추정 BS'!G69+'11. 추정 BS'!G71+'11. 추정 BS'!G79)+'11. 추정 BS'!G67+'11. 추정 BS'!G89</f>
        <v>261827.75633800001</v>
      </c>
      <c r="R23" s="678">
        <f>('11. 추정 BS'!H69+'11. 추정 BS'!H71+'11. 추정 BS'!H79)+'11. 추정 BS'!H67+'11. 추정 BS'!H89</f>
        <v>264822.45042300003</v>
      </c>
      <c r="S23" s="678">
        <f>('11. 추정 BS'!I69+'11. 추정 BS'!I71+'11. 추정 BS'!I79)+'11. 추정 BS'!I67+'11. 추정 BS'!I89</f>
        <v>277031.122821</v>
      </c>
      <c r="T23" s="678">
        <f>('11. 추정 BS'!J69+'11. 추정 BS'!J71+'11. 추정 BS'!J79)+'11. 추정 BS'!J67+'11. 추정 BS'!J89</f>
        <v>285542</v>
      </c>
      <c r="U23" s="678">
        <f>('11. 추정 BS'!K69+'11. 추정 BS'!K71+'11. 추정 BS'!K79)+'11. 추정 BS'!K67+'11. 추정 BS'!K89</f>
        <v>282844.92389662162</v>
      </c>
      <c r="V23" s="678">
        <f>('11. 추정 BS'!L69+'11. 추정 BS'!L71+'11. 추정 BS'!L79)+'11. 추정 BS'!L67+'11. 추정 BS'!L89</f>
        <v>289645.43015801086</v>
      </c>
      <c r="W23" s="678">
        <f>('11. 추정 BS'!M69+'11. 추정 BS'!M71+'11. 추정 BS'!M79)+'11. 추정 BS'!M67+'11. 추정 BS'!M89</f>
        <v>290565.8315446279</v>
      </c>
      <c r="X23" s="678">
        <f>('11. 추정 BS'!N69+'11. 추정 BS'!N71+'11. 추정 BS'!N79)+'11. 추정 BS'!N67+'11. 추정 BS'!N89</f>
        <v>296701.68544171919</v>
      </c>
      <c r="Y23" s="678">
        <f>('11. 추정 BS'!O69+'11. 추정 BS'!O71+'11. 추정 BS'!O79)+'11. 추정 BS'!O67+'11. 추정 BS'!O89</f>
        <v>301905.37587021274</v>
      </c>
      <c r="Z23" s="678">
        <f>('11. 추정 BS'!P69+'11. 추정 BS'!P71+'11. 추정 BS'!P79)+'11. 추정 BS'!P67+'11. 추정 BS'!P89</f>
        <v>306412.47106092988</v>
      </c>
      <c r="AA23" s="678">
        <f>('11. 추정 BS'!Q69+'11. 추정 BS'!Q71+'11. 추정 BS'!Q79)+'11. 추정 BS'!Q67+'11. 추정 BS'!Q89</f>
        <v>312382.67507747223</v>
      </c>
      <c r="AB23" s="678">
        <f t="shared" si="5"/>
        <v>68474</v>
      </c>
      <c r="AC23" s="678">
        <f t="shared" si="7"/>
        <v>307736.79010999994</v>
      </c>
      <c r="AD23" s="678">
        <f t="shared" si="7"/>
        <v>310385.75633800001</v>
      </c>
      <c r="AE23" s="678">
        <f t="shared" si="7"/>
        <v>322579.45042300003</v>
      </c>
      <c r="AF23" s="678">
        <f t="shared" si="7"/>
        <v>333914.122821</v>
      </c>
      <c r="AG23" s="678">
        <f t="shared" si="7"/>
        <v>344466</v>
      </c>
      <c r="AH23" s="678">
        <f t="shared" si="7"/>
        <v>337317.32500749518</v>
      </c>
      <c r="AI23" s="678">
        <f t="shared" si="7"/>
        <v>343600.55182017951</v>
      </c>
      <c r="AJ23" s="678">
        <f t="shared" si="7"/>
        <v>344011.30696657771</v>
      </c>
      <c r="AK23" s="678">
        <f t="shared" si="7"/>
        <v>349645.02361994662</v>
      </c>
      <c r="AL23" s="678">
        <f t="shared" si="7"/>
        <v>354408.96011258452</v>
      </c>
      <c r="AM23" s="678">
        <f t="shared" si="7"/>
        <v>358573.48114111117</v>
      </c>
      <c r="AN23" s="678">
        <f t="shared" si="7"/>
        <v>364311.72009528358</v>
      </c>
    </row>
    <row r="24" spans="1:40" ht="16.5" customHeight="1" x14ac:dyDescent="0.3">
      <c r="A24" s="679" t="s">
        <v>456</v>
      </c>
      <c r="B24" s="678">
        <f>'8. 추정 BS'!E38</f>
        <v>2824</v>
      </c>
      <c r="C24" s="678">
        <f>'8. 추정 BS'!F38</f>
        <v>1056</v>
      </c>
      <c r="D24" s="678">
        <f>'8. 추정 BS'!G38</f>
        <v>-7713</v>
      </c>
      <c r="E24" s="678">
        <f>'8. 추정 BS'!H38</f>
        <v>-9394</v>
      </c>
      <c r="F24" s="678">
        <f>'8. 추정 BS'!I38</f>
        <v>-1698</v>
      </c>
      <c r="G24" s="678">
        <f>'8. 추정 BS'!J38</f>
        <v>-4265</v>
      </c>
      <c r="H24" s="678">
        <f>'8. 추정 BS'!K38</f>
        <v>-4265</v>
      </c>
      <c r="I24" s="678">
        <f>'8. 추정 BS'!L38</f>
        <v>-4265</v>
      </c>
      <c r="J24" s="678">
        <f>'8. 추정 BS'!M38</f>
        <v>-4265</v>
      </c>
      <c r="K24" s="678">
        <f>'8. 추정 BS'!N38</f>
        <v>-4265</v>
      </c>
      <c r="L24" s="678">
        <f>'8. 추정 BS'!O38</f>
        <v>-4265</v>
      </c>
      <c r="M24" s="678">
        <f>'8. 추정 BS'!P38</f>
        <v>-4265</v>
      </c>
      <c r="N24" s="678">
        <f>'8. 추정 BS'!Q38</f>
        <v>-4265</v>
      </c>
      <c r="O24" s="678">
        <f>'11. 추정 BS'!E99</f>
        <v>-3445.7873749999276</v>
      </c>
      <c r="P24" s="678">
        <f>'11. 추정 BS'!F99</f>
        <v>0</v>
      </c>
      <c r="Q24" s="678">
        <f>'11. 추정 BS'!G99</f>
        <v>0</v>
      </c>
      <c r="R24" s="678">
        <f>'11. 추정 BS'!H99</f>
        <v>0</v>
      </c>
      <c r="S24" s="678">
        <f>'11. 추정 BS'!I99</f>
        <v>0</v>
      </c>
      <c r="T24" s="678">
        <f>'11. 추정 BS'!J99</f>
        <v>0</v>
      </c>
      <c r="U24" s="678">
        <f>'11. 추정 BS'!K99</f>
        <v>0</v>
      </c>
      <c r="V24" s="678">
        <f>'11. 추정 BS'!L99</f>
        <v>0</v>
      </c>
      <c r="W24" s="678">
        <f>'11. 추정 BS'!M99</f>
        <v>0</v>
      </c>
      <c r="X24" s="678">
        <f>'11. 추정 BS'!N99</f>
        <v>0</v>
      </c>
      <c r="Y24" s="678">
        <f>'11. 추정 BS'!O99</f>
        <v>0</v>
      </c>
      <c r="Z24" s="678">
        <f>'11. 추정 BS'!P99</f>
        <v>0</v>
      </c>
      <c r="AA24" s="678">
        <f>'11. 추정 BS'!Q99</f>
        <v>0</v>
      </c>
      <c r="AB24" s="678">
        <f t="shared" si="5"/>
        <v>2824</v>
      </c>
      <c r="AC24" s="678">
        <f t="shared" si="7"/>
        <v>1056</v>
      </c>
      <c r="AD24" s="678">
        <f t="shared" si="7"/>
        <v>-7713</v>
      </c>
      <c r="AE24" s="678">
        <f t="shared" si="7"/>
        <v>-9394</v>
      </c>
      <c r="AF24" s="678">
        <f t="shared" si="7"/>
        <v>-1698</v>
      </c>
      <c r="AG24" s="678">
        <f t="shared" si="7"/>
        <v>-4265</v>
      </c>
      <c r="AH24" s="678">
        <f t="shared" si="7"/>
        <v>-4265</v>
      </c>
      <c r="AI24" s="678">
        <f t="shared" si="7"/>
        <v>-4265</v>
      </c>
      <c r="AJ24" s="678">
        <f t="shared" si="7"/>
        <v>-4265</v>
      </c>
      <c r="AK24" s="678">
        <f t="shared" si="7"/>
        <v>-4265</v>
      </c>
      <c r="AL24" s="678">
        <f t="shared" si="7"/>
        <v>-4265</v>
      </c>
      <c r="AM24" s="678">
        <f t="shared" si="7"/>
        <v>-4265</v>
      </c>
      <c r="AN24" s="678">
        <f t="shared" si="7"/>
        <v>-4265</v>
      </c>
    </row>
    <row r="25" spans="1:40" ht="16.5" customHeight="1" x14ac:dyDescent="0.3">
      <c r="A25" s="679" t="s">
        <v>457</v>
      </c>
      <c r="B25" s="678">
        <f>'8. 추정 BS'!E37+'8. 추정 BS'!E39+'8. 추정 BS'!E40</f>
        <v>24577</v>
      </c>
      <c r="C25" s="678">
        <f>+'8. 추정 BS'!F39+'8. 추정 BS'!F40</f>
        <v>47845</v>
      </c>
      <c r="D25" s="678">
        <f>+'8. 추정 BS'!G39+'8. 추정 BS'!G40</f>
        <v>48630</v>
      </c>
      <c r="E25" s="678">
        <f>+'8. 추정 BS'!H39+'8. 추정 BS'!H40</f>
        <v>48527</v>
      </c>
      <c r="F25" s="678">
        <f>+'8. 추정 BS'!I39+'8. 추정 BS'!I40</f>
        <v>48751</v>
      </c>
      <c r="G25" s="678">
        <f>+'8. 추정 BS'!J39+'8. 추정 BS'!J40</f>
        <v>48597</v>
      </c>
      <c r="H25" s="678">
        <f>+'8. 추정 BS'!K39+'8. 추정 BS'!K40</f>
        <v>48597</v>
      </c>
      <c r="I25" s="678">
        <f>+'8. 추정 BS'!L39+'8. 추정 BS'!L40</f>
        <v>48597</v>
      </c>
      <c r="J25" s="678">
        <f>+'8. 추정 BS'!M39+'8. 추정 BS'!M40</f>
        <v>48597</v>
      </c>
      <c r="K25" s="678">
        <f>+'8. 추정 BS'!N39+'8. 추정 BS'!N40</f>
        <v>48597</v>
      </c>
      <c r="L25" s="678">
        <f>+'8. 추정 BS'!O39+'8. 추정 BS'!O40</f>
        <v>48597</v>
      </c>
      <c r="M25" s="678">
        <f>+'8. 추정 BS'!P39+'8. 추정 BS'!P40</f>
        <v>48597</v>
      </c>
      <c r="N25" s="678">
        <f>+'8. 추정 BS'!Q39+'8. 추정 BS'!Q40</f>
        <v>48597</v>
      </c>
      <c r="O25" s="678">
        <f>('11. 추정 BS'!E90+'11. 추정 BS'!E96+'11. 추정 BS'!E97+'11. 추정 BS'!E98+'11. 추정 BS'!E100)</f>
        <v>219827.53606600006</v>
      </c>
      <c r="P25" s="678">
        <f>('11. 추정 BS'!F90+'11. 추정 BS'!F96+'11. 추정 BS'!F97+'11. 추정 BS'!F98+'11. 추정 BS'!F100)</f>
        <v>311755.43599800003</v>
      </c>
      <c r="Q25" s="678">
        <f>('11. 추정 BS'!G90+'11. 추정 BS'!G96+'11. 추정 BS'!G97+'11. 추정 BS'!G98+'11. 추정 BS'!G100)</f>
        <v>286745.28267500002</v>
      </c>
      <c r="R25" s="678">
        <f>('11. 추정 BS'!H90+'11. 추정 BS'!H96+'11. 추정 BS'!H97+'11. 추정 BS'!H98+'11. 추정 BS'!H100)</f>
        <v>242722.35112499999</v>
      </c>
      <c r="S25" s="678">
        <f>('11. 추정 BS'!I90+'11. 추정 BS'!I96+'11. 추정 BS'!I97+'11. 추정 BS'!I98+'11. 추정 BS'!I100)</f>
        <v>238305.38247399998</v>
      </c>
      <c r="T25" s="678">
        <f>('11. 추정 BS'!J90+'11. 추정 BS'!J96+'11. 추정 BS'!J97+'11. 추정 BS'!J98+'11. 추정 BS'!J100)</f>
        <v>241871</v>
      </c>
      <c r="U25" s="678">
        <f>('11. 추정 BS'!K90+'11. 추정 BS'!K96+'11. 추정 BS'!K97+'11. 추정 BS'!K98+'11. 추정 BS'!K100)</f>
        <v>189146.86323646479</v>
      </c>
      <c r="V25" s="678">
        <f>('11. 추정 BS'!L90+'11. 추정 BS'!L96+'11. 추정 BS'!L97+'11. 추정 BS'!L98+'11. 추정 BS'!L100)</f>
        <v>172138.15554209086</v>
      </c>
      <c r="W25" s="678">
        <f>('11. 추정 BS'!M90+'11. 추정 BS'!M96+'11. 추정 BS'!M97+'11. 추정 BS'!M98+'11. 추정 BS'!M100)</f>
        <v>161057.52447966349</v>
      </c>
      <c r="X25" s="678">
        <f>('11. 추정 BS'!N90+'11. 추정 BS'!N96+'11. 추정 BS'!N97+'11. 추정 BS'!N98+'11. 추정 BS'!N100)</f>
        <v>153382.83446338354</v>
      </c>
      <c r="Y25" s="678">
        <f>('11. 추정 BS'!O90+'11. 추정 BS'!O96+'11. 추정 BS'!O97+'11. 추정 BS'!O98+'11. 추정 BS'!O100)</f>
        <v>148166.15606320769</v>
      </c>
      <c r="Z25" s="678">
        <f>('11. 추정 BS'!P90+'11. 추정 BS'!P96+'11. 추정 BS'!P97+'11. 추정 BS'!P98+'11. 추정 BS'!P100)</f>
        <v>144588.51902028965</v>
      </c>
      <c r="AA25" s="678">
        <f>('11. 추정 BS'!Q90+'11. 추정 BS'!Q96+'11. 추정 BS'!Q97+'11. 추정 BS'!Q98+'11. 추정 BS'!Q100)</f>
        <v>142119.71608179249</v>
      </c>
      <c r="AB25" s="678">
        <f t="shared" si="5"/>
        <v>24577</v>
      </c>
      <c r="AC25" s="678">
        <f t="shared" si="7"/>
        <v>359600.43599800003</v>
      </c>
      <c r="AD25" s="678">
        <f t="shared" si="7"/>
        <v>335375.28267500002</v>
      </c>
      <c r="AE25" s="678">
        <f t="shared" si="7"/>
        <v>291249.35112499999</v>
      </c>
      <c r="AF25" s="678">
        <f t="shared" si="7"/>
        <v>287056.38247399998</v>
      </c>
      <c r="AG25" s="678">
        <f t="shared" si="7"/>
        <v>290468</v>
      </c>
      <c r="AH25" s="678">
        <f t="shared" si="7"/>
        <v>237743.86323646479</v>
      </c>
      <c r="AI25" s="678">
        <f t="shared" si="7"/>
        <v>220735.15554209086</v>
      </c>
      <c r="AJ25" s="678">
        <f t="shared" si="7"/>
        <v>209654.52447966349</v>
      </c>
      <c r="AK25" s="678">
        <f t="shared" si="7"/>
        <v>201979.83446338354</v>
      </c>
      <c r="AL25" s="678">
        <f t="shared" si="7"/>
        <v>196763.15606320769</v>
      </c>
      <c r="AM25" s="678">
        <f t="shared" si="7"/>
        <v>193185.51902028965</v>
      </c>
      <c r="AN25" s="678">
        <f t="shared" si="7"/>
        <v>190716.71608179249</v>
      </c>
    </row>
    <row r="26" spans="1:40" ht="16.5" customHeight="1" x14ac:dyDescent="0.3">
      <c r="A26" s="675" t="s">
        <v>380</v>
      </c>
      <c r="B26" s="676"/>
      <c r="C26" s="676"/>
      <c r="D26" s="676"/>
      <c r="E26" s="676"/>
      <c r="F26" s="676"/>
      <c r="G26" s="678"/>
      <c r="H26" s="678"/>
      <c r="I26" s="678"/>
      <c r="J26" s="678"/>
      <c r="K26" s="678"/>
      <c r="L26" s="678"/>
      <c r="M26" s="678"/>
      <c r="N26" s="678"/>
      <c r="O26" s="678"/>
      <c r="P26" s="678"/>
      <c r="Q26" s="678"/>
      <c r="R26" s="678"/>
      <c r="S26" s="678"/>
      <c r="T26" s="678"/>
      <c r="U26" s="678"/>
      <c r="V26" s="678"/>
      <c r="W26" s="678"/>
      <c r="X26" s="678"/>
      <c r="Y26" s="678"/>
      <c r="Z26" s="678"/>
      <c r="AA26" s="678"/>
      <c r="AB26" s="678"/>
      <c r="AC26" s="678"/>
      <c r="AD26" s="678"/>
      <c r="AE26" s="678"/>
      <c r="AF26" s="678"/>
      <c r="AG26" s="678"/>
      <c r="AH26" s="678"/>
      <c r="AI26" s="678"/>
      <c r="AJ26" s="678"/>
      <c r="AK26" s="678"/>
      <c r="AL26" s="678"/>
      <c r="AM26" s="678"/>
      <c r="AN26" s="678"/>
    </row>
    <row r="27" spans="1:40" ht="16.5" customHeight="1" x14ac:dyDescent="0.3">
      <c r="A27" s="679" t="s">
        <v>458</v>
      </c>
      <c r="B27" s="678">
        <f>'8. 추정 BS'!E44</f>
        <v>32813</v>
      </c>
      <c r="C27" s="678">
        <f>'8. 추정 BS'!F44</f>
        <v>27718</v>
      </c>
      <c r="D27" s="678">
        <f>'8. 추정 BS'!G44</f>
        <v>27718</v>
      </c>
      <c r="E27" s="678">
        <f>'8. 추정 BS'!H44</f>
        <v>27718</v>
      </c>
      <c r="F27" s="678">
        <f>'8. 추정 BS'!I44</f>
        <v>27718</v>
      </c>
      <c r="G27" s="678">
        <f>'8. 추정 BS'!J44</f>
        <v>27718</v>
      </c>
      <c r="H27" s="678">
        <f>'8. 추정 BS'!K44</f>
        <v>27718</v>
      </c>
      <c r="I27" s="678">
        <f>'8. 추정 BS'!L44</f>
        <v>27718</v>
      </c>
      <c r="J27" s="678">
        <f>'8. 추정 BS'!M44</f>
        <v>27718</v>
      </c>
      <c r="K27" s="678">
        <f>'8. 추정 BS'!N44</f>
        <v>27718</v>
      </c>
      <c r="L27" s="678">
        <f>'8. 추정 BS'!O44</f>
        <v>27718</v>
      </c>
      <c r="M27" s="678">
        <f>'8. 추정 BS'!P44</f>
        <v>27718</v>
      </c>
      <c r="N27" s="678">
        <f>'8. 추정 BS'!Q44</f>
        <v>27718</v>
      </c>
      <c r="O27" s="678">
        <f>'11. 추정 BS'!E108</f>
        <v>77000</v>
      </c>
      <c r="P27" s="678">
        <f>'11. 추정 BS'!F108</f>
        <v>77000.000000000015</v>
      </c>
      <c r="Q27" s="678">
        <f>'11. 추정 BS'!G108</f>
        <v>77000.000000000015</v>
      </c>
      <c r="R27" s="678">
        <f>'11. 추정 BS'!H108</f>
        <v>77000.000000000015</v>
      </c>
      <c r="S27" s="678">
        <f>'11. 추정 BS'!I108</f>
        <v>55889.493000000002</v>
      </c>
      <c r="T27" s="678">
        <f>'11. 추정 BS'!J108</f>
        <v>55889</v>
      </c>
      <c r="U27" s="678">
        <f>'11. 추정 BS'!K108</f>
        <v>55889.493000000002</v>
      </c>
      <c r="V27" s="678">
        <f>'11. 추정 BS'!L108</f>
        <v>55889.493000000002</v>
      </c>
      <c r="W27" s="678">
        <f>'11. 추정 BS'!M108</f>
        <v>55889.493000000002</v>
      </c>
      <c r="X27" s="678">
        <f>'11. 추정 BS'!N108</f>
        <v>55889.493000000002</v>
      </c>
      <c r="Y27" s="678">
        <f>'11. 추정 BS'!O108</f>
        <v>55889.493000000002</v>
      </c>
      <c r="Z27" s="678">
        <f>'11. 추정 BS'!P108</f>
        <v>55889.493000000002</v>
      </c>
      <c r="AA27" s="678">
        <f>'11. 추정 BS'!Q108</f>
        <v>55889.493000000002</v>
      </c>
      <c r="AB27" s="678">
        <f t="shared" si="5"/>
        <v>32813</v>
      </c>
      <c r="AC27" s="678">
        <f t="shared" si="7"/>
        <v>104718.00000000001</v>
      </c>
      <c r="AD27" s="678">
        <f t="shared" si="7"/>
        <v>104718.00000000001</v>
      </c>
      <c r="AE27" s="678">
        <f t="shared" si="7"/>
        <v>104718.00000000001</v>
      </c>
      <c r="AF27" s="678">
        <f t="shared" si="7"/>
        <v>83607.493000000002</v>
      </c>
      <c r="AG27" s="678">
        <f t="shared" si="7"/>
        <v>83607</v>
      </c>
      <c r="AH27" s="678">
        <f t="shared" si="7"/>
        <v>83607.493000000002</v>
      </c>
      <c r="AI27" s="678">
        <f t="shared" si="7"/>
        <v>83607.493000000002</v>
      </c>
      <c r="AJ27" s="678">
        <f t="shared" si="7"/>
        <v>83607.493000000002</v>
      </c>
      <c r="AK27" s="678">
        <f t="shared" si="7"/>
        <v>83607.493000000002</v>
      </c>
      <c r="AL27" s="678">
        <f t="shared" si="7"/>
        <v>83607.493000000002</v>
      </c>
      <c r="AM27" s="678">
        <f t="shared" si="7"/>
        <v>83607.493000000002</v>
      </c>
      <c r="AN27" s="678">
        <f t="shared" si="7"/>
        <v>83607.493000000002</v>
      </c>
    </row>
    <row r="28" spans="1:40" ht="16.5" customHeight="1" x14ac:dyDescent="0.3">
      <c r="A28" s="679" t="s">
        <v>459</v>
      </c>
      <c r="B28" s="678">
        <f>'8. 추정 BS'!E45</f>
        <v>110531</v>
      </c>
      <c r="C28" s="678">
        <f>'8. 추정 BS'!F45</f>
        <v>0</v>
      </c>
      <c r="D28" s="678">
        <f>'8. 추정 BS'!G45</f>
        <v>0</v>
      </c>
      <c r="E28" s="678">
        <f>'8. 추정 BS'!H45</f>
        <v>0</v>
      </c>
      <c r="F28" s="678">
        <f>'8. 추정 BS'!I45</f>
        <v>0</v>
      </c>
      <c r="G28" s="678">
        <f>'8. 추정 BS'!J45</f>
        <v>0</v>
      </c>
      <c r="H28" s="678">
        <f>'8. 추정 BS'!K45</f>
        <v>0</v>
      </c>
      <c r="I28" s="678">
        <f>'8. 추정 BS'!L45</f>
        <v>0</v>
      </c>
      <c r="J28" s="678">
        <f>'8. 추정 BS'!M45</f>
        <v>0</v>
      </c>
      <c r="K28" s="678">
        <f>'8. 추정 BS'!N45</f>
        <v>0</v>
      </c>
      <c r="L28" s="678">
        <f>'8. 추정 BS'!O45</f>
        <v>0</v>
      </c>
      <c r="M28" s="678">
        <f>'8. 추정 BS'!P45</f>
        <v>0</v>
      </c>
      <c r="N28" s="678">
        <f>'8. 추정 BS'!Q45</f>
        <v>0</v>
      </c>
      <c r="O28" s="678">
        <f>'11. 추정 BS'!E114</f>
        <v>152112.70104099999</v>
      </c>
      <c r="P28" s="678">
        <f>'11. 추정 BS'!F114</f>
        <v>1195692.464341</v>
      </c>
      <c r="Q28" s="678">
        <f>'11. 추정 BS'!G114</f>
        <v>1195692.464341</v>
      </c>
      <c r="R28" s="678">
        <f>'11. 추정 BS'!H114</f>
        <v>1195692.464341</v>
      </c>
      <c r="S28" s="678">
        <f>'11. 추정 BS'!I114</f>
        <v>966458.25086299994</v>
      </c>
      <c r="T28" s="678">
        <f>'11. 추정 BS'!J114</f>
        <v>966458</v>
      </c>
      <c r="U28" s="678">
        <f>'11. 추정 BS'!K114</f>
        <v>966458</v>
      </c>
      <c r="V28" s="678">
        <f>'11. 추정 BS'!L114</f>
        <v>966458</v>
      </c>
      <c r="W28" s="678">
        <f>'11. 추정 BS'!M114</f>
        <v>966458</v>
      </c>
      <c r="X28" s="678">
        <f>'11. 추정 BS'!N114</f>
        <v>966458</v>
      </c>
      <c r="Y28" s="678">
        <f>'11. 추정 BS'!O114</f>
        <v>966458</v>
      </c>
      <c r="Z28" s="678">
        <f>'11. 추정 BS'!P114</f>
        <v>966458</v>
      </c>
      <c r="AA28" s="678">
        <f>'11. 추정 BS'!Q114</f>
        <v>966458</v>
      </c>
      <c r="AB28" s="678">
        <f t="shared" si="5"/>
        <v>110531</v>
      </c>
      <c r="AC28" s="678">
        <f t="shared" si="7"/>
        <v>1195692.464341</v>
      </c>
      <c r="AD28" s="678">
        <f t="shared" si="7"/>
        <v>1195692.464341</v>
      </c>
      <c r="AE28" s="678">
        <f t="shared" si="7"/>
        <v>1195692.464341</v>
      </c>
      <c r="AF28" s="678">
        <f t="shared" si="7"/>
        <v>966458.25086299994</v>
      </c>
      <c r="AG28" s="678">
        <f t="shared" si="7"/>
        <v>966458</v>
      </c>
      <c r="AH28" s="678">
        <f t="shared" si="7"/>
        <v>966458</v>
      </c>
      <c r="AI28" s="678">
        <f t="shared" si="7"/>
        <v>966458</v>
      </c>
      <c r="AJ28" s="678">
        <f t="shared" si="7"/>
        <v>966458</v>
      </c>
      <c r="AK28" s="678">
        <f t="shared" si="7"/>
        <v>966458</v>
      </c>
      <c r="AL28" s="678">
        <f t="shared" si="7"/>
        <v>966458</v>
      </c>
      <c r="AM28" s="678">
        <f t="shared" si="7"/>
        <v>966458</v>
      </c>
      <c r="AN28" s="678">
        <f t="shared" si="7"/>
        <v>966458</v>
      </c>
    </row>
    <row r="29" spans="1:40" ht="16.5" customHeight="1" x14ac:dyDescent="0.3">
      <c r="A29" s="679" t="s">
        <v>460</v>
      </c>
      <c r="B29" s="678">
        <f>'8. 추정 BS'!E55</f>
        <v>1199179</v>
      </c>
      <c r="C29" s="678">
        <f>'8. 추정 BS'!F55</f>
        <v>1404143</v>
      </c>
      <c r="D29" s="678">
        <f>'8. 추정 BS'!G55</f>
        <v>1538068</v>
      </c>
      <c r="E29" s="678">
        <f>'8. 추정 BS'!H55</f>
        <v>1582866.9828695913</v>
      </c>
      <c r="F29" s="678">
        <f>'8. 추정 BS'!I55</f>
        <v>1656003.9649229825</v>
      </c>
      <c r="G29" s="678">
        <f>'8. 추정 BS'!J55</f>
        <v>1723382.7425326118</v>
      </c>
      <c r="H29" s="678">
        <f>'8. 추정 BS'!K55</f>
        <v>1803078.5250115627</v>
      </c>
      <c r="I29" s="678">
        <f>'8. 추정 BS'!L55</f>
        <v>1880874.4241873338</v>
      </c>
      <c r="J29" s="678">
        <f>'8. 추정 BS'!M55</f>
        <v>1954351.5803427948</v>
      </c>
      <c r="K29" s="678">
        <f>'8. 추정 BS'!N55</f>
        <v>2025819.5544567143</v>
      </c>
      <c r="L29" s="678">
        <f>'8. 추정 BS'!O55</f>
        <v>2095732.9426566274</v>
      </c>
      <c r="M29" s="678">
        <f>'8. 추정 BS'!P55</f>
        <v>2164307.8329428122</v>
      </c>
      <c r="N29" s="678">
        <f>'8. 추정 BS'!Q55</f>
        <v>2232454.5721209459</v>
      </c>
      <c r="O29" s="678">
        <f>'11. 추정 BS'!E127</f>
        <v>2090240.1328320019</v>
      </c>
      <c r="P29" s="678">
        <f>'11. 추정 BS'!F127</f>
        <v>1489649.9343220014</v>
      </c>
      <c r="Q29" s="678">
        <f>'11. 추정 BS'!G127</f>
        <v>1327722.243646001</v>
      </c>
      <c r="R29" s="678">
        <f>'11. 추정 BS'!H127</f>
        <v>1208833.8791740006</v>
      </c>
      <c r="S29" s="678">
        <f>'11. 추정 BS'!I127</f>
        <v>1014421.7966470025</v>
      </c>
      <c r="T29" s="678">
        <f>'11. 추정 BS'!J127</f>
        <v>1031485.9999999995</v>
      </c>
      <c r="U29" s="678">
        <f>'11. 추정 BS'!K127</f>
        <v>1061425.0709256283</v>
      </c>
      <c r="V29" s="678">
        <f>'11. 추정 BS'!L127</f>
        <v>1097157.3961077202</v>
      </c>
      <c r="W29" s="678">
        <f>'11. 추정 BS'!M127</f>
        <v>1125227.939140324</v>
      </c>
      <c r="X29" s="678">
        <f>'11. 추정 BS'!N127</f>
        <v>1156744.5593884266</v>
      </c>
      <c r="Y29" s="678">
        <f>'11. 추정 BS'!O127</f>
        <v>1201472.2456879797</v>
      </c>
      <c r="Z29" s="678">
        <f>'11. 추정 BS'!P127</f>
        <v>1248294.6541032135</v>
      </c>
      <c r="AA29" s="678">
        <f>'11. 추정 BS'!Q127</f>
        <v>1301868.7579682898</v>
      </c>
      <c r="AB29" s="678">
        <f t="shared" si="5"/>
        <v>1199179</v>
      </c>
      <c r="AC29" s="678">
        <f t="shared" si="7"/>
        <v>2893792.9343220014</v>
      </c>
      <c r="AD29" s="678">
        <f t="shared" si="7"/>
        <v>2865790.243646001</v>
      </c>
      <c r="AE29" s="678">
        <f t="shared" si="7"/>
        <v>2791700.8620435921</v>
      </c>
      <c r="AF29" s="678">
        <f t="shared" si="7"/>
        <v>2670425.7615699852</v>
      </c>
      <c r="AG29" s="678">
        <f t="shared" si="7"/>
        <v>2754868.7425326114</v>
      </c>
      <c r="AH29" s="678">
        <f t="shared" si="7"/>
        <v>2864503.595937191</v>
      </c>
      <c r="AI29" s="678">
        <f t="shared" si="7"/>
        <v>2978031.820295054</v>
      </c>
      <c r="AJ29" s="678">
        <f t="shared" si="7"/>
        <v>3079579.5194831188</v>
      </c>
      <c r="AK29" s="678">
        <f t="shared" si="7"/>
        <v>3182564.1138451407</v>
      </c>
      <c r="AL29" s="678">
        <f t="shared" si="7"/>
        <v>3297205.1883446071</v>
      </c>
      <c r="AM29" s="678">
        <f t="shared" si="7"/>
        <v>3412602.4870460257</v>
      </c>
      <c r="AN29" s="678">
        <f t="shared" si="7"/>
        <v>3534323.3300892357</v>
      </c>
    </row>
    <row r="30" spans="1:40" ht="16.5" customHeight="1" x14ac:dyDescent="0.3">
      <c r="A30" s="679" t="s">
        <v>461</v>
      </c>
      <c r="B30" s="678">
        <f>B82</f>
        <v>128898</v>
      </c>
      <c r="C30" s="678">
        <f t="shared" ref="C30:AA30" si="8">C82</f>
        <v>229931</v>
      </c>
      <c r="D30" s="678">
        <f t="shared" si="8"/>
        <v>128436</v>
      </c>
      <c r="E30" s="678">
        <f t="shared" si="8"/>
        <v>118086</v>
      </c>
      <c r="F30" s="678">
        <f t="shared" si="8"/>
        <v>97528</v>
      </c>
      <c r="G30" s="678">
        <f t="shared" si="8"/>
        <v>82053.796480999968</v>
      </c>
      <c r="H30" s="678">
        <f t="shared" si="8"/>
        <v>79695.782478950918</v>
      </c>
      <c r="I30" s="678">
        <f t="shared" si="8"/>
        <v>77795.917205852762</v>
      </c>
      <c r="J30" s="678">
        <f t="shared" si="8"/>
        <v>73477.174212041864</v>
      </c>
      <c r="K30" s="678">
        <f t="shared" si="8"/>
        <v>71467.991911836987</v>
      </c>
      <c r="L30" s="678">
        <f t="shared" si="8"/>
        <v>69913.405306129018</v>
      </c>
      <c r="M30" s="678">
        <f t="shared" si="8"/>
        <v>68574.907099110103</v>
      </c>
      <c r="N30" s="678">
        <f t="shared" si="8"/>
        <v>68146.755596247691</v>
      </c>
      <c r="O30" s="678">
        <f t="shared" si="8"/>
        <v>182909.67227000036</v>
      </c>
      <c r="P30" s="678">
        <f t="shared" si="8"/>
        <v>702265.84368299926</v>
      </c>
      <c r="Q30" s="678">
        <f t="shared" si="8"/>
        <v>-58123.923413000004</v>
      </c>
      <c r="R30" s="678">
        <f t="shared" si="8"/>
        <v>-83055.544048997806</v>
      </c>
      <c r="S30" s="678">
        <f t="shared" si="8"/>
        <v>-158331.69677699966</v>
      </c>
      <c r="T30" s="678">
        <f t="shared" si="8"/>
        <v>2063</v>
      </c>
      <c r="U30" s="678">
        <f t="shared" si="8"/>
        <v>63586.499925628494</v>
      </c>
      <c r="V30" s="678">
        <f t="shared" si="8"/>
        <v>93045.325182091983</v>
      </c>
      <c r="W30" s="678">
        <f t="shared" si="8"/>
        <v>96406.543032603877</v>
      </c>
      <c r="X30" s="678">
        <f t="shared" si="8"/>
        <v>99469.620248102321</v>
      </c>
      <c r="Y30" s="678">
        <f t="shared" si="8"/>
        <v>113102.68629955336</v>
      </c>
      <c r="Z30" s="678">
        <f t="shared" si="8"/>
        <v>120028.40841523367</v>
      </c>
      <c r="AA30" s="678">
        <f t="shared" si="8"/>
        <v>129015.10386507631</v>
      </c>
      <c r="AB30" s="678">
        <f>B30</f>
        <v>128898</v>
      </c>
      <c r="AC30" s="678">
        <f>C30+P30</f>
        <v>932196.84368299926</v>
      </c>
      <c r="AD30" s="678">
        <f>D30+Q30</f>
        <v>70312.076586999989</v>
      </c>
      <c r="AE30" s="678">
        <f>E30+R30</f>
        <v>35030.455951002194</v>
      </c>
      <c r="AF30" s="678">
        <f>F30+S30</f>
        <v>-60803.696776999655</v>
      </c>
      <c r="AG30" s="678">
        <f>G30+T30</f>
        <v>84116.796480999968</v>
      </c>
      <c r="AH30" s="678">
        <f t="shared" si="7"/>
        <v>143282.2824045794</v>
      </c>
      <c r="AI30" s="678">
        <f t="shared" si="7"/>
        <v>170841.24238794475</v>
      </c>
      <c r="AJ30" s="678">
        <f t="shared" si="7"/>
        <v>169883.71724464576</v>
      </c>
      <c r="AK30" s="678">
        <f t="shared" si="7"/>
        <v>170937.61215993931</v>
      </c>
      <c r="AL30" s="678">
        <f t="shared" si="7"/>
        <v>183016.09160568239</v>
      </c>
      <c r="AM30" s="678">
        <f t="shared" si="7"/>
        <v>188603.31551434379</v>
      </c>
      <c r="AN30" s="678">
        <f t="shared" si="7"/>
        <v>197161.859461324</v>
      </c>
    </row>
    <row r="31" spans="1:40" ht="16.5" customHeight="1" x14ac:dyDescent="0.3">
      <c r="A31" s="680" t="s">
        <v>462</v>
      </c>
      <c r="B31" s="678"/>
      <c r="C31" s="678"/>
      <c r="D31" s="678"/>
      <c r="E31" s="678"/>
      <c r="F31" s="678"/>
      <c r="G31" s="678"/>
      <c r="H31" s="678"/>
      <c r="I31" s="678"/>
      <c r="J31" s="678"/>
      <c r="K31" s="678"/>
      <c r="L31" s="678"/>
      <c r="M31" s="678"/>
      <c r="N31" s="678"/>
      <c r="O31" s="678"/>
      <c r="P31" s="678"/>
      <c r="Q31" s="678"/>
      <c r="R31" s="678"/>
      <c r="S31" s="678"/>
      <c r="T31" s="678"/>
      <c r="U31" s="678"/>
      <c r="V31" s="678"/>
      <c r="W31" s="678"/>
      <c r="X31" s="678"/>
      <c r="Y31" s="678"/>
      <c r="Z31" s="678"/>
      <c r="AA31" s="678"/>
      <c r="AB31" s="678">
        <f>AB83</f>
        <v>0</v>
      </c>
      <c r="AC31" s="678">
        <f t="shared" ref="AC31:AN31" si="9">AC83</f>
        <v>0</v>
      </c>
      <c r="AD31" s="678">
        <f t="shared" si="9"/>
        <v>0</v>
      </c>
      <c r="AE31" s="678">
        <f t="shared" si="9"/>
        <v>0</v>
      </c>
      <c r="AF31" s="678">
        <f t="shared" si="9"/>
        <v>0</v>
      </c>
      <c r="AG31" s="678">
        <f t="shared" si="9"/>
        <v>0</v>
      </c>
      <c r="AH31" s="678">
        <f t="shared" si="9"/>
        <v>0</v>
      </c>
      <c r="AI31" s="678">
        <f t="shared" si="9"/>
        <v>0</v>
      </c>
      <c r="AJ31" s="678">
        <f t="shared" si="9"/>
        <v>0</v>
      </c>
      <c r="AK31" s="678">
        <f t="shared" si="9"/>
        <v>0</v>
      </c>
      <c r="AL31" s="678">
        <f t="shared" si="9"/>
        <v>0</v>
      </c>
      <c r="AM31" s="678">
        <f t="shared" si="9"/>
        <v>0</v>
      </c>
      <c r="AN31" s="678">
        <f t="shared" si="9"/>
        <v>0</v>
      </c>
    </row>
    <row r="32" spans="1:40" ht="16.5" customHeight="1" x14ac:dyDescent="0.3">
      <c r="A32" s="679" t="s">
        <v>463</v>
      </c>
      <c r="B32" s="678">
        <f>'8. 추정 BS'!E49</f>
        <v>-108730</v>
      </c>
      <c r="C32" s="678">
        <f>'8. 추정 BS'!F49</f>
        <v>0</v>
      </c>
      <c r="D32" s="678">
        <f>'8. 추정 BS'!G49</f>
        <v>0</v>
      </c>
      <c r="E32" s="678">
        <f>'8. 추정 BS'!H49</f>
        <v>0</v>
      </c>
      <c r="F32" s="678">
        <f>'8. 추정 BS'!I49</f>
        <v>0</v>
      </c>
      <c r="G32" s="678">
        <f>'8. 추정 BS'!J49</f>
        <v>0</v>
      </c>
      <c r="H32" s="678">
        <f>'8. 추정 BS'!K49</f>
        <v>0</v>
      </c>
      <c r="I32" s="678">
        <f>'8. 추정 BS'!L49</f>
        <v>0</v>
      </c>
      <c r="J32" s="678">
        <f>'8. 추정 BS'!M49</f>
        <v>0</v>
      </c>
      <c r="K32" s="678">
        <f>'8. 추정 BS'!N49</f>
        <v>0</v>
      </c>
      <c r="L32" s="678">
        <f>'8. 추정 BS'!O49</f>
        <v>0</v>
      </c>
      <c r="M32" s="678">
        <f>'8. 추정 BS'!P49</f>
        <v>0</v>
      </c>
      <c r="N32" s="678">
        <f>'8. 추정 BS'!Q49</f>
        <v>0</v>
      </c>
      <c r="O32" s="678">
        <f>'11. 추정 BS'!E118</f>
        <v>-68.546079000000006</v>
      </c>
      <c r="P32" s="678">
        <f>'11. 추정 BS'!F118</f>
        <v>-98183.617004000014</v>
      </c>
      <c r="Q32" s="678">
        <f>'11. 추정 BS'!G118</f>
        <v>-98183.617004000014</v>
      </c>
      <c r="R32" s="678">
        <f>'11. 추정 BS'!H118</f>
        <v>-68183.615271000002</v>
      </c>
      <c r="S32" s="678">
        <f>'11. 추정 BS'!I118</f>
        <v>-601533.94997199997</v>
      </c>
      <c r="T32" s="678">
        <f>'11. 추정 BS'!J118</f>
        <v>-601534</v>
      </c>
      <c r="U32" s="678">
        <f>'11. 추정 BS'!K118</f>
        <v>-601534</v>
      </c>
      <c r="V32" s="678">
        <f>'11. 추정 BS'!L118</f>
        <v>-601534</v>
      </c>
      <c r="W32" s="678">
        <f>'11. 추정 BS'!M118</f>
        <v>-601534</v>
      </c>
      <c r="X32" s="678">
        <f>'11. 추정 BS'!N118</f>
        <v>-601534</v>
      </c>
      <c r="Y32" s="678">
        <f>'11. 추정 BS'!O118</f>
        <v>-601534</v>
      </c>
      <c r="Z32" s="678">
        <f>'11. 추정 BS'!P118</f>
        <v>-601534</v>
      </c>
      <c r="AA32" s="678">
        <f>'11. 추정 BS'!Q118</f>
        <v>-601534</v>
      </c>
      <c r="AB32" s="678">
        <f t="shared" si="5"/>
        <v>-108730</v>
      </c>
      <c r="AC32" s="678">
        <f t="shared" si="7"/>
        <v>-98183.617004000014</v>
      </c>
      <c r="AD32" s="678">
        <f t="shared" si="7"/>
        <v>-98183.617004000014</v>
      </c>
      <c r="AE32" s="678">
        <f t="shared" si="7"/>
        <v>-68183.615271000002</v>
      </c>
      <c r="AF32" s="678">
        <f t="shared" si="7"/>
        <v>-601533.94997199997</v>
      </c>
      <c r="AG32" s="678">
        <f t="shared" si="7"/>
        <v>-601534</v>
      </c>
      <c r="AH32" s="678">
        <f t="shared" si="7"/>
        <v>-601534</v>
      </c>
      <c r="AI32" s="678">
        <f t="shared" si="7"/>
        <v>-601534</v>
      </c>
      <c r="AJ32" s="678">
        <f t="shared" si="7"/>
        <v>-601534</v>
      </c>
      <c r="AK32" s="678">
        <f t="shared" si="7"/>
        <v>-601534</v>
      </c>
      <c r="AL32" s="678">
        <f t="shared" si="7"/>
        <v>-601534</v>
      </c>
      <c r="AM32" s="678">
        <f t="shared" si="7"/>
        <v>-601534</v>
      </c>
      <c r="AN32" s="678">
        <f t="shared" si="7"/>
        <v>-601534</v>
      </c>
    </row>
    <row r="33" spans="1:41" ht="16.5" customHeight="1" x14ac:dyDescent="0.3">
      <c r="A33" s="679" t="s">
        <v>464</v>
      </c>
      <c r="B33" s="678">
        <f>'8. 추정 BS'!E52</f>
        <v>14954</v>
      </c>
      <c r="C33" s="678">
        <f>'8. 추정 BS'!F52</f>
        <v>-180</v>
      </c>
      <c r="D33" s="678">
        <f>'8. 추정 BS'!G52</f>
        <v>-440</v>
      </c>
      <c r="E33" s="678">
        <f>'8. 추정 BS'!H52</f>
        <v>-754</v>
      </c>
      <c r="F33" s="678">
        <f>'8. 추정 BS'!I52</f>
        <v>0</v>
      </c>
      <c r="G33" s="678">
        <f>'8. 추정 BS'!J52</f>
        <v>0</v>
      </c>
      <c r="H33" s="678">
        <f>'8. 추정 BS'!K52</f>
        <v>0</v>
      </c>
      <c r="I33" s="678">
        <f>'8. 추정 BS'!L52</f>
        <v>0</v>
      </c>
      <c r="J33" s="678">
        <f>'8. 추정 BS'!M52</f>
        <v>0</v>
      </c>
      <c r="K33" s="678">
        <f>'8. 추정 BS'!N52</f>
        <v>0</v>
      </c>
      <c r="L33" s="678">
        <f>'8. 추정 BS'!O52</f>
        <v>0</v>
      </c>
      <c r="M33" s="678">
        <f>'8. 추정 BS'!P52</f>
        <v>0</v>
      </c>
      <c r="N33" s="678">
        <f>'8. 추정 BS'!Q52</f>
        <v>0</v>
      </c>
      <c r="O33" s="678">
        <f>'11. 추정 BS'!E122</f>
        <v>-1815.014811</v>
      </c>
      <c r="P33" s="678">
        <f>'11. 추정 BS'!F122</f>
        <v>15430.326933999997</v>
      </c>
      <c r="Q33" s="678">
        <f>'11. 추정 BS'!G122</f>
        <v>44980.655660000011</v>
      </c>
      <c r="R33" s="678">
        <f>'11. 추정 BS'!H122</f>
        <v>62127.204758999993</v>
      </c>
      <c r="S33" s="678">
        <f>'11. 추정 BS'!I122</f>
        <v>86173.492345999999</v>
      </c>
      <c r="T33" s="678">
        <f>'11. 추정 BS'!J122</f>
        <v>125771</v>
      </c>
      <c r="U33" s="678">
        <f>'11. 추정 BS'!K122</f>
        <v>125771</v>
      </c>
      <c r="V33" s="678">
        <f>'11. 추정 BS'!L122</f>
        <v>125771</v>
      </c>
      <c r="W33" s="678">
        <f>'11. 추정 BS'!M122</f>
        <v>125771</v>
      </c>
      <c r="X33" s="678">
        <f>'11. 추정 BS'!N122</f>
        <v>125771</v>
      </c>
      <c r="Y33" s="678">
        <f>'11. 추정 BS'!O122</f>
        <v>125771</v>
      </c>
      <c r="Z33" s="678">
        <f>'11. 추정 BS'!P122</f>
        <v>125771</v>
      </c>
      <c r="AA33" s="678">
        <f>'11. 추정 BS'!Q122</f>
        <v>125771</v>
      </c>
      <c r="AB33" s="678">
        <f t="shared" si="5"/>
        <v>14954</v>
      </c>
      <c r="AC33" s="678">
        <f t="shared" si="7"/>
        <v>15250.326933999997</v>
      </c>
      <c r="AD33" s="678">
        <f t="shared" si="7"/>
        <v>44540.655660000011</v>
      </c>
      <c r="AE33" s="678">
        <f t="shared" si="7"/>
        <v>61373.204758999993</v>
      </c>
      <c r="AF33" s="678">
        <f t="shared" si="7"/>
        <v>86173.492345999999</v>
      </c>
      <c r="AG33" s="678">
        <f t="shared" si="7"/>
        <v>125771</v>
      </c>
      <c r="AH33" s="678">
        <f t="shared" si="7"/>
        <v>125771</v>
      </c>
      <c r="AI33" s="678">
        <f t="shared" si="7"/>
        <v>125771</v>
      </c>
      <c r="AJ33" s="678">
        <f t="shared" si="7"/>
        <v>125771</v>
      </c>
      <c r="AK33" s="678">
        <f t="shared" si="7"/>
        <v>125771</v>
      </c>
      <c r="AL33" s="678">
        <f t="shared" si="7"/>
        <v>125771</v>
      </c>
      <c r="AM33" s="678">
        <f t="shared" si="7"/>
        <v>125771</v>
      </c>
      <c r="AN33" s="678">
        <f t="shared" si="7"/>
        <v>125771</v>
      </c>
    </row>
    <row r="34" spans="1:41" ht="16.5" hidden="1" customHeight="1" outlineLevel="1" x14ac:dyDescent="0.3">
      <c r="A34" s="672"/>
      <c r="B34" s="122">
        <f>B6+B7-B17-B18-SUM(B32:B33,B27:B29)</f>
        <v>0</v>
      </c>
      <c r="C34" s="430">
        <f t="shared" ref="C34:AN34" si="10">C6+C7-C17-C18-SUM(C32:C33,C27:C29)</f>
        <v>0.39999999990686774</v>
      </c>
      <c r="D34" s="430">
        <f t="shared" si="10"/>
        <v>-2768</v>
      </c>
      <c r="E34" s="430">
        <f t="shared" si="10"/>
        <v>-2767.9828695913311</v>
      </c>
      <c r="F34" s="430">
        <f t="shared" si="10"/>
        <v>-2767.9649229825009</v>
      </c>
      <c r="G34" s="430">
        <f t="shared" si="10"/>
        <v>-2768.0000000018626</v>
      </c>
      <c r="H34" s="430">
        <f t="shared" si="10"/>
        <v>-2768.0000000002328</v>
      </c>
      <c r="I34" s="430">
        <f t="shared" si="10"/>
        <v>-2767.9999999997672</v>
      </c>
      <c r="J34" s="430">
        <f t="shared" si="10"/>
        <v>-2767.9999999997672</v>
      </c>
      <c r="K34" s="430">
        <f t="shared" si="10"/>
        <v>-2767.9999999997672</v>
      </c>
      <c r="L34" s="430">
        <f t="shared" si="10"/>
        <v>-2767.9999999995343</v>
      </c>
      <c r="M34" s="430">
        <f t="shared" si="10"/>
        <v>-2768</v>
      </c>
      <c r="N34" s="430">
        <f t="shared" si="10"/>
        <v>-2768</v>
      </c>
      <c r="O34" s="430">
        <f t="shared" si="10"/>
        <v>0</v>
      </c>
      <c r="P34" s="430">
        <f t="shared" si="10"/>
        <v>0</v>
      </c>
      <c r="Q34" s="430">
        <f t="shared" si="10"/>
        <v>2.0299998577684164E-2</v>
      </c>
      <c r="R34" s="430">
        <f t="shared" si="10"/>
        <v>0</v>
      </c>
      <c r="S34" s="430">
        <f t="shared" si="10"/>
        <v>0</v>
      </c>
      <c r="T34" s="430">
        <f t="shared" si="10"/>
        <v>0</v>
      </c>
      <c r="U34" s="430">
        <f t="shared" si="10"/>
        <v>0</v>
      </c>
      <c r="V34" s="430">
        <f t="shared" si="10"/>
        <v>0</v>
      </c>
      <c r="W34" s="430">
        <f t="shared" si="10"/>
        <v>0</v>
      </c>
      <c r="X34" s="430">
        <f t="shared" si="10"/>
        <v>0</v>
      </c>
      <c r="Y34" s="430">
        <f t="shared" si="10"/>
        <v>0</v>
      </c>
      <c r="Z34" s="430">
        <f t="shared" si="10"/>
        <v>2.0954757928848267E-9</v>
      </c>
      <c r="AA34" s="430">
        <f t="shared" si="10"/>
        <v>0</v>
      </c>
      <c r="AB34" s="430">
        <f t="shared" si="10"/>
        <v>0</v>
      </c>
      <c r="AC34" s="430">
        <f t="shared" si="10"/>
        <v>0.39999999897554517</v>
      </c>
      <c r="AD34" s="430">
        <f t="shared" si="10"/>
        <v>-2767.9797000014223</v>
      </c>
      <c r="AE34" s="430">
        <f t="shared" si="10"/>
        <v>-2767.9828695910983</v>
      </c>
      <c r="AF34" s="430">
        <f t="shared" si="10"/>
        <v>-2767.9649229841307</v>
      </c>
      <c r="AG34" s="430">
        <f t="shared" si="10"/>
        <v>-2768.000000001397</v>
      </c>
      <c r="AH34" s="430">
        <f t="shared" si="10"/>
        <v>-2768.0000000004657</v>
      </c>
      <c r="AI34" s="430">
        <f t="shared" si="10"/>
        <v>-2768</v>
      </c>
      <c r="AJ34" s="430">
        <f t="shared" si="10"/>
        <v>-2768.0000000004657</v>
      </c>
      <c r="AK34" s="430">
        <f t="shared" si="10"/>
        <v>-2767.9999999990687</v>
      </c>
      <c r="AL34" s="430">
        <f t="shared" si="10"/>
        <v>-2767.9999999990687</v>
      </c>
      <c r="AM34" s="430">
        <f t="shared" si="10"/>
        <v>-2767.9999999990687</v>
      </c>
      <c r="AN34" s="430">
        <f t="shared" si="10"/>
        <v>-2767.9999999990687</v>
      </c>
    </row>
    <row r="35" spans="1:41" ht="16.5" hidden="1" customHeight="1" outlineLevel="1" x14ac:dyDescent="0.3">
      <c r="A35" s="672"/>
      <c r="B35" s="122">
        <f>B6+B7-B17-B18-B27-B28-B29-B32-B33</f>
        <v>0</v>
      </c>
      <c r="C35" s="430">
        <f t="shared" ref="C35:AN35" si="11">C6+C7-C17-C18-C27-C28-C29-C32-C33</f>
        <v>0.39999999990686774</v>
      </c>
      <c r="D35" s="430">
        <f t="shared" si="11"/>
        <v>-2768</v>
      </c>
      <c r="E35" s="430">
        <f t="shared" si="11"/>
        <v>-2767.9828695913311</v>
      </c>
      <c r="F35" s="430">
        <f t="shared" si="11"/>
        <v>-2767.9649229825009</v>
      </c>
      <c r="G35" s="430">
        <f t="shared" si="11"/>
        <v>-2768.0000000018626</v>
      </c>
      <c r="H35" s="430">
        <f t="shared" si="11"/>
        <v>-2768.0000000002328</v>
      </c>
      <c r="I35" s="430">
        <f t="shared" si="11"/>
        <v>-2767.9999999997672</v>
      </c>
      <c r="J35" s="430">
        <f t="shared" si="11"/>
        <v>-2767.9999999997672</v>
      </c>
      <c r="K35" s="430">
        <f t="shared" si="11"/>
        <v>-2767.9999999997672</v>
      </c>
      <c r="L35" s="430">
        <f t="shared" si="11"/>
        <v>-2767.9999999995343</v>
      </c>
      <c r="M35" s="430">
        <f t="shared" si="11"/>
        <v>-2768</v>
      </c>
      <c r="N35" s="430">
        <f t="shared" si="11"/>
        <v>-2768</v>
      </c>
      <c r="O35" s="430">
        <f t="shared" si="11"/>
        <v>-3.1354829843621701E-10</v>
      </c>
      <c r="P35" s="430">
        <f t="shared" si="11"/>
        <v>-1.7171259969472885E-9</v>
      </c>
      <c r="Q35" s="430">
        <f t="shared" si="11"/>
        <v>2.0299998861446511E-2</v>
      </c>
      <c r="R35" s="430">
        <f t="shared" si="11"/>
        <v>3.8562575355172157E-10</v>
      </c>
      <c r="S35" s="430">
        <f t="shared" si="11"/>
        <v>0</v>
      </c>
      <c r="T35" s="430">
        <f t="shared" si="11"/>
        <v>4.6566128730773926E-10</v>
      </c>
      <c r="U35" s="430">
        <f t="shared" si="11"/>
        <v>-6.9849193096160889E-10</v>
      </c>
      <c r="V35" s="430">
        <f t="shared" si="11"/>
        <v>2.3283064365386963E-10</v>
      </c>
      <c r="W35" s="430">
        <f t="shared" si="11"/>
        <v>-2.3283064365386963E-10</v>
      </c>
      <c r="X35" s="430">
        <f t="shared" si="11"/>
        <v>2.3283064365386963E-10</v>
      </c>
      <c r="Y35" s="430">
        <f t="shared" si="11"/>
        <v>6.9849193096160889E-10</v>
      </c>
      <c r="Z35" s="430">
        <f t="shared" si="11"/>
        <v>2.0954757928848267E-9</v>
      </c>
      <c r="AA35" s="430">
        <f t="shared" si="11"/>
        <v>6.9849193096160889E-10</v>
      </c>
      <c r="AB35" s="430">
        <f t="shared" si="11"/>
        <v>0</v>
      </c>
      <c r="AC35" s="430">
        <f t="shared" si="11"/>
        <v>0.39999999842257239</v>
      </c>
      <c r="AD35" s="430">
        <f t="shared" si="11"/>
        <v>-2767.9797000013714</v>
      </c>
      <c r="AE35" s="430">
        <f t="shared" si="11"/>
        <v>-2767.9828695909455</v>
      </c>
      <c r="AF35" s="430">
        <f t="shared" si="11"/>
        <v>-2767.9649229837378</v>
      </c>
      <c r="AG35" s="430">
        <f t="shared" si="11"/>
        <v>-2768.000000001397</v>
      </c>
      <c r="AH35" s="430">
        <f t="shared" si="11"/>
        <v>-2768</v>
      </c>
      <c r="AI35" s="430">
        <f t="shared" si="11"/>
        <v>-2767.9999999995343</v>
      </c>
      <c r="AJ35" s="430">
        <f t="shared" si="11"/>
        <v>-2768</v>
      </c>
      <c r="AK35" s="430">
        <f t="shared" si="11"/>
        <v>-2767.9999999990687</v>
      </c>
      <c r="AL35" s="430">
        <f t="shared" si="11"/>
        <v>-2767.9999999990687</v>
      </c>
      <c r="AM35" s="430">
        <f t="shared" si="11"/>
        <v>-2767.9999999990687</v>
      </c>
      <c r="AN35" s="430">
        <f t="shared" si="11"/>
        <v>-2767.9999999990687</v>
      </c>
    </row>
    <row r="36" spans="1:41" ht="16.5" hidden="1" customHeight="1" outlineLevel="1" x14ac:dyDescent="0.3">
      <c r="A36" s="672"/>
      <c r="B36" s="430">
        <f>B6+B7-SUM(B8:B15)</f>
        <v>0</v>
      </c>
      <c r="C36" s="430">
        <f t="shared" ref="C36:U36" si="12">C6+C7-SUM(C8:C15)</f>
        <v>0</v>
      </c>
      <c r="D36" s="430">
        <f t="shared" si="12"/>
        <v>0</v>
      </c>
      <c r="E36" s="430">
        <f t="shared" si="12"/>
        <v>0</v>
      </c>
      <c r="F36" s="430">
        <f t="shared" si="12"/>
        <v>0</v>
      </c>
      <c r="G36" s="430">
        <f t="shared" si="12"/>
        <v>0</v>
      </c>
      <c r="H36" s="430">
        <f t="shared" si="12"/>
        <v>0</v>
      </c>
      <c r="I36" s="430">
        <f t="shared" ref="I36:N36" si="13">I6+I7-SUM(I8:I15)</f>
        <v>0</v>
      </c>
      <c r="J36" s="430">
        <f t="shared" si="13"/>
        <v>0</v>
      </c>
      <c r="K36" s="430">
        <f t="shared" si="13"/>
        <v>0</v>
      </c>
      <c r="L36" s="430">
        <f t="shared" si="13"/>
        <v>0</v>
      </c>
      <c r="M36" s="430">
        <f t="shared" si="13"/>
        <v>0</v>
      </c>
      <c r="N36" s="430">
        <f t="shared" si="13"/>
        <v>0</v>
      </c>
      <c r="O36" s="430">
        <f t="shared" si="12"/>
        <v>0</v>
      </c>
      <c r="P36" s="430">
        <f>P6+P7-SUM(P8:P15)</f>
        <v>0</v>
      </c>
      <c r="Q36" s="430">
        <f t="shared" si="12"/>
        <v>0</v>
      </c>
      <c r="R36" s="430">
        <f t="shared" si="12"/>
        <v>0</v>
      </c>
      <c r="S36" s="430">
        <f t="shared" si="12"/>
        <v>0</v>
      </c>
      <c r="T36" s="430">
        <f t="shared" si="12"/>
        <v>0</v>
      </c>
      <c r="U36" s="430">
        <f t="shared" si="12"/>
        <v>0</v>
      </c>
      <c r="V36" s="430">
        <f t="shared" ref="V36:AN36" si="14">V6+V7-SUM(V8:V15)</f>
        <v>0</v>
      </c>
      <c r="W36" s="430">
        <f t="shared" si="14"/>
        <v>0</v>
      </c>
      <c r="X36" s="430">
        <f t="shared" si="14"/>
        <v>0</v>
      </c>
      <c r="Y36" s="430">
        <f t="shared" si="14"/>
        <v>0</v>
      </c>
      <c r="Z36" s="430">
        <f t="shared" si="14"/>
        <v>0</v>
      </c>
      <c r="AA36" s="430">
        <f t="shared" si="14"/>
        <v>0</v>
      </c>
      <c r="AB36" s="430">
        <f t="shared" si="14"/>
        <v>0</v>
      </c>
      <c r="AC36" s="430">
        <f t="shared" si="14"/>
        <v>0</v>
      </c>
      <c r="AD36" s="430">
        <f t="shared" si="14"/>
        <v>0</v>
      </c>
      <c r="AE36" s="430">
        <f t="shared" si="14"/>
        <v>0</v>
      </c>
      <c r="AF36" s="430">
        <f t="shared" si="14"/>
        <v>0</v>
      </c>
      <c r="AG36" s="430">
        <f t="shared" si="14"/>
        <v>0</v>
      </c>
      <c r="AH36" s="430">
        <f t="shared" si="14"/>
        <v>0</v>
      </c>
      <c r="AI36" s="430">
        <f t="shared" si="14"/>
        <v>0</v>
      </c>
      <c r="AJ36" s="430">
        <f t="shared" si="14"/>
        <v>0</v>
      </c>
      <c r="AK36" s="430">
        <f t="shared" si="14"/>
        <v>0</v>
      </c>
      <c r="AL36" s="430">
        <f t="shared" si="14"/>
        <v>0</v>
      </c>
      <c r="AM36" s="430">
        <f t="shared" si="14"/>
        <v>0</v>
      </c>
      <c r="AN36" s="430">
        <f t="shared" si="14"/>
        <v>0</v>
      </c>
    </row>
    <row r="37" spans="1:41" ht="16.5" hidden="1" customHeight="1" outlineLevel="1" x14ac:dyDescent="0.3">
      <c r="A37" s="672"/>
      <c r="B37" s="430">
        <f>B17+B18-SUM(B19:B25)</f>
        <v>0</v>
      </c>
      <c r="C37" s="430">
        <f t="shared" ref="C37:AN37" si="15">C17+C18-SUM(C19:C25)</f>
        <v>0</v>
      </c>
      <c r="D37" s="430">
        <f t="shared" si="15"/>
        <v>0</v>
      </c>
      <c r="E37" s="430">
        <f t="shared" si="15"/>
        <v>0</v>
      </c>
      <c r="F37" s="430">
        <f t="shared" si="15"/>
        <v>0</v>
      </c>
      <c r="G37" s="430">
        <f t="shared" si="15"/>
        <v>0</v>
      </c>
      <c r="H37" s="430">
        <f t="shared" si="15"/>
        <v>0</v>
      </c>
      <c r="I37" s="430">
        <f t="shared" si="15"/>
        <v>0</v>
      </c>
      <c r="J37" s="430">
        <f t="shared" si="15"/>
        <v>0</v>
      </c>
      <c r="K37" s="430">
        <f t="shared" si="15"/>
        <v>0</v>
      </c>
      <c r="L37" s="430">
        <f t="shared" si="15"/>
        <v>0</v>
      </c>
      <c r="M37" s="430">
        <f t="shared" si="15"/>
        <v>0</v>
      </c>
      <c r="N37" s="430">
        <f t="shared" si="15"/>
        <v>0</v>
      </c>
      <c r="O37" s="430">
        <f t="shared" si="15"/>
        <v>0</v>
      </c>
      <c r="P37" s="430">
        <f>P17+P18-SUM(P19:P25)</f>
        <v>0</v>
      </c>
      <c r="Q37" s="430">
        <f t="shared" si="15"/>
        <v>0</v>
      </c>
      <c r="R37" s="430">
        <f t="shared" si="15"/>
        <v>0</v>
      </c>
      <c r="S37" s="430">
        <f t="shared" si="15"/>
        <v>0</v>
      </c>
      <c r="T37" s="430">
        <f t="shared" si="15"/>
        <v>0</v>
      </c>
      <c r="U37" s="430">
        <f t="shared" si="15"/>
        <v>0</v>
      </c>
      <c r="V37" s="430">
        <f t="shared" si="15"/>
        <v>0</v>
      </c>
      <c r="W37" s="430">
        <f t="shared" si="15"/>
        <v>0</v>
      </c>
      <c r="X37" s="430">
        <f t="shared" si="15"/>
        <v>0</v>
      </c>
      <c r="Y37" s="430">
        <f t="shared" si="15"/>
        <v>0</v>
      </c>
      <c r="Z37" s="430">
        <f t="shared" si="15"/>
        <v>0</v>
      </c>
      <c r="AA37" s="430">
        <f t="shared" si="15"/>
        <v>0</v>
      </c>
      <c r="AB37" s="430">
        <f t="shared" si="15"/>
        <v>0</v>
      </c>
      <c r="AC37" s="430">
        <f t="shared" si="15"/>
        <v>0</v>
      </c>
      <c r="AD37" s="430">
        <f t="shared" si="15"/>
        <v>0</v>
      </c>
      <c r="AE37" s="430">
        <f t="shared" si="15"/>
        <v>0</v>
      </c>
      <c r="AF37" s="430">
        <f t="shared" si="15"/>
        <v>0</v>
      </c>
      <c r="AG37" s="430">
        <f t="shared" si="15"/>
        <v>0</v>
      </c>
      <c r="AH37" s="430">
        <f t="shared" si="15"/>
        <v>0</v>
      </c>
      <c r="AI37" s="430">
        <f t="shared" si="15"/>
        <v>0</v>
      </c>
      <c r="AJ37" s="430">
        <f t="shared" si="15"/>
        <v>0</v>
      </c>
      <c r="AK37" s="430">
        <f t="shared" si="15"/>
        <v>0</v>
      </c>
      <c r="AL37" s="430">
        <f t="shared" si="15"/>
        <v>0</v>
      </c>
      <c r="AM37" s="430">
        <f t="shared" si="15"/>
        <v>0</v>
      </c>
      <c r="AN37" s="430">
        <f t="shared" si="15"/>
        <v>0</v>
      </c>
    </row>
    <row r="38" spans="1:41" ht="16.5" customHeight="1" collapsed="1" x14ac:dyDescent="0.3">
      <c r="A38" s="122" t="s">
        <v>886</v>
      </c>
      <c r="C38" s="430"/>
      <c r="D38" s="430"/>
      <c r="E38" s="430"/>
      <c r="F38" s="430"/>
      <c r="G38" s="430"/>
      <c r="H38" s="430"/>
      <c r="I38" s="430"/>
      <c r="J38" s="430"/>
      <c r="K38" s="430"/>
      <c r="L38" s="430"/>
      <c r="M38" s="430"/>
      <c r="N38" s="430"/>
      <c r="AI38" s="68"/>
      <c r="AJ38" s="68"/>
      <c r="AK38" s="68"/>
      <c r="AL38" s="68"/>
      <c r="AM38" s="68"/>
      <c r="AN38" s="792" t="s">
        <v>429</v>
      </c>
    </row>
    <row r="39" spans="1:41" s="673" customFormat="1" ht="16.5" customHeight="1" x14ac:dyDescent="0.3">
      <c r="A39" s="1144" t="s">
        <v>373</v>
      </c>
      <c r="B39" s="1147" t="s">
        <v>440</v>
      </c>
      <c r="C39" s="1148"/>
      <c r="D39" s="1148"/>
      <c r="E39" s="1148"/>
      <c r="F39" s="1148"/>
      <c r="G39" s="1148"/>
      <c r="H39" s="1148"/>
      <c r="I39" s="1148"/>
      <c r="J39" s="1148"/>
      <c r="K39" s="1148"/>
      <c r="L39" s="1148"/>
      <c r="M39" s="1148"/>
      <c r="N39" s="1149"/>
      <c r="O39" s="1146" t="s">
        <v>400</v>
      </c>
      <c r="P39" s="1146"/>
      <c r="Q39" s="1146"/>
      <c r="R39" s="1146"/>
      <c r="S39" s="1146"/>
      <c r="T39" s="1146"/>
      <c r="U39" s="1146"/>
      <c r="V39" s="1146"/>
      <c r="W39" s="1146"/>
      <c r="X39" s="1146"/>
      <c r="Y39" s="1146"/>
      <c r="Z39" s="1146"/>
      <c r="AA39" s="1146"/>
      <c r="AB39" s="1146" t="s">
        <v>441</v>
      </c>
      <c r="AC39" s="1146"/>
      <c r="AD39" s="1146"/>
      <c r="AE39" s="1146"/>
      <c r="AF39" s="1146"/>
      <c r="AG39" s="1146"/>
      <c r="AH39" s="1146"/>
      <c r="AI39" s="1146"/>
      <c r="AJ39" s="1146"/>
      <c r="AK39" s="1146"/>
      <c r="AL39" s="1146"/>
      <c r="AM39" s="1146"/>
      <c r="AN39" s="1146"/>
      <c r="AO39" s="122"/>
    </row>
    <row r="40" spans="1:41" s="673" customFormat="1" ht="16.5" customHeight="1" x14ac:dyDescent="0.3">
      <c r="A40" s="1145"/>
      <c r="B40" s="674">
        <v>2020</v>
      </c>
      <c r="C40" s="674">
        <f t="shared" ref="C40:N40" si="16">B40+1</f>
        <v>2021</v>
      </c>
      <c r="D40" s="674">
        <f t="shared" si="16"/>
        <v>2022</v>
      </c>
      <c r="E40" s="674">
        <f t="shared" si="16"/>
        <v>2023</v>
      </c>
      <c r="F40" s="674">
        <f t="shared" si="16"/>
        <v>2024</v>
      </c>
      <c r="G40" s="674">
        <f t="shared" si="16"/>
        <v>2025</v>
      </c>
      <c r="H40" s="674">
        <f t="shared" si="16"/>
        <v>2026</v>
      </c>
      <c r="I40" s="674">
        <f t="shared" si="16"/>
        <v>2027</v>
      </c>
      <c r="J40" s="674">
        <f t="shared" si="16"/>
        <v>2028</v>
      </c>
      <c r="K40" s="674">
        <f t="shared" si="16"/>
        <v>2029</v>
      </c>
      <c r="L40" s="674">
        <f t="shared" si="16"/>
        <v>2030</v>
      </c>
      <c r="M40" s="674">
        <f t="shared" si="16"/>
        <v>2031</v>
      </c>
      <c r="N40" s="674">
        <f t="shared" si="16"/>
        <v>2032</v>
      </c>
      <c r="O40" s="674">
        <f t="shared" ref="O40:AN40" si="17">B40</f>
        <v>2020</v>
      </c>
      <c r="P40" s="674">
        <f t="shared" si="17"/>
        <v>2021</v>
      </c>
      <c r="Q40" s="674">
        <f t="shared" si="17"/>
        <v>2022</v>
      </c>
      <c r="R40" s="674">
        <f t="shared" si="17"/>
        <v>2023</v>
      </c>
      <c r="S40" s="674">
        <f t="shared" si="17"/>
        <v>2024</v>
      </c>
      <c r="T40" s="674">
        <f t="shared" si="17"/>
        <v>2025</v>
      </c>
      <c r="U40" s="674">
        <f t="shared" si="17"/>
        <v>2026</v>
      </c>
      <c r="V40" s="674">
        <f t="shared" si="17"/>
        <v>2027</v>
      </c>
      <c r="W40" s="674">
        <f t="shared" si="17"/>
        <v>2028</v>
      </c>
      <c r="X40" s="674">
        <f t="shared" si="17"/>
        <v>2029</v>
      </c>
      <c r="Y40" s="674">
        <f t="shared" si="17"/>
        <v>2030</v>
      </c>
      <c r="Z40" s="674">
        <f t="shared" si="17"/>
        <v>2031</v>
      </c>
      <c r="AA40" s="674">
        <f t="shared" si="17"/>
        <v>2032</v>
      </c>
      <c r="AB40" s="674">
        <f t="shared" si="17"/>
        <v>2020</v>
      </c>
      <c r="AC40" s="674">
        <f t="shared" si="17"/>
        <v>2021</v>
      </c>
      <c r="AD40" s="674">
        <f t="shared" si="17"/>
        <v>2022</v>
      </c>
      <c r="AE40" s="674">
        <f t="shared" si="17"/>
        <v>2023</v>
      </c>
      <c r="AF40" s="674">
        <f t="shared" si="17"/>
        <v>2024</v>
      </c>
      <c r="AG40" s="674">
        <f t="shared" si="17"/>
        <v>2025</v>
      </c>
      <c r="AH40" s="674">
        <f t="shared" si="17"/>
        <v>2026</v>
      </c>
      <c r="AI40" s="674">
        <f t="shared" si="17"/>
        <v>2027</v>
      </c>
      <c r="AJ40" s="674">
        <f t="shared" si="17"/>
        <v>2028</v>
      </c>
      <c r="AK40" s="674">
        <f t="shared" si="17"/>
        <v>2029</v>
      </c>
      <c r="AL40" s="674">
        <f t="shared" si="17"/>
        <v>2030</v>
      </c>
      <c r="AM40" s="674">
        <f t="shared" si="17"/>
        <v>2031</v>
      </c>
      <c r="AN40" s="674">
        <f t="shared" si="17"/>
        <v>2032</v>
      </c>
      <c r="AO40" s="122"/>
    </row>
    <row r="41" spans="1:41" ht="16.5" customHeight="1" x14ac:dyDescent="0.3">
      <c r="A41" s="681" t="s">
        <v>381</v>
      </c>
      <c r="B41" s="678">
        <f>B42+B48</f>
        <v>4498794.3365319995</v>
      </c>
      <c r="C41" s="678">
        <f t="shared" ref="C41:AN41" si="18">C42+C48</f>
        <v>4583092.6798349991</v>
      </c>
      <c r="D41" s="678">
        <f t="shared" si="18"/>
        <v>4645311.4138981141</v>
      </c>
      <c r="E41" s="678">
        <f t="shared" si="18"/>
        <v>4193447.3672530004</v>
      </c>
      <c r="F41" s="678">
        <f t="shared" si="18"/>
        <v>4051374.2173239999</v>
      </c>
      <c r="G41" s="678">
        <f t="shared" si="18"/>
        <v>3785157.3095499999</v>
      </c>
      <c r="H41" s="678">
        <f t="shared" si="18"/>
        <v>3767633.7679804387</v>
      </c>
      <c r="I41" s="678">
        <f t="shared" si="18"/>
        <v>3731480.0000000005</v>
      </c>
      <c r="J41" s="678">
        <f t="shared" si="18"/>
        <v>3695859.7333006281</v>
      </c>
      <c r="K41" s="678">
        <f t="shared" si="18"/>
        <v>3660764.2864404675</v>
      </c>
      <c r="L41" s="678">
        <f t="shared" si="18"/>
        <v>3630028.9425074859</v>
      </c>
      <c r="M41" s="678">
        <f t="shared" si="18"/>
        <v>3606085.700983129</v>
      </c>
      <c r="N41" s="678">
        <f t="shared" si="18"/>
        <v>3589873.1662197886</v>
      </c>
      <c r="O41" s="678">
        <f t="shared" si="18"/>
        <v>10629440.631007198</v>
      </c>
      <c r="P41" s="678">
        <f t="shared" si="18"/>
        <v>10880113.016329</v>
      </c>
      <c r="Q41" s="678">
        <f t="shared" si="18"/>
        <v>11705969.894966986</v>
      </c>
      <c r="R41" s="678">
        <f t="shared" si="18"/>
        <v>12277954.360386999</v>
      </c>
      <c r="S41" s="678">
        <f t="shared" si="18"/>
        <v>13075497.069406999</v>
      </c>
      <c r="T41" s="678">
        <f t="shared" si="18"/>
        <v>13571475.521969002</v>
      </c>
      <c r="U41" s="678">
        <f t="shared" si="18"/>
        <v>13925805.992212018</v>
      </c>
      <c r="V41" s="678">
        <f t="shared" si="18"/>
        <v>14192931.083514186</v>
      </c>
      <c r="W41" s="678">
        <f t="shared" si="18"/>
        <v>14469126.905753646</v>
      </c>
      <c r="X41" s="678">
        <f t="shared" si="18"/>
        <v>14770167.372883584</v>
      </c>
      <c r="Y41" s="678">
        <f t="shared" si="18"/>
        <v>15077573.727062423</v>
      </c>
      <c r="Z41" s="678">
        <f t="shared" si="18"/>
        <v>15419816.970878428</v>
      </c>
      <c r="AA41" s="678">
        <f t="shared" si="18"/>
        <v>15792523.927243352</v>
      </c>
      <c r="AB41" s="678">
        <f t="shared" si="18"/>
        <v>4498794.3365319995</v>
      </c>
      <c r="AC41" s="678">
        <f t="shared" si="18"/>
        <v>15463205.696163999</v>
      </c>
      <c r="AD41" s="678">
        <f t="shared" si="18"/>
        <v>16351281.3088651</v>
      </c>
      <c r="AE41" s="678">
        <f t="shared" si="18"/>
        <v>16471401.727639999</v>
      </c>
      <c r="AF41" s="678">
        <f t="shared" si="18"/>
        <v>17126871.286730997</v>
      </c>
      <c r="AG41" s="678">
        <f t="shared" si="18"/>
        <v>17356632.831519</v>
      </c>
      <c r="AH41" s="678">
        <f t="shared" si="18"/>
        <v>17693439.760192458</v>
      </c>
      <c r="AI41" s="678">
        <f t="shared" si="18"/>
        <v>17924411.083514187</v>
      </c>
      <c r="AJ41" s="678">
        <f t="shared" si="18"/>
        <v>18164986.639054276</v>
      </c>
      <c r="AK41" s="678">
        <f t="shared" si="18"/>
        <v>18430931.65932405</v>
      </c>
      <c r="AL41" s="678">
        <f t="shared" si="18"/>
        <v>18707602.66956991</v>
      </c>
      <c r="AM41" s="678">
        <f t="shared" si="18"/>
        <v>19025902.671861555</v>
      </c>
      <c r="AN41" s="678">
        <f t="shared" si="18"/>
        <v>19382397.093463141</v>
      </c>
    </row>
    <row r="42" spans="1:41" ht="16.5" customHeight="1" x14ac:dyDescent="0.3">
      <c r="A42" s="681" t="s">
        <v>465</v>
      </c>
      <c r="B42" s="678">
        <f t="shared" ref="B42:N42" si="19">SUM(B43:B47)</f>
        <v>4498794.3365319995</v>
      </c>
      <c r="C42" s="678">
        <f t="shared" si="19"/>
        <v>4583092.6798349991</v>
      </c>
      <c r="D42" s="678">
        <f t="shared" si="19"/>
        <v>4645311.4138981141</v>
      </c>
      <c r="E42" s="678">
        <f t="shared" si="19"/>
        <v>4193447.3672530004</v>
      </c>
      <c r="F42" s="678">
        <f t="shared" si="19"/>
        <v>4051374.2173239999</v>
      </c>
      <c r="G42" s="678">
        <f t="shared" si="19"/>
        <v>3785157.3095499999</v>
      </c>
      <c r="H42" s="678">
        <f t="shared" si="19"/>
        <v>3767633.7679804387</v>
      </c>
      <c r="I42" s="678">
        <f t="shared" si="19"/>
        <v>3731480.0000000005</v>
      </c>
      <c r="J42" s="678">
        <f t="shared" si="19"/>
        <v>3695859.7333006281</v>
      </c>
      <c r="K42" s="678">
        <f t="shared" si="19"/>
        <v>3660764.2864404675</v>
      </c>
      <c r="L42" s="678">
        <f t="shared" si="19"/>
        <v>3630028.9425074859</v>
      </c>
      <c r="M42" s="678">
        <f t="shared" si="19"/>
        <v>3606085.700983129</v>
      </c>
      <c r="N42" s="678">
        <f t="shared" si="19"/>
        <v>3589873.1662197886</v>
      </c>
      <c r="O42" s="678">
        <f t="shared" ref="O42:AA42" si="20">SUM(O44:O47)</f>
        <v>0</v>
      </c>
      <c r="P42" s="678">
        <f t="shared" si="20"/>
        <v>0</v>
      </c>
      <c r="Q42" s="678">
        <f t="shared" si="20"/>
        <v>0</v>
      </c>
      <c r="R42" s="678">
        <f t="shared" si="20"/>
        <v>0</v>
      </c>
      <c r="S42" s="678">
        <f t="shared" si="20"/>
        <v>0</v>
      </c>
      <c r="T42" s="678">
        <f t="shared" si="20"/>
        <v>0</v>
      </c>
      <c r="U42" s="678">
        <f t="shared" si="20"/>
        <v>0</v>
      </c>
      <c r="V42" s="678">
        <f t="shared" si="20"/>
        <v>0</v>
      </c>
      <c r="W42" s="678">
        <f t="shared" si="20"/>
        <v>0</v>
      </c>
      <c r="X42" s="678">
        <f t="shared" si="20"/>
        <v>0</v>
      </c>
      <c r="Y42" s="678">
        <f t="shared" si="20"/>
        <v>0</v>
      </c>
      <c r="Z42" s="678">
        <f t="shared" si="20"/>
        <v>0</v>
      </c>
      <c r="AA42" s="678">
        <f t="shared" si="20"/>
        <v>0</v>
      </c>
      <c r="AB42" s="678">
        <f>SUM(AB43:AB47)</f>
        <v>4498794.3365319995</v>
      </c>
      <c r="AC42" s="678">
        <f t="shared" ref="AC42:AJ42" si="21">SUM(AC43:AC47)</f>
        <v>4583092.6798349991</v>
      </c>
      <c r="AD42" s="678">
        <f t="shared" si="21"/>
        <v>4645311.4138981141</v>
      </c>
      <c r="AE42" s="678">
        <f t="shared" si="21"/>
        <v>4193447.3672530004</v>
      </c>
      <c r="AF42" s="678">
        <f t="shared" si="21"/>
        <v>4051374.2173239999</v>
      </c>
      <c r="AG42" s="678">
        <f t="shared" si="21"/>
        <v>3785157.3095499999</v>
      </c>
      <c r="AH42" s="678">
        <f t="shared" si="21"/>
        <v>3767633.7679804387</v>
      </c>
      <c r="AI42" s="678">
        <f t="shared" si="21"/>
        <v>3731480.0000000005</v>
      </c>
      <c r="AJ42" s="678">
        <f t="shared" si="21"/>
        <v>3695859.7333006281</v>
      </c>
      <c r="AK42" s="678">
        <f>SUM(AK43:AK47)</f>
        <v>3660764.2864404675</v>
      </c>
      <c r="AL42" s="678">
        <f>SUM(AL43:AL47)</f>
        <v>3630028.9425074859</v>
      </c>
      <c r="AM42" s="678">
        <f>SUM(AM43:AM47)</f>
        <v>3606085.700983129</v>
      </c>
      <c r="AN42" s="678">
        <f>SUM(AN43:AN47)</f>
        <v>3589873.1662197886</v>
      </c>
    </row>
    <row r="43" spans="1:41" ht="16.5" customHeight="1" x14ac:dyDescent="0.3">
      <c r="A43" s="682" t="s">
        <v>466</v>
      </c>
      <c r="B43" s="678">
        <f>'9. 추정 IS'!E7</f>
        <v>1286828.1873500003</v>
      </c>
      <c r="C43" s="678">
        <f>'9. 추정 IS'!F7</f>
        <v>1254473.77474</v>
      </c>
      <c r="D43" s="678">
        <f>'9. 추정 IS'!G7</f>
        <v>1227543.577756</v>
      </c>
      <c r="E43" s="678">
        <f>'9. 추정 IS'!H7</f>
        <v>1102772.0343889999</v>
      </c>
      <c r="F43" s="678">
        <f>'9. 추정 IS'!I7</f>
        <v>1059132.719453</v>
      </c>
      <c r="G43" s="678">
        <f>'9. 추정 IS'!J7</f>
        <v>946419.88354200008</v>
      </c>
      <c r="H43" s="678">
        <f>'9. 추정 IS'!K7</f>
        <v>938513.978005582</v>
      </c>
      <c r="I43" s="678">
        <f>'9. 추정 IS'!L7</f>
        <v>893277.6042657129</v>
      </c>
      <c r="J43" s="678">
        <f>'9. 추정 IS'!M7</f>
        <v>854048.50555297395</v>
      </c>
      <c r="K43" s="678">
        <f>'9. 추정 IS'!N7</f>
        <v>819882.67804400367</v>
      </c>
      <c r="L43" s="678">
        <f>'9. 추정 IS'!O7</f>
        <v>790010.34484786948</v>
      </c>
      <c r="M43" s="678">
        <f>'9. 추정 IS'!P7</f>
        <v>763799.20669996215</v>
      </c>
      <c r="N43" s="678">
        <f>'9. 추정 IS'!Q7</f>
        <v>740726.31034168438</v>
      </c>
      <c r="O43" s="678"/>
      <c r="P43" s="678"/>
      <c r="Q43" s="678"/>
      <c r="R43" s="678"/>
      <c r="S43" s="678"/>
      <c r="T43" s="678"/>
      <c r="U43" s="678"/>
      <c r="V43" s="678"/>
      <c r="W43" s="678"/>
      <c r="X43" s="678"/>
      <c r="Y43" s="678"/>
      <c r="Z43" s="678"/>
      <c r="AA43" s="678"/>
      <c r="AB43" s="678">
        <f t="shared" ref="AB43:AB48" si="22">B43</f>
        <v>1286828.1873500003</v>
      </c>
      <c r="AC43" s="678">
        <f t="shared" ref="AC43:AN48" si="23">C43+P43</f>
        <v>1254473.77474</v>
      </c>
      <c r="AD43" s="678">
        <f t="shared" si="23"/>
        <v>1227543.577756</v>
      </c>
      <c r="AE43" s="678">
        <f t="shared" si="23"/>
        <v>1102772.0343889999</v>
      </c>
      <c r="AF43" s="678">
        <f t="shared" si="23"/>
        <v>1059132.719453</v>
      </c>
      <c r="AG43" s="678">
        <f t="shared" si="23"/>
        <v>946419.88354200008</v>
      </c>
      <c r="AH43" s="678">
        <f t="shared" si="23"/>
        <v>938513.978005582</v>
      </c>
      <c r="AI43" s="678">
        <f t="shared" si="23"/>
        <v>893277.6042657129</v>
      </c>
      <c r="AJ43" s="678">
        <f t="shared" si="23"/>
        <v>854048.50555297395</v>
      </c>
      <c r="AK43" s="678">
        <f t="shared" si="23"/>
        <v>819882.67804400367</v>
      </c>
      <c r="AL43" s="678">
        <f t="shared" si="23"/>
        <v>790010.34484786948</v>
      </c>
      <c r="AM43" s="678">
        <f t="shared" si="23"/>
        <v>763799.20669996215</v>
      </c>
      <c r="AN43" s="678">
        <f t="shared" si="23"/>
        <v>740726.31034168438</v>
      </c>
    </row>
    <row r="44" spans="1:41" ht="16.5" customHeight="1" x14ac:dyDescent="0.3">
      <c r="A44" s="682" t="s">
        <v>467</v>
      </c>
      <c r="B44" s="678">
        <f>'9. 추정 IS'!E9</f>
        <v>284126.36924800003</v>
      </c>
      <c r="C44" s="678">
        <f>'9. 추정 IS'!F9</f>
        <v>373805.20524599997</v>
      </c>
      <c r="D44" s="678">
        <f>'9. 추정 IS'!G9</f>
        <v>446463.85187599988</v>
      </c>
      <c r="E44" s="678">
        <f>'9. 추정 IS'!H9</f>
        <v>428831.81811700005</v>
      </c>
      <c r="F44" s="678">
        <f>'9. 추정 IS'!I9</f>
        <v>379746.36304200004</v>
      </c>
      <c r="G44" s="678">
        <f>'9. 추정 IS'!J9</f>
        <v>384490.27590900008</v>
      </c>
      <c r="H44" s="678">
        <f>'9. 추정 IS'!K9</f>
        <v>359033.71025559719</v>
      </c>
      <c r="I44" s="678">
        <f>'9. 추정 IS'!L9</f>
        <v>341800.09216332849</v>
      </c>
      <c r="J44" s="678">
        <f>'9. 추정 IS'!M9</f>
        <v>335140.5320933758</v>
      </c>
      <c r="K44" s="678">
        <f>'9. 추정 IS'!N9</f>
        <v>332513.18171832123</v>
      </c>
      <c r="L44" s="678">
        <f>'9. 추정 IS'!O9</f>
        <v>331555.54375497246</v>
      </c>
      <c r="M44" s="678">
        <f>'9. 추정 IS'!P9</f>
        <v>330759.81044996053</v>
      </c>
      <c r="N44" s="678">
        <f>'9. 추정 IS'!Q9</f>
        <v>330098.2908290606</v>
      </c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678"/>
      <c r="AB44" s="678">
        <f t="shared" si="22"/>
        <v>284126.36924800003</v>
      </c>
      <c r="AC44" s="678">
        <f t="shared" si="23"/>
        <v>373805.20524599997</v>
      </c>
      <c r="AD44" s="678">
        <f t="shared" si="23"/>
        <v>446463.85187599988</v>
      </c>
      <c r="AE44" s="678">
        <f t="shared" si="23"/>
        <v>428831.81811700005</v>
      </c>
      <c r="AF44" s="678">
        <f t="shared" si="23"/>
        <v>379746.36304200004</v>
      </c>
      <c r="AG44" s="678">
        <f t="shared" si="23"/>
        <v>384490.27590900008</v>
      </c>
      <c r="AH44" s="678">
        <f t="shared" si="23"/>
        <v>359033.71025559719</v>
      </c>
      <c r="AI44" s="678">
        <f t="shared" si="23"/>
        <v>341800.09216332849</v>
      </c>
      <c r="AJ44" s="678">
        <f t="shared" si="23"/>
        <v>335140.5320933758</v>
      </c>
      <c r="AK44" s="678">
        <f t="shared" si="23"/>
        <v>332513.18171832123</v>
      </c>
      <c r="AL44" s="678">
        <f t="shared" si="23"/>
        <v>331555.54375497246</v>
      </c>
      <c r="AM44" s="678">
        <f t="shared" si="23"/>
        <v>330759.81044996053</v>
      </c>
      <c r="AN44" s="678">
        <f t="shared" si="23"/>
        <v>330098.2908290606</v>
      </c>
    </row>
    <row r="45" spans="1:41" ht="16.5" customHeight="1" x14ac:dyDescent="0.3">
      <c r="A45" s="682" t="s">
        <v>468</v>
      </c>
      <c r="B45" s="678">
        <f>'9. 추정 IS'!E11</f>
        <v>2854891.9399620001</v>
      </c>
      <c r="C45" s="678">
        <f>'9. 추정 IS'!F11</f>
        <v>2891446.6891979999</v>
      </c>
      <c r="D45" s="678">
        <f>'9. 추정 IS'!G11</f>
        <v>2912429.4304511147</v>
      </c>
      <c r="E45" s="678">
        <f>'9. 추정 IS'!H11</f>
        <v>2628283.0168940001</v>
      </c>
      <c r="F45" s="678">
        <f>'9. 추정 IS'!I11</f>
        <v>2584579.971262</v>
      </c>
      <c r="G45" s="678">
        <f>'9. 추정 IS'!J11</f>
        <v>2418763.6413699999</v>
      </c>
      <c r="H45" s="678">
        <f>'9. 추정 IS'!K11</f>
        <v>2443642.4624549099</v>
      </c>
      <c r="I45" s="678">
        <f>'9. 추정 IS'!L11</f>
        <v>2474907.9280572846</v>
      </c>
      <c r="J45" s="678">
        <f>'9. 추정 IS'!M11</f>
        <v>2487949.7631287631</v>
      </c>
      <c r="K45" s="678">
        <f>'9. 추정 IS'!N11</f>
        <v>2491294.663939774</v>
      </c>
      <c r="L45" s="678">
        <f>'9. 추정 IS'!O11</f>
        <v>2492406.0781562915</v>
      </c>
      <c r="M45" s="678">
        <f>'9. 추정 IS'!P11</f>
        <v>2496113.6987644196</v>
      </c>
      <c r="N45" s="678">
        <f>'9. 추정 IS'!Q11</f>
        <v>2504050.4932432622</v>
      </c>
      <c r="O45" s="678"/>
      <c r="P45" s="678"/>
      <c r="Q45" s="678"/>
      <c r="R45" s="678"/>
      <c r="S45" s="678"/>
      <c r="T45" s="678"/>
      <c r="U45" s="678"/>
      <c r="V45" s="678"/>
      <c r="W45" s="678"/>
      <c r="X45" s="678"/>
      <c r="Y45" s="678"/>
      <c r="Z45" s="678"/>
      <c r="AA45" s="678"/>
      <c r="AB45" s="678">
        <f t="shared" si="22"/>
        <v>2854891.9399620001</v>
      </c>
      <c r="AC45" s="678">
        <f t="shared" si="23"/>
        <v>2891446.6891979999</v>
      </c>
      <c r="AD45" s="678">
        <f t="shared" si="23"/>
        <v>2912429.4304511147</v>
      </c>
      <c r="AE45" s="678">
        <f t="shared" si="23"/>
        <v>2628283.0168940001</v>
      </c>
      <c r="AF45" s="678">
        <f t="shared" si="23"/>
        <v>2584579.971262</v>
      </c>
      <c r="AG45" s="678">
        <f t="shared" si="23"/>
        <v>2418763.6413699999</v>
      </c>
      <c r="AH45" s="678">
        <f t="shared" si="23"/>
        <v>2443642.4624549099</v>
      </c>
      <c r="AI45" s="678">
        <f t="shared" si="23"/>
        <v>2474907.9280572846</v>
      </c>
      <c r="AJ45" s="678">
        <f t="shared" si="23"/>
        <v>2487949.7631287631</v>
      </c>
      <c r="AK45" s="678">
        <f t="shared" si="23"/>
        <v>2491294.663939774</v>
      </c>
      <c r="AL45" s="678">
        <f t="shared" si="23"/>
        <v>2492406.0781562915</v>
      </c>
      <c r="AM45" s="678">
        <f t="shared" si="23"/>
        <v>2496113.6987644196</v>
      </c>
      <c r="AN45" s="678">
        <f t="shared" si="23"/>
        <v>2504050.4932432622</v>
      </c>
    </row>
    <row r="46" spans="1:41" ht="16.5" customHeight="1" x14ac:dyDescent="0.3">
      <c r="A46" s="682" t="s">
        <v>469</v>
      </c>
      <c r="B46" s="678">
        <f>'9. 추정 IS'!E13</f>
        <v>0</v>
      </c>
      <c r="C46" s="678">
        <f>'9. 추정 IS'!F13</f>
        <v>0</v>
      </c>
      <c r="D46" s="678">
        <f>'9. 추정 IS'!G13</f>
        <v>0</v>
      </c>
      <c r="E46" s="678">
        <f>'9. 추정 IS'!H13</f>
        <v>0</v>
      </c>
      <c r="F46" s="678">
        <f>'9. 추정 IS'!I13</f>
        <v>0</v>
      </c>
      <c r="G46" s="678">
        <f>'9. 추정 IS'!J13</f>
        <v>0</v>
      </c>
      <c r="H46" s="678">
        <f>'9. 추정 IS'!K13</f>
        <v>0</v>
      </c>
      <c r="I46" s="678">
        <f>'9. 추정 IS'!L13</f>
        <v>0</v>
      </c>
      <c r="J46" s="678">
        <f>'9. 추정 IS'!M13</f>
        <v>0</v>
      </c>
      <c r="K46" s="678">
        <f>'9. 추정 IS'!N13</f>
        <v>0</v>
      </c>
      <c r="L46" s="678">
        <f>'9. 추정 IS'!O13</f>
        <v>0</v>
      </c>
      <c r="M46" s="678">
        <f>'9. 추정 IS'!P13</f>
        <v>0</v>
      </c>
      <c r="N46" s="678">
        <f>'9. 추정 IS'!Q13</f>
        <v>0</v>
      </c>
      <c r="O46" s="678"/>
      <c r="P46" s="678"/>
      <c r="Q46" s="678"/>
      <c r="R46" s="678"/>
      <c r="S46" s="678"/>
      <c r="T46" s="678"/>
      <c r="U46" s="678"/>
      <c r="V46" s="678"/>
      <c r="W46" s="678"/>
      <c r="X46" s="678"/>
      <c r="Y46" s="678"/>
      <c r="Z46" s="678"/>
      <c r="AA46" s="678"/>
      <c r="AB46" s="678">
        <f t="shared" si="22"/>
        <v>0</v>
      </c>
      <c r="AC46" s="678">
        <f t="shared" si="23"/>
        <v>0</v>
      </c>
      <c r="AD46" s="678">
        <f t="shared" si="23"/>
        <v>0</v>
      </c>
      <c r="AE46" s="678">
        <f t="shared" si="23"/>
        <v>0</v>
      </c>
      <c r="AF46" s="678">
        <f t="shared" si="23"/>
        <v>0</v>
      </c>
      <c r="AG46" s="678">
        <f t="shared" si="23"/>
        <v>0</v>
      </c>
      <c r="AH46" s="678">
        <f t="shared" si="23"/>
        <v>0</v>
      </c>
      <c r="AI46" s="678">
        <f t="shared" si="23"/>
        <v>0</v>
      </c>
      <c r="AJ46" s="678">
        <f t="shared" si="23"/>
        <v>0</v>
      </c>
      <c r="AK46" s="678">
        <f t="shared" si="23"/>
        <v>0</v>
      </c>
      <c r="AL46" s="678">
        <f t="shared" si="23"/>
        <v>0</v>
      </c>
      <c r="AM46" s="678">
        <f t="shared" si="23"/>
        <v>0</v>
      </c>
      <c r="AN46" s="678">
        <f t="shared" si="23"/>
        <v>0</v>
      </c>
    </row>
    <row r="47" spans="1:41" ht="16.5" customHeight="1" x14ac:dyDescent="0.3">
      <c r="A47" s="682" t="s">
        <v>470</v>
      </c>
      <c r="B47" s="678">
        <f>'9. 추정 IS'!E14</f>
        <v>72947.839971999521</v>
      </c>
      <c r="C47" s="678">
        <f>'9. 추정 IS'!F14</f>
        <v>63367.010651000011</v>
      </c>
      <c r="D47" s="678">
        <f>'9. 추정 IS'!G14</f>
        <v>58874.553814999999</v>
      </c>
      <c r="E47" s="678">
        <f>'9. 추정 IS'!H14</f>
        <v>33560.497853000001</v>
      </c>
      <c r="F47" s="678">
        <f>'9. 추정 IS'!I14</f>
        <v>27915.163566999996</v>
      </c>
      <c r="G47" s="678">
        <f>'9. 추정 IS'!J14</f>
        <v>35483.508729000008</v>
      </c>
      <c r="H47" s="678">
        <f>'9. 추정 IS'!K14</f>
        <v>26443.617264349603</v>
      </c>
      <c r="I47" s="678">
        <f>'9. 추정 IS'!L14</f>
        <v>21494.375513674258</v>
      </c>
      <c r="J47" s="678">
        <f>'9. 추정 IS'!M14</f>
        <v>18720.932525515789</v>
      </c>
      <c r="K47" s="678">
        <f>'9. 추정 IS'!N14</f>
        <v>17073.762738368674</v>
      </c>
      <c r="L47" s="678">
        <f>'9. 추정 IS'!O14</f>
        <v>16056.975748352736</v>
      </c>
      <c r="M47" s="678">
        <f>'9. 추정 IS'!P14</f>
        <v>15412.985068786433</v>
      </c>
      <c r="N47" s="678">
        <f>'9. 추정 IS'!Q14</f>
        <v>14998.071805781912</v>
      </c>
      <c r="O47" s="678"/>
      <c r="P47" s="678"/>
      <c r="Q47" s="678"/>
      <c r="R47" s="678"/>
      <c r="S47" s="678"/>
      <c r="T47" s="678"/>
      <c r="U47" s="678"/>
      <c r="V47" s="678"/>
      <c r="W47" s="678"/>
      <c r="X47" s="678"/>
      <c r="Y47" s="678"/>
      <c r="Z47" s="678"/>
      <c r="AA47" s="678"/>
      <c r="AB47" s="678">
        <f t="shared" si="22"/>
        <v>72947.839971999521</v>
      </c>
      <c r="AC47" s="678">
        <f t="shared" si="23"/>
        <v>63367.010651000011</v>
      </c>
      <c r="AD47" s="678">
        <f t="shared" si="23"/>
        <v>58874.553814999999</v>
      </c>
      <c r="AE47" s="678">
        <f t="shared" si="23"/>
        <v>33560.497853000001</v>
      </c>
      <c r="AF47" s="678">
        <f t="shared" si="23"/>
        <v>27915.163566999996</v>
      </c>
      <c r="AG47" s="678">
        <f t="shared" si="23"/>
        <v>35483.508729000008</v>
      </c>
      <c r="AH47" s="678">
        <f t="shared" si="23"/>
        <v>26443.617264349603</v>
      </c>
      <c r="AI47" s="678">
        <f t="shared" si="23"/>
        <v>21494.375513674258</v>
      </c>
      <c r="AJ47" s="678">
        <f t="shared" si="23"/>
        <v>18720.932525515789</v>
      </c>
      <c r="AK47" s="678">
        <f t="shared" si="23"/>
        <v>17073.762738368674</v>
      </c>
      <c r="AL47" s="678">
        <f t="shared" si="23"/>
        <v>16056.975748352736</v>
      </c>
      <c r="AM47" s="678">
        <f t="shared" si="23"/>
        <v>15412.985068786433</v>
      </c>
      <c r="AN47" s="678">
        <f t="shared" si="23"/>
        <v>14998.071805781912</v>
      </c>
    </row>
    <row r="48" spans="1:41" ht="16.5" customHeight="1" x14ac:dyDescent="0.3">
      <c r="A48" s="681" t="s">
        <v>399</v>
      </c>
      <c r="B48" s="678"/>
      <c r="C48" s="678"/>
      <c r="D48" s="678"/>
      <c r="E48" s="678"/>
      <c r="F48" s="678"/>
      <c r="G48" s="678"/>
      <c r="H48" s="678"/>
      <c r="I48" s="678"/>
      <c r="J48" s="678"/>
      <c r="K48" s="678"/>
      <c r="L48" s="678"/>
      <c r="M48" s="678"/>
      <c r="N48" s="678"/>
      <c r="O48" s="678">
        <f>'12. 추정 IS'!Y14</f>
        <v>10629440.631007198</v>
      </c>
      <c r="P48" s="678">
        <f>'12. 추정 IS'!Z14</f>
        <v>10880113.016329</v>
      </c>
      <c r="Q48" s="678">
        <f>'12. 추정 IS'!AA14</f>
        <v>11705969.894966986</v>
      </c>
      <c r="R48" s="678">
        <f>'12. 추정 IS'!AB14</f>
        <v>12277954.360386999</v>
      </c>
      <c r="S48" s="678">
        <f>'12. 추정 IS'!AC14</f>
        <v>13075497.069406999</v>
      </c>
      <c r="T48" s="678">
        <f>'12. 추정 IS'!AD14</f>
        <v>13571475.521969002</v>
      </c>
      <c r="U48" s="678">
        <f>'12. 추정 IS'!AE14</f>
        <v>13925805.992212018</v>
      </c>
      <c r="V48" s="678">
        <f>'12. 추정 IS'!AF14</f>
        <v>14192931.083514186</v>
      </c>
      <c r="W48" s="678">
        <f>'12. 추정 IS'!AG14</f>
        <v>14469126.905753646</v>
      </c>
      <c r="X48" s="678">
        <f>'12. 추정 IS'!AH14</f>
        <v>14770167.372883584</v>
      </c>
      <c r="Y48" s="678">
        <f>'12. 추정 IS'!AI14</f>
        <v>15077573.727062423</v>
      </c>
      <c r="Z48" s="678">
        <f>'12. 추정 IS'!AJ14</f>
        <v>15419816.970878428</v>
      </c>
      <c r="AA48" s="678">
        <f>'12. 추정 IS'!AK14</f>
        <v>15792523.927243352</v>
      </c>
      <c r="AB48" s="678">
        <f t="shared" si="22"/>
        <v>0</v>
      </c>
      <c r="AC48" s="678">
        <f t="shared" si="23"/>
        <v>10880113.016329</v>
      </c>
      <c r="AD48" s="678">
        <f t="shared" si="23"/>
        <v>11705969.894966986</v>
      </c>
      <c r="AE48" s="678">
        <f t="shared" si="23"/>
        <v>12277954.360386999</v>
      </c>
      <c r="AF48" s="678">
        <f t="shared" si="23"/>
        <v>13075497.069406999</v>
      </c>
      <c r="AG48" s="678">
        <f t="shared" si="23"/>
        <v>13571475.521969002</v>
      </c>
      <c r="AH48" s="678">
        <f t="shared" si="23"/>
        <v>13925805.992212018</v>
      </c>
      <c r="AI48" s="678">
        <f t="shared" si="23"/>
        <v>14192931.083514186</v>
      </c>
      <c r="AJ48" s="678">
        <f t="shared" si="23"/>
        <v>14469126.905753646</v>
      </c>
      <c r="AK48" s="678">
        <f t="shared" si="23"/>
        <v>14770167.372883584</v>
      </c>
      <c r="AL48" s="678">
        <f t="shared" si="23"/>
        <v>15077573.727062423</v>
      </c>
      <c r="AM48" s="678">
        <f t="shared" si="23"/>
        <v>15419816.970878428</v>
      </c>
      <c r="AN48" s="678">
        <f t="shared" si="23"/>
        <v>15792523.927243352</v>
      </c>
    </row>
    <row r="49" spans="1:40" ht="16.5" customHeight="1" x14ac:dyDescent="0.3">
      <c r="A49" s="683" t="s">
        <v>382</v>
      </c>
      <c r="B49" s="678">
        <f>SUM(B50:B51)</f>
        <v>1206716</v>
      </c>
      <c r="C49" s="678">
        <f t="shared" ref="C49:AN49" si="24">SUM(C50:C51)</f>
        <v>1227065</v>
      </c>
      <c r="D49" s="678">
        <f t="shared" si="24"/>
        <v>1239315</v>
      </c>
      <c r="E49" s="678">
        <f t="shared" si="24"/>
        <v>1131065</v>
      </c>
      <c r="F49" s="678">
        <f t="shared" si="24"/>
        <v>1052081</v>
      </c>
      <c r="G49" s="678">
        <f t="shared" si="24"/>
        <v>1049110.1877059999</v>
      </c>
      <c r="H49" s="678">
        <f t="shared" si="24"/>
        <v>1060021.4203150417</v>
      </c>
      <c r="I49" s="678">
        <f t="shared" si="24"/>
        <v>1054370.3980017116</v>
      </c>
      <c r="J49" s="678">
        <f t="shared" si="24"/>
        <v>1048778.7896114832</v>
      </c>
      <c r="K49" s="678">
        <f t="shared" si="24"/>
        <v>1043245.9677611254</v>
      </c>
      <c r="L49" s="678">
        <f t="shared" si="24"/>
        <v>1038379.8734587536</v>
      </c>
      <c r="M49" s="678">
        <f t="shared" si="24"/>
        <v>1034574.8563366034</v>
      </c>
      <c r="N49" s="678">
        <f t="shared" si="24"/>
        <v>1031990.7862373232</v>
      </c>
      <c r="O49" s="678">
        <f t="shared" si="24"/>
        <v>8569243.3398080003</v>
      </c>
      <c r="P49" s="678">
        <f t="shared" si="24"/>
        <v>8715328.7297590002</v>
      </c>
      <c r="Q49" s="678">
        <f t="shared" si="24"/>
        <v>9330023.0902379993</v>
      </c>
      <c r="R49" s="678">
        <f t="shared" si="24"/>
        <v>9755829.6800590046</v>
      </c>
      <c r="S49" s="678">
        <f t="shared" si="24"/>
        <v>10325953.037656</v>
      </c>
      <c r="T49" s="678">
        <f t="shared" si="24"/>
        <v>10725534</v>
      </c>
      <c r="U49" s="678">
        <f t="shared" si="24"/>
        <v>10972581.755030418</v>
      </c>
      <c r="V49" s="678">
        <f t="shared" si="24"/>
        <v>11162056.045430969</v>
      </c>
      <c r="W49" s="678">
        <f t="shared" si="24"/>
        <v>11362310.430980613</v>
      </c>
      <c r="X49" s="678">
        <f t="shared" si="24"/>
        <v>11583060.023459554</v>
      </c>
      <c r="Y49" s="678">
        <f t="shared" si="24"/>
        <v>11812050.73934936</v>
      </c>
      <c r="Z49" s="678">
        <f t="shared" si="24"/>
        <v>12068915.710667491</v>
      </c>
      <c r="AA49" s="678">
        <f t="shared" si="24"/>
        <v>12350844.760973234</v>
      </c>
      <c r="AB49" s="678">
        <f t="shared" si="24"/>
        <v>1206716</v>
      </c>
      <c r="AC49" s="678">
        <f t="shared" si="24"/>
        <v>9942393.7297590002</v>
      </c>
      <c r="AD49" s="678">
        <f t="shared" si="24"/>
        <v>10569338.090237999</v>
      </c>
      <c r="AE49" s="678">
        <f t="shared" si="24"/>
        <v>10886894.680059005</v>
      </c>
      <c r="AF49" s="678">
        <f t="shared" si="24"/>
        <v>11378034.037656</v>
      </c>
      <c r="AG49" s="678">
        <f t="shared" si="24"/>
        <v>11774644.187705999</v>
      </c>
      <c r="AH49" s="678">
        <f t="shared" si="24"/>
        <v>12032603.17534546</v>
      </c>
      <c r="AI49" s="678">
        <f t="shared" si="24"/>
        <v>12216426.443432681</v>
      </c>
      <c r="AJ49" s="678">
        <f t="shared" si="24"/>
        <v>12411089.220592096</v>
      </c>
      <c r="AK49" s="678">
        <f t="shared" si="24"/>
        <v>12626305.991220679</v>
      </c>
      <c r="AL49" s="678">
        <f t="shared" si="24"/>
        <v>12850430.612808114</v>
      </c>
      <c r="AM49" s="678">
        <f t="shared" si="24"/>
        <v>13103490.567004094</v>
      </c>
      <c r="AN49" s="678">
        <f t="shared" si="24"/>
        <v>13382835.547210557</v>
      </c>
    </row>
    <row r="50" spans="1:40" ht="16.5" customHeight="1" x14ac:dyDescent="0.3">
      <c r="A50" s="681" t="s">
        <v>465</v>
      </c>
      <c r="B50" s="678">
        <f>'9. 추정 IS'!E16</f>
        <v>1206716</v>
      </c>
      <c r="C50" s="678">
        <f>'9. 추정 IS'!F16</f>
        <v>1227065</v>
      </c>
      <c r="D50" s="678">
        <f>'9. 추정 IS'!G16</f>
        <v>1239315</v>
      </c>
      <c r="E50" s="678">
        <f>'9. 추정 IS'!H16</f>
        <v>1131065</v>
      </c>
      <c r="F50" s="678">
        <f>'9. 추정 IS'!I16</f>
        <v>1052081</v>
      </c>
      <c r="G50" s="678">
        <f>'9. 추정 IS'!J16</f>
        <v>1049110.1877059999</v>
      </c>
      <c r="H50" s="678">
        <f>'9. 추정 IS'!K16</f>
        <v>1060021.4203150417</v>
      </c>
      <c r="I50" s="678">
        <f>'9. 추정 IS'!L16</f>
        <v>1054370.3980017116</v>
      </c>
      <c r="J50" s="678">
        <f>'9. 추정 IS'!M16</f>
        <v>1048778.7896114832</v>
      </c>
      <c r="K50" s="678">
        <f>'9. 추정 IS'!N16</f>
        <v>1043245.9677611254</v>
      </c>
      <c r="L50" s="678">
        <f>'9. 추정 IS'!O16</f>
        <v>1038379.8734587536</v>
      </c>
      <c r="M50" s="678">
        <f>'9. 추정 IS'!P16</f>
        <v>1034574.8563366034</v>
      </c>
      <c r="N50" s="678">
        <f>'9. 추정 IS'!Q16</f>
        <v>1031990.7862373232</v>
      </c>
      <c r="O50" s="678"/>
      <c r="P50" s="678"/>
      <c r="Q50" s="678"/>
      <c r="R50" s="678"/>
      <c r="S50" s="678"/>
      <c r="T50" s="678"/>
      <c r="U50" s="678"/>
      <c r="V50" s="678"/>
      <c r="W50" s="678"/>
      <c r="X50" s="678"/>
      <c r="Y50" s="678"/>
      <c r="Z50" s="678"/>
      <c r="AA50" s="678"/>
      <c r="AB50" s="678">
        <f>B50</f>
        <v>1206716</v>
      </c>
      <c r="AC50" s="678">
        <f t="shared" ref="AC50:AN51" si="25">C50+P50</f>
        <v>1227065</v>
      </c>
      <c r="AD50" s="678">
        <f t="shared" si="25"/>
        <v>1239315</v>
      </c>
      <c r="AE50" s="678">
        <f t="shared" si="25"/>
        <v>1131065</v>
      </c>
      <c r="AF50" s="678">
        <f t="shared" si="25"/>
        <v>1052081</v>
      </c>
      <c r="AG50" s="678">
        <f t="shared" si="25"/>
        <v>1049110.1877059999</v>
      </c>
      <c r="AH50" s="678">
        <f t="shared" si="25"/>
        <v>1060021.4203150417</v>
      </c>
      <c r="AI50" s="678">
        <f t="shared" si="25"/>
        <v>1054370.3980017116</v>
      </c>
      <c r="AJ50" s="678">
        <f t="shared" si="25"/>
        <v>1048778.7896114832</v>
      </c>
      <c r="AK50" s="678">
        <f t="shared" si="25"/>
        <v>1043245.9677611254</v>
      </c>
      <c r="AL50" s="678">
        <f t="shared" si="25"/>
        <v>1038379.8734587536</v>
      </c>
      <c r="AM50" s="678">
        <f t="shared" si="25"/>
        <v>1034574.8563366034</v>
      </c>
      <c r="AN50" s="678">
        <f t="shared" si="25"/>
        <v>1031990.7862373232</v>
      </c>
    </row>
    <row r="51" spans="1:40" ht="16.5" customHeight="1" x14ac:dyDescent="0.3">
      <c r="A51" s="681" t="s">
        <v>399</v>
      </c>
      <c r="B51" s="678"/>
      <c r="C51" s="678"/>
      <c r="D51" s="678"/>
      <c r="E51" s="678"/>
      <c r="F51" s="678"/>
      <c r="G51" s="678"/>
      <c r="H51" s="678"/>
      <c r="I51" s="678"/>
      <c r="J51" s="678"/>
      <c r="K51" s="678"/>
      <c r="L51" s="678"/>
      <c r="M51" s="678"/>
      <c r="N51" s="678"/>
      <c r="O51" s="678">
        <f>'12. 추정 IS'!Y15</f>
        <v>8569243.3398080003</v>
      </c>
      <c r="P51" s="678">
        <f>'12. 추정 IS'!Z15</f>
        <v>8715328.7297590002</v>
      </c>
      <c r="Q51" s="678">
        <f>'12. 추정 IS'!AA15</f>
        <v>9330023.0902379993</v>
      </c>
      <c r="R51" s="678">
        <f>'12. 추정 IS'!AB15</f>
        <v>9755829.6800590046</v>
      </c>
      <c r="S51" s="678">
        <f>'12. 추정 IS'!AC15</f>
        <v>10325953.037656</v>
      </c>
      <c r="T51" s="678">
        <f>'12. 추정 IS'!AD15</f>
        <v>10725534</v>
      </c>
      <c r="U51" s="678">
        <f>'12. 추정 IS'!AE15</f>
        <v>10972581.755030418</v>
      </c>
      <c r="V51" s="678">
        <f>'12. 추정 IS'!AF15</f>
        <v>11162056.045430969</v>
      </c>
      <c r="W51" s="678">
        <f>'12. 추정 IS'!AG15</f>
        <v>11362310.430980613</v>
      </c>
      <c r="X51" s="678">
        <f>'12. 추정 IS'!AH15</f>
        <v>11583060.023459554</v>
      </c>
      <c r="Y51" s="678">
        <f>'12. 추정 IS'!AI15</f>
        <v>11812050.73934936</v>
      </c>
      <c r="Z51" s="678">
        <f>'12. 추정 IS'!AJ15</f>
        <v>12068915.710667491</v>
      </c>
      <c r="AA51" s="678">
        <f>'12. 추정 IS'!AK15</f>
        <v>12350844.760973234</v>
      </c>
      <c r="AB51" s="678">
        <f>B51</f>
        <v>0</v>
      </c>
      <c r="AC51" s="678">
        <f t="shared" si="25"/>
        <v>8715328.7297590002</v>
      </c>
      <c r="AD51" s="678">
        <f t="shared" si="25"/>
        <v>9330023.0902379993</v>
      </c>
      <c r="AE51" s="678">
        <f t="shared" si="25"/>
        <v>9755829.6800590046</v>
      </c>
      <c r="AF51" s="678">
        <f t="shared" si="25"/>
        <v>10325953.037656</v>
      </c>
      <c r="AG51" s="678">
        <f t="shared" si="25"/>
        <v>10725534</v>
      </c>
      <c r="AH51" s="678">
        <f t="shared" si="25"/>
        <v>10972581.755030418</v>
      </c>
      <c r="AI51" s="678">
        <f t="shared" si="25"/>
        <v>11162056.045430969</v>
      </c>
      <c r="AJ51" s="678">
        <f t="shared" si="25"/>
        <v>11362310.430980613</v>
      </c>
      <c r="AK51" s="678">
        <f t="shared" si="25"/>
        <v>11583060.023459554</v>
      </c>
      <c r="AL51" s="678">
        <f t="shared" si="25"/>
        <v>11812050.73934936</v>
      </c>
      <c r="AM51" s="678">
        <f t="shared" si="25"/>
        <v>12068915.710667491</v>
      </c>
      <c r="AN51" s="678">
        <f t="shared" si="25"/>
        <v>12350844.760973234</v>
      </c>
    </row>
    <row r="52" spans="1:40" ht="16.5" customHeight="1" x14ac:dyDescent="0.3">
      <c r="A52" s="683" t="s">
        <v>290</v>
      </c>
      <c r="B52" s="678">
        <f>SUM(B53:B54)</f>
        <v>200911</v>
      </c>
      <c r="C52" s="678">
        <f t="shared" ref="C52:AN52" si="26">SUM(C53:C54)</f>
        <v>192258</v>
      </c>
      <c r="D52" s="678">
        <f t="shared" si="26"/>
        <v>187896</v>
      </c>
      <c r="E52" s="678">
        <f t="shared" si="26"/>
        <v>149269</v>
      </c>
      <c r="F52" s="678">
        <f t="shared" si="26"/>
        <v>119598</v>
      </c>
      <c r="G52" s="678">
        <f t="shared" si="26"/>
        <v>139480.34736000001</v>
      </c>
      <c r="H52" s="678">
        <f t="shared" si="26"/>
        <v>139521.16706929944</v>
      </c>
      <c r="I52" s="678">
        <f t="shared" si="26"/>
        <v>142806.92456777723</v>
      </c>
      <c r="J52" s="678">
        <f t="shared" si="26"/>
        <v>146933.35538769717</v>
      </c>
      <c r="K52" s="678">
        <f t="shared" si="26"/>
        <v>149721.20462566064</v>
      </c>
      <c r="L52" s="678">
        <f t="shared" si="26"/>
        <v>152455.24345760813</v>
      </c>
      <c r="M52" s="678">
        <f t="shared" si="26"/>
        <v>155104.03930481637</v>
      </c>
      <c r="N52" s="678">
        <f t="shared" si="26"/>
        <v>157583.31365132201</v>
      </c>
      <c r="O52" s="678">
        <f t="shared" si="26"/>
        <v>6768038.416712</v>
      </c>
      <c r="P52" s="678">
        <f t="shared" si="26"/>
        <v>6991831.8753980007</v>
      </c>
      <c r="Q52" s="678">
        <f t="shared" si="26"/>
        <v>7522688.3692529993</v>
      </c>
      <c r="R52" s="678">
        <f t="shared" si="26"/>
        <v>7836897.9117230019</v>
      </c>
      <c r="S52" s="678">
        <f t="shared" si="26"/>
        <v>8333322.0477119992</v>
      </c>
      <c r="T52" s="678">
        <f t="shared" si="26"/>
        <v>8671279</v>
      </c>
      <c r="U52" s="678">
        <f t="shared" si="26"/>
        <v>8869388.0895608906</v>
      </c>
      <c r="V52" s="678">
        <f t="shared" si="26"/>
        <v>9043459.5662013851</v>
      </c>
      <c r="W52" s="678">
        <f t="shared" si="26"/>
        <v>9224207.7350209337</v>
      </c>
      <c r="X52" s="678">
        <f t="shared" si="26"/>
        <v>9420667.215561064</v>
      </c>
      <c r="Y52" s="678">
        <f t="shared" si="26"/>
        <v>9610801.9657664374</v>
      </c>
      <c r="Z52" s="678">
        <f t="shared" si="26"/>
        <v>9822695.321559133</v>
      </c>
      <c r="AA52" s="678">
        <f t="shared" si="26"/>
        <v>10053692.627560558</v>
      </c>
      <c r="AB52" s="678">
        <f t="shared" si="26"/>
        <v>200911</v>
      </c>
      <c r="AC52" s="678">
        <f t="shared" si="26"/>
        <v>7184089.8753980007</v>
      </c>
      <c r="AD52" s="678">
        <f t="shared" si="26"/>
        <v>7710584.3692529993</v>
      </c>
      <c r="AE52" s="678">
        <f t="shared" si="26"/>
        <v>7986166.9117230019</v>
      </c>
      <c r="AF52" s="678">
        <f t="shared" si="26"/>
        <v>8452920.0477119982</v>
      </c>
      <c r="AG52" s="678">
        <f t="shared" si="26"/>
        <v>8810759.34736</v>
      </c>
      <c r="AH52" s="678">
        <f t="shared" si="26"/>
        <v>9008909.2566301897</v>
      </c>
      <c r="AI52" s="678">
        <f t="shared" si="26"/>
        <v>9186266.4907691628</v>
      </c>
      <c r="AJ52" s="678">
        <f t="shared" si="26"/>
        <v>9371141.0904086307</v>
      </c>
      <c r="AK52" s="678">
        <f t="shared" si="26"/>
        <v>9570388.4201867245</v>
      </c>
      <c r="AL52" s="678">
        <f t="shared" si="26"/>
        <v>9763257.2092240453</v>
      </c>
      <c r="AM52" s="678">
        <f t="shared" si="26"/>
        <v>9977799.3608639501</v>
      </c>
      <c r="AN52" s="678">
        <f t="shared" si="26"/>
        <v>10211275.941211879</v>
      </c>
    </row>
    <row r="53" spans="1:40" ht="16.5" customHeight="1" x14ac:dyDescent="0.3">
      <c r="A53" s="681" t="s">
        <v>465</v>
      </c>
      <c r="B53" s="678">
        <f>'9. 추정 IS'!E43</f>
        <v>200911</v>
      </c>
      <c r="C53" s="678">
        <f>'9. 추정 IS'!F43</f>
        <v>192258</v>
      </c>
      <c r="D53" s="678">
        <f>'9. 추정 IS'!G43</f>
        <v>187896</v>
      </c>
      <c r="E53" s="678">
        <f>'9. 추정 IS'!H43</f>
        <v>149269</v>
      </c>
      <c r="F53" s="678">
        <f>'9. 추정 IS'!I43</f>
        <v>119598</v>
      </c>
      <c r="G53" s="678">
        <f>'9. 추정 IS'!J43</f>
        <v>139480.34736000001</v>
      </c>
      <c r="H53" s="678">
        <f>'9. 추정 IS'!K43</f>
        <v>139521.16706929944</v>
      </c>
      <c r="I53" s="678">
        <f>'9. 추정 IS'!L43</f>
        <v>142806.92456777723</v>
      </c>
      <c r="J53" s="678">
        <f>'9. 추정 IS'!M43</f>
        <v>146933.35538769717</v>
      </c>
      <c r="K53" s="678">
        <f>'9. 추정 IS'!N43</f>
        <v>149721.20462566064</v>
      </c>
      <c r="L53" s="678">
        <f>'9. 추정 IS'!O43</f>
        <v>152455.24345760813</v>
      </c>
      <c r="M53" s="678">
        <f>'9. 추정 IS'!P43</f>
        <v>155104.03930481637</v>
      </c>
      <c r="N53" s="678">
        <f>'9. 추정 IS'!Q43</f>
        <v>157583.31365132201</v>
      </c>
      <c r="O53" s="678"/>
      <c r="P53" s="678"/>
      <c r="Q53" s="678"/>
      <c r="R53" s="678"/>
      <c r="S53" s="678"/>
      <c r="T53" s="678"/>
      <c r="U53" s="678"/>
      <c r="V53" s="678"/>
      <c r="W53" s="678"/>
      <c r="X53" s="678"/>
      <c r="Y53" s="678"/>
      <c r="Z53" s="678"/>
      <c r="AA53" s="678"/>
      <c r="AB53" s="678">
        <f>B53</f>
        <v>200911</v>
      </c>
      <c r="AC53" s="678">
        <f t="shared" ref="AC53:AN54" si="27">C53+P53</f>
        <v>192258</v>
      </c>
      <c r="AD53" s="678">
        <f t="shared" si="27"/>
        <v>187896</v>
      </c>
      <c r="AE53" s="678">
        <f t="shared" si="27"/>
        <v>149269</v>
      </c>
      <c r="AF53" s="678">
        <f t="shared" si="27"/>
        <v>119598</v>
      </c>
      <c r="AG53" s="678">
        <f t="shared" si="27"/>
        <v>139480.34736000001</v>
      </c>
      <c r="AH53" s="678">
        <f t="shared" si="27"/>
        <v>139521.16706929944</v>
      </c>
      <c r="AI53" s="678">
        <f t="shared" si="27"/>
        <v>142806.92456777723</v>
      </c>
      <c r="AJ53" s="678">
        <f t="shared" si="27"/>
        <v>146933.35538769717</v>
      </c>
      <c r="AK53" s="678">
        <f t="shared" si="27"/>
        <v>149721.20462566064</v>
      </c>
      <c r="AL53" s="678">
        <f t="shared" si="27"/>
        <v>152455.24345760813</v>
      </c>
      <c r="AM53" s="678">
        <f t="shared" si="27"/>
        <v>155104.03930481637</v>
      </c>
      <c r="AN53" s="678">
        <f t="shared" si="27"/>
        <v>157583.31365132201</v>
      </c>
    </row>
    <row r="54" spans="1:40" ht="16.5" customHeight="1" x14ac:dyDescent="0.3">
      <c r="A54" s="681" t="s">
        <v>399</v>
      </c>
      <c r="B54" s="678"/>
      <c r="C54" s="678"/>
      <c r="D54" s="678"/>
      <c r="E54" s="678"/>
      <c r="F54" s="678"/>
      <c r="G54" s="678"/>
      <c r="H54" s="678"/>
      <c r="I54" s="678"/>
      <c r="J54" s="678"/>
      <c r="K54" s="678"/>
      <c r="L54" s="678"/>
      <c r="M54" s="678"/>
      <c r="N54" s="678"/>
      <c r="O54" s="678">
        <f>'12. 추정 IS'!Y16</f>
        <v>6768038.416712</v>
      </c>
      <c r="P54" s="678">
        <f>'12. 추정 IS'!Z16</f>
        <v>6991831.8753980007</v>
      </c>
      <c r="Q54" s="678">
        <f>'12. 추정 IS'!AA16</f>
        <v>7522688.3692529993</v>
      </c>
      <c r="R54" s="678">
        <f>'12. 추정 IS'!AB16</f>
        <v>7836897.9117230019</v>
      </c>
      <c r="S54" s="678">
        <f>'12. 추정 IS'!AC16</f>
        <v>8333322.0477119992</v>
      </c>
      <c r="T54" s="678">
        <f>'12. 추정 IS'!AD16</f>
        <v>8671279</v>
      </c>
      <c r="U54" s="678">
        <f>'12. 추정 IS'!AE16</f>
        <v>8869388.0895608906</v>
      </c>
      <c r="V54" s="678">
        <f>'12. 추정 IS'!AF16</f>
        <v>9043459.5662013851</v>
      </c>
      <c r="W54" s="678">
        <f>'12. 추정 IS'!AG16</f>
        <v>9224207.7350209337</v>
      </c>
      <c r="X54" s="678">
        <f>'12. 추정 IS'!AH16</f>
        <v>9420667.215561064</v>
      </c>
      <c r="Y54" s="678">
        <f>'12. 추정 IS'!AI16</f>
        <v>9610801.9657664374</v>
      </c>
      <c r="Z54" s="678">
        <f>'12. 추정 IS'!AJ16</f>
        <v>9822695.321559133</v>
      </c>
      <c r="AA54" s="678">
        <f>'12. 추정 IS'!AK16</f>
        <v>10053692.627560558</v>
      </c>
      <c r="AB54" s="678">
        <f>B54</f>
        <v>0</v>
      </c>
      <c r="AC54" s="678">
        <f t="shared" si="27"/>
        <v>6991831.8753980007</v>
      </c>
      <c r="AD54" s="678">
        <f t="shared" si="27"/>
        <v>7522688.3692529993</v>
      </c>
      <c r="AE54" s="678">
        <f t="shared" si="27"/>
        <v>7836897.9117230019</v>
      </c>
      <c r="AF54" s="678">
        <f t="shared" si="27"/>
        <v>8333322.0477119992</v>
      </c>
      <c r="AG54" s="678">
        <f t="shared" si="27"/>
        <v>8671279</v>
      </c>
      <c r="AH54" s="678">
        <f t="shared" si="27"/>
        <v>8869388.0895608906</v>
      </c>
      <c r="AI54" s="678">
        <f t="shared" si="27"/>
        <v>9043459.5662013851</v>
      </c>
      <c r="AJ54" s="678">
        <f t="shared" si="27"/>
        <v>9224207.7350209337</v>
      </c>
      <c r="AK54" s="678">
        <f t="shared" si="27"/>
        <v>9420667.215561064</v>
      </c>
      <c r="AL54" s="678">
        <f t="shared" si="27"/>
        <v>9610801.9657664374</v>
      </c>
      <c r="AM54" s="678">
        <f t="shared" si="27"/>
        <v>9822695.321559133</v>
      </c>
      <c r="AN54" s="678">
        <f t="shared" si="27"/>
        <v>10053692.627560558</v>
      </c>
    </row>
    <row r="55" spans="1:40" ht="16.5" customHeight="1" x14ac:dyDescent="0.3">
      <c r="A55" s="683" t="s">
        <v>292</v>
      </c>
      <c r="B55" s="678">
        <f>B49-B52</f>
        <v>1005805</v>
      </c>
      <c r="C55" s="678">
        <f t="shared" ref="C55:AN55" si="28">C49-C52</f>
        <v>1034807</v>
      </c>
      <c r="D55" s="678">
        <f t="shared" si="28"/>
        <v>1051419</v>
      </c>
      <c r="E55" s="678">
        <f t="shared" si="28"/>
        <v>981796</v>
      </c>
      <c r="F55" s="678">
        <f t="shared" si="28"/>
        <v>932483</v>
      </c>
      <c r="G55" s="678">
        <f t="shared" si="28"/>
        <v>909629.84034599992</v>
      </c>
      <c r="H55" s="678">
        <f t="shared" si="28"/>
        <v>920500.25324574229</v>
      </c>
      <c r="I55" s="678">
        <f t="shared" si="28"/>
        <v>911563.47343393438</v>
      </c>
      <c r="J55" s="678">
        <f t="shared" si="28"/>
        <v>901845.434223786</v>
      </c>
      <c r="K55" s="678">
        <f t="shared" si="28"/>
        <v>893524.76313546475</v>
      </c>
      <c r="L55" s="678">
        <f t="shared" si="28"/>
        <v>885924.63000114542</v>
      </c>
      <c r="M55" s="678">
        <f t="shared" si="28"/>
        <v>879470.81703178701</v>
      </c>
      <c r="N55" s="678">
        <f t="shared" si="28"/>
        <v>874407.47258600115</v>
      </c>
      <c r="O55" s="678">
        <f t="shared" si="28"/>
        <v>1801204.9230960002</v>
      </c>
      <c r="P55" s="678">
        <f t="shared" si="28"/>
        <v>1723496.8543609995</v>
      </c>
      <c r="Q55" s="678">
        <f t="shared" si="28"/>
        <v>1807334.720985</v>
      </c>
      <c r="R55" s="678">
        <f t="shared" si="28"/>
        <v>1918931.7683360027</v>
      </c>
      <c r="S55" s="678">
        <f t="shared" si="28"/>
        <v>1992630.9899440007</v>
      </c>
      <c r="T55" s="678">
        <f t="shared" si="28"/>
        <v>2054255</v>
      </c>
      <c r="U55" s="678">
        <f t="shared" si="28"/>
        <v>2103193.6654695272</v>
      </c>
      <c r="V55" s="678">
        <f t="shared" si="28"/>
        <v>2118596.4792295843</v>
      </c>
      <c r="W55" s="678">
        <f t="shared" si="28"/>
        <v>2138102.6959596798</v>
      </c>
      <c r="X55" s="678">
        <f t="shared" si="28"/>
        <v>2162392.8078984898</v>
      </c>
      <c r="Y55" s="678">
        <f t="shared" si="28"/>
        <v>2201248.7735829223</v>
      </c>
      <c r="Z55" s="678">
        <f t="shared" si="28"/>
        <v>2246220.389108358</v>
      </c>
      <c r="AA55" s="678">
        <f t="shared" si="28"/>
        <v>2297152.1334126759</v>
      </c>
      <c r="AB55" s="678">
        <f t="shared" si="28"/>
        <v>1005805</v>
      </c>
      <c r="AC55" s="678">
        <f t="shared" si="28"/>
        <v>2758303.8543609995</v>
      </c>
      <c r="AD55" s="678">
        <f t="shared" si="28"/>
        <v>2858753.720985</v>
      </c>
      <c r="AE55" s="678">
        <f t="shared" si="28"/>
        <v>2900727.7683360027</v>
      </c>
      <c r="AF55" s="678">
        <f t="shared" si="28"/>
        <v>2925113.9899440017</v>
      </c>
      <c r="AG55" s="678">
        <f t="shared" si="28"/>
        <v>2963884.8403459992</v>
      </c>
      <c r="AH55" s="678">
        <f t="shared" si="28"/>
        <v>3023693.9187152702</v>
      </c>
      <c r="AI55" s="678">
        <f t="shared" si="28"/>
        <v>3030159.9526635185</v>
      </c>
      <c r="AJ55" s="678">
        <f t="shared" si="28"/>
        <v>3039948.1301834658</v>
      </c>
      <c r="AK55" s="678">
        <f t="shared" si="28"/>
        <v>3055917.5710339546</v>
      </c>
      <c r="AL55" s="678">
        <f t="shared" si="28"/>
        <v>3087173.4035840686</v>
      </c>
      <c r="AM55" s="678">
        <f t="shared" si="28"/>
        <v>3125691.2061401438</v>
      </c>
      <c r="AN55" s="678">
        <f t="shared" si="28"/>
        <v>3171559.6059986781</v>
      </c>
    </row>
    <row r="56" spans="1:40" ht="16.5" customHeight="1" x14ac:dyDescent="0.3">
      <c r="A56" s="683" t="s">
        <v>383</v>
      </c>
      <c r="B56" s="678">
        <f>B57+B72</f>
        <v>847921</v>
      </c>
      <c r="C56" s="678">
        <f t="shared" ref="C56:AN56" si="29">C57+C72</f>
        <v>898893</v>
      </c>
      <c r="D56" s="678">
        <f t="shared" si="29"/>
        <v>908849</v>
      </c>
      <c r="E56" s="678">
        <f t="shared" si="29"/>
        <v>864887</v>
      </c>
      <c r="F56" s="678">
        <f t="shared" si="29"/>
        <v>825389</v>
      </c>
      <c r="G56" s="678">
        <f t="shared" si="29"/>
        <v>816617.20293599996</v>
      </c>
      <c r="H56" s="678">
        <f t="shared" si="29"/>
        <v>829142.22184761893</v>
      </c>
      <c r="I56" s="678">
        <f t="shared" si="29"/>
        <v>824539.04925640335</v>
      </c>
      <c r="J56" s="678">
        <f t="shared" si="29"/>
        <v>818965.02936011052</v>
      </c>
      <c r="K56" s="678">
        <f t="shared" si="29"/>
        <v>813832.0657153409</v>
      </c>
      <c r="L56" s="678">
        <f t="shared" si="29"/>
        <v>808553.07928113686</v>
      </c>
      <c r="M56" s="678">
        <f t="shared" si="29"/>
        <v>803616.35549945722</v>
      </c>
      <c r="N56" s="678">
        <f t="shared" si="29"/>
        <v>799304.04555461556</v>
      </c>
      <c r="O56" s="678">
        <f t="shared" si="29"/>
        <v>1541448.1983089999</v>
      </c>
      <c r="P56" s="678">
        <f t="shared" si="29"/>
        <v>1566813.5414220002</v>
      </c>
      <c r="Q56" s="678">
        <f t="shared" si="29"/>
        <v>1693492.006793</v>
      </c>
      <c r="R56" s="678">
        <f t="shared" si="29"/>
        <v>1720859.1512070005</v>
      </c>
      <c r="S56" s="678">
        <f t="shared" si="29"/>
        <v>1847088.6245600004</v>
      </c>
      <c r="T56" s="678">
        <f t="shared" si="29"/>
        <v>1857371</v>
      </c>
      <c r="U56" s="678">
        <f t="shared" si="29"/>
        <v>1922387.4348531046</v>
      </c>
      <c r="V56" s="678">
        <f t="shared" si="29"/>
        <v>1936128.894012722</v>
      </c>
      <c r="W56" s="678">
        <f t="shared" si="29"/>
        <v>1956083.7741729636</v>
      </c>
      <c r="X56" s="678">
        <f t="shared" si="29"/>
        <v>1971494.1892730186</v>
      </c>
      <c r="Y56" s="678">
        <f t="shared" si="29"/>
        <v>1999186.8633368583</v>
      </c>
      <c r="Z56" s="678">
        <f t="shared" si="29"/>
        <v>2032140.6700845286</v>
      </c>
      <c r="AA56" s="678">
        <f t="shared" si="29"/>
        <v>2070863.1692363233</v>
      </c>
      <c r="AB56" s="678">
        <f t="shared" si="29"/>
        <v>847921</v>
      </c>
      <c r="AC56" s="678">
        <f t="shared" si="29"/>
        <v>2465706.5414220002</v>
      </c>
      <c r="AD56" s="678">
        <f t="shared" si="29"/>
        <v>2602341.0067929998</v>
      </c>
      <c r="AE56" s="678">
        <f t="shared" si="29"/>
        <v>2585746.1512070005</v>
      </c>
      <c r="AF56" s="678">
        <f t="shared" si="29"/>
        <v>2672477.6245600004</v>
      </c>
      <c r="AG56" s="678">
        <f t="shared" si="29"/>
        <v>2673988.2029360002</v>
      </c>
      <c r="AH56" s="678">
        <f>AH57+AH72</f>
        <v>2751529.6567007238</v>
      </c>
      <c r="AI56" s="678">
        <f t="shared" si="29"/>
        <v>2760667.9432691252</v>
      </c>
      <c r="AJ56" s="678">
        <f t="shared" si="29"/>
        <v>2775048.803533074</v>
      </c>
      <c r="AK56" s="678">
        <f t="shared" si="29"/>
        <v>2785326.2549883593</v>
      </c>
      <c r="AL56" s="678">
        <f t="shared" si="29"/>
        <v>2807739.9426179952</v>
      </c>
      <c r="AM56" s="678">
        <f t="shared" si="29"/>
        <v>2835757.0255839857</v>
      </c>
      <c r="AN56" s="678">
        <f t="shared" si="29"/>
        <v>2870167.2147909389</v>
      </c>
    </row>
    <row r="57" spans="1:40" ht="16.5" customHeight="1" x14ac:dyDescent="0.3">
      <c r="A57" s="681" t="s">
        <v>465</v>
      </c>
      <c r="B57" s="678">
        <f>SUM(B58:B71)</f>
        <v>847921</v>
      </c>
      <c r="C57" s="678">
        <f t="shared" ref="C57:AN57" si="30">SUM(C58:C71)</f>
        <v>898893</v>
      </c>
      <c r="D57" s="678">
        <f t="shared" si="30"/>
        <v>908849</v>
      </c>
      <c r="E57" s="678">
        <f t="shared" si="30"/>
        <v>864887</v>
      </c>
      <c r="F57" s="678">
        <f t="shared" si="30"/>
        <v>825389</v>
      </c>
      <c r="G57" s="678">
        <f t="shared" si="30"/>
        <v>816617.20293599996</v>
      </c>
      <c r="H57" s="678">
        <f t="shared" si="30"/>
        <v>829142.22184761893</v>
      </c>
      <c r="I57" s="678">
        <f t="shared" si="30"/>
        <v>824539.04925640335</v>
      </c>
      <c r="J57" s="678">
        <f t="shared" si="30"/>
        <v>818965.02936011052</v>
      </c>
      <c r="K57" s="678">
        <f t="shared" si="30"/>
        <v>813832.0657153409</v>
      </c>
      <c r="L57" s="678">
        <f t="shared" si="30"/>
        <v>808553.07928113686</v>
      </c>
      <c r="M57" s="678">
        <f t="shared" si="30"/>
        <v>803616.35549945722</v>
      </c>
      <c r="N57" s="678">
        <f t="shared" si="30"/>
        <v>799304.04555461556</v>
      </c>
      <c r="O57" s="678">
        <f t="shared" si="30"/>
        <v>0</v>
      </c>
      <c r="P57" s="678">
        <f t="shared" si="30"/>
        <v>0</v>
      </c>
      <c r="Q57" s="678">
        <f t="shared" si="30"/>
        <v>0</v>
      </c>
      <c r="R57" s="678">
        <f t="shared" si="30"/>
        <v>0</v>
      </c>
      <c r="S57" s="678">
        <f t="shared" si="30"/>
        <v>0</v>
      </c>
      <c r="T57" s="678">
        <f t="shared" si="30"/>
        <v>0</v>
      </c>
      <c r="U57" s="678">
        <f t="shared" si="30"/>
        <v>0</v>
      </c>
      <c r="V57" s="678">
        <f t="shared" si="30"/>
        <v>0</v>
      </c>
      <c r="W57" s="678">
        <f t="shared" si="30"/>
        <v>0</v>
      </c>
      <c r="X57" s="678">
        <f t="shared" si="30"/>
        <v>0</v>
      </c>
      <c r="Y57" s="678">
        <f t="shared" si="30"/>
        <v>0</v>
      </c>
      <c r="Z57" s="678">
        <f t="shared" si="30"/>
        <v>0</v>
      </c>
      <c r="AA57" s="678">
        <f t="shared" si="30"/>
        <v>0</v>
      </c>
      <c r="AB57" s="678">
        <f t="shared" si="30"/>
        <v>847921</v>
      </c>
      <c r="AC57" s="678">
        <f t="shared" si="30"/>
        <v>898893</v>
      </c>
      <c r="AD57" s="678">
        <f t="shared" si="30"/>
        <v>908849</v>
      </c>
      <c r="AE57" s="678">
        <f t="shared" si="30"/>
        <v>864887</v>
      </c>
      <c r="AF57" s="678">
        <f t="shared" si="30"/>
        <v>825389</v>
      </c>
      <c r="AG57" s="678">
        <f t="shared" si="30"/>
        <v>816617.20293599996</v>
      </c>
      <c r="AH57" s="678">
        <f>SUM(AH58:AH71)</f>
        <v>829142.22184761893</v>
      </c>
      <c r="AI57" s="678">
        <f t="shared" si="30"/>
        <v>824539.04925640335</v>
      </c>
      <c r="AJ57" s="678">
        <f t="shared" si="30"/>
        <v>818965.02936011052</v>
      </c>
      <c r="AK57" s="678">
        <f t="shared" si="30"/>
        <v>813832.0657153409</v>
      </c>
      <c r="AL57" s="678">
        <f t="shared" si="30"/>
        <v>808553.07928113686</v>
      </c>
      <c r="AM57" s="678">
        <f t="shared" si="30"/>
        <v>803616.35549945722</v>
      </c>
      <c r="AN57" s="678">
        <f t="shared" si="30"/>
        <v>799304.04555461556</v>
      </c>
    </row>
    <row r="58" spans="1:40" ht="16.5" customHeight="1" x14ac:dyDescent="0.3">
      <c r="A58" s="679" t="s">
        <v>471</v>
      </c>
      <c r="B58" s="678">
        <f>'9. 추정 IS'!E50</f>
        <v>104642</v>
      </c>
      <c r="C58" s="678">
        <f>'9. 추정 IS'!F50</f>
        <v>108194</v>
      </c>
      <c r="D58" s="678">
        <f>'9. 추정 IS'!G50</f>
        <v>74094</v>
      </c>
      <c r="E58" s="678">
        <f>'9. 추정 IS'!H50</f>
        <v>82590</v>
      </c>
      <c r="F58" s="678">
        <f>'9. 추정 IS'!I50</f>
        <v>84194</v>
      </c>
      <c r="G58" s="678">
        <f>'9. 추정 IS'!J50</f>
        <v>85905.775024999995</v>
      </c>
      <c r="H58" s="678">
        <f>'9. 추정 IS'!K50</f>
        <v>91464.316522574009</v>
      </c>
      <c r="I58" s="678">
        <f>'9. 추정 IS'!L50</f>
        <v>94208.24601825123</v>
      </c>
      <c r="J58" s="678">
        <f>'9. 추정 IS'!M50</f>
        <v>97034.493398798775</v>
      </c>
      <c r="K58" s="678">
        <f>'9. 추정 IS'!N50</f>
        <v>99945.528200762739</v>
      </c>
      <c r="L58" s="678">
        <f>'9. 추정 IS'!O50</f>
        <v>102943.89404678563</v>
      </c>
      <c r="M58" s="678">
        <f>'9. 추정 IS'!P50</f>
        <v>106032.2108681892</v>
      </c>
      <c r="N58" s="678">
        <f>'9. 추정 IS'!Q50</f>
        <v>109213.17719423487</v>
      </c>
      <c r="O58" s="678"/>
      <c r="P58" s="678"/>
      <c r="Q58" s="678"/>
      <c r="R58" s="678"/>
      <c r="S58" s="678"/>
      <c r="T58" s="678"/>
      <c r="U58" s="678"/>
      <c r="V58" s="678"/>
      <c r="W58" s="678"/>
      <c r="X58" s="678"/>
      <c r="Y58" s="678"/>
      <c r="Z58" s="678"/>
      <c r="AA58" s="678"/>
      <c r="AB58" s="678">
        <f t="shared" ref="AB58:AB72" si="31">B58</f>
        <v>104642</v>
      </c>
      <c r="AC58" s="678">
        <f t="shared" ref="AC58:AN72" si="32">C58+P58</f>
        <v>108194</v>
      </c>
      <c r="AD58" s="678">
        <f t="shared" si="32"/>
        <v>74094</v>
      </c>
      <c r="AE58" s="678">
        <f t="shared" si="32"/>
        <v>82590</v>
      </c>
      <c r="AF58" s="678">
        <f t="shared" si="32"/>
        <v>84194</v>
      </c>
      <c r="AG58" s="678">
        <f t="shared" si="32"/>
        <v>85905.775024999995</v>
      </c>
      <c r="AH58" s="678">
        <f t="shared" si="32"/>
        <v>91464.316522574009</v>
      </c>
      <c r="AI58" s="678">
        <f t="shared" si="32"/>
        <v>94208.24601825123</v>
      </c>
      <c r="AJ58" s="678">
        <f t="shared" si="32"/>
        <v>97034.493398798775</v>
      </c>
      <c r="AK58" s="678">
        <f t="shared" si="32"/>
        <v>99945.528200762739</v>
      </c>
      <c r="AL58" s="678">
        <f t="shared" si="32"/>
        <v>102943.89404678563</v>
      </c>
      <c r="AM58" s="678">
        <f t="shared" si="32"/>
        <v>106032.2108681892</v>
      </c>
      <c r="AN58" s="678">
        <f t="shared" si="32"/>
        <v>109213.17719423487</v>
      </c>
    </row>
    <row r="59" spans="1:40" ht="16.5" customHeight="1" x14ac:dyDescent="0.3">
      <c r="A59" s="679" t="s">
        <v>472</v>
      </c>
      <c r="B59" s="678">
        <f>'9. 추정 IS'!E54</f>
        <v>84622</v>
      </c>
      <c r="C59" s="678">
        <f>'9. 추정 IS'!F54</f>
        <v>80631</v>
      </c>
      <c r="D59" s="678">
        <f>'9. 추정 IS'!G54</f>
        <v>77520</v>
      </c>
      <c r="E59" s="678">
        <f>'9. 추정 IS'!H54</f>
        <v>74019</v>
      </c>
      <c r="F59" s="678">
        <f>'9. 추정 IS'!I54</f>
        <v>67732</v>
      </c>
      <c r="G59" s="678">
        <f>'9. 추정 IS'!J54</f>
        <v>66615.577915000002</v>
      </c>
      <c r="H59" s="678">
        <f>'9. 추정 IS'!K54</f>
        <v>65664.713178818696</v>
      </c>
      <c r="I59" s="678">
        <f>'9. 추정 IS'!L54</f>
        <v>65034.602358349657</v>
      </c>
      <c r="J59" s="678">
        <f>'9. 추정 IS'!M54</f>
        <v>64413.789736898638</v>
      </c>
      <c r="K59" s="678">
        <f>'9. 추정 IS'!N54</f>
        <v>63802.124008785628</v>
      </c>
      <c r="L59" s="678">
        <f>'9. 추정 IS'!O54</f>
        <v>63266.448922485128</v>
      </c>
      <c r="M59" s="678">
        <f>'9. 추정 IS'!P54</f>
        <v>62849.15090890701</v>
      </c>
      <c r="N59" s="678">
        <f>'9. 추정 IS'!Q54</f>
        <v>62566.588560574775</v>
      </c>
      <c r="O59" s="678"/>
      <c r="P59" s="678"/>
      <c r="Q59" s="678"/>
      <c r="R59" s="678"/>
      <c r="S59" s="678"/>
      <c r="T59" s="678"/>
      <c r="U59" s="678"/>
      <c r="V59" s="678"/>
      <c r="W59" s="678"/>
      <c r="X59" s="678"/>
      <c r="Y59" s="678"/>
      <c r="Z59" s="678"/>
      <c r="AA59" s="678"/>
      <c r="AB59" s="678">
        <f t="shared" si="31"/>
        <v>84622</v>
      </c>
      <c r="AC59" s="678">
        <f t="shared" si="32"/>
        <v>80631</v>
      </c>
      <c r="AD59" s="678">
        <f t="shared" si="32"/>
        <v>77520</v>
      </c>
      <c r="AE59" s="678">
        <f t="shared" si="32"/>
        <v>74019</v>
      </c>
      <c r="AF59" s="678">
        <f t="shared" si="32"/>
        <v>67732</v>
      </c>
      <c r="AG59" s="678">
        <f t="shared" si="32"/>
        <v>66615.577915000002</v>
      </c>
      <c r="AH59" s="678">
        <f t="shared" si="32"/>
        <v>65664.713178818696</v>
      </c>
      <c r="AI59" s="678">
        <f t="shared" si="32"/>
        <v>65034.602358349657</v>
      </c>
      <c r="AJ59" s="678">
        <f t="shared" si="32"/>
        <v>64413.789736898638</v>
      </c>
      <c r="AK59" s="678">
        <f t="shared" si="32"/>
        <v>63802.124008785628</v>
      </c>
      <c r="AL59" s="678">
        <f t="shared" si="32"/>
        <v>63266.448922485128</v>
      </c>
      <c r="AM59" s="678">
        <f t="shared" si="32"/>
        <v>62849.15090890701</v>
      </c>
      <c r="AN59" s="678">
        <f t="shared" si="32"/>
        <v>62566.588560574775</v>
      </c>
    </row>
    <row r="60" spans="1:40" ht="16.5" customHeight="1" x14ac:dyDescent="0.3">
      <c r="A60" s="684" t="s">
        <v>473</v>
      </c>
      <c r="B60" s="678">
        <f>'9. 추정 IS'!E55</f>
        <v>323632</v>
      </c>
      <c r="C60" s="678">
        <f>'9. 추정 IS'!F55</f>
        <v>354247</v>
      </c>
      <c r="D60" s="678">
        <f>'9. 추정 IS'!G55</f>
        <v>375984</v>
      </c>
      <c r="E60" s="678">
        <f>'9. 추정 IS'!H55</f>
        <v>384028</v>
      </c>
      <c r="F60" s="678">
        <f>'9. 추정 IS'!I55</f>
        <v>382578</v>
      </c>
      <c r="G60" s="678">
        <f>'9. 추정 IS'!J55</f>
        <v>380133.15956499998</v>
      </c>
      <c r="H60" s="678">
        <f>'9. 추정 IS'!K55</f>
        <v>377499.99999999988</v>
      </c>
      <c r="I60" s="678">
        <f>'9. 추정 IS'!L55</f>
        <v>375500</v>
      </c>
      <c r="J60" s="678">
        <f>'9. 추정 IS'!M55</f>
        <v>374500</v>
      </c>
      <c r="K60" s="678">
        <f>'9. 추정 IS'!N55</f>
        <v>373500</v>
      </c>
      <c r="L60" s="678">
        <f>'9. 추정 IS'!O55</f>
        <v>372500</v>
      </c>
      <c r="M60" s="678">
        <f>'9. 추정 IS'!P55</f>
        <v>371500</v>
      </c>
      <c r="N60" s="678">
        <f>'9. 추정 IS'!Q55</f>
        <v>370500</v>
      </c>
      <c r="O60" s="678"/>
      <c r="P60" s="678"/>
      <c r="Q60" s="678"/>
      <c r="R60" s="678"/>
      <c r="S60" s="678"/>
      <c r="T60" s="678"/>
      <c r="U60" s="678"/>
      <c r="V60" s="678"/>
      <c r="W60" s="678"/>
      <c r="X60" s="678"/>
      <c r="Y60" s="678"/>
      <c r="Z60" s="678"/>
      <c r="AA60" s="678"/>
      <c r="AB60" s="678">
        <f t="shared" si="31"/>
        <v>323632</v>
      </c>
      <c r="AC60" s="678">
        <f t="shared" si="32"/>
        <v>354247</v>
      </c>
      <c r="AD60" s="678">
        <f t="shared" si="32"/>
        <v>375984</v>
      </c>
      <c r="AE60" s="678">
        <f t="shared" si="32"/>
        <v>384028</v>
      </c>
      <c r="AF60" s="678">
        <f t="shared" si="32"/>
        <v>382578</v>
      </c>
      <c r="AG60" s="678">
        <f t="shared" si="32"/>
        <v>380133.15956499998</v>
      </c>
      <c r="AH60" s="678">
        <f t="shared" si="32"/>
        <v>377499.99999999988</v>
      </c>
      <c r="AI60" s="678">
        <f t="shared" si="32"/>
        <v>375500</v>
      </c>
      <c r="AJ60" s="678">
        <f t="shared" si="32"/>
        <v>374500</v>
      </c>
      <c r="AK60" s="678">
        <f t="shared" si="32"/>
        <v>373500</v>
      </c>
      <c r="AL60" s="678">
        <f t="shared" si="32"/>
        <v>372500</v>
      </c>
      <c r="AM60" s="678">
        <f t="shared" si="32"/>
        <v>371500</v>
      </c>
      <c r="AN60" s="678">
        <f t="shared" si="32"/>
        <v>370500</v>
      </c>
    </row>
    <row r="61" spans="1:40" ht="16.5" customHeight="1" x14ac:dyDescent="0.3">
      <c r="A61" s="679" t="s">
        <v>474</v>
      </c>
      <c r="B61" s="678">
        <f>'9. 추정 IS'!E76</f>
        <v>77105</v>
      </c>
      <c r="C61" s="678">
        <f>'9. 추정 IS'!F76</f>
        <v>77199</v>
      </c>
      <c r="D61" s="678">
        <f>'9. 추정 IS'!G76</f>
        <v>75259</v>
      </c>
      <c r="E61" s="678">
        <f>'9. 추정 IS'!H76</f>
        <v>68369</v>
      </c>
      <c r="F61" s="678">
        <f>'9. 추정 IS'!I76</f>
        <v>64856</v>
      </c>
      <c r="G61" s="678">
        <f>'9. 추정 IS'!J76</f>
        <v>67342.347114999997</v>
      </c>
      <c r="H61" s="678">
        <f>'9. 추정 IS'!K76</f>
        <v>68885.580539074959</v>
      </c>
      <c r="I61" s="678">
        <f>'9. 추정 IS'!L76</f>
        <v>68224.562656399357</v>
      </c>
      <c r="J61" s="678">
        <f>'9. 추정 IS'!M76</f>
        <v>67573.299051269758</v>
      </c>
      <c r="K61" s="678">
        <f>'9. 추정 IS'!N76</f>
        <v>66931.63099643217</v>
      </c>
      <c r="L61" s="678">
        <f>'9. 추정 IS'!O76</f>
        <v>66369.680939639249</v>
      </c>
      <c r="M61" s="678">
        <f>'9. 추정 IS'!P76</f>
        <v>65931.914374743865</v>
      </c>
      <c r="N61" s="678">
        <f>'9. 추정 IS'!Q76</f>
        <v>65635.49228651599</v>
      </c>
      <c r="O61" s="678"/>
      <c r="P61" s="678"/>
      <c r="Q61" s="678"/>
      <c r="R61" s="678"/>
      <c r="S61" s="678"/>
      <c r="T61" s="678"/>
      <c r="U61" s="678"/>
      <c r="V61" s="678"/>
      <c r="W61" s="678"/>
      <c r="X61" s="678"/>
      <c r="Y61" s="678"/>
      <c r="Z61" s="678"/>
      <c r="AA61" s="678"/>
      <c r="AB61" s="678">
        <f t="shared" si="31"/>
        <v>77105</v>
      </c>
      <c r="AC61" s="678">
        <f t="shared" si="32"/>
        <v>77199</v>
      </c>
      <c r="AD61" s="678">
        <f t="shared" si="32"/>
        <v>75259</v>
      </c>
      <c r="AE61" s="678">
        <f t="shared" si="32"/>
        <v>68369</v>
      </c>
      <c r="AF61" s="678">
        <f t="shared" si="32"/>
        <v>64856</v>
      </c>
      <c r="AG61" s="678">
        <f t="shared" si="32"/>
        <v>67342.347114999997</v>
      </c>
      <c r="AH61" s="678">
        <f t="shared" si="32"/>
        <v>68885.580539074959</v>
      </c>
      <c r="AI61" s="678">
        <f t="shared" si="32"/>
        <v>68224.562656399357</v>
      </c>
      <c r="AJ61" s="678">
        <f t="shared" si="32"/>
        <v>67573.299051269758</v>
      </c>
      <c r="AK61" s="678">
        <f t="shared" si="32"/>
        <v>66931.63099643217</v>
      </c>
      <c r="AL61" s="678">
        <f t="shared" si="32"/>
        <v>66369.680939639249</v>
      </c>
      <c r="AM61" s="678">
        <f t="shared" si="32"/>
        <v>65931.914374743865</v>
      </c>
      <c r="AN61" s="678">
        <f t="shared" si="32"/>
        <v>65635.49228651599</v>
      </c>
    </row>
    <row r="62" spans="1:40" ht="16.5" customHeight="1" x14ac:dyDescent="0.3">
      <c r="A62" s="679" t="s">
        <v>475</v>
      </c>
      <c r="B62" s="678">
        <f>'9. 추정 IS'!E56</f>
        <v>33983</v>
      </c>
      <c r="C62" s="678">
        <f>'9. 추정 IS'!F56</f>
        <v>30458</v>
      </c>
      <c r="D62" s="678">
        <f>'9. 추정 IS'!G56</f>
        <v>29956</v>
      </c>
      <c r="E62" s="678">
        <f>'9. 추정 IS'!H56</f>
        <v>26237</v>
      </c>
      <c r="F62" s="678">
        <f>'9. 추정 IS'!I56</f>
        <v>25823</v>
      </c>
      <c r="G62" s="678">
        <f>'9. 추정 IS'!J56</f>
        <v>25116.099147000001</v>
      </c>
      <c r="H62" s="678">
        <f>'9. 추정 IS'!K56</f>
        <v>25920.821294011552</v>
      </c>
      <c r="I62" s="678">
        <f>'9. 추정 IS'!L56</f>
        <v>22268.551627814217</v>
      </c>
      <c r="J62" s="678">
        <f>'9. 추정 IS'!M56</f>
        <v>21472.688039784087</v>
      </c>
      <c r="K62" s="678">
        <f>'9. 추정 IS'!N56</f>
        <v>20510.246332118677</v>
      </c>
      <c r="L62" s="678">
        <f>'9. 추정 IS'!O56</f>
        <v>19185.748159865601</v>
      </c>
      <c r="M62" s="678">
        <f>'9. 추정 IS'!P56</f>
        <v>18402.738791460888</v>
      </c>
      <c r="N62" s="678">
        <f>'9. 추정 IS'!Q56</f>
        <v>17580.920122955984</v>
      </c>
      <c r="O62" s="678"/>
      <c r="P62" s="678"/>
      <c r="Q62" s="678"/>
      <c r="R62" s="678"/>
      <c r="S62" s="678"/>
      <c r="T62" s="678"/>
      <c r="U62" s="678"/>
      <c r="V62" s="678"/>
      <c r="W62" s="678"/>
      <c r="X62" s="678"/>
      <c r="Y62" s="678"/>
      <c r="Z62" s="678"/>
      <c r="AA62" s="678"/>
      <c r="AB62" s="678">
        <f t="shared" si="31"/>
        <v>33983</v>
      </c>
      <c r="AC62" s="678">
        <f t="shared" si="32"/>
        <v>30458</v>
      </c>
      <c r="AD62" s="678">
        <f t="shared" si="32"/>
        <v>29956</v>
      </c>
      <c r="AE62" s="678">
        <f t="shared" si="32"/>
        <v>26237</v>
      </c>
      <c r="AF62" s="678">
        <f t="shared" si="32"/>
        <v>25823</v>
      </c>
      <c r="AG62" s="678">
        <f t="shared" si="32"/>
        <v>25116.099147000001</v>
      </c>
      <c r="AH62" s="678">
        <f t="shared" si="32"/>
        <v>25920.821294011552</v>
      </c>
      <c r="AI62" s="678">
        <f t="shared" si="32"/>
        <v>22268.551627814217</v>
      </c>
      <c r="AJ62" s="678">
        <f t="shared" si="32"/>
        <v>21472.688039784087</v>
      </c>
      <c r="AK62" s="678">
        <f t="shared" si="32"/>
        <v>20510.246332118677</v>
      </c>
      <c r="AL62" s="678">
        <f t="shared" si="32"/>
        <v>19185.748159865601</v>
      </c>
      <c r="AM62" s="678">
        <f t="shared" si="32"/>
        <v>18402.738791460888</v>
      </c>
      <c r="AN62" s="678">
        <f t="shared" si="32"/>
        <v>17580.920122955984</v>
      </c>
    </row>
    <row r="63" spans="1:40" ht="16.5" customHeight="1" x14ac:dyDescent="0.3">
      <c r="A63" s="679" t="s">
        <v>476</v>
      </c>
      <c r="B63" s="678">
        <f>'9. 추정 IS'!E68</f>
        <v>0</v>
      </c>
      <c r="C63" s="678">
        <f>'9. 추정 IS'!F68</f>
        <v>0</v>
      </c>
      <c r="D63" s="678">
        <f>'9. 추정 IS'!G68</f>
        <v>0</v>
      </c>
      <c r="E63" s="678">
        <f>'9. 추정 IS'!H68</f>
        <v>0</v>
      </c>
      <c r="F63" s="678">
        <f>'9. 추정 IS'!I68</f>
        <v>0</v>
      </c>
      <c r="G63" s="678">
        <f>'9. 추정 IS'!J68</f>
        <v>0</v>
      </c>
      <c r="H63" s="678">
        <f>'9. 추정 IS'!K68</f>
        <v>0</v>
      </c>
      <c r="I63" s="678">
        <f>'9. 추정 IS'!L68</f>
        <v>0</v>
      </c>
      <c r="J63" s="678">
        <f>'9. 추정 IS'!M68</f>
        <v>0</v>
      </c>
      <c r="K63" s="678">
        <f>'9. 추정 IS'!N68</f>
        <v>0</v>
      </c>
      <c r="L63" s="678">
        <f>'9. 추정 IS'!O68</f>
        <v>0</v>
      </c>
      <c r="M63" s="678">
        <f>'9. 추정 IS'!P68</f>
        <v>0</v>
      </c>
      <c r="N63" s="678">
        <f>'9. 추정 IS'!Q68</f>
        <v>0</v>
      </c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Y63" s="678"/>
      <c r="Z63" s="678"/>
      <c r="AA63" s="678"/>
      <c r="AB63" s="678">
        <f t="shared" si="31"/>
        <v>0</v>
      </c>
      <c r="AC63" s="678">
        <f t="shared" si="32"/>
        <v>0</v>
      </c>
      <c r="AD63" s="678">
        <f t="shared" si="32"/>
        <v>0</v>
      </c>
      <c r="AE63" s="678">
        <f t="shared" si="32"/>
        <v>0</v>
      </c>
      <c r="AF63" s="678">
        <f t="shared" si="32"/>
        <v>0</v>
      </c>
      <c r="AG63" s="678">
        <f t="shared" si="32"/>
        <v>0</v>
      </c>
      <c r="AH63" s="678">
        <f t="shared" si="32"/>
        <v>0</v>
      </c>
      <c r="AI63" s="678">
        <f t="shared" si="32"/>
        <v>0</v>
      </c>
      <c r="AJ63" s="678">
        <f t="shared" si="32"/>
        <v>0</v>
      </c>
      <c r="AK63" s="678">
        <f t="shared" si="32"/>
        <v>0</v>
      </c>
      <c r="AL63" s="678">
        <f t="shared" si="32"/>
        <v>0</v>
      </c>
      <c r="AM63" s="678">
        <f t="shared" si="32"/>
        <v>0</v>
      </c>
      <c r="AN63" s="678">
        <f t="shared" si="32"/>
        <v>0</v>
      </c>
    </row>
    <row r="64" spans="1:40" ht="16.5" customHeight="1" x14ac:dyDescent="0.3">
      <c r="A64" s="679" t="s">
        <v>477</v>
      </c>
      <c r="B64" s="678">
        <f>'9. 추정 IS'!E69</f>
        <v>23912</v>
      </c>
      <c r="C64" s="678">
        <f>'9. 추정 IS'!F69</f>
        <v>35180</v>
      </c>
      <c r="D64" s="678">
        <f>'9. 추정 IS'!G69</f>
        <v>20212</v>
      </c>
      <c r="E64" s="678">
        <f>'9. 추정 IS'!H69</f>
        <v>28461</v>
      </c>
      <c r="F64" s="678">
        <f>'9. 추정 IS'!I69</f>
        <v>29762</v>
      </c>
      <c r="G64" s="678">
        <f>'9. 추정 IS'!J69</f>
        <v>33557.302137999999</v>
      </c>
      <c r="H64" s="678">
        <f>'9. 추정 IS'!K69</f>
        <v>32927.107475776778</v>
      </c>
      <c r="I64" s="678">
        <f>'9. 추정 IS'!L69</f>
        <v>32611.142847244344</v>
      </c>
      <c r="J64" s="678">
        <f>'9. 추정 IS'!M69</f>
        <v>32299.840735055568</v>
      </c>
      <c r="K64" s="678">
        <f>'9. 추정 IS'!N69</f>
        <v>31993.125268043936</v>
      </c>
      <c r="L64" s="678">
        <f>'9. 추정 IS'!O69</f>
        <v>31724.514772621838</v>
      </c>
      <c r="M64" s="678">
        <f>'9. 추정 IS'!P69</f>
        <v>31515.263625737258</v>
      </c>
      <c r="N64" s="678">
        <f>'9. 추정 IS'!Q69</f>
        <v>31373.57472828016</v>
      </c>
      <c r="O64" s="678"/>
      <c r="P64" s="678"/>
      <c r="Q64" s="678"/>
      <c r="R64" s="678"/>
      <c r="S64" s="678"/>
      <c r="T64" s="678"/>
      <c r="U64" s="678"/>
      <c r="V64" s="678"/>
      <c r="W64" s="678"/>
      <c r="X64" s="678"/>
      <c r="Y64" s="678"/>
      <c r="Z64" s="678"/>
      <c r="AA64" s="678"/>
      <c r="AB64" s="678">
        <f t="shared" si="31"/>
        <v>23912</v>
      </c>
      <c r="AC64" s="678">
        <f t="shared" si="32"/>
        <v>35180</v>
      </c>
      <c r="AD64" s="678">
        <f t="shared" si="32"/>
        <v>20212</v>
      </c>
      <c r="AE64" s="678">
        <f t="shared" si="32"/>
        <v>28461</v>
      </c>
      <c r="AF64" s="678">
        <f t="shared" si="32"/>
        <v>29762</v>
      </c>
      <c r="AG64" s="678">
        <f t="shared" si="32"/>
        <v>33557.302137999999</v>
      </c>
      <c r="AH64" s="678">
        <f t="shared" si="32"/>
        <v>32927.107475776778</v>
      </c>
      <c r="AI64" s="678">
        <f t="shared" si="32"/>
        <v>32611.142847244344</v>
      </c>
      <c r="AJ64" s="678">
        <f t="shared" si="32"/>
        <v>32299.840735055568</v>
      </c>
      <c r="AK64" s="678">
        <f t="shared" si="32"/>
        <v>31993.125268043936</v>
      </c>
      <c r="AL64" s="678">
        <f t="shared" si="32"/>
        <v>31724.514772621838</v>
      </c>
      <c r="AM64" s="678">
        <f t="shared" si="32"/>
        <v>31515.263625737258</v>
      </c>
      <c r="AN64" s="678">
        <f t="shared" si="32"/>
        <v>31373.57472828016</v>
      </c>
    </row>
    <row r="65" spans="1:40" ht="16.5" customHeight="1" x14ac:dyDescent="0.3">
      <c r="A65" s="679" t="s">
        <v>478</v>
      </c>
      <c r="B65" s="678">
        <f>'9. 추정 IS'!E60</f>
        <v>15719</v>
      </c>
      <c r="C65" s="678">
        <f>'9. 추정 IS'!F60</f>
        <v>16977</v>
      </c>
      <c r="D65" s="678">
        <f>'9. 추정 IS'!G60</f>
        <v>17022</v>
      </c>
      <c r="E65" s="678">
        <f>'9. 추정 IS'!H60</f>
        <v>17258</v>
      </c>
      <c r="F65" s="678">
        <f>'9. 추정 IS'!I60</f>
        <v>15041</v>
      </c>
      <c r="G65" s="678">
        <f>'9. 추정 IS'!J60</f>
        <v>15120.221912000001</v>
      </c>
      <c r="H65" s="678">
        <f>'9. 추정 IS'!K60</f>
        <v>16323.590060885699</v>
      </c>
      <c r="I65" s="678">
        <f>'9. 추정 IS'!L60</f>
        <v>16071.104309590364</v>
      </c>
      <c r="J65" s="678">
        <f>'9. 추정 IS'!M60</f>
        <v>16008.559232541316</v>
      </c>
      <c r="K65" s="678">
        <f>'9. 추정 IS'!N60</f>
        <v>15956.577149117509</v>
      </c>
      <c r="L65" s="678">
        <f>'9. 추정 IS'!O60</f>
        <v>15895.776346999315</v>
      </c>
      <c r="M65" s="678">
        <f>'9. 추정 IS'!P60</f>
        <v>15835.571155282229</v>
      </c>
      <c r="N65" s="678">
        <f>'9. 추정 IS'!Q60</f>
        <v>15776.457767560014</v>
      </c>
      <c r="O65" s="678"/>
      <c r="P65" s="678"/>
      <c r="Q65" s="678"/>
      <c r="R65" s="678"/>
      <c r="S65" s="678"/>
      <c r="T65" s="678"/>
      <c r="U65" s="678"/>
      <c r="V65" s="678"/>
      <c r="W65" s="678"/>
      <c r="X65" s="678"/>
      <c r="Y65" s="678"/>
      <c r="Z65" s="678"/>
      <c r="AA65" s="678"/>
      <c r="AB65" s="678">
        <f t="shared" si="31"/>
        <v>15719</v>
      </c>
      <c r="AC65" s="678">
        <f t="shared" si="32"/>
        <v>16977</v>
      </c>
      <c r="AD65" s="678">
        <f t="shared" si="32"/>
        <v>17022</v>
      </c>
      <c r="AE65" s="678">
        <f t="shared" si="32"/>
        <v>17258</v>
      </c>
      <c r="AF65" s="678">
        <f t="shared" si="32"/>
        <v>15041</v>
      </c>
      <c r="AG65" s="678">
        <f t="shared" si="32"/>
        <v>15120.221912000001</v>
      </c>
      <c r="AH65" s="678">
        <f t="shared" si="32"/>
        <v>16323.590060885699</v>
      </c>
      <c r="AI65" s="678">
        <f t="shared" si="32"/>
        <v>16071.104309590364</v>
      </c>
      <c r="AJ65" s="678">
        <f t="shared" si="32"/>
        <v>16008.559232541316</v>
      </c>
      <c r="AK65" s="678">
        <f t="shared" si="32"/>
        <v>15956.577149117509</v>
      </c>
      <c r="AL65" s="678">
        <f t="shared" si="32"/>
        <v>15895.776346999315</v>
      </c>
      <c r="AM65" s="678">
        <f t="shared" si="32"/>
        <v>15835.571155282229</v>
      </c>
      <c r="AN65" s="678">
        <f t="shared" si="32"/>
        <v>15776.457767560014</v>
      </c>
    </row>
    <row r="66" spans="1:40" ht="16.5" customHeight="1" x14ac:dyDescent="0.3">
      <c r="A66" s="679" t="s">
        <v>479</v>
      </c>
      <c r="B66" s="678">
        <f>'9. 추정 IS'!E66</f>
        <v>19823</v>
      </c>
      <c r="C66" s="678">
        <f>'9. 추정 IS'!F66</f>
        <v>23767</v>
      </c>
      <c r="D66" s="678">
        <f>'9. 추정 IS'!G66</f>
        <v>27310</v>
      </c>
      <c r="E66" s="678">
        <f>'9. 추정 IS'!H66</f>
        <v>22445</v>
      </c>
      <c r="F66" s="678">
        <f>'9. 추정 IS'!I66</f>
        <v>23736</v>
      </c>
      <c r="G66" s="678">
        <f>'9. 추정 IS'!J66</f>
        <v>17215.280611999999</v>
      </c>
      <c r="H66" s="678">
        <f>'9. 추정 IS'!K66</f>
        <v>22488.930935500717</v>
      </c>
      <c r="I66" s="678">
        <f>'9. 추정 IS'!L66</f>
        <v>22273.129814362019</v>
      </c>
      <c r="J66" s="678">
        <f>'9. 추정 IS'!M66</f>
        <v>22060.513151746298</v>
      </c>
      <c r="K66" s="678">
        <f>'9. 추정 IS'!N66</f>
        <v>21851.029128299997</v>
      </c>
      <c r="L66" s="678">
        <f>'9. 추정 IS'!O66</f>
        <v>21667.570472402509</v>
      </c>
      <c r="M66" s="678">
        <f>'9. 추정 IS'!P66</f>
        <v>21524.653740529735</v>
      </c>
      <c r="N66" s="678">
        <f>'9. 추정 IS'!Q66</f>
        <v>21427.881443370501</v>
      </c>
      <c r="O66" s="678"/>
      <c r="P66" s="678"/>
      <c r="Q66" s="678"/>
      <c r="R66" s="678"/>
      <c r="S66" s="678"/>
      <c r="T66" s="678"/>
      <c r="U66" s="678"/>
      <c r="V66" s="678"/>
      <c r="W66" s="678"/>
      <c r="X66" s="678"/>
      <c r="Y66" s="678"/>
      <c r="Z66" s="678"/>
      <c r="AA66" s="678"/>
      <c r="AB66" s="678">
        <f t="shared" si="31"/>
        <v>19823</v>
      </c>
      <c r="AC66" s="678">
        <f t="shared" si="32"/>
        <v>23767</v>
      </c>
      <c r="AD66" s="678">
        <f t="shared" si="32"/>
        <v>27310</v>
      </c>
      <c r="AE66" s="678">
        <f t="shared" si="32"/>
        <v>22445</v>
      </c>
      <c r="AF66" s="678">
        <f t="shared" si="32"/>
        <v>23736</v>
      </c>
      <c r="AG66" s="678">
        <f t="shared" si="32"/>
        <v>17215.280611999999</v>
      </c>
      <c r="AH66" s="678">
        <f t="shared" si="32"/>
        <v>22488.930935500717</v>
      </c>
      <c r="AI66" s="678">
        <f t="shared" si="32"/>
        <v>22273.129814362019</v>
      </c>
      <c r="AJ66" s="678">
        <f t="shared" si="32"/>
        <v>22060.513151746298</v>
      </c>
      <c r="AK66" s="678">
        <f t="shared" si="32"/>
        <v>21851.029128299997</v>
      </c>
      <c r="AL66" s="678">
        <f t="shared" si="32"/>
        <v>21667.570472402509</v>
      </c>
      <c r="AM66" s="678">
        <f t="shared" si="32"/>
        <v>21524.653740529735</v>
      </c>
      <c r="AN66" s="678">
        <f t="shared" si="32"/>
        <v>21427.881443370501</v>
      </c>
    </row>
    <row r="67" spans="1:40" ht="16.5" customHeight="1" x14ac:dyDescent="0.3">
      <c r="A67" s="679" t="s">
        <v>480</v>
      </c>
      <c r="B67" s="678">
        <f>'9. 추정 IS'!E70</f>
        <v>13563</v>
      </c>
      <c r="C67" s="678">
        <f>'9. 추정 IS'!F70</f>
        <v>14638</v>
      </c>
      <c r="D67" s="678">
        <f>'9. 추정 IS'!G70</f>
        <v>15359</v>
      </c>
      <c r="E67" s="678">
        <f>'9. 추정 IS'!H70</f>
        <v>14317</v>
      </c>
      <c r="F67" s="678">
        <f>'9. 추정 IS'!I70</f>
        <v>13830</v>
      </c>
      <c r="G67" s="678">
        <f>'9. 추정 IS'!J70</f>
        <v>14909</v>
      </c>
      <c r="H67" s="678">
        <f>'9. 추정 IS'!K70</f>
        <v>17613.999999599997</v>
      </c>
      <c r="I67" s="678">
        <f>'9. 추정 IS'!L70</f>
        <v>17444.978139087707</v>
      </c>
      <c r="J67" s="678">
        <f>'9. 추정 IS'!M70</f>
        <v>17278.450441262976</v>
      </c>
      <c r="K67" s="678">
        <f>'9. 추정 IS'!N70</f>
        <v>17114.376319665913</v>
      </c>
      <c r="L67" s="678">
        <f>'9. 추정 IS'!O70</f>
        <v>16970.686040471541</v>
      </c>
      <c r="M67" s="678">
        <f>'9. 추정 IS'!P70</f>
        <v>16858.749402737638</v>
      </c>
      <c r="N67" s="678">
        <f>'9. 추정 IS'!Q70</f>
        <v>16782.954459571472</v>
      </c>
      <c r="O67" s="678"/>
      <c r="P67" s="678"/>
      <c r="Q67" s="678"/>
      <c r="R67" s="678"/>
      <c r="S67" s="678"/>
      <c r="T67" s="678"/>
      <c r="U67" s="678"/>
      <c r="V67" s="678"/>
      <c r="W67" s="678"/>
      <c r="X67" s="678"/>
      <c r="Y67" s="678"/>
      <c r="Z67" s="678"/>
      <c r="AA67" s="678"/>
      <c r="AB67" s="678">
        <f t="shared" si="31"/>
        <v>13563</v>
      </c>
      <c r="AC67" s="678">
        <f t="shared" si="32"/>
        <v>14638</v>
      </c>
      <c r="AD67" s="678">
        <f t="shared" si="32"/>
        <v>15359</v>
      </c>
      <c r="AE67" s="678">
        <f t="shared" si="32"/>
        <v>14317</v>
      </c>
      <c r="AF67" s="678">
        <f t="shared" si="32"/>
        <v>13830</v>
      </c>
      <c r="AG67" s="678">
        <f t="shared" si="32"/>
        <v>14909</v>
      </c>
      <c r="AH67" s="678">
        <f t="shared" si="32"/>
        <v>17613.999999599997</v>
      </c>
      <c r="AI67" s="678">
        <f t="shared" si="32"/>
        <v>17444.978139087707</v>
      </c>
      <c r="AJ67" s="678">
        <f t="shared" si="32"/>
        <v>17278.450441262976</v>
      </c>
      <c r="AK67" s="678">
        <f t="shared" si="32"/>
        <v>17114.376319665913</v>
      </c>
      <c r="AL67" s="678">
        <f t="shared" si="32"/>
        <v>16970.686040471541</v>
      </c>
      <c r="AM67" s="678">
        <f t="shared" si="32"/>
        <v>16858.749402737638</v>
      </c>
      <c r="AN67" s="678">
        <f t="shared" si="32"/>
        <v>16782.954459571472</v>
      </c>
    </row>
    <row r="68" spans="1:40" ht="16.5" customHeight="1" x14ac:dyDescent="0.3">
      <c r="A68" s="679" t="s">
        <v>481</v>
      </c>
      <c r="B68" s="678">
        <f>'9. 추정 IS'!E67</f>
        <v>20001</v>
      </c>
      <c r="C68" s="678">
        <f>'9. 추정 IS'!F67</f>
        <v>30242</v>
      </c>
      <c r="D68" s="678">
        <f>'9. 추정 IS'!G67</f>
        <v>24413</v>
      </c>
      <c r="E68" s="678">
        <f>'9. 추정 IS'!H67</f>
        <v>23638</v>
      </c>
      <c r="F68" s="678">
        <f>'9. 추정 IS'!I67</f>
        <v>16605</v>
      </c>
      <c r="G68" s="678">
        <f>'9. 추정 IS'!J67</f>
        <v>19366.643131000001</v>
      </c>
      <c r="H68" s="678">
        <f>'9. 추정 IS'!K67</f>
        <v>17701.910434090158</v>
      </c>
      <c r="I68" s="678">
        <f>'9. 추정 IS'!L67</f>
        <v>17585.351852589905</v>
      </c>
      <c r="J68" s="678">
        <f>'9. 추정 IS'!M67</f>
        <v>17523.080156280299</v>
      </c>
      <c r="K68" s="678">
        <f>'9. 추정 IS'!N67</f>
        <v>17513.572957835928</v>
      </c>
      <c r="L68" s="678">
        <f>'9. 추정 IS'!O67</f>
        <v>17573.961296172871</v>
      </c>
      <c r="M68" s="678">
        <f>'9. 추정 IS'!P67</f>
        <v>17715.623076281405</v>
      </c>
      <c r="N68" s="678">
        <f>'9. 추정 IS'!Q67</f>
        <v>17943.679144682279</v>
      </c>
      <c r="O68" s="678"/>
      <c r="P68" s="678"/>
      <c r="Q68" s="678"/>
      <c r="R68" s="678"/>
      <c r="S68" s="678"/>
      <c r="T68" s="678"/>
      <c r="U68" s="678"/>
      <c r="V68" s="678"/>
      <c r="W68" s="678"/>
      <c r="X68" s="678"/>
      <c r="Y68" s="678"/>
      <c r="Z68" s="678"/>
      <c r="AA68" s="678"/>
      <c r="AB68" s="678">
        <f t="shared" si="31"/>
        <v>20001</v>
      </c>
      <c r="AC68" s="678">
        <f t="shared" si="32"/>
        <v>30242</v>
      </c>
      <c r="AD68" s="678">
        <f t="shared" si="32"/>
        <v>24413</v>
      </c>
      <c r="AE68" s="678">
        <f t="shared" si="32"/>
        <v>23638</v>
      </c>
      <c r="AF68" s="678">
        <f t="shared" si="32"/>
        <v>16605</v>
      </c>
      <c r="AG68" s="678">
        <f t="shared" si="32"/>
        <v>19366.643131000001</v>
      </c>
      <c r="AH68" s="678">
        <f t="shared" si="32"/>
        <v>17701.910434090158</v>
      </c>
      <c r="AI68" s="678">
        <f t="shared" si="32"/>
        <v>17585.351852589905</v>
      </c>
      <c r="AJ68" s="678">
        <f t="shared" si="32"/>
        <v>17523.080156280299</v>
      </c>
      <c r="AK68" s="678">
        <f t="shared" si="32"/>
        <v>17513.572957835928</v>
      </c>
      <c r="AL68" s="678">
        <f t="shared" si="32"/>
        <v>17573.961296172871</v>
      </c>
      <c r="AM68" s="678">
        <f t="shared" si="32"/>
        <v>17715.623076281405</v>
      </c>
      <c r="AN68" s="678">
        <f t="shared" si="32"/>
        <v>17943.679144682279</v>
      </c>
    </row>
    <row r="69" spans="1:40" ht="16.5" customHeight="1" x14ac:dyDescent="0.3">
      <c r="A69" s="679" t="s">
        <v>482</v>
      </c>
      <c r="B69" s="678">
        <f>'9. 추정 IS'!E58</f>
        <v>20017</v>
      </c>
      <c r="C69" s="678">
        <f>'9. 추정 IS'!F58</f>
        <v>19704</v>
      </c>
      <c r="D69" s="678">
        <f>'9. 추정 IS'!G58</f>
        <v>20564</v>
      </c>
      <c r="E69" s="678">
        <f>'9. 추정 IS'!H58</f>
        <v>23412</v>
      </c>
      <c r="F69" s="678">
        <f>'9. 추정 IS'!I58</f>
        <v>36946</v>
      </c>
      <c r="G69" s="678">
        <f>'9. 추정 IS'!J58</f>
        <v>35515.311297</v>
      </c>
      <c r="H69" s="678">
        <f>'9. 추정 IS'!K58</f>
        <v>35025.582193687129</v>
      </c>
      <c r="I69" s="678">
        <f>'9. 추정 IS'!L58</f>
        <v>34542.6060818552</v>
      </c>
      <c r="J69" s="678">
        <f>'9. 추정 IS'!M58</f>
        <v>34066.289842893057</v>
      </c>
      <c r="K69" s="678">
        <f>'9. 추정 IS'!N58</f>
        <v>33596.5416422243</v>
      </c>
      <c r="L69" s="678">
        <f>'9. 추정 IS'!O58</f>
        <v>33133.270911601423</v>
      </c>
      <c r="M69" s="678">
        <f>'9. 추정 IS'!P58</f>
        <v>32676.388331644095</v>
      </c>
      <c r="N69" s="678">
        <f>'9. 추정 IS'!Q58</f>
        <v>32225.805814618234</v>
      </c>
      <c r="O69" s="678"/>
      <c r="P69" s="678"/>
      <c r="Q69" s="678"/>
      <c r="R69" s="678"/>
      <c r="S69" s="678"/>
      <c r="T69" s="678"/>
      <c r="U69" s="678"/>
      <c r="V69" s="678"/>
      <c r="W69" s="678"/>
      <c r="X69" s="678"/>
      <c r="Y69" s="678"/>
      <c r="Z69" s="678"/>
      <c r="AA69" s="678"/>
      <c r="AB69" s="678">
        <f t="shared" si="31"/>
        <v>20017</v>
      </c>
      <c r="AC69" s="678">
        <f t="shared" si="32"/>
        <v>19704</v>
      </c>
      <c r="AD69" s="678">
        <f t="shared" si="32"/>
        <v>20564</v>
      </c>
      <c r="AE69" s="678">
        <f t="shared" si="32"/>
        <v>23412</v>
      </c>
      <c r="AF69" s="678">
        <f t="shared" si="32"/>
        <v>36946</v>
      </c>
      <c r="AG69" s="678">
        <f t="shared" si="32"/>
        <v>35515.311297</v>
      </c>
      <c r="AH69" s="678">
        <f t="shared" si="32"/>
        <v>35025.582193687129</v>
      </c>
      <c r="AI69" s="678">
        <f t="shared" si="32"/>
        <v>34542.6060818552</v>
      </c>
      <c r="AJ69" s="678">
        <f t="shared" si="32"/>
        <v>34066.289842893057</v>
      </c>
      <c r="AK69" s="678">
        <f t="shared" si="32"/>
        <v>33596.5416422243</v>
      </c>
      <c r="AL69" s="678">
        <f t="shared" si="32"/>
        <v>33133.270911601423</v>
      </c>
      <c r="AM69" s="678">
        <f t="shared" si="32"/>
        <v>32676.388331644095</v>
      </c>
      <c r="AN69" s="678">
        <f t="shared" si="32"/>
        <v>32225.805814618234</v>
      </c>
    </row>
    <row r="70" spans="1:40" ht="16.5" customHeight="1" x14ac:dyDescent="0.3">
      <c r="A70" s="679" t="s">
        <v>483</v>
      </c>
      <c r="B70" s="678">
        <f>'9. 추정 IS'!E73</f>
        <v>1086</v>
      </c>
      <c r="C70" s="678">
        <f>'9. 추정 IS'!F73</f>
        <v>486</v>
      </c>
      <c r="D70" s="678">
        <f>'9. 추정 IS'!G73</f>
        <v>496</v>
      </c>
      <c r="E70" s="678">
        <f>'9. 추정 IS'!H73</f>
        <v>338</v>
      </c>
      <c r="F70" s="678">
        <f>'9. 추정 IS'!I73</f>
        <v>309</v>
      </c>
      <c r="G70" s="678">
        <f>'9. 추정 IS'!J73</f>
        <v>156.80850600000031</v>
      </c>
      <c r="H70" s="678">
        <f>'9. 추정 IS'!K73</f>
        <v>142.05520081200029</v>
      </c>
      <c r="I70" s="678">
        <f>'9. 추정 IS'!L73</f>
        <v>144.89630482824029</v>
      </c>
      <c r="J70" s="678">
        <f>'9. 추정 IS'!M73</f>
        <v>147.79423092480511</v>
      </c>
      <c r="K70" s="678">
        <f>'9. 추정 IS'!N73</f>
        <v>150.75011554330121</v>
      </c>
      <c r="L70" s="678">
        <f>'9. 추정 IS'!O73</f>
        <v>153.76511785416724</v>
      </c>
      <c r="M70" s="678">
        <f>'9. 추정 IS'!P73</f>
        <v>156.8404202112506</v>
      </c>
      <c r="N70" s="678">
        <f>'9. 추정 IS'!Q73</f>
        <v>159.97722861547561</v>
      </c>
      <c r="O70" s="678"/>
      <c r="P70" s="678"/>
      <c r="Q70" s="678"/>
      <c r="R70" s="678"/>
      <c r="S70" s="678"/>
      <c r="T70" s="678"/>
      <c r="U70" s="678"/>
      <c r="V70" s="678"/>
      <c r="W70" s="678"/>
      <c r="X70" s="678"/>
      <c r="Y70" s="678"/>
      <c r="Z70" s="678"/>
      <c r="AA70" s="678"/>
      <c r="AB70" s="678">
        <f t="shared" si="31"/>
        <v>1086</v>
      </c>
      <c r="AC70" s="678">
        <f t="shared" si="32"/>
        <v>486</v>
      </c>
      <c r="AD70" s="678">
        <f t="shared" si="32"/>
        <v>496</v>
      </c>
      <c r="AE70" s="678">
        <f t="shared" si="32"/>
        <v>338</v>
      </c>
      <c r="AF70" s="678">
        <f t="shared" si="32"/>
        <v>309</v>
      </c>
      <c r="AG70" s="678">
        <f t="shared" si="32"/>
        <v>156.80850600000031</v>
      </c>
      <c r="AH70" s="678">
        <f t="shared" si="32"/>
        <v>142.05520081200029</v>
      </c>
      <c r="AI70" s="678">
        <f t="shared" si="32"/>
        <v>144.89630482824029</v>
      </c>
      <c r="AJ70" s="678">
        <f t="shared" si="32"/>
        <v>147.79423092480511</v>
      </c>
      <c r="AK70" s="678">
        <f t="shared" si="32"/>
        <v>150.75011554330121</v>
      </c>
      <c r="AL70" s="678">
        <f t="shared" si="32"/>
        <v>153.76511785416724</v>
      </c>
      <c r="AM70" s="678">
        <f t="shared" si="32"/>
        <v>156.8404202112506</v>
      </c>
      <c r="AN70" s="678">
        <f t="shared" si="32"/>
        <v>159.97722861547561</v>
      </c>
    </row>
    <row r="71" spans="1:40" ht="16.5" customHeight="1" x14ac:dyDescent="0.3">
      <c r="A71" s="679" t="s">
        <v>484</v>
      </c>
      <c r="B71" s="678">
        <f>'9. 추정 IS'!E59+'9. 추정 IS'!E79</f>
        <v>109816</v>
      </c>
      <c r="C71" s="678">
        <f>'9. 추정 IS'!F59+'9. 추정 IS'!F79</f>
        <v>107170</v>
      </c>
      <c r="D71" s="678">
        <f>'9. 추정 IS'!G59+'9. 추정 IS'!G79</f>
        <v>150660</v>
      </c>
      <c r="E71" s="678">
        <f>'9. 추정 IS'!H59+'9. 추정 IS'!H79</f>
        <v>99775</v>
      </c>
      <c r="F71" s="678">
        <f>'9. 추정 IS'!I59+'9. 추정 IS'!I79</f>
        <v>63977</v>
      </c>
      <c r="G71" s="678">
        <f>'9. 추정 IS'!J59+'9. 추정 IS'!J79</f>
        <v>55663.676572999895</v>
      </c>
      <c r="H71" s="678">
        <f>'9. 추정 IS'!K59+'9. 추정 IS'!K79</f>
        <v>57483.614012787235</v>
      </c>
      <c r="I71" s="678">
        <f>'9. 추정 IS'!L59+'9. 추정 IS'!L79</f>
        <v>58629.877246031123</v>
      </c>
      <c r="J71" s="678">
        <f>'9. 추정 IS'!M59+'9. 추정 IS'!M79</f>
        <v>54586.231342654959</v>
      </c>
      <c r="K71" s="678">
        <f>'9. 추정 IS'!N59+'9. 추정 IS'!N79</f>
        <v>50966.563596510809</v>
      </c>
      <c r="L71" s="678">
        <f>'9. 추정 IS'!O59+'9. 추정 IS'!O79</f>
        <v>47167.762254237678</v>
      </c>
      <c r="M71" s="678">
        <f>'9. 추정 IS'!P59+'9. 추정 IS'!P79</f>
        <v>42617.250803732728</v>
      </c>
      <c r="N71" s="678">
        <f>'9. 추정 IS'!Q59+'9. 추정 IS'!Q79</f>
        <v>38117.536803635812</v>
      </c>
      <c r="O71" s="678"/>
      <c r="P71" s="678"/>
      <c r="Q71" s="678"/>
      <c r="R71" s="678"/>
      <c r="S71" s="678"/>
      <c r="T71" s="678"/>
      <c r="U71" s="678"/>
      <c r="V71" s="678"/>
      <c r="W71" s="678"/>
      <c r="X71" s="678"/>
      <c r="Y71" s="678"/>
      <c r="Z71" s="678"/>
      <c r="AA71" s="678"/>
      <c r="AB71" s="678">
        <f t="shared" si="31"/>
        <v>109816</v>
      </c>
      <c r="AC71" s="678">
        <f t="shared" si="32"/>
        <v>107170</v>
      </c>
      <c r="AD71" s="678">
        <f t="shared" si="32"/>
        <v>150660</v>
      </c>
      <c r="AE71" s="678">
        <f t="shared" si="32"/>
        <v>99775</v>
      </c>
      <c r="AF71" s="678">
        <f t="shared" si="32"/>
        <v>63977</v>
      </c>
      <c r="AG71" s="678">
        <f t="shared" si="32"/>
        <v>55663.676572999895</v>
      </c>
      <c r="AH71" s="678">
        <f t="shared" si="32"/>
        <v>57483.614012787235</v>
      </c>
      <c r="AI71" s="678">
        <f t="shared" si="32"/>
        <v>58629.877246031123</v>
      </c>
      <c r="AJ71" s="678">
        <f t="shared" si="32"/>
        <v>54586.231342654959</v>
      </c>
      <c r="AK71" s="678">
        <f t="shared" si="32"/>
        <v>50966.563596510809</v>
      </c>
      <c r="AL71" s="678">
        <f t="shared" si="32"/>
        <v>47167.762254237678</v>
      </c>
      <c r="AM71" s="678">
        <f t="shared" si="32"/>
        <v>42617.250803732728</v>
      </c>
      <c r="AN71" s="678">
        <f t="shared" si="32"/>
        <v>38117.536803635812</v>
      </c>
    </row>
    <row r="72" spans="1:40" ht="16.5" customHeight="1" x14ac:dyDescent="0.3">
      <c r="A72" s="681" t="s">
        <v>399</v>
      </c>
      <c r="B72" s="678"/>
      <c r="C72" s="678"/>
      <c r="D72" s="678"/>
      <c r="E72" s="678"/>
      <c r="F72" s="678"/>
      <c r="G72" s="678"/>
      <c r="H72" s="678"/>
      <c r="I72" s="678"/>
      <c r="J72" s="678"/>
      <c r="K72" s="678"/>
      <c r="L72" s="678"/>
      <c r="M72" s="678"/>
      <c r="N72" s="678"/>
      <c r="O72" s="678">
        <f>'12. 추정 IS'!Y18</f>
        <v>1541448.1983089999</v>
      </c>
      <c r="P72" s="678">
        <f>'12. 추정 IS'!Z18</f>
        <v>1566813.5414220002</v>
      </c>
      <c r="Q72" s="678">
        <f>'12. 추정 IS'!AA18</f>
        <v>1693492.006793</v>
      </c>
      <c r="R72" s="678">
        <f>'12. 추정 IS'!AB18</f>
        <v>1720859.1512070005</v>
      </c>
      <c r="S72" s="678">
        <f>'12. 추정 IS'!AC18</f>
        <v>1847088.6245600004</v>
      </c>
      <c r="T72" s="678">
        <f>'12. 추정 IS'!AD18</f>
        <v>1857371</v>
      </c>
      <c r="U72" s="678">
        <f>'12. 추정 IS'!AE18</f>
        <v>1922387.4348531046</v>
      </c>
      <c r="V72" s="678">
        <f>'12. 추정 IS'!AF18</f>
        <v>1936128.894012722</v>
      </c>
      <c r="W72" s="678">
        <f>'12. 추정 IS'!AG18</f>
        <v>1956083.7741729636</v>
      </c>
      <c r="X72" s="678">
        <f>'12. 추정 IS'!AH18</f>
        <v>1971494.1892730186</v>
      </c>
      <c r="Y72" s="678">
        <f>'12. 추정 IS'!AI18</f>
        <v>1999186.8633368583</v>
      </c>
      <c r="Z72" s="678">
        <f>'12. 추정 IS'!AJ18</f>
        <v>2032140.6700845286</v>
      </c>
      <c r="AA72" s="678">
        <f>'12. 추정 IS'!AK18</f>
        <v>2070863.1692363233</v>
      </c>
      <c r="AB72" s="678">
        <f t="shared" si="31"/>
        <v>0</v>
      </c>
      <c r="AC72" s="678">
        <f t="shared" si="32"/>
        <v>1566813.5414220002</v>
      </c>
      <c r="AD72" s="678">
        <f t="shared" si="32"/>
        <v>1693492.006793</v>
      </c>
      <c r="AE72" s="678">
        <f t="shared" si="32"/>
        <v>1720859.1512070005</v>
      </c>
      <c r="AF72" s="678">
        <f t="shared" si="32"/>
        <v>1847088.6245600004</v>
      </c>
      <c r="AG72" s="678">
        <f t="shared" si="32"/>
        <v>1857371</v>
      </c>
      <c r="AH72" s="678">
        <f t="shared" si="32"/>
        <v>1922387.4348531046</v>
      </c>
      <c r="AI72" s="678">
        <f t="shared" si="32"/>
        <v>1936128.894012722</v>
      </c>
      <c r="AJ72" s="678">
        <f t="shared" si="32"/>
        <v>1956083.7741729636</v>
      </c>
      <c r="AK72" s="678">
        <f t="shared" si="32"/>
        <v>1971494.1892730186</v>
      </c>
      <c r="AL72" s="678">
        <f t="shared" si="32"/>
        <v>1999186.8633368583</v>
      </c>
      <c r="AM72" s="678">
        <f t="shared" si="32"/>
        <v>2032140.6700845286</v>
      </c>
      <c r="AN72" s="678">
        <f t="shared" si="32"/>
        <v>2070863.1692363233</v>
      </c>
    </row>
    <row r="73" spans="1:40" ht="16.5" customHeight="1" x14ac:dyDescent="0.3">
      <c r="A73" s="683" t="s">
        <v>319</v>
      </c>
      <c r="B73" s="678">
        <f>B55-B56</f>
        <v>157884</v>
      </c>
      <c r="C73" s="678">
        <f t="shared" ref="C73:AN73" si="33">C55-C56</f>
        <v>135914</v>
      </c>
      <c r="D73" s="678">
        <f t="shared" si="33"/>
        <v>142570</v>
      </c>
      <c r="E73" s="678">
        <f t="shared" si="33"/>
        <v>116909</v>
      </c>
      <c r="F73" s="678">
        <f>F55-F56</f>
        <v>107094</v>
      </c>
      <c r="G73" s="678">
        <f t="shared" si="33"/>
        <v>93012.637409999967</v>
      </c>
      <c r="H73" s="678">
        <f>H55-H56</f>
        <v>91358.031398123363</v>
      </c>
      <c r="I73" s="678">
        <f t="shared" si="33"/>
        <v>87024.424177531037</v>
      </c>
      <c r="J73" s="678">
        <f t="shared" si="33"/>
        <v>82880.404863675474</v>
      </c>
      <c r="K73" s="678">
        <f t="shared" si="33"/>
        <v>79692.697420123848</v>
      </c>
      <c r="L73" s="678">
        <f t="shared" si="33"/>
        <v>77371.550720008556</v>
      </c>
      <c r="M73" s="678">
        <f t="shared" si="33"/>
        <v>75854.461532329791</v>
      </c>
      <c r="N73" s="678">
        <f t="shared" si="33"/>
        <v>75103.427031385596</v>
      </c>
      <c r="O73" s="678">
        <f t="shared" si="33"/>
        <v>259756.72478700033</v>
      </c>
      <c r="P73" s="678">
        <f t="shared" si="33"/>
        <v>156683.31293899938</v>
      </c>
      <c r="Q73" s="678">
        <f t="shared" si="33"/>
        <v>113842.71419199998</v>
      </c>
      <c r="R73" s="678">
        <f t="shared" si="33"/>
        <v>198072.61712900223</v>
      </c>
      <c r="S73" s="678">
        <f t="shared" si="33"/>
        <v>145542.36538400035</v>
      </c>
      <c r="T73" s="678">
        <f t="shared" si="33"/>
        <v>196884</v>
      </c>
      <c r="U73" s="678">
        <f t="shared" si="33"/>
        <v>180806.2306164226</v>
      </c>
      <c r="V73" s="678">
        <f t="shared" si="33"/>
        <v>182467.58521686238</v>
      </c>
      <c r="W73" s="678">
        <f t="shared" si="33"/>
        <v>182018.92178671621</v>
      </c>
      <c r="X73" s="678">
        <f t="shared" si="33"/>
        <v>190898.61862547114</v>
      </c>
      <c r="Y73" s="678">
        <f t="shared" si="33"/>
        <v>202061.91024606396</v>
      </c>
      <c r="Z73" s="678">
        <f t="shared" si="33"/>
        <v>214079.71902382933</v>
      </c>
      <c r="AA73" s="678">
        <f t="shared" si="33"/>
        <v>226288.9641763526</v>
      </c>
      <c r="AB73" s="678">
        <f t="shared" si="33"/>
        <v>157884</v>
      </c>
      <c r="AC73" s="678">
        <f t="shared" si="33"/>
        <v>292597.31293899938</v>
      </c>
      <c r="AD73" s="678">
        <f t="shared" si="33"/>
        <v>256412.71419200022</v>
      </c>
      <c r="AE73" s="678">
        <f t="shared" si="33"/>
        <v>314981.61712900223</v>
      </c>
      <c r="AF73" s="678">
        <f t="shared" si="33"/>
        <v>252636.36538400128</v>
      </c>
      <c r="AG73" s="678">
        <f t="shared" si="33"/>
        <v>289896.63740999904</v>
      </c>
      <c r="AH73" s="678">
        <f>AH55-AH56</f>
        <v>272164.26201454643</v>
      </c>
      <c r="AI73" s="678">
        <f t="shared" si="33"/>
        <v>269492.0093943933</v>
      </c>
      <c r="AJ73" s="678">
        <f t="shared" si="33"/>
        <v>264899.3266503918</v>
      </c>
      <c r="AK73" s="678">
        <f t="shared" si="33"/>
        <v>270591.31604559533</v>
      </c>
      <c r="AL73" s="678">
        <f t="shared" si="33"/>
        <v>279433.46096607344</v>
      </c>
      <c r="AM73" s="678">
        <f t="shared" si="33"/>
        <v>289934.18055615807</v>
      </c>
      <c r="AN73" s="678">
        <f t="shared" si="33"/>
        <v>301392.39120773925</v>
      </c>
    </row>
    <row r="74" spans="1:40" ht="16.5" customHeight="1" x14ac:dyDescent="0.3">
      <c r="A74" s="683" t="s">
        <v>485</v>
      </c>
      <c r="B74" s="678">
        <f>SUM(B75:B76)</f>
        <v>-6845</v>
      </c>
      <c r="C74" s="678">
        <f t="shared" ref="C74:AN74" si="34">SUM(C75:C76)</f>
        <v>87066</v>
      </c>
      <c r="D74" s="678">
        <f t="shared" si="34"/>
        <v>-3292</v>
      </c>
      <c r="E74" s="678">
        <f t="shared" si="34"/>
        <v>-2499</v>
      </c>
      <c r="F74" s="678">
        <f t="shared" si="34"/>
        <v>-4169</v>
      </c>
      <c r="G74" s="678">
        <f t="shared" si="34"/>
        <v>-3225.3612699999994</v>
      </c>
      <c r="H74" s="678">
        <f t="shared" si="34"/>
        <v>-3236.2000039999994</v>
      </c>
      <c r="I74" s="678">
        <f t="shared" si="34"/>
        <v>-3236.2000039999994</v>
      </c>
      <c r="J74" s="678">
        <f t="shared" si="34"/>
        <v>-3236.2000039999994</v>
      </c>
      <c r="K74" s="678">
        <f t="shared" si="34"/>
        <v>-3236.2000039999994</v>
      </c>
      <c r="L74" s="678">
        <f t="shared" si="34"/>
        <v>-3236.2000039999994</v>
      </c>
      <c r="M74" s="678">
        <f t="shared" si="34"/>
        <v>-3236.2000039999994</v>
      </c>
      <c r="N74" s="678">
        <f t="shared" si="34"/>
        <v>-3236.2000039999994</v>
      </c>
      <c r="O74" s="678">
        <f t="shared" si="34"/>
        <v>-14117.755538999994</v>
      </c>
      <c r="P74" s="678">
        <f t="shared" si="34"/>
        <v>536773.82972499996</v>
      </c>
      <c r="Q74" s="678">
        <f t="shared" si="34"/>
        <v>-100645.762993</v>
      </c>
      <c r="R74" s="678">
        <f t="shared" si="34"/>
        <v>-207984.362157</v>
      </c>
      <c r="S74" s="678">
        <f t="shared" si="34"/>
        <v>-196812.079455</v>
      </c>
      <c r="T74" s="678">
        <f t="shared" si="34"/>
        <v>-135166</v>
      </c>
      <c r="U74" s="678">
        <f t="shared" si="34"/>
        <v>-33413.616931512872</v>
      </c>
      <c r="V74" s="678">
        <f t="shared" si="34"/>
        <v>-75.409463121950438</v>
      </c>
      <c r="W74" s="678">
        <f t="shared" si="34"/>
        <v>-9690.5139861444932</v>
      </c>
      <c r="X74" s="678">
        <f t="shared" si="34"/>
        <v>-14462.894017593091</v>
      </c>
      <c r="Y74" s="678">
        <f t="shared" si="34"/>
        <v>-7967.6373049532194</v>
      </c>
      <c r="Z74" s="678">
        <f t="shared" si="34"/>
        <v>-10652.69751089692</v>
      </c>
      <c r="AA74" s="678">
        <f t="shared" si="34"/>
        <v>-11027.742944481062</v>
      </c>
      <c r="AB74" s="678">
        <f t="shared" si="34"/>
        <v>-6845</v>
      </c>
      <c r="AC74" s="678">
        <f t="shared" si="34"/>
        <v>623839.82972499996</v>
      </c>
      <c r="AD74" s="678">
        <f t="shared" si="34"/>
        <v>-103937.762993</v>
      </c>
      <c r="AE74" s="678">
        <f t="shared" si="34"/>
        <v>-210483.362157</v>
      </c>
      <c r="AF74" s="678">
        <f t="shared" si="34"/>
        <v>-200981.079455</v>
      </c>
      <c r="AG74" s="678">
        <f t="shared" si="34"/>
        <v>-138391.36126999999</v>
      </c>
      <c r="AH74" s="678">
        <f t="shared" si="34"/>
        <v>-36649.81693551287</v>
      </c>
      <c r="AI74" s="678">
        <f t="shared" si="34"/>
        <v>-3311.6094671219498</v>
      </c>
      <c r="AJ74" s="678">
        <f t="shared" si="34"/>
        <v>-12926.713990144493</v>
      </c>
      <c r="AK74" s="678">
        <f t="shared" si="34"/>
        <v>-17699.09402159309</v>
      </c>
      <c r="AL74" s="678">
        <f t="shared" si="34"/>
        <v>-11203.837308953218</v>
      </c>
      <c r="AM74" s="678">
        <f t="shared" si="34"/>
        <v>-13888.897514896918</v>
      </c>
      <c r="AN74" s="678">
        <f t="shared" si="34"/>
        <v>-14263.942948481061</v>
      </c>
    </row>
    <row r="75" spans="1:40" ht="16.5" customHeight="1" x14ac:dyDescent="0.3">
      <c r="A75" s="685" t="s">
        <v>465</v>
      </c>
      <c r="B75" s="678">
        <f>'9. 추정 IS'!E88-'9. 추정 IS'!E89</f>
        <v>-6845</v>
      </c>
      <c r="C75" s="678">
        <f>'9. 추정 IS'!F88-'9. 추정 IS'!F89</f>
        <v>87066</v>
      </c>
      <c r="D75" s="678">
        <f>'9. 추정 IS'!G88-'9. 추정 IS'!G89</f>
        <v>-3292</v>
      </c>
      <c r="E75" s="678">
        <f>'9. 추정 IS'!H88-'9. 추정 IS'!H89</f>
        <v>-2499</v>
      </c>
      <c r="F75" s="678">
        <f>'9. 추정 IS'!I88-'9. 추정 IS'!I89</f>
        <v>-4169</v>
      </c>
      <c r="G75" s="678">
        <f>'9. 추정 IS'!J88-'9. 추정 IS'!J89</f>
        <v>-3225.3612699999994</v>
      </c>
      <c r="H75" s="678">
        <f>'9. 추정 IS'!K88-'9. 추정 IS'!K89</f>
        <v>-3236.2000039999994</v>
      </c>
      <c r="I75" s="678">
        <f>'9. 추정 IS'!L88-'9. 추정 IS'!L89</f>
        <v>-3236.2000039999994</v>
      </c>
      <c r="J75" s="678">
        <f>'9. 추정 IS'!M88-'9. 추정 IS'!M89</f>
        <v>-3236.2000039999994</v>
      </c>
      <c r="K75" s="678">
        <f>'9. 추정 IS'!N88-'9. 추정 IS'!N89</f>
        <v>-3236.2000039999994</v>
      </c>
      <c r="L75" s="678">
        <f>'9. 추정 IS'!O88-'9. 추정 IS'!O89</f>
        <v>-3236.2000039999994</v>
      </c>
      <c r="M75" s="678">
        <f>'9. 추정 IS'!P88-'9. 추정 IS'!P89</f>
        <v>-3236.2000039999994</v>
      </c>
      <c r="N75" s="678">
        <f>'9. 추정 IS'!Q88-'9. 추정 IS'!Q89</f>
        <v>-3236.2000039999994</v>
      </c>
      <c r="O75" s="678"/>
      <c r="P75" s="678"/>
      <c r="Q75" s="678"/>
      <c r="R75" s="678"/>
      <c r="S75" s="678"/>
      <c r="T75" s="678"/>
      <c r="U75" s="678"/>
      <c r="V75" s="678"/>
      <c r="W75" s="678"/>
      <c r="X75" s="678"/>
      <c r="Y75" s="678"/>
      <c r="Z75" s="678"/>
      <c r="AA75" s="678"/>
      <c r="AB75" s="678">
        <f>B75</f>
        <v>-6845</v>
      </c>
      <c r="AC75" s="678">
        <f t="shared" ref="AC75:AN76" si="35">C75+P75</f>
        <v>87066</v>
      </c>
      <c r="AD75" s="678">
        <f t="shared" si="35"/>
        <v>-3292</v>
      </c>
      <c r="AE75" s="678">
        <f t="shared" si="35"/>
        <v>-2499</v>
      </c>
      <c r="AF75" s="678">
        <f t="shared" si="35"/>
        <v>-4169</v>
      </c>
      <c r="AG75" s="678">
        <f t="shared" si="35"/>
        <v>-3225.3612699999994</v>
      </c>
      <c r="AH75" s="678">
        <f t="shared" si="35"/>
        <v>-3236.2000039999994</v>
      </c>
      <c r="AI75" s="678">
        <f t="shared" si="35"/>
        <v>-3236.2000039999994</v>
      </c>
      <c r="AJ75" s="678">
        <f t="shared" si="35"/>
        <v>-3236.2000039999994</v>
      </c>
      <c r="AK75" s="678">
        <f t="shared" si="35"/>
        <v>-3236.2000039999994</v>
      </c>
      <c r="AL75" s="678">
        <f t="shared" si="35"/>
        <v>-3236.2000039999994</v>
      </c>
      <c r="AM75" s="678">
        <f t="shared" si="35"/>
        <v>-3236.2000039999994</v>
      </c>
      <c r="AN75" s="678">
        <f t="shared" si="35"/>
        <v>-3236.2000039999994</v>
      </c>
    </row>
    <row r="76" spans="1:40" ht="16.5" customHeight="1" x14ac:dyDescent="0.3">
      <c r="A76" s="685" t="s">
        <v>399</v>
      </c>
      <c r="B76" s="678"/>
      <c r="C76" s="678"/>
      <c r="D76" s="678"/>
      <c r="E76" s="678"/>
      <c r="F76" s="678"/>
      <c r="G76" s="678"/>
      <c r="H76" s="678"/>
      <c r="I76" s="678"/>
      <c r="J76" s="678"/>
      <c r="K76" s="678"/>
      <c r="L76" s="678"/>
      <c r="M76" s="678"/>
      <c r="N76" s="678"/>
      <c r="O76" s="678">
        <f>('12. 추정 IS'!E87-'12. 추정 IS'!E92+'12. 추정 IS'!E104)</f>
        <v>-14117.755538999994</v>
      </c>
      <c r="P76" s="678">
        <f>('12. 추정 IS'!F87-'12. 추정 IS'!F92+'12. 추정 IS'!F104)</f>
        <v>536773.82972499996</v>
      </c>
      <c r="Q76" s="678">
        <f>('12. 추정 IS'!G87-'12. 추정 IS'!G92+'12. 추정 IS'!G104)</f>
        <v>-100645.762993</v>
      </c>
      <c r="R76" s="678">
        <f>('12. 추정 IS'!H87-'12. 추정 IS'!H92+'12. 추정 IS'!H104)</f>
        <v>-207984.362157</v>
      </c>
      <c r="S76" s="678">
        <f>('12. 추정 IS'!I87-'12. 추정 IS'!I92+'12. 추정 IS'!I104)</f>
        <v>-196812.079455</v>
      </c>
      <c r="T76" s="678">
        <f>('12. 추정 IS'!J87-'12. 추정 IS'!J92+'12. 추정 IS'!J104)</f>
        <v>-135166</v>
      </c>
      <c r="U76" s="678">
        <f>('12. 추정 IS'!K87-'12. 추정 IS'!K92+'12. 추정 IS'!K104)</f>
        <v>-33413.616931512872</v>
      </c>
      <c r="V76" s="678">
        <f>('12. 추정 IS'!L87-'12. 추정 IS'!L92+'12. 추정 IS'!L104)</f>
        <v>-75.409463121950438</v>
      </c>
      <c r="W76" s="678">
        <f>('12. 추정 IS'!M87-'12. 추정 IS'!M92+'12. 추정 IS'!M104)</f>
        <v>-9690.5139861444932</v>
      </c>
      <c r="X76" s="678">
        <f>('12. 추정 IS'!N87-'12. 추정 IS'!N92+'12. 추정 IS'!N104)</f>
        <v>-14462.894017593091</v>
      </c>
      <c r="Y76" s="678">
        <f>('12. 추정 IS'!O87-'12. 추정 IS'!O92+'12. 추정 IS'!O104)</f>
        <v>-7967.6373049532194</v>
      </c>
      <c r="Z76" s="678">
        <f>('12. 추정 IS'!P87-'12. 추정 IS'!P92+'12. 추정 IS'!P104)</f>
        <v>-10652.69751089692</v>
      </c>
      <c r="AA76" s="678">
        <f>('12. 추정 IS'!Q87-'12. 추정 IS'!Q92+'12. 추정 IS'!Q104)</f>
        <v>-11027.742944481062</v>
      </c>
      <c r="AB76" s="678">
        <f>B76</f>
        <v>0</v>
      </c>
      <c r="AC76" s="678">
        <f t="shared" si="35"/>
        <v>536773.82972499996</v>
      </c>
      <c r="AD76" s="678">
        <f t="shared" si="35"/>
        <v>-100645.762993</v>
      </c>
      <c r="AE76" s="678">
        <f t="shared" si="35"/>
        <v>-207984.362157</v>
      </c>
      <c r="AF76" s="678">
        <f t="shared" si="35"/>
        <v>-196812.079455</v>
      </c>
      <c r="AG76" s="678">
        <f t="shared" si="35"/>
        <v>-135166</v>
      </c>
      <c r="AH76" s="678">
        <f t="shared" si="35"/>
        <v>-33413.616931512872</v>
      </c>
      <c r="AI76" s="678">
        <f t="shared" si="35"/>
        <v>-75.409463121950438</v>
      </c>
      <c r="AJ76" s="678">
        <f t="shared" si="35"/>
        <v>-9690.5139861444932</v>
      </c>
      <c r="AK76" s="678">
        <f t="shared" si="35"/>
        <v>-14462.894017593091</v>
      </c>
      <c r="AL76" s="678">
        <f t="shared" si="35"/>
        <v>-7967.6373049532194</v>
      </c>
      <c r="AM76" s="678">
        <f t="shared" si="35"/>
        <v>-10652.69751089692</v>
      </c>
      <c r="AN76" s="678">
        <f t="shared" si="35"/>
        <v>-11027.742944481062</v>
      </c>
    </row>
    <row r="77" spans="1:40" ht="16.5" customHeight="1" x14ac:dyDescent="0.3">
      <c r="A77" s="685" t="s">
        <v>384</v>
      </c>
      <c r="B77" s="678">
        <f>SUM(B78:B79)</f>
        <v>19404</v>
      </c>
      <c r="C77" s="678">
        <f t="shared" ref="C77:AN77" si="36">SUM(C78:C79)</f>
        <v>54723</v>
      </c>
      <c r="D77" s="678">
        <f t="shared" si="36"/>
        <v>9562</v>
      </c>
      <c r="E77" s="678">
        <f t="shared" si="36"/>
        <v>32050</v>
      </c>
      <c r="F77" s="678">
        <f t="shared" si="36"/>
        <v>23900</v>
      </c>
      <c r="G77" s="678">
        <f t="shared" si="36"/>
        <v>16914.944624000003</v>
      </c>
      <c r="H77" s="678">
        <f t="shared" si="36"/>
        <v>16408.224646709012</v>
      </c>
      <c r="I77" s="678">
        <f t="shared" si="36"/>
        <v>18235.407544903002</v>
      </c>
      <c r="J77" s="678">
        <f t="shared" si="36"/>
        <v>16681.876726537339</v>
      </c>
      <c r="K77" s="678">
        <f t="shared" si="36"/>
        <v>17218.947972716451</v>
      </c>
      <c r="L77" s="678">
        <f t="shared" si="36"/>
        <v>17489.189081385597</v>
      </c>
      <c r="M77" s="678">
        <f t="shared" si="36"/>
        <v>17240.449593546462</v>
      </c>
      <c r="N77" s="678">
        <f t="shared" si="36"/>
        <v>17426.640549216168</v>
      </c>
      <c r="O77" s="678">
        <f t="shared" si="36"/>
        <v>12933.702920000003</v>
      </c>
      <c r="P77" s="678">
        <f t="shared" si="36"/>
        <v>62338.976054000013</v>
      </c>
      <c r="Q77" s="678">
        <f t="shared" si="36"/>
        <v>-66769.875233999992</v>
      </c>
      <c r="R77" s="678">
        <f t="shared" si="36"/>
        <v>-55854.719457000028</v>
      </c>
      <c r="S77" s="678">
        <f t="shared" si="36"/>
        <v>-119065.260928</v>
      </c>
      <c r="T77" s="678">
        <f t="shared" si="36"/>
        <v>-63499</v>
      </c>
      <c r="U77" s="678">
        <f t="shared" si="36"/>
        <v>-63505.410616798195</v>
      </c>
      <c r="V77" s="678">
        <f t="shared" si="36"/>
        <v>-59641.087123012279</v>
      </c>
      <c r="W77" s="678">
        <f t="shared" si="36"/>
        <v>-45142.994828798684</v>
      </c>
      <c r="X77" s="678">
        <f t="shared" si="36"/>
        <v>-45209.312671067513</v>
      </c>
      <c r="Y77" s="678">
        <f t="shared" si="36"/>
        <v>-44882.285738533879</v>
      </c>
      <c r="Z77" s="678">
        <f t="shared" si="36"/>
        <v>-45078.197746133374</v>
      </c>
      <c r="AA77" s="678">
        <f t="shared" si="36"/>
        <v>-45056.598718578258</v>
      </c>
      <c r="AB77" s="678">
        <f t="shared" si="36"/>
        <v>19404</v>
      </c>
      <c r="AC77" s="678">
        <f t="shared" si="36"/>
        <v>117061.97605400001</v>
      </c>
      <c r="AD77" s="678">
        <f t="shared" si="36"/>
        <v>-57207.875233999992</v>
      </c>
      <c r="AE77" s="678">
        <f t="shared" si="36"/>
        <v>-23804.719457000028</v>
      </c>
      <c r="AF77" s="678">
        <f t="shared" si="36"/>
        <v>-95165.260928000003</v>
      </c>
      <c r="AG77" s="678">
        <f t="shared" si="36"/>
        <v>-46584.055375999997</v>
      </c>
      <c r="AH77" s="678">
        <f t="shared" si="36"/>
        <v>-47097.18597008918</v>
      </c>
      <c r="AI77" s="678">
        <f t="shared" si="36"/>
        <v>-41405.679578109281</v>
      </c>
      <c r="AJ77" s="678">
        <f t="shared" si="36"/>
        <v>-28461.118102261345</v>
      </c>
      <c r="AK77" s="678">
        <f t="shared" si="36"/>
        <v>-27990.364698351063</v>
      </c>
      <c r="AL77" s="678">
        <f t="shared" si="36"/>
        <v>-27393.096657148282</v>
      </c>
      <c r="AM77" s="678">
        <f t="shared" si="36"/>
        <v>-27837.748152586912</v>
      </c>
      <c r="AN77" s="678">
        <f t="shared" si="36"/>
        <v>-27629.958169362089</v>
      </c>
    </row>
    <row r="78" spans="1:40" ht="16.5" customHeight="1" x14ac:dyDescent="0.3">
      <c r="A78" s="685" t="s">
        <v>465</v>
      </c>
      <c r="B78" s="678">
        <f>'9. 추정 IS'!E92-'9. 추정 IS'!E95</f>
        <v>19404</v>
      </c>
      <c r="C78" s="678">
        <f>'9. 추정 IS'!F92-'9. 추정 IS'!F95</f>
        <v>54723</v>
      </c>
      <c r="D78" s="678">
        <f>'9. 추정 IS'!G92-'9. 추정 IS'!G95</f>
        <v>9562</v>
      </c>
      <c r="E78" s="678">
        <f>'9. 추정 IS'!H92-'9. 추정 IS'!H95</f>
        <v>32050</v>
      </c>
      <c r="F78" s="678">
        <f>'9. 추정 IS'!I92-'9. 추정 IS'!I95</f>
        <v>23900</v>
      </c>
      <c r="G78" s="678">
        <f>'9. 추정 IS'!J92-'9. 추정 IS'!J95</f>
        <v>16914.944624000003</v>
      </c>
      <c r="H78" s="678">
        <f>'9. 추정 IS'!K92-'9. 추정 IS'!K95</f>
        <v>16408.224646709012</v>
      </c>
      <c r="I78" s="678">
        <f>'9. 추정 IS'!L92-'9. 추정 IS'!L95</f>
        <v>18235.407544903002</v>
      </c>
      <c r="J78" s="678">
        <f>'9. 추정 IS'!M92-'9. 추정 IS'!M95</f>
        <v>16681.876726537339</v>
      </c>
      <c r="K78" s="678">
        <f>'9. 추정 IS'!N92-'9. 추정 IS'!N95</f>
        <v>17218.947972716451</v>
      </c>
      <c r="L78" s="678">
        <f>'9. 추정 IS'!O92-'9. 추정 IS'!O95</f>
        <v>17489.189081385597</v>
      </c>
      <c r="M78" s="678">
        <f>'9. 추정 IS'!P92-'9. 추정 IS'!P95</f>
        <v>17240.449593546462</v>
      </c>
      <c r="N78" s="678">
        <f>'9. 추정 IS'!Q92-'9. 추정 IS'!Q95</f>
        <v>17426.640549216168</v>
      </c>
      <c r="O78" s="678"/>
      <c r="P78" s="678"/>
      <c r="Q78" s="678"/>
      <c r="R78" s="678"/>
      <c r="S78" s="678"/>
      <c r="T78" s="678"/>
      <c r="U78" s="678"/>
      <c r="V78" s="678"/>
      <c r="W78" s="678"/>
      <c r="X78" s="678"/>
      <c r="Y78" s="678"/>
      <c r="Z78" s="678"/>
      <c r="AA78" s="678"/>
      <c r="AB78" s="678">
        <f>B78</f>
        <v>19404</v>
      </c>
      <c r="AC78" s="678">
        <f t="shared" ref="AC78:AN79" si="37">C78+P78</f>
        <v>54723</v>
      </c>
      <c r="AD78" s="678">
        <f t="shared" si="37"/>
        <v>9562</v>
      </c>
      <c r="AE78" s="678">
        <f t="shared" si="37"/>
        <v>32050</v>
      </c>
      <c r="AF78" s="678">
        <f t="shared" si="37"/>
        <v>23900</v>
      </c>
      <c r="AG78" s="678">
        <f t="shared" si="37"/>
        <v>16914.944624000003</v>
      </c>
      <c r="AH78" s="678">
        <f t="shared" si="37"/>
        <v>16408.224646709012</v>
      </c>
      <c r="AI78" s="678">
        <f t="shared" si="37"/>
        <v>18235.407544903002</v>
      </c>
      <c r="AJ78" s="678">
        <f t="shared" si="37"/>
        <v>16681.876726537339</v>
      </c>
      <c r="AK78" s="678">
        <f t="shared" si="37"/>
        <v>17218.947972716451</v>
      </c>
      <c r="AL78" s="678">
        <f t="shared" si="37"/>
        <v>17489.189081385597</v>
      </c>
      <c r="AM78" s="678">
        <f t="shared" si="37"/>
        <v>17240.449593546462</v>
      </c>
      <c r="AN78" s="678">
        <f t="shared" si="37"/>
        <v>17426.640549216168</v>
      </c>
    </row>
    <row r="79" spans="1:40" ht="16.5" customHeight="1" x14ac:dyDescent="0.3">
      <c r="A79" s="678" t="s">
        <v>399</v>
      </c>
      <c r="B79" s="678"/>
      <c r="C79" s="678"/>
      <c r="D79" s="678"/>
      <c r="E79" s="678"/>
      <c r="F79" s="678"/>
      <c r="G79" s="678"/>
      <c r="H79" s="678"/>
      <c r="I79" s="678"/>
      <c r="J79" s="678"/>
      <c r="K79" s="678"/>
      <c r="L79" s="678"/>
      <c r="M79" s="678"/>
      <c r="N79" s="678"/>
      <c r="O79" s="678">
        <f>('12. 추정 IS'!E97-'12. 추정 IS'!E101)</f>
        <v>12933.702920000003</v>
      </c>
      <c r="P79" s="678">
        <f>('12. 추정 IS'!F97-'12. 추정 IS'!F101)</f>
        <v>62338.976054000013</v>
      </c>
      <c r="Q79" s="678">
        <f>('12. 추정 IS'!G97-'12. 추정 IS'!G101)</f>
        <v>-66769.875233999992</v>
      </c>
      <c r="R79" s="678">
        <f>('12. 추정 IS'!H97-'12. 추정 IS'!H101)</f>
        <v>-55854.719457000028</v>
      </c>
      <c r="S79" s="678">
        <f>('12. 추정 IS'!I97-'12. 추정 IS'!I101)</f>
        <v>-119065.260928</v>
      </c>
      <c r="T79" s="678">
        <f>('12. 추정 IS'!J97-'12. 추정 IS'!J101)</f>
        <v>-63499</v>
      </c>
      <c r="U79" s="678">
        <f>('12. 추정 IS'!K97-'12. 추정 IS'!K101)</f>
        <v>-63505.410616798195</v>
      </c>
      <c r="V79" s="678">
        <f>('12. 추정 IS'!L97-'12. 추정 IS'!L101)</f>
        <v>-59641.087123012279</v>
      </c>
      <c r="W79" s="678">
        <f>('12. 추정 IS'!M97-'12. 추정 IS'!M101)</f>
        <v>-45142.994828798684</v>
      </c>
      <c r="X79" s="678">
        <f>('12. 추정 IS'!N97-'12. 추정 IS'!N101)</f>
        <v>-45209.312671067513</v>
      </c>
      <c r="Y79" s="678">
        <f>('12. 추정 IS'!O97-'12. 추정 IS'!O101)</f>
        <v>-44882.285738533879</v>
      </c>
      <c r="Z79" s="678">
        <f>('12. 추정 IS'!P97-'12. 추정 IS'!P101)</f>
        <v>-45078.197746133374</v>
      </c>
      <c r="AA79" s="678">
        <f>('12. 추정 IS'!Q97-'12. 추정 IS'!Q101)</f>
        <v>-45056.598718578258</v>
      </c>
      <c r="AB79" s="678">
        <f>B79</f>
        <v>0</v>
      </c>
      <c r="AC79" s="678">
        <f t="shared" si="37"/>
        <v>62338.976054000013</v>
      </c>
      <c r="AD79" s="678">
        <f t="shared" si="37"/>
        <v>-66769.875233999992</v>
      </c>
      <c r="AE79" s="678">
        <f t="shared" si="37"/>
        <v>-55854.719457000028</v>
      </c>
      <c r="AF79" s="678">
        <f t="shared" si="37"/>
        <v>-119065.260928</v>
      </c>
      <c r="AG79" s="678">
        <f t="shared" si="37"/>
        <v>-63499</v>
      </c>
      <c r="AH79" s="678">
        <f t="shared" si="37"/>
        <v>-63505.410616798195</v>
      </c>
      <c r="AI79" s="678">
        <f t="shared" si="37"/>
        <v>-59641.087123012279</v>
      </c>
      <c r="AJ79" s="678">
        <f t="shared" si="37"/>
        <v>-45142.994828798684</v>
      </c>
      <c r="AK79" s="678">
        <f t="shared" si="37"/>
        <v>-45209.312671067513</v>
      </c>
      <c r="AL79" s="678">
        <f t="shared" si="37"/>
        <v>-44882.285738533879</v>
      </c>
      <c r="AM79" s="678">
        <f t="shared" si="37"/>
        <v>-45078.197746133374</v>
      </c>
      <c r="AN79" s="678">
        <f t="shared" si="37"/>
        <v>-45056.598718578258</v>
      </c>
    </row>
    <row r="80" spans="1:40" ht="16.5" customHeight="1" x14ac:dyDescent="0.3">
      <c r="A80" s="686" t="s">
        <v>892</v>
      </c>
      <c r="B80" s="678">
        <f>B73+B74+B77</f>
        <v>170443</v>
      </c>
      <c r="C80" s="678">
        <f t="shared" ref="C80:AN80" si="38">C73+C74+C77</f>
        <v>277703</v>
      </c>
      <c r="D80" s="678">
        <f t="shared" si="38"/>
        <v>148840</v>
      </c>
      <c r="E80" s="678">
        <f t="shared" si="38"/>
        <v>146460</v>
      </c>
      <c r="F80" s="678">
        <f t="shared" si="38"/>
        <v>126825</v>
      </c>
      <c r="G80" s="678">
        <f t="shared" si="38"/>
        <v>106702.22076399997</v>
      </c>
      <c r="H80" s="678">
        <f t="shared" si="38"/>
        <v>104530.05604083238</v>
      </c>
      <c r="I80" s="678">
        <f t="shared" si="38"/>
        <v>102023.63171843404</v>
      </c>
      <c r="J80" s="678">
        <f t="shared" si="38"/>
        <v>96326.081586212822</v>
      </c>
      <c r="K80" s="678">
        <f t="shared" si="38"/>
        <v>93675.445388840308</v>
      </c>
      <c r="L80" s="678">
        <f t="shared" si="38"/>
        <v>91624.539797394158</v>
      </c>
      <c r="M80" s="678">
        <f t="shared" si="38"/>
        <v>89858.711121876258</v>
      </c>
      <c r="N80" s="678">
        <f t="shared" si="38"/>
        <v>89293.86757660177</v>
      </c>
      <c r="O80" s="678">
        <f t="shared" si="38"/>
        <v>258572.67216800034</v>
      </c>
      <c r="P80" s="678">
        <f t="shared" si="38"/>
        <v>755796.11871799931</v>
      </c>
      <c r="Q80" s="678">
        <f t="shared" si="38"/>
        <v>-53572.924035000004</v>
      </c>
      <c r="R80" s="678">
        <f t="shared" si="38"/>
        <v>-65766.464484997792</v>
      </c>
      <c r="S80" s="678">
        <f t="shared" si="38"/>
        <v>-170334.97499899965</v>
      </c>
      <c r="T80" s="678">
        <f t="shared" si="38"/>
        <v>-1781</v>
      </c>
      <c r="U80" s="678">
        <f t="shared" si="38"/>
        <v>83887.203068111543</v>
      </c>
      <c r="V80" s="678">
        <f t="shared" si="38"/>
        <v>122751.08863072813</v>
      </c>
      <c r="W80" s="678">
        <f t="shared" si="38"/>
        <v>127185.41297177301</v>
      </c>
      <c r="X80" s="678">
        <f t="shared" si="38"/>
        <v>131226.41193681053</v>
      </c>
      <c r="Y80" s="678">
        <f t="shared" si="38"/>
        <v>149211.98720257686</v>
      </c>
      <c r="Z80" s="678">
        <f t="shared" si="38"/>
        <v>158348.82376679903</v>
      </c>
      <c r="AA80" s="678">
        <f t="shared" si="38"/>
        <v>170204.62251329329</v>
      </c>
      <c r="AB80" s="678">
        <f t="shared" si="38"/>
        <v>170443</v>
      </c>
      <c r="AC80" s="678">
        <f t="shared" si="38"/>
        <v>1033499.1187179993</v>
      </c>
      <c r="AD80" s="678">
        <f t="shared" si="38"/>
        <v>95267.075965000244</v>
      </c>
      <c r="AE80" s="678">
        <f t="shared" si="38"/>
        <v>80693.535515002208</v>
      </c>
      <c r="AF80" s="678">
        <f t="shared" si="38"/>
        <v>-43509.974998998718</v>
      </c>
      <c r="AG80" s="678">
        <f t="shared" si="38"/>
        <v>104921.22076399904</v>
      </c>
      <c r="AH80" s="678">
        <f>AH73+AH74+AH77</f>
        <v>188417.25910894439</v>
      </c>
      <c r="AI80" s="678">
        <f t="shared" si="38"/>
        <v>224774.72034916206</v>
      </c>
      <c r="AJ80" s="678">
        <f t="shared" si="38"/>
        <v>223511.49455798598</v>
      </c>
      <c r="AK80" s="678">
        <f t="shared" si="38"/>
        <v>224901.85732565116</v>
      </c>
      <c r="AL80" s="678">
        <f t="shared" si="38"/>
        <v>240836.52699997195</v>
      </c>
      <c r="AM80" s="678">
        <f t="shared" si="38"/>
        <v>248207.53488867421</v>
      </c>
      <c r="AN80" s="678">
        <f t="shared" si="38"/>
        <v>259498.49008989608</v>
      </c>
    </row>
    <row r="81" spans="1:41" ht="16.5" customHeight="1" x14ac:dyDescent="0.3">
      <c r="A81" s="686" t="s">
        <v>891</v>
      </c>
      <c r="B81" s="678">
        <f>'9. 추정 IS'!E98</f>
        <v>41545</v>
      </c>
      <c r="C81" s="678">
        <f>'9. 추정 IS'!F98</f>
        <v>47772</v>
      </c>
      <c r="D81" s="678">
        <f>'9. 추정 IS'!G98</f>
        <v>20404</v>
      </c>
      <c r="E81" s="678">
        <f>'9. 추정 IS'!H98</f>
        <v>28374</v>
      </c>
      <c r="F81" s="678">
        <f>'9. 추정 IS'!I98</f>
        <v>29297</v>
      </c>
      <c r="G81" s="678">
        <f>'9. 추정 IS'!J98</f>
        <v>24648.424283</v>
      </c>
      <c r="H81" s="678">
        <f>'9. 추정 IS'!K98</f>
        <v>24834.273561881466</v>
      </c>
      <c r="I81" s="678">
        <f>'9. 추정 IS'!L98</f>
        <v>24227.714512581282</v>
      </c>
      <c r="J81" s="678">
        <f>'9. 추정 IS'!M98</f>
        <v>22848.907374170951</v>
      </c>
      <c r="K81" s="678">
        <f>'9. 추정 IS'!N98</f>
        <v>22207.453477003328</v>
      </c>
      <c r="L81" s="678">
        <f>'9. 추정 IS'!O98</f>
        <v>21711.134491265133</v>
      </c>
      <c r="M81" s="678">
        <f>'9. 추정 IS'!P98</f>
        <v>21283.804022766151</v>
      </c>
      <c r="N81" s="678">
        <f>'9. 추정 IS'!Q98</f>
        <v>21147.111980354082</v>
      </c>
      <c r="O81" s="678">
        <f>'12. 추정 IS'!Y33</f>
        <v>75662.99989799998</v>
      </c>
      <c r="P81" s="678">
        <f>'12. 추정 IS'!Z33</f>
        <v>53530.275034999999</v>
      </c>
      <c r="Q81" s="678">
        <f>'12. 추정 IS'!AA33</f>
        <v>4550.9993780000004</v>
      </c>
      <c r="R81" s="678">
        <f>'12. 추정 IS'!AB33</f>
        <v>17289.079564000007</v>
      </c>
      <c r="S81" s="678">
        <f>'12. 추정 IS'!AC33</f>
        <v>-12003.278222000001</v>
      </c>
      <c r="T81" s="678">
        <f>'12. 추정 IS'!AD33</f>
        <v>-3844</v>
      </c>
      <c r="U81" s="678">
        <f>'12. 추정 IS'!AE33</f>
        <v>20300.703142483049</v>
      </c>
      <c r="V81" s="678">
        <f>'12. 추정 IS'!AF33</f>
        <v>29705.763448636149</v>
      </c>
      <c r="W81" s="678">
        <f>'12. 추정 IS'!AG33</f>
        <v>30778.869939169133</v>
      </c>
      <c r="X81" s="678">
        <f>'12. 추정 IS'!AH33</f>
        <v>31756.791688708206</v>
      </c>
      <c r="Y81" s="678">
        <f>'12. 추정 IS'!AI33</f>
        <v>36109.300903023497</v>
      </c>
      <c r="Z81" s="678">
        <f>'12. 추정 IS'!AJ33</f>
        <v>38320.41535156536</v>
      </c>
      <c r="AA81" s="678">
        <f>'12. 추정 IS'!AK33</f>
        <v>41189.518648216981</v>
      </c>
      <c r="AB81" s="678">
        <f>B81</f>
        <v>41545</v>
      </c>
      <c r="AC81" s="678">
        <f t="shared" ref="AC81:AH81" si="39">C81+P81</f>
        <v>101302.275035</v>
      </c>
      <c r="AD81" s="678">
        <f t="shared" si="39"/>
        <v>24954.999378</v>
      </c>
      <c r="AE81" s="678">
        <f t="shared" si="39"/>
        <v>45663.079564000007</v>
      </c>
      <c r="AF81" s="678">
        <f t="shared" si="39"/>
        <v>17293.721777999999</v>
      </c>
      <c r="AG81" s="678">
        <f t="shared" si="39"/>
        <v>20804.424283</v>
      </c>
      <c r="AH81" s="678">
        <f t="shared" si="39"/>
        <v>45134.976704364512</v>
      </c>
      <c r="AI81" s="678">
        <f t="shared" ref="AI81:AN81" si="40">I81+V81</f>
        <v>53933.477961217432</v>
      </c>
      <c r="AJ81" s="678">
        <f t="shared" si="40"/>
        <v>53627.777313340084</v>
      </c>
      <c r="AK81" s="678">
        <f t="shared" si="40"/>
        <v>53964.245165711531</v>
      </c>
      <c r="AL81" s="678">
        <f t="shared" si="40"/>
        <v>57820.43539428863</v>
      </c>
      <c r="AM81" s="678">
        <f t="shared" si="40"/>
        <v>59604.219374331515</v>
      </c>
      <c r="AN81" s="678">
        <f t="shared" si="40"/>
        <v>62336.63062857106</v>
      </c>
    </row>
    <row r="82" spans="1:41" ht="16.5" customHeight="1" x14ac:dyDescent="0.3">
      <c r="A82" s="686" t="s">
        <v>8872</v>
      </c>
      <c r="B82" s="678">
        <f>B80-B81</f>
        <v>128898</v>
      </c>
      <c r="C82" s="678">
        <f t="shared" ref="C82:AN82" si="41">C80-C81</f>
        <v>229931</v>
      </c>
      <c r="D82" s="678">
        <f t="shared" si="41"/>
        <v>128436</v>
      </c>
      <c r="E82" s="678">
        <f t="shared" si="41"/>
        <v>118086</v>
      </c>
      <c r="F82" s="678">
        <f t="shared" si="41"/>
        <v>97528</v>
      </c>
      <c r="G82" s="678">
        <f t="shared" si="41"/>
        <v>82053.796480999968</v>
      </c>
      <c r="H82" s="678">
        <f t="shared" si="41"/>
        <v>79695.782478950918</v>
      </c>
      <c r="I82" s="678">
        <f t="shared" si="41"/>
        <v>77795.917205852762</v>
      </c>
      <c r="J82" s="678">
        <f t="shared" si="41"/>
        <v>73477.174212041864</v>
      </c>
      <c r="K82" s="678">
        <f t="shared" si="41"/>
        <v>71467.991911836987</v>
      </c>
      <c r="L82" s="678">
        <f t="shared" si="41"/>
        <v>69913.405306129018</v>
      </c>
      <c r="M82" s="678">
        <f t="shared" si="41"/>
        <v>68574.907099110103</v>
      </c>
      <c r="N82" s="678">
        <f t="shared" si="41"/>
        <v>68146.755596247691</v>
      </c>
      <c r="O82" s="678">
        <f t="shared" si="41"/>
        <v>182909.67227000036</v>
      </c>
      <c r="P82" s="678">
        <f t="shared" si="41"/>
        <v>702265.84368299926</v>
      </c>
      <c r="Q82" s="678">
        <f t="shared" si="41"/>
        <v>-58123.923413000004</v>
      </c>
      <c r="R82" s="678">
        <f t="shared" si="41"/>
        <v>-83055.544048997806</v>
      </c>
      <c r="S82" s="678">
        <f t="shared" si="41"/>
        <v>-158331.69677699966</v>
      </c>
      <c r="T82" s="678">
        <f t="shared" si="41"/>
        <v>2063</v>
      </c>
      <c r="U82" s="678">
        <f t="shared" si="41"/>
        <v>63586.499925628494</v>
      </c>
      <c r="V82" s="678">
        <f t="shared" si="41"/>
        <v>93045.325182091983</v>
      </c>
      <c r="W82" s="678">
        <f t="shared" si="41"/>
        <v>96406.543032603877</v>
      </c>
      <c r="X82" s="678">
        <f t="shared" si="41"/>
        <v>99469.620248102321</v>
      </c>
      <c r="Y82" s="678">
        <f t="shared" si="41"/>
        <v>113102.68629955336</v>
      </c>
      <c r="Z82" s="678">
        <f t="shared" si="41"/>
        <v>120028.40841523367</v>
      </c>
      <c r="AA82" s="678">
        <f t="shared" si="41"/>
        <v>129015.10386507631</v>
      </c>
      <c r="AB82" s="678">
        <f t="shared" si="41"/>
        <v>128898</v>
      </c>
      <c r="AC82" s="678">
        <f t="shared" si="41"/>
        <v>932196.84368299926</v>
      </c>
      <c r="AD82" s="678">
        <f t="shared" si="41"/>
        <v>70312.076587000251</v>
      </c>
      <c r="AE82" s="678">
        <f t="shared" si="41"/>
        <v>35030.455951002201</v>
      </c>
      <c r="AF82" s="678">
        <f t="shared" si="41"/>
        <v>-60803.696776998717</v>
      </c>
      <c r="AG82" s="678">
        <f t="shared" si="41"/>
        <v>84116.796480999037</v>
      </c>
      <c r="AH82" s="678">
        <f t="shared" si="41"/>
        <v>143282.28240457986</v>
      </c>
      <c r="AI82" s="678">
        <f t="shared" si="41"/>
        <v>170841.24238794463</v>
      </c>
      <c r="AJ82" s="678">
        <f t="shared" si="41"/>
        <v>169883.7172446459</v>
      </c>
      <c r="AK82" s="678">
        <f t="shared" si="41"/>
        <v>170937.61215993963</v>
      </c>
      <c r="AL82" s="678">
        <f t="shared" si="41"/>
        <v>183016.09160568332</v>
      </c>
      <c r="AM82" s="678">
        <f t="shared" si="41"/>
        <v>188603.31551434268</v>
      </c>
      <c r="AN82" s="678">
        <f t="shared" si="41"/>
        <v>197161.85946132502</v>
      </c>
    </row>
    <row r="83" spans="1:41" ht="16.5" customHeight="1" x14ac:dyDescent="0.3">
      <c r="A83" s="686" t="s">
        <v>8873</v>
      </c>
      <c r="B83" s="678"/>
      <c r="C83" s="678"/>
      <c r="D83" s="678"/>
      <c r="E83" s="678"/>
      <c r="F83" s="678"/>
      <c r="G83" s="678"/>
      <c r="H83" s="678"/>
      <c r="I83" s="678"/>
      <c r="J83" s="678"/>
      <c r="K83" s="678"/>
      <c r="L83" s="678"/>
      <c r="M83" s="678"/>
      <c r="N83" s="678"/>
      <c r="O83" s="678"/>
      <c r="P83" s="678"/>
      <c r="Q83" s="678">
        <f>'12. 추정 IS'!AA35</f>
        <v>-8798.2039980000009</v>
      </c>
      <c r="R83" s="678">
        <f>'12. 추정 IS'!AB35</f>
        <v>-59578.680243000003</v>
      </c>
      <c r="S83" s="678"/>
      <c r="T83" s="678"/>
      <c r="U83" s="678"/>
      <c r="V83" s="678"/>
      <c r="W83" s="678"/>
      <c r="X83" s="678"/>
      <c r="Y83" s="678"/>
      <c r="Z83" s="678"/>
      <c r="AA83" s="678"/>
      <c r="AB83" s="678"/>
      <c r="AC83" s="678"/>
      <c r="AD83" s="678"/>
      <c r="AE83" s="678"/>
      <c r="AF83" s="678"/>
      <c r="AG83" s="678"/>
      <c r="AH83" s="678"/>
      <c r="AI83" s="678"/>
      <c r="AJ83" s="678"/>
      <c r="AK83" s="678"/>
      <c r="AL83" s="678"/>
      <c r="AM83" s="678"/>
      <c r="AN83" s="678"/>
    </row>
    <row r="84" spans="1:41" ht="16.5" customHeight="1" x14ac:dyDescent="0.3">
      <c r="A84" s="683" t="s">
        <v>211</v>
      </c>
      <c r="B84" s="678">
        <f>B82+B83</f>
        <v>128898</v>
      </c>
      <c r="C84" s="678">
        <f t="shared" ref="C84:AN84" si="42">C82+C83</f>
        <v>229931</v>
      </c>
      <c r="D84" s="678">
        <f t="shared" si="42"/>
        <v>128436</v>
      </c>
      <c r="E84" s="678">
        <f t="shared" si="42"/>
        <v>118086</v>
      </c>
      <c r="F84" s="678">
        <f t="shared" si="42"/>
        <v>97528</v>
      </c>
      <c r="G84" s="678">
        <f t="shared" si="42"/>
        <v>82053.796480999968</v>
      </c>
      <c r="H84" s="678">
        <f t="shared" si="42"/>
        <v>79695.782478950918</v>
      </c>
      <c r="I84" s="678">
        <f t="shared" si="42"/>
        <v>77795.917205852762</v>
      </c>
      <c r="J84" s="678">
        <f t="shared" si="42"/>
        <v>73477.174212041864</v>
      </c>
      <c r="K84" s="678">
        <f t="shared" si="42"/>
        <v>71467.991911836987</v>
      </c>
      <c r="L84" s="678">
        <f t="shared" si="42"/>
        <v>69913.405306129018</v>
      </c>
      <c r="M84" s="678">
        <f t="shared" si="42"/>
        <v>68574.907099110103</v>
      </c>
      <c r="N84" s="678">
        <f t="shared" si="42"/>
        <v>68146.755596247691</v>
      </c>
      <c r="O84" s="678">
        <f t="shared" si="42"/>
        <v>182909.67227000036</v>
      </c>
      <c r="P84" s="678">
        <f t="shared" si="42"/>
        <v>702265.84368299926</v>
      </c>
      <c r="Q84" s="678">
        <f t="shared" si="42"/>
        <v>-66922.127411000009</v>
      </c>
      <c r="R84" s="678">
        <f t="shared" si="42"/>
        <v>-142634.22429199782</v>
      </c>
      <c r="S84" s="678">
        <f t="shared" si="42"/>
        <v>-158331.69677699966</v>
      </c>
      <c r="T84" s="678">
        <f t="shared" si="42"/>
        <v>2063</v>
      </c>
      <c r="U84" s="678">
        <f t="shared" si="42"/>
        <v>63586.499925628494</v>
      </c>
      <c r="V84" s="678">
        <f t="shared" si="42"/>
        <v>93045.325182091983</v>
      </c>
      <c r="W84" s="678">
        <f t="shared" si="42"/>
        <v>96406.543032603877</v>
      </c>
      <c r="X84" s="678">
        <f t="shared" si="42"/>
        <v>99469.620248102321</v>
      </c>
      <c r="Y84" s="678">
        <f t="shared" si="42"/>
        <v>113102.68629955336</v>
      </c>
      <c r="Z84" s="678">
        <f t="shared" si="42"/>
        <v>120028.40841523367</v>
      </c>
      <c r="AA84" s="678">
        <f t="shared" si="42"/>
        <v>129015.10386507631</v>
      </c>
      <c r="AB84" s="678">
        <f t="shared" si="42"/>
        <v>128898</v>
      </c>
      <c r="AC84" s="678">
        <f>AC82+AC83</f>
        <v>932196.84368299926</v>
      </c>
      <c r="AD84" s="678">
        <f t="shared" si="42"/>
        <v>70312.076587000251</v>
      </c>
      <c r="AE84" s="678">
        <f t="shared" si="42"/>
        <v>35030.455951002201</v>
      </c>
      <c r="AF84" s="678">
        <f t="shared" si="42"/>
        <v>-60803.696776998717</v>
      </c>
      <c r="AG84" s="678">
        <f t="shared" si="42"/>
        <v>84116.796480999037</v>
      </c>
      <c r="AH84" s="678">
        <f t="shared" si="42"/>
        <v>143282.28240457986</v>
      </c>
      <c r="AI84" s="678">
        <f t="shared" si="42"/>
        <v>170841.24238794463</v>
      </c>
      <c r="AJ84" s="678">
        <f t="shared" si="42"/>
        <v>169883.7172446459</v>
      </c>
      <c r="AK84" s="678">
        <f t="shared" si="42"/>
        <v>170937.61215993963</v>
      </c>
      <c r="AL84" s="678">
        <f t="shared" si="42"/>
        <v>183016.09160568332</v>
      </c>
      <c r="AM84" s="678">
        <f t="shared" si="42"/>
        <v>188603.31551434268</v>
      </c>
      <c r="AN84" s="678">
        <f t="shared" si="42"/>
        <v>197161.85946132502</v>
      </c>
    </row>
    <row r="85" spans="1:41" ht="16.5" hidden="1" customHeight="1" outlineLevel="1" x14ac:dyDescent="0.3">
      <c r="A85" s="672"/>
      <c r="B85" s="687">
        <f>B84-'9. 추정 IS'!E100</f>
        <v>0</v>
      </c>
      <c r="C85" s="687">
        <f>C84-'9. 추정 IS'!F100</f>
        <v>0</v>
      </c>
      <c r="D85" s="687">
        <f>D84-'9. 추정 IS'!G100</f>
        <v>0</v>
      </c>
      <c r="E85" s="687">
        <f>E84-'9. 추정 IS'!H100</f>
        <v>1.7130408668890595E-2</v>
      </c>
      <c r="F85" s="687">
        <f>F84-'9. 추정 IS'!I100</f>
        <v>1.7946608830243349E-2</v>
      </c>
      <c r="G85" s="687">
        <f>G84-'9. 추정 IS'!J100</f>
        <v>1.8871370702981949E-2</v>
      </c>
      <c r="H85" s="687">
        <f>H84-'9. 추정 IS'!K100</f>
        <v>-1.1641532182693481E-10</v>
      </c>
      <c r="I85" s="687">
        <f>I84-'9. 추정 IS'!L100</f>
        <v>1.8030081642791629E-2</v>
      </c>
      <c r="J85" s="687">
        <f>J84-'9. 추정 IS'!M100</f>
        <v>1.8056580796837807E-2</v>
      </c>
      <c r="K85" s="687">
        <f>K84-'9. 추정 IS'!N100</f>
        <v>1.7797917476855218E-2</v>
      </c>
      <c r="L85" s="687">
        <f>L84-'9. 추정 IS'!O100</f>
        <v>1.7106215935200453E-2</v>
      </c>
      <c r="M85" s="687">
        <f>M84-'9. 추정 IS'!P100</f>
        <v>1.6812925226986408E-2</v>
      </c>
      <c r="N85" s="687">
        <f>N84-'9. 추정 IS'!Q100</f>
        <v>1.6418113838881254E-2</v>
      </c>
      <c r="O85" s="687">
        <f>O84-'12. 추정 IS'!E111</f>
        <v>0</v>
      </c>
      <c r="P85" s="687">
        <f>P84-'12. 추정 IS'!F111</f>
        <v>0</v>
      </c>
      <c r="Q85" s="687">
        <f>Q84-'12. 추정 IS'!G111</f>
        <v>2.3283064365386963E-10</v>
      </c>
      <c r="R85" s="687">
        <f>R84-'12. 추정 IS'!H111</f>
        <v>0</v>
      </c>
      <c r="S85" s="687">
        <f>S84-'12. 추정 IS'!I111</f>
        <v>-1.3969838619232178E-9</v>
      </c>
      <c r="T85" s="687">
        <f>T84-'12. 추정 IS'!J111</f>
        <v>0</v>
      </c>
      <c r="U85" s="687">
        <f>U84-'12. 추정 IS'!K111</f>
        <v>-2.1827872842550278E-10</v>
      </c>
      <c r="V85" s="687">
        <f>V84-'12. 추정 IS'!L111</f>
        <v>2.4738255888223648E-10</v>
      </c>
      <c r="W85" s="687">
        <f>W84-'12. 추정 IS'!M111</f>
        <v>-2.6193447411060333E-10</v>
      </c>
      <c r="X85" s="687">
        <f>X84-'12. 추정 IS'!N111</f>
        <v>-2.3283064365386963E-10</v>
      </c>
      <c r="Y85" s="687">
        <f>Y84-'12. 추정 IS'!O111</f>
        <v>4.3655745685100555E-10</v>
      </c>
      <c r="Z85" s="687">
        <f>Z84-'12. 추정 IS'!P111</f>
        <v>0</v>
      </c>
      <c r="AA85" s="687">
        <f>AA84-'12. 추정 IS'!Q111</f>
        <v>0</v>
      </c>
      <c r="AB85" s="687"/>
      <c r="AC85" s="687"/>
      <c r="AD85" s="687"/>
      <c r="AE85" s="687"/>
      <c r="AF85" s="687"/>
      <c r="AG85" s="687"/>
      <c r="AH85" s="687"/>
      <c r="AI85" s="687"/>
      <c r="AJ85" s="687"/>
      <c r="AK85" s="687"/>
      <c r="AL85" s="687"/>
      <c r="AM85" s="687"/>
      <c r="AN85" s="687"/>
    </row>
    <row r="86" spans="1:41" ht="16.5" hidden="1" customHeight="1" outlineLevel="1" x14ac:dyDescent="0.3">
      <c r="A86" s="672"/>
      <c r="B86" s="687">
        <f>B82-'9. 추정 IS'!E100</f>
        <v>0</v>
      </c>
      <c r="C86" s="687">
        <f>C82-'9. 추정 IS'!F100</f>
        <v>0</v>
      </c>
      <c r="D86" s="687">
        <f>D82-'9. 추정 IS'!G100</f>
        <v>0</v>
      </c>
      <c r="E86" s="687">
        <f>E82-'9. 추정 IS'!H100</f>
        <v>1.7130408668890595E-2</v>
      </c>
      <c r="F86" s="687">
        <f>F82-'9. 추정 IS'!I100</f>
        <v>1.7946608830243349E-2</v>
      </c>
      <c r="G86" s="687">
        <f>G82-'9. 추정 IS'!J100</f>
        <v>1.8871370702981949E-2</v>
      </c>
      <c r="H86" s="687">
        <f>H82-'9. 추정 IS'!K100</f>
        <v>-1.1641532182693481E-10</v>
      </c>
      <c r="I86" s="687">
        <f>I82-'9. 추정 IS'!L100</f>
        <v>1.8030081642791629E-2</v>
      </c>
      <c r="J86" s="687">
        <f>J82-'9. 추정 IS'!M100</f>
        <v>1.8056580796837807E-2</v>
      </c>
      <c r="K86" s="687">
        <f>K82-'9. 추정 IS'!N100</f>
        <v>1.7797917476855218E-2</v>
      </c>
      <c r="L86" s="687">
        <f>L82-'9. 추정 IS'!O100</f>
        <v>1.7106215935200453E-2</v>
      </c>
      <c r="M86" s="687">
        <f>M82-'9. 추정 IS'!P100</f>
        <v>1.6812925226986408E-2</v>
      </c>
      <c r="N86" s="687">
        <f>N82-'9. 추정 IS'!Q100</f>
        <v>1.6418113838881254E-2</v>
      </c>
      <c r="O86" s="687">
        <f>O82-'12. 추정 IS'!Y36</f>
        <v>0</v>
      </c>
      <c r="P86" s="687">
        <f>P82-'12. 추정 IS'!Z36</f>
        <v>0</v>
      </c>
      <c r="Q86" s="687">
        <f>Q84-'12. 추정 IS'!AA36</f>
        <v>0</v>
      </c>
      <c r="R86" s="687">
        <f>R84-'12. 추정 IS'!AB36</f>
        <v>0</v>
      </c>
      <c r="S86" s="687">
        <f>S84-'12. 추정 IS'!AC36</f>
        <v>0</v>
      </c>
      <c r="T86" s="687">
        <f>T84-'12. 추정 IS'!AD36</f>
        <v>0</v>
      </c>
      <c r="U86" s="687">
        <f>U84-'12. 추정 IS'!AE36</f>
        <v>0</v>
      </c>
      <c r="V86" s="687">
        <f>V84-'12. 추정 IS'!AF36</f>
        <v>0</v>
      </c>
      <c r="W86" s="687">
        <f>W84-'12. 추정 IS'!AG36</f>
        <v>0</v>
      </c>
      <c r="X86" s="687">
        <f>X84-'12. 추정 IS'!AH36</f>
        <v>0</v>
      </c>
      <c r="Y86" s="687">
        <f>Y84-'12. 추정 IS'!AI36</f>
        <v>0</v>
      </c>
      <c r="Z86" s="687">
        <f>Z84-'12. 추정 IS'!AJ36</f>
        <v>0</v>
      </c>
      <c r="AA86" s="687">
        <f>AA84-'12. 추정 IS'!AK36</f>
        <v>0</v>
      </c>
      <c r="AB86" s="687">
        <f>B82-AB82</f>
        <v>0</v>
      </c>
      <c r="AC86" s="687">
        <f t="shared" ref="AC86:AN86" si="43">C82+P82-AC82</f>
        <v>0</v>
      </c>
      <c r="AD86" s="687">
        <f t="shared" si="43"/>
        <v>-2.6193447411060333E-10</v>
      </c>
      <c r="AE86" s="687">
        <f t="shared" si="43"/>
        <v>0</v>
      </c>
      <c r="AF86" s="687">
        <f t="shared" si="43"/>
        <v>-9.3859853222966194E-10</v>
      </c>
      <c r="AG86" s="687">
        <f t="shared" si="43"/>
        <v>9.3132257461547852E-10</v>
      </c>
      <c r="AH86" s="687">
        <f t="shared" si="43"/>
        <v>-4.6566128730773926E-10</v>
      </c>
      <c r="AI86" s="687">
        <f t="shared" si="43"/>
        <v>0</v>
      </c>
      <c r="AJ86" s="687">
        <f t="shared" si="43"/>
        <v>0</v>
      </c>
      <c r="AK86" s="687">
        <f t="shared" si="43"/>
        <v>-3.2014213502407074E-10</v>
      </c>
      <c r="AL86" s="687">
        <f t="shared" si="43"/>
        <v>-9.3132257461547852E-10</v>
      </c>
      <c r="AM86" s="687">
        <f t="shared" si="43"/>
        <v>1.1059455573558807E-9</v>
      </c>
      <c r="AN86" s="687">
        <f t="shared" si="43"/>
        <v>-1.0186340659856796E-9</v>
      </c>
    </row>
    <row r="87" spans="1:41" ht="16.5" customHeight="1" collapsed="1" x14ac:dyDescent="0.3">
      <c r="A87" s="122" t="s">
        <v>885</v>
      </c>
      <c r="AI87" s="68"/>
      <c r="AJ87" s="68"/>
      <c r="AK87" s="68"/>
      <c r="AL87" s="68"/>
      <c r="AM87" s="68"/>
      <c r="AN87" s="792" t="s">
        <v>429</v>
      </c>
    </row>
    <row r="88" spans="1:41" s="673" customFormat="1" ht="16.5" customHeight="1" x14ac:dyDescent="0.3">
      <c r="A88" s="1144" t="s">
        <v>373</v>
      </c>
      <c r="B88" s="1147" t="s">
        <v>440</v>
      </c>
      <c r="C88" s="1148"/>
      <c r="D88" s="1148"/>
      <c r="E88" s="1148"/>
      <c r="F88" s="1148"/>
      <c r="G88" s="1148"/>
      <c r="H88" s="1148"/>
      <c r="I88" s="1148"/>
      <c r="J88" s="1148"/>
      <c r="K88" s="1148"/>
      <c r="L88" s="1148"/>
      <c r="M88" s="1148"/>
      <c r="N88" s="1149"/>
      <c r="O88" s="1146" t="s">
        <v>400</v>
      </c>
      <c r="P88" s="1146"/>
      <c r="Q88" s="1146"/>
      <c r="R88" s="1146"/>
      <c r="S88" s="1146"/>
      <c r="T88" s="1146"/>
      <c r="U88" s="1146"/>
      <c r="V88" s="1146"/>
      <c r="W88" s="1146"/>
      <c r="X88" s="1146"/>
      <c r="Y88" s="1146"/>
      <c r="Z88" s="1146"/>
      <c r="AA88" s="1146"/>
      <c r="AB88" s="1146" t="s">
        <v>441</v>
      </c>
      <c r="AC88" s="1146"/>
      <c r="AD88" s="1146"/>
      <c r="AE88" s="1146"/>
      <c r="AF88" s="1146"/>
      <c r="AG88" s="1146"/>
      <c r="AH88" s="1146"/>
      <c r="AI88" s="1146"/>
      <c r="AJ88" s="1146"/>
      <c r="AK88" s="1146"/>
      <c r="AL88" s="1146"/>
      <c r="AM88" s="1146"/>
      <c r="AN88" s="1146"/>
      <c r="AO88" s="122"/>
    </row>
    <row r="89" spans="1:41" s="673" customFormat="1" ht="16.5" customHeight="1" x14ac:dyDescent="0.3">
      <c r="A89" s="1145"/>
      <c r="B89" s="674">
        <v>2020</v>
      </c>
      <c r="C89" s="674">
        <f t="shared" ref="C89:N89" si="44">B89+1</f>
        <v>2021</v>
      </c>
      <c r="D89" s="674">
        <f t="shared" si="44"/>
        <v>2022</v>
      </c>
      <c r="E89" s="674">
        <f t="shared" si="44"/>
        <v>2023</v>
      </c>
      <c r="F89" s="674">
        <f t="shared" si="44"/>
        <v>2024</v>
      </c>
      <c r="G89" s="674">
        <f t="shared" si="44"/>
        <v>2025</v>
      </c>
      <c r="H89" s="674">
        <f t="shared" si="44"/>
        <v>2026</v>
      </c>
      <c r="I89" s="674">
        <f t="shared" si="44"/>
        <v>2027</v>
      </c>
      <c r="J89" s="674">
        <f t="shared" si="44"/>
        <v>2028</v>
      </c>
      <c r="K89" s="674">
        <f t="shared" si="44"/>
        <v>2029</v>
      </c>
      <c r="L89" s="674">
        <f t="shared" si="44"/>
        <v>2030</v>
      </c>
      <c r="M89" s="674">
        <f t="shared" si="44"/>
        <v>2031</v>
      </c>
      <c r="N89" s="674">
        <f t="shared" si="44"/>
        <v>2032</v>
      </c>
      <c r="O89" s="674">
        <f t="shared" ref="O89:AN89" si="45">B89</f>
        <v>2020</v>
      </c>
      <c r="P89" s="674">
        <f t="shared" si="45"/>
        <v>2021</v>
      </c>
      <c r="Q89" s="674">
        <f t="shared" si="45"/>
        <v>2022</v>
      </c>
      <c r="R89" s="674">
        <f t="shared" si="45"/>
        <v>2023</v>
      </c>
      <c r="S89" s="674">
        <f t="shared" si="45"/>
        <v>2024</v>
      </c>
      <c r="T89" s="674">
        <f t="shared" si="45"/>
        <v>2025</v>
      </c>
      <c r="U89" s="674">
        <f t="shared" si="45"/>
        <v>2026</v>
      </c>
      <c r="V89" s="674">
        <f t="shared" si="45"/>
        <v>2027</v>
      </c>
      <c r="W89" s="674">
        <f t="shared" si="45"/>
        <v>2028</v>
      </c>
      <c r="X89" s="674">
        <f t="shared" si="45"/>
        <v>2029</v>
      </c>
      <c r="Y89" s="674">
        <f t="shared" si="45"/>
        <v>2030</v>
      </c>
      <c r="Z89" s="674">
        <f t="shared" si="45"/>
        <v>2031</v>
      </c>
      <c r="AA89" s="674">
        <f t="shared" si="45"/>
        <v>2032</v>
      </c>
      <c r="AB89" s="674">
        <f t="shared" si="45"/>
        <v>2020</v>
      </c>
      <c r="AC89" s="674">
        <f t="shared" si="45"/>
        <v>2021</v>
      </c>
      <c r="AD89" s="674">
        <f t="shared" si="45"/>
        <v>2022</v>
      </c>
      <c r="AE89" s="674">
        <f t="shared" si="45"/>
        <v>2023</v>
      </c>
      <c r="AF89" s="674">
        <f t="shared" si="45"/>
        <v>2024</v>
      </c>
      <c r="AG89" s="674">
        <f t="shared" si="45"/>
        <v>2025</v>
      </c>
      <c r="AH89" s="674">
        <f t="shared" si="45"/>
        <v>2026</v>
      </c>
      <c r="AI89" s="674">
        <f t="shared" si="45"/>
        <v>2027</v>
      </c>
      <c r="AJ89" s="674">
        <f t="shared" si="45"/>
        <v>2028</v>
      </c>
      <c r="AK89" s="674">
        <f t="shared" si="45"/>
        <v>2029</v>
      </c>
      <c r="AL89" s="674">
        <f t="shared" si="45"/>
        <v>2030</v>
      </c>
      <c r="AM89" s="674">
        <f t="shared" si="45"/>
        <v>2031</v>
      </c>
      <c r="AN89" s="674">
        <f t="shared" si="45"/>
        <v>2032</v>
      </c>
      <c r="AO89" s="122"/>
    </row>
    <row r="90" spans="1:41" ht="16.5" customHeight="1" x14ac:dyDescent="0.3">
      <c r="A90" s="678" t="s">
        <v>486</v>
      </c>
      <c r="B90" s="678">
        <f t="shared" ref="B90:AN90" si="46">B91+B92-B96+B99</f>
        <v>180447.14002699996</v>
      </c>
      <c r="C90" s="678">
        <f t="shared" si="46"/>
        <v>-935815</v>
      </c>
      <c r="D90" s="678">
        <f t="shared" si="46"/>
        <v>5386.467244522064</v>
      </c>
      <c r="E90" s="678">
        <f t="shared" si="46"/>
        <v>160047.98286959133</v>
      </c>
      <c r="F90" s="678">
        <f t="shared" si="46"/>
        <v>110799.87807939114</v>
      </c>
      <c r="G90" s="678">
        <f t="shared" si="46"/>
        <v>121920.69824562929</v>
      </c>
      <c r="H90" s="678">
        <f t="shared" si="46"/>
        <v>26052.666704812917</v>
      </c>
      <c r="I90" s="678">
        <f t="shared" si="46"/>
        <v>91135.788348367292</v>
      </c>
      <c r="J90" s="678">
        <f t="shared" si="46"/>
        <v>86558.896140489232</v>
      </c>
      <c r="K90" s="678">
        <f t="shared" si="46"/>
        <v>84971.85641669661</v>
      </c>
      <c r="L90" s="678">
        <f t="shared" si="46"/>
        <v>83666.892610913885</v>
      </c>
      <c r="M90" s="678">
        <f t="shared" si="46"/>
        <v>82628.955616141291</v>
      </c>
      <c r="N90" s="678">
        <f t="shared" si="46"/>
        <v>82644.122023165663</v>
      </c>
      <c r="O90" s="678">
        <f t="shared" si="46"/>
        <v>754951.93440800079</v>
      </c>
      <c r="P90" s="678">
        <f t="shared" si="46"/>
        <v>1244122.186515999</v>
      </c>
      <c r="Q90" s="678">
        <f t="shared" si="46"/>
        <v>331256.63546199986</v>
      </c>
      <c r="R90" s="678">
        <f t="shared" si="46"/>
        <v>303224.08139200223</v>
      </c>
      <c r="S90" s="678">
        <f t="shared" si="46"/>
        <v>75704.656238000258</v>
      </c>
      <c r="T90" s="678">
        <f t="shared" si="46"/>
        <v>608253.65442100004</v>
      </c>
      <c r="U90" s="678">
        <f t="shared" si="46"/>
        <v>635189.24788163533</v>
      </c>
      <c r="V90" s="678">
        <f t="shared" si="46"/>
        <v>631363.84560407465</v>
      </c>
      <c r="W90" s="678">
        <f t="shared" si="46"/>
        <v>628348.71184682858</v>
      </c>
      <c r="X90" s="678">
        <f t="shared" si="46"/>
        <v>646721.01668624755</v>
      </c>
      <c r="Y90" s="678">
        <f t="shared" si="46"/>
        <v>667809.28690663085</v>
      </c>
      <c r="Z90" s="678">
        <f t="shared" si="46"/>
        <v>682278.40520440519</v>
      </c>
      <c r="AA90" s="678">
        <f t="shared" si="46"/>
        <v>702685.07832853077</v>
      </c>
      <c r="AB90" s="678">
        <f t="shared" si="46"/>
        <v>180447.14002699996</v>
      </c>
      <c r="AC90" s="678">
        <f t="shared" si="46"/>
        <v>308307.18651599903</v>
      </c>
      <c r="AD90" s="678">
        <f t="shared" si="46"/>
        <v>336643.10270652187</v>
      </c>
      <c r="AE90" s="678">
        <f t="shared" si="46"/>
        <v>463272.06426159356</v>
      </c>
      <c r="AF90" s="678">
        <f t="shared" si="46"/>
        <v>186504.53431739146</v>
      </c>
      <c r="AG90" s="678">
        <f t="shared" si="46"/>
        <v>730174.35266662925</v>
      </c>
      <c r="AH90" s="678">
        <f t="shared" si="46"/>
        <v>661241.91458644823</v>
      </c>
      <c r="AI90" s="678">
        <f t="shared" si="46"/>
        <v>722499.63395244197</v>
      </c>
      <c r="AJ90" s="678">
        <f t="shared" si="46"/>
        <v>714907.60798731784</v>
      </c>
      <c r="AK90" s="678">
        <f t="shared" si="46"/>
        <v>731692.87310294423</v>
      </c>
      <c r="AL90" s="678">
        <f t="shared" si="46"/>
        <v>751476.17951754481</v>
      </c>
      <c r="AM90" s="678">
        <f t="shared" si="46"/>
        <v>764907.3608205464</v>
      </c>
      <c r="AN90" s="678">
        <f t="shared" si="46"/>
        <v>785329.20035169646</v>
      </c>
    </row>
    <row r="91" spans="1:41" ht="16.5" customHeight="1" x14ac:dyDescent="0.3">
      <c r="A91" s="688" t="s">
        <v>487</v>
      </c>
      <c r="B91" s="678">
        <f>'10. 추정 CF'!B5</f>
        <v>128898</v>
      </c>
      <c r="C91" s="678">
        <f>'10. 추정 CF'!C5</f>
        <v>229931</v>
      </c>
      <c r="D91" s="678">
        <f>'10. 추정 CF'!D5</f>
        <v>128436</v>
      </c>
      <c r="E91" s="678">
        <f>'10. 추정 CF'!E5</f>
        <v>118085.98286959133</v>
      </c>
      <c r="F91" s="678">
        <f>'10. 추정 CF'!F5</f>
        <v>97527.98205339117</v>
      </c>
      <c r="G91" s="678">
        <f>'10. 추정 CF'!G5</f>
        <v>82053.777609629265</v>
      </c>
      <c r="H91" s="678">
        <f>'10. 추정 CF'!H5</f>
        <v>79695.782478951034</v>
      </c>
      <c r="I91" s="678">
        <f>'10. 추정 CF'!I5</f>
        <v>77795.899175771119</v>
      </c>
      <c r="J91" s="678">
        <f>'10. 추정 CF'!J5</f>
        <v>73477.156155461067</v>
      </c>
      <c r="K91" s="678">
        <f>'10. 추정 CF'!K5</f>
        <v>71467.97411391951</v>
      </c>
      <c r="L91" s="678">
        <f>'10. 추정 CF'!L5</f>
        <v>69913.388199913083</v>
      </c>
      <c r="M91" s="678">
        <f>'10. 추정 CF'!M5</f>
        <v>68574.890286184876</v>
      </c>
      <c r="N91" s="678">
        <f>'10. 추정 CF'!N5</f>
        <v>68146.739178133852</v>
      </c>
      <c r="O91" s="678">
        <f>'13. 추정 CF'!C5</f>
        <v>182909.67227000036</v>
      </c>
      <c r="P91" s="678">
        <f>'13. 추정 CF'!D5</f>
        <v>702265.84368299926</v>
      </c>
      <c r="Q91" s="678">
        <f>'13. 추정 CF'!E5</f>
        <v>-66922.127411000096</v>
      </c>
      <c r="R91" s="678">
        <f>'13. 추정 CF'!F5</f>
        <v>-142634.22429199782</v>
      </c>
      <c r="S91" s="678">
        <f>'13. 추정 CF'!G5</f>
        <v>-158331.69677699963</v>
      </c>
      <c r="T91" s="678">
        <f>'13. 추정 CF'!H5</f>
        <v>2063</v>
      </c>
      <c r="U91" s="678">
        <f>'13. 추정 CF'!I5</f>
        <v>63586.499925628479</v>
      </c>
      <c r="V91" s="678">
        <f>'13. 추정 CF'!J5</f>
        <v>93045.325182091983</v>
      </c>
      <c r="W91" s="678">
        <f>'13. 추정 CF'!K5</f>
        <v>96406.543032603935</v>
      </c>
      <c r="X91" s="678">
        <f>'13. 추정 CF'!L5</f>
        <v>99469.62024810235</v>
      </c>
      <c r="Y91" s="678">
        <f>'13. 추정 CF'!M5</f>
        <v>113102.68629955336</v>
      </c>
      <c r="Z91" s="678">
        <f>'13. 추정 CF'!N5</f>
        <v>120028.4084152337</v>
      </c>
      <c r="AA91" s="678">
        <f>'13. 추정 CF'!O5</f>
        <v>129015.10386507631</v>
      </c>
      <c r="AB91" s="678">
        <f>B91</f>
        <v>128898</v>
      </c>
      <c r="AC91" s="678">
        <f t="shared" ref="AC91:AH91" si="47">C91+P91</f>
        <v>932196.84368299926</v>
      </c>
      <c r="AD91" s="678">
        <f t="shared" si="47"/>
        <v>61513.872588999904</v>
      </c>
      <c r="AE91" s="678">
        <f t="shared" si="47"/>
        <v>-24548.241422406485</v>
      </c>
      <c r="AF91" s="678">
        <f t="shared" si="47"/>
        <v>-60803.714723608457</v>
      </c>
      <c r="AG91" s="678">
        <f t="shared" si="47"/>
        <v>84116.777609629265</v>
      </c>
      <c r="AH91" s="678">
        <f t="shared" si="47"/>
        <v>143282.28240457951</v>
      </c>
      <c r="AI91" s="678">
        <f t="shared" ref="AI91:AN91" si="48">I91+V91</f>
        <v>170841.2243578631</v>
      </c>
      <c r="AJ91" s="678">
        <f t="shared" si="48"/>
        <v>169883.69918806502</v>
      </c>
      <c r="AK91" s="678">
        <f t="shared" si="48"/>
        <v>170937.59436202186</v>
      </c>
      <c r="AL91" s="678">
        <f t="shared" si="48"/>
        <v>183016.07449946646</v>
      </c>
      <c r="AM91" s="678">
        <f t="shared" si="48"/>
        <v>188603.29870141856</v>
      </c>
      <c r="AN91" s="678">
        <f t="shared" si="48"/>
        <v>197161.84304321016</v>
      </c>
    </row>
    <row r="92" spans="1:41" ht="16.5" customHeight="1" x14ac:dyDescent="0.3">
      <c r="A92" s="688" t="s">
        <v>488</v>
      </c>
      <c r="B92" s="678">
        <f t="shared" ref="B92:AH92" si="49">SUM(B93:B95)</f>
        <v>15719</v>
      </c>
      <c r="C92" s="678">
        <f t="shared" si="49"/>
        <v>16977</v>
      </c>
      <c r="D92" s="678">
        <f t="shared" si="49"/>
        <v>17022</v>
      </c>
      <c r="E92" s="678">
        <f t="shared" si="49"/>
        <v>17258</v>
      </c>
      <c r="F92" s="678">
        <f t="shared" si="49"/>
        <v>15041</v>
      </c>
      <c r="G92" s="678">
        <f t="shared" si="49"/>
        <v>15120.221912000001</v>
      </c>
      <c r="H92" s="678">
        <f t="shared" si="49"/>
        <v>16323.590060885699</v>
      </c>
      <c r="I92" s="678">
        <f t="shared" ref="I92:N92" si="50">SUM(I93:I95)</f>
        <v>16071.104309590364</v>
      </c>
      <c r="J92" s="678">
        <f t="shared" si="50"/>
        <v>16008.559232541316</v>
      </c>
      <c r="K92" s="678">
        <f t="shared" si="50"/>
        <v>15956.577149117509</v>
      </c>
      <c r="L92" s="678">
        <f t="shared" si="50"/>
        <v>15895.776346999315</v>
      </c>
      <c r="M92" s="678">
        <f t="shared" si="50"/>
        <v>15835.571155282229</v>
      </c>
      <c r="N92" s="678">
        <f t="shared" si="50"/>
        <v>15776.457767560014</v>
      </c>
      <c r="O92" s="678">
        <f t="shared" si="49"/>
        <v>519552.31054299994</v>
      </c>
      <c r="P92" s="678">
        <f t="shared" si="49"/>
        <v>493420.35084599996</v>
      </c>
      <c r="Q92" s="678">
        <f t="shared" si="49"/>
        <v>480246.36082500004</v>
      </c>
      <c r="R92" s="678">
        <f t="shared" si="49"/>
        <v>492564.53057000006</v>
      </c>
      <c r="S92" s="678">
        <f t="shared" si="49"/>
        <v>547957.23165000009</v>
      </c>
      <c r="T92" s="678">
        <f t="shared" si="49"/>
        <v>566073</v>
      </c>
      <c r="U92" s="678">
        <f t="shared" si="49"/>
        <v>561677.64736002742</v>
      </c>
      <c r="V92" s="678">
        <f t="shared" ref="V92:AA92" si="51">SUM(V93:V95)</f>
        <v>564926.31593311834</v>
      </c>
      <c r="W92" s="678">
        <f t="shared" si="51"/>
        <v>570700.03603729256</v>
      </c>
      <c r="X92" s="678">
        <f t="shared" si="51"/>
        <v>582312.77503286512</v>
      </c>
      <c r="Y92" s="678">
        <f t="shared" si="51"/>
        <v>592175.69571384671</v>
      </c>
      <c r="Z92" s="678">
        <f t="shared" si="51"/>
        <v>603887.89698339475</v>
      </c>
      <c r="AA92" s="678">
        <f t="shared" si="51"/>
        <v>616205.44125638844</v>
      </c>
      <c r="AB92" s="678">
        <f t="shared" si="49"/>
        <v>15719</v>
      </c>
      <c r="AC92" s="678">
        <f t="shared" si="49"/>
        <v>510397.35084599996</v>
      </c>
      <c r="AD92" s="678">
        <f t="shared" si="49"/>
        <v>497268.36082500004</v>
      </c>
      <c r="AE92" s="678">
        <f t="shared" si="49"/>
        <v>509822.53057000006</v>
      </c>
      <c r="AF92" s="678">
        <f t="shared" si="49"/>
        <v>562998.23165000009</v>
      </c>
      <c r="AG92" s="678">
        <f t="shared" si="49"/>
        <v>581193.22191199998</v>
      </c>
      <c r="AH92" s="678">
        <f t="shared" si="49"/>
        <v>578001.23742091306</v>
      </c>
      <c r="AI92" s="678">
        <f t="shared" ref="AI92:AN92" si="52">SUM(AI93:AI95)</f>
        <v>580997.42024270876</v>
      </c>
      <c r="AJ92" s="678">
        <f t="shared" si="52"/>
        <v>586708.59526983392</v>
      </c>
      <c r="AK92" s="678">
        <f t="shared" si="52"/>
        <v>598269.3521819826</v>
      </c>
      <c r="AL92" s="678">
        <f t="shared" si="52"/>
        <v>608071.47206084605</v>
      </c>
      <c r="AM92" s="678">
        <f t="shared" si="52"/>
        <v>619723.46813867695</v>
      </c>
      <c r="AN92" s="678">
        <f t="shared" si="52"/>
        <v>631981.89902394847</v>
      </c>
    </row>
    <row r="93" spans="1:41" ht="16.5" customHeight="1" x14ac:dyDescent="0.3">
      <c r="A93" s="689" t="s">
        <v>489</v>
      </c>
      <c r="B93" s="678">
        <f>'10. 추정 CF'!B7</f>
        <v>15719</v>
      </c>
      <c r="C93" s="678">
        <f>'10. 추정 CF'!C7</f>
        <v>16977</v>
      </c>
      <c r="D93" s="678">
        <f>'10. 추정 CF'!D7</f>
        <v>17022</v>
      </c>
      <c r="E93" s="678">
        <f>'10. 추정 CF'!E7</f>
        <v>17258</v>
      </c>
      <c r="F93" s="678">
        <f>'10. 추정 CF'!F7</f>
        <v>15041</v>
      </c>
      <c r="G93" s="678">
        <f>'10. 추정 CF'!G7</f>
        <v>15120.221912000001</v>
      </c>
      <c r="H93" s="678">
        <f>'10. 추정 CF'!H7</f>
        <v>16323.590060885699</v>
      </c>
      <c r="I93" s="678">
        <f>'10. 추정 CF'!I7</f>
        <v>16071.104309590364</v>
      </c>
      <c r="J93" s="678">
        <f>'10. 추정 CF'!J7</f>
        <v>16008.559232541316</v>
      </c>
      <c r="K93" s="678">
        <f>'10. 추정 CF'!K7</f>
        <v>15956.577149117509</v>
      </c>
      <c r="L93" s="678">
        <f>'10. 추정 CF'!L7</f>
        <v>15895.776346999315</v>
      </c>
      <c r="M93" s="678">
        <f>'10. 추정 CF'!M7</f>
        <v>15835.571155282229</v>
      </c>
      <c r="N93" s="678">
        <f>'10. 추정 CF'!N7</f>
        <v>15776.457767560014</v>
      </c>
      <c r="O93" s="678">
        <f>'13. 추정 CF'!C7</f>
        <v>496327.56355499994</v>
      </c>
      <c r="P93" s="678">
        <f>'13. 추정 CF'!D7</f>
        <v>483577.30939299997</v>
      </c>
      <c r="Q93" s="678">
        <f>'13. 추정 CF'!E7</f>
        <v>471667.35913200001</v>
      </c>
      <c r="R93" s="678">
        <f>'13. 추정 CF'!F7</f>
        <v>473035.24103500007</v>
      </c>
      <c r="S93" s="678">
        <f>'13. 추정 CF'!G7</f>
        <v>525373.26372100005</v>
      </c>
      <c r="T93" s="678">
        <f>'13. 추정 CF'!H7</f>
        <v>556520</v>
      </c>
      <c r="U93" s="678">
        <f>'13. 추정 CF'!I7</f>
        <v>544757.21132981591</v>
      </c>
      <c r="V93" s="678">
        <f>'13. 추정 CF'!J7</f>
        <v>551360.04837680305</v>
      </c>
      <c r="W93" s="678">
        <f>'13. 추정 CF'!K7</f>
        <v>557633.93634899578</v>
      </c>
      <c r="X93" s="678">
        <f>'13. 추정 CF'!L7</f>
        <v>567865.84060792392</v>
      </c>
      <c r="Y93" s="678">
        <f>'13. 추정 CF'!M7</f>
        <v>578482.59515732888</v>
      </c>
      <c r="Z93" s="678">
        <f>'13. 추정 CF'!N7</f>
        <v>590152.51876014285</v>
      </c>
      <c r="AA93" s="678">
        <f>'13. 추정 CF'!O7</f>
        <v>602246.97018815146</v>
      </c>
      <c r="AB93" s="678">
        <f>B93</f>
        <v>15719</v>
      </c>
      <c r="AC93" s="678">
        <f t="shared" ref="AC93:AN95" si="53">C93+P93</f>
        <v>500554.30939299997</v>
      </c>
      <c r="AD93" s="678">
        <f t="shared" si="53"/>
        <v>488689.35913200001</v>
      </c>
      <c r="AE93" s="678">
        <f t="shared" si="53"/>
        <v>490293.24103500007</v>
      </c>
      <c r="AF93" s="678">
        <f t="shared" si="53"/>
        <v>540414.26372100005</v>
      </c>
      <c r="AG93" s="678">
        <f t="shared" si="53"/>
        <v>571640.22191199998</v>
      </c>
      <c r="AH93" s="678">
        <f t="shared" si="53"/>
        <v>561080.80139070156</v>
      </c>
      <c r="AI93" s="678">
        <f t="shared" si="53"/>
        <v>567431.15268639347</v>
      </c>
      <c r="AJ93" s="678">
        <f t="shared" si="53"/>
        <v>573642.49558153714</v>
      </c>
      <c r="AK93" s="678">
        <f t="shared" si="53"/>
        <v>583822.4177570414</v>
      </c>
      <c r="AL93" s="678">
        <f t="shared" si="53"/>
        <v>594378.37150432821</v>
      </c>
      <c r="AM93" s="678">
        <f t="shared" si="53"/>
        <v>605988.08991542505</v>
      </c>
      <c r="AN93" s="678">
        <f t="shared" si="53"/>
        <v>618023.42795571149</v>
      </c>
    </row>
    <row r="94" spans="1:41" ht="16.5" customHeight="1" x14ac:dyDescent="0.3">
      <c r="A94" s="689" t="s">
        <v>490</v>
      </c>
      <c r="B94" s="678">
        <f>'10. 추정 CF'!B8</f>
        <v>0</v>
      </c>
      <c r="C94" s="678">
        <f>'10. 추정 CF'!C8</f>
        <v>0</v>
      </c>
      <c r="D94" s="678">
        <f>'10. 추정 CF'!D8</f>
        <v>0</v>
      </c>
      <c r="E94" s="678">
        <f>'10. 추정 CF'!E8</f>
        <v>0</v>
      </c>
      <c r="F94" s="678">
        <f>'10. 추정 CF'!F8</f>
        <v>0</v>
      </c>
      <c r="G94" s="678">
        <f>'10. 추정 CF'!G8</f>
        <v>0</v>
      </c>
      <c r="H94" s="678">
        <f>'10. 추정 CF'!H8</f>
        <v>0</v>
      </c>
      <c r="I94" s="678">
        <f>'10. 추정 CF'!I8</f>
        <v>0</v>
      </c>
      <c r="J94" s="678">
        <f>'10. 추정 CF'!J8</f>
        <v>0</v>
      </c>
      <c r="K94" s="678">
        <f>'10. 추정 CF'!K8</f>
        <v>0</v>
      </c>
      <c r="L94" s="678">
        <f>'10. 추정 CF'!L8</f>
        <v>0</v>
      </c>
      <c r="M94" s="678">
        <f>'10. 추정 CF'!M8</f>
        <v>0</v>
      </c>
      <c r="N94" s="678">
        <f>'10. 추정 CF'!N8</f>
        <v>0</v>
      </c>
      <c r="O94" s="678">
        <f>'13. 추정 CF'!C8</f>
        <v>19306.331939</v>
      </c>
      <c r="P94" s="678">
        <f>'13. 추정 CF'!D8</f>
        <v>8628.5362480000003</v>
      </c>
      <c r="Q94" s="678">
        <f>'13. 추정 CF'!E8</f>
        <v>8579.0016930000002</v>
      </c>
      <c r="R94" s="678">
        <f>'13. 추정 CF'!F8</f>
        <v>8337.5742089999985</v>
      </c>
      <c r="S94" s="678">
        <f>'13. 추정 CF'!G8</f>
        <v>22583.967929000002</v>
      </c>
      <c r="T94" s="678">
        <f>'13. 추정 CF'!H8</f>
        <v>9553</v>
      </c>
      <c r="U94" s="678">
        <f>'13. 추정 CF'!I8</f>
        <v>16920.436030211538</v>
      </c>
      <c r="V94" s="678">
        <f>'13. 추정 CF'!J8</f>
        <v>13566.267556315304</v>
      </c>
      <c r="W94" s="678">
        <f>'13. 추정 CF'!K8</f>
        <v>13066.099688296825</v>
      </c>
      <c r="X94" s="678">
        <f>'13. 추정 CF'!L8</f>
        <v>14446.934424941222</v>
      </c>
      <c r="Y94" s="678">
        <f>'13. 추정 CF'!M8</f>
        <v>13693.100556517784</v>
      </c>
      <c r="Z94" s="678">
        <f>'13. 추정 CF'!N8</f>
        <v>13735.378223251944</v>
      </c>
      <c r="AA94" s="678">
        <f>'13. 추정 CF'!O8</f>
        <v>13958.471068236984</v>
      </c>
      <c r="AB94" s="678">
        <f>B94</f>
        <v>0</v>
      </c>
      <c r="AC94" s="678">
        <f t="shared" si="53"/>
        <v>8628.5362480000003</v>
      </c>
      <c r="AD94" s="678">
        <f t="shared" si="53"/>
        <v>8579.0016930000002</v>
      </c>
      <c r="AE94" s="678">
        <f t="shared" si="53"/>
        <v>8337.5742089999985</v>
      </c>
      <c r="AF94" s="678">
        <f t="shared" si="53"/>
        <v>22583.967929000002</v>
      </c>
      <c r="AG94" s="678">
        <f t="shared" si="53"/>
        <v>9553</v>
      </c>
      <c r="AH94" s="678">
        <f t="shared" si="53"/>
        <v>16920.436030211538</v>
      </c>
      <c r="AI94" s="678">
        <f t="shared" si="53"/>
        <v>13566.267556315304</v>
      </c>
      <c r="AJ94" s="678">
        <f t="shared" si="53"/>
        <v>13066.099688296825</v>
      </c>
      <c r="AK94" s="678">
        <f t="shared" si="53"/>
        <v>14446.934424941222</v>
      </c>
      <c r="AL94" s="678">
        <f t="shared" si="53"/>
        <v>13693.100556517784</v>
      </c>
      <c r="AM94" s="678">
        <f t="shared" si="53"/>
        <v>13735.378223251944</v>
      </c>
      <c r="AN94" s="678">
        <f t="shared" si="53"/>
        <v>13958.471068236984</v>
      </c>
    </row>
    <row r="95" spans="1:41" ht="16.5" customHeight="1" x14ac:dyDescent="0.3">
      <c r="A95" s="689" t="s">
        <v>491</v>
      </c>
      <c r="B95" s="678">
        <f>'10. 추정 CF'!B9</f>
        <v>0</v>
      </c>
      <c r="C95" s="678">
        <f>'10. 추정 CF'!C9</f>
        <v>0</v>
      </c>
      <c r="D95" s="678">
        <f>'10. 추정 CF'!D9</f>
        <v>0</v>
      </c>
      <c r="E95" s="678">
        <f>'10. 추정 CF'!E9</f>
        <v>0</v>
      </c>
      <c r="F95" s="678">
        <f>'10. 추정 CF'!F9</f>
        <v>0</v>
      </c>
      <c r="G95" s="678">
        <f>'10. 추정 CF'!G9</f>
        <v>0</v>
      </c>
      <c r="H95" s="678">
        <f>'10. 추정 CF'!H9</f>
        <v>0</v>
      </c>
      <c r="I95" s="678">
        <f>'10. 추정 CF'!I9</f>
        <v>0</v>
      </c>
      <c r="J95" s="678">
        <f>'10. 추정 CF'!J9</f>
        <v>0</v>
      </c>
      <c r="K95" s="678">
        <f>'10. 추정 CF'!K9</f>
        <v>0</v>
      </c>
      <c r="L95" s="678">
        <f>'10. 추정 CF'!L9</f>
        <v>0</v>
      </c>
      <c r="M95" s="678">
        <f>'10. 추정 CF'!M9</f>
        <v>0</v>
      </c>
      <c r="N95" s="678">
        <f>'10. 추정 CF'!N9</f>
        <v>0</v>
      </c>
      <c r="O95" s="678">
        <f>'13. 추정 CF'!C9</f>
        <v>3918.4150490000002</v>
      </c>
      <c r="P95" s="678">
        <f>'13. 추정 CF'!D9</f>
        <v>1214.5052049999999</v>
      </c>
      <c r="Q95" s="678">
        <f>'13. 추정 CF'!E9</f>
        <v>0</v>
      </c>
      <c r="R95" s="678">
        <f>'13. 추정 CF'!F9</f>
        <v>11191.715326</v>
      </c>
      <c r="S95" s="678">
        <f>'13. 추정 CF'!G9</f>
        <v>0</v>
      </c>
      <c r="T95" s="678">
        <f>'13. 추정 CF'!H9</f>
        <v>0</v>
      </c>
      <c r="U95" s="678">
        <f>'13. 추정 CF'!I9</f>
        <v>0</v>
      </c>
      <c r="V95" s="678">
        <f>'13. 추정 CF'!J9</f>
        <v>0</v>
      </c>
      <c r="W95" s="678">
        <f>'13. 추정 CF'!K9</f>
        <v>0</v>
      </c>
      <c r="X95" s="678">
        <f>'13. 추정 CF'!L9</f>
        <v>0</v>
      </c>
      <c r="Y95" s="678">
        <f>'13. 추정 CF'!M9</f>
        <v>0</v>
      </c>
      <c r="Z95" s="678">
        <f>'13. 추정 CF'!N9</f>
        <v>0</v>
      </c>
      <c r="AA95" s="678">
        <f>'13. 추정 CF'!O9</f>
        <v>0</v>
      </c>
      <c r="AB95" s="678">
        <f>B95</f>
        <v>0</v>
      </c>
      <c r="AC95" s="678">
        <f t="shared" si="53"/>
        <v>1214.5052049999999</v>
      </c>
      <c r="AD95" s="678">
        <f t="shared" si="53"/>
        <v>0</v>
      </c>
      <c r="AE95" s="678">
        <f t="shared" si="53"/>
        <v>11191.715326</v>
      </c>
      <c r="AF95" s="678">
        <f t="shared" si="53"/>
        <v>0</v>
      </c>
      <c r="AG95" s="678">
        <f t="shared" si="53"/>
        <v>0</v>
      </c>
      <c r="AH95" s="678">
        <f t="shared" si="53"/>
        <v>0</v>
      </c>
      <c r="AI95" s="678">
        <f t="shared" si="53"/>
        <v>0</v>
      </c>
      <c r="AJ95" s="678">
        <f t="shared" si="53"/>
        <v>0</v>
      </c>
      <c r="AK95" s="678">
        <f t="shared" si="53"/>
        <v>0</v>
      </c>
      <c r="AL95" s="678">
        <f t="shared" si="53"/>
        <v>0</v>
      </c>
      <c r="AM95" s="678">
        <f t="shared" si="53"/>
        <v>0</v>
      </c>
      <c r="AN95" s="678">
        <f t="shared" si="53"/>
        <v>0</v>
      </c>
    </row>
    <row r="96" spans="1:41" ht="16.5" customHeight="1" x14ac:dyDescent="0.3">
      <c r="A96" s="688" t="s">
        <v>492</v>
      </c>
      <c r="B96" s="678">
        <f t="shared" ref="B96:AN96" si="54">SUM(B97:B98)</f>
        <v>6602.7304130000402</v>
      </c>
      <c r="C96" s="678">
        <f t="shared" si="54"/>
        <v>0</v>
      </c>
      <c r="D96" s="678">
        <f t="shared" si="54"/>
        <v>0</v>
      </c>
      <c r="E96" s="678">
        <f t="shared" si="54"/>
        <v>0</v>
      </c>
      <c r="F96" s="678">
        <f t="shared" si="54"/>
        <v>0</v>
      </c>
      <c r="G96" s="678">
        <f t="shared" si="54"/>
        <v>0</v>
      </c>
      <c r="H96" s="678">
        <f t="shared" si="54"/>
        <v>0</v>
      </c>
      <c r="I96" s="678">
        <f t="shared" si="54"/>
        <v>0</v>
      </c>
      <c r="J96" s="678">
        <f t="shared" si="54"/>
        <v>0</v>
      </c>
      <c r="K96" s="678">
        <f t="shared" si="54"/>
        <v>0</v>
      </c>
      <c r="L96" s="678">
        <f t="shared" si="54"/>
        <v>0</v>
      </c>
      <c r="M96" s="678">
        <f t="shared" si="54"/>
        <v>0</v>
      </c>
      <c r="N96" s="678">
        <f t="shared" si="54"/>
        <v>0</v>
      </c>
      <c r="O96" s="678">
        <f t="shared" si="54"/>
        <v>2071.4127939999998</v>
      </c>
      <c r="P96" s="678">
        <f t="shared" si="54"/>
        <v>45464.459560999996</v>
      </c>
      <c r="Q96" s="678">
        <f t="shared" si="54"/>
        <v>15276.730486999999</v>
      </c>
      <c r="R96" s="678">
        <f t="shared" si="54"/>
        <v>2133.0977069999999</v>
      </c>
      <c r="S96" s="678">
        <f t="shared" si="54"/>
        <v>13254.542704000001</v>
      </c>
      <c r="T96" s="678">
        <f t="shared" si="54"/>
        <v>15296</v>
      </c>
      <c r="U96" s="678">
        <f t="shared" si="54"/>
        <v>10387.336988374216</v>
      </c>
      <c r="V96" s="678">
        <f t="shared" si="54"/>
        <v>26990.620427370286</v>
      </c>
      <c r="W96" s="678">
        <f t="shared" si="54"/>
        <v>27291.233084945547</v>
      </c>
      <c r="X96" s="678">
        <f t="shared" si="54"/>
        <v>21719.349609563349</v>
      </c>
      <c r="Y96" s="678">
        <f t="shared" si="54"/>
        <v>25442.369557959726</v>
      </c>
      <c r="Z96" s="678">
        <f t="shared" si="54"/>
        <v>24871.968342822875</v>
      </c>
      <c r="AA96" s="678">
        <f t="shared" si="54"/>
        <v>24011.229170115319</v>
      </c>
      <c r="AB96" s="678">
        <f t="shared" si="54"/>
        <v>6602.7304130000402</v>
      </c>
      <c r="AC96" s="678">
        <f t="shared" si="54"/>
        <v>45464.459560999996</v>
      </c>
      <c r="AD96" s="678">
        <f t="shared" si="54"/>
        <v>15276.730486999999</v>
      </c>
      <c r="AE96" s="678">
        <f t="shared" si="54"/>
        <v>2133.0977069999999</v>
      </c>
      <c r="AF96" s="678">
        <f t="shared" si="54"/>
        <v>13254.542704000001</v>
      </c>
      <c r="AG96" s="678">
        <f t="shared" si="54"/>
        <v>15296</v>
      </c>
      <c r="AH96" s="678">
        <f t="shared" si="54"/>
        <v>10387.336988374216</v>
      </c>
      <c r="AI96" s="678">
        <f t="shared" si="54"/>
        <v>26990.620427370286</v>
      </c>
      <c r="AJ96" s="678">
        <f t="shared" si="54"/>
        <v>27291.233084945547</v>
      </c>
      <c r="AK96" s="678">
        <f t="shared" si="54"/>
        <v>21719.349609563349</v>
      </c>
      <c r="AL96" s="678">
        <f t="shared" si="54"/>
        <v>25442.369557959726</v>
      </c>
      <c r="AM96" s="678">
        <f t="shared" si="54"/>
        <v>24871.968342822875</v>
      </c>
      <c r="AN96" s="678">
        <f t="shared" si="54"/>
        <v>24011.229170115319</v>
      </c>
    </row>
    <row r="97" spans="1:40" ht="16.5" customHeight="1" x14ac:dyDescent="0.3">
      <c r="A97" s="689" t="s">
        <v>493</v>
      </c>
      <c r="B97" s="678">
        <f>'10. 추정 CF'!B11</f>
        <v>6602.7304130000402</v>
      </c>
      <c r="C97" s="678">
        <f>'10. 추정 CF'!C11</f>
        <v>0</v>
      </c>
      <c r="D97" s="678">
        <f>'10. 추정 CF'!D11</f>
        <v>0</v>
      </c>
      <c r="E97" s="678">
        <f>'10. 추정 CF'!E11</f>
        <v>0</v>
      </c>
      <c r="F97" s="678">
        <f>'10. 추정 CF'!F11</f>
        <v>0</v>
      </c>
      <c r="G97" s="678">
        <f>'10. 추정 CF'!G11</f>
        <v>0</v>
      </c>
      <c r="H97" s="678">
        <f>'10. 추정 CF'!H11</f>
        <v>0</v>
      </c>
      <c r="I97" s="678">
        <f>'10. 추정 CF'!I11</f>
        <v>0</v>
      </c>
      <c r="J97" s="678">
        <f>'10. 추정 CF'!J11</f>
        <v>0</v>
      </c>
      <c r="K97" s="678">
        <f>'10. 추정 CF'!K11</f>
        <v>0</v>
      </c>
      <c r="L97" s="678">
        <f>'10. 추정 CF'!L11</f>
        <v>0</v>
      </c>
      <c r="M97" s="678">
        <f>'10. 추정 CF'!M11</f>
        <v>0</v>
      </c>
      <c r="N97" s="678">
        <f>'10. 추정 CF'!N11</f>
        <v>0</v>
      </c>
      <c r="O97" s="678">
        <f>'13. 추정 CF'!C11</f>
        <v>2071.4127939999998</v>
      </c>
      <c r="P97" s="678">
        <f>'13. 추정 CF'!D11</f>
        <v>17104.831460000001</v>
      </c>
      <c r="Q97" s="678">
        <f>'13. 추정 CF'!E11</f>
        <v>602.803316</v>
      </c>
      <c r="R97" s="678">
        <f>'13. 추정 CF'!F11</f>
        <v>2133.0977069999999</v>
      </c>
      <c r="S97" s="678">
        <f>'13. 추정 CF'!G11</f>
        <v>12202.504114000001</v>
      </c>
      <c r="T97" s="678">
        <f>'13. 추정 CF'!H11</f>
        <v>6116</v>
      </c>
      <c r="U97" s="678">
        <f>'13. 추정 CF'!I11</f>
        <v>10550.289764374216</v>
      </c>
      <c r="V97" s="678">
        <f>'13. 추정 CF'!J11</f>
        <v>27153.573203370284</v>
      </c>
      <c r="W97" s="678">
        <f>'13. 추정 CF'!K11</f>
        <v>27454.185860945545</v>
      </c>
      <c r="X97" s="678">
        <f>'13. 추정 CF'!L11</f>
        <v>21719.349609563349</v>
      </c>
      <c r="Y97" s="678">
        <f>'13. 추정 CF'!M11</f>
        <v>25442.369557959726</v>
      </c>
      <c r="Z97" s="678">
        <f>'13. 추정 CF'!N11</f>
        <v>24871.968342822875</v>
      </c>
      <c r="AA97" s="678">
        <f>'13. 추정 CF'!O11</f>
        <v>24011.229170115319</v>
      </c>
      <c r="AB97" s="678">
        <f>B97</f>
        <v>6602.7304130000402</v>
      </c>
      <c r="AC97" s="678">
        <f t="shared" ref="AC97:AN98" si="55">C97+P97</f>
        <v>17104.831460000001</v>
      </c>
      <c r="AD97" s="678">
        <f t="shared" si="55"/>
        <v>602.803316</v>
      </c>
      <c r="AE97" s="678">
        <f t="shared" si="55"/>
        <v>2133.0977069999999</v>
      </c>
      <c r="AF97" s="678">
        <f t="shared" si="55"/>
        <v>12202.504114000001</v>
      </c>
      <c r="AG97" s="678">
        <f t="shared" si="55"/>
        <v>6116</v>
      </c>
      <c r="AH97" s="678">
        <f t="shared" si="55"/>
        <v>10550.289764374216</v>
      </c>
      <c r="AI97" s="678">
        <f t="shared" si="55"/>
        <v>27153.573203370284</v>
      </c>
      <c r="AJ97" s="678">
        <f t="shared" si="55"/>
        <v>27454.185860945545</v>
      </c>
      <c r="AK97" s="678">
        <f t="shared" si="55"/>
        <v>21719.349609563349</v>
      </c>
      <c r="AL97" s="678">
        <f t="shared" si="55"/>
        <v>25442.369557959726</v>
      </c>
      <c r="AM97" s="678">
        <f t="shared" si="55"/>
        <v>24871.968342822875</v>
      </c>
      <c r="AN97" s="678">
        <f t="shared" si="55"/>
        <v>24011.229170115319</v>
      </c>
    </row>
    <row r="98" spans="1:40" ht="16.5" customHeight="1" x14ac:dyDescent="0.3">
      <c r="A98" s="689" t="s">
        <v>494</v>
      </c>
      <c r="B98" s="678">
        <f>'10. 추정 CF'!B12</f>
        <v>0</v>
      </c>
      <c r="C98" s="678">
        <f>'10. 추정 CF'!C12</f>
        <v>0</v>
      </c>
      <c r="D98" s="678">
        <f>'10. 추정 CF'!D12</f>
        <v>0</v>
      </c>
      <c r="E98" s="678">
        <f>'10. 추정 CF'!E12</f>
        <v>0</v>
      </c>
      <c r="F98" s="678">
        <f>'10. 추정 CF'!F12</f>
        <v>0</v>
      </c>
      <c r="G98" s="678">
        <f>'10. 추정 CF'!G12</f>
        <v>0</v>
      </c>
      <c r="H98" s="678">
        <f>'10. 추정 CF'!H12</f>
        <v>0</v>
      </c>
      <c r="I98" s="678">
        <f>'10. 추정 CF'!I12</f>
        <v>0</v>
      </c>
      <c r="J98" s="678">
        <f>'10. 추정 CF'!J12</f>
        <v>0</v>
      </c>
      <c r="K98" s="678">
        <f>'10. 추정 CF'!K12</f>
        <v>0</v>
      </c>
      <c r="L98" s="678">
        <f>'10. 추정 CF'!L12</f>
        <v>0</v>
      </c>
      <c r="M98" s="678">
        <f>'10. 추정 CF'!M12</f>
        <v>0</v>
      </c>
      <c r="N98" s="678">
        <f>'10. 추정 CF'!N12</f>
        <v>0</v>
      </c>
      <c r="O98" s="678">
        <f>'13. 추정 CF'!C12</f>
        <v>0</v>
      </c>
      <c r="P98" s="678">
        <f>'13. 추정 CF'!D12</f>
        <v>28359.628100999998</v>
      </c>
      <c r="Q98" s="678">
        <f>'13. 추정 CF'!E12</f>
        <v>14673.927170999999</v>
      </c>
      <c r="R98" s="678">
        <f>'13. 추정 CF'!F12</f>
        <v>0</v>
      </c>
      <c r="S98" s="678">
        <f>'13. 추정 CF'!G12</f>
        <v>1052.0385900000001</v>
      </c>
      <c r="T98" s="678">
        <f>'13. 추정 CF'!H12</f>
        <v>9180</v>
      </c>
      <c r="U98" s="678">
        <f>'13. 추정 CF'!I12</f>
        <v>-162.95277600000006</v>
      </c>
      <c r="V98" s="678">
        <f>'13. 추정 CF'!J12</f>
        <v>-162.95277600000006</v>
      </c>
      <c r="W98" s="678">
        <f>'13. 추정 CF'!K12</f>
        <v>-162.95277600000006</v>
      </c>
      <c r="X98" s="678">
        <f>'13. 추정 CF'!L12</f>
        <v>0</v>
      </c>
      <c r="Y98" s="678">
        <f>'13. 추정 CF'!M12</f>
        <v>0</v>
      </c>
      <c r="Z98" s="678">
        <f>'13. 추정 CF'!N12</f>
        <v>0</v>
      </c>
      <c r="AA98" s="678">
        <f>'13. 추정 CF'!O12</f>
        <v>0</v>
      </c>
      <c r="AB98" s="678">
        <f>B98</f>
        <v>0</v>
      </c>
      <c r="AC98" s="678">
        <f t="shared" si="55"/>
        <v>28359.628100999998</v>
      </c>
      <c r="AD98" s="678">
        <f t="shared" si="55"/>
        <v>14673.927170999999</v>
      </c>
      <c r="AE98" s="678">
        <f t="shared" si="55"/>
        <v>0</v>
      </c>
      <c r="AF98" s="678">
        <f t="shared" si="55"/>
        <v>1052.0385900000001</v>
      </c>
      <c r="AG98" s="678">
        <f t="shared" si="55"/>
        <v>9180</v>
      </c>
      <c r="AH98" s="678">
        <f t="shared" si="55"/>
        <v>-162.95277600000006</v>
      </c>
      <c r="AI98" s="678">
        <f t="shared" si="55"/>
        <v>-162.95277600000006</v>
      </c>
      <c r="AJ98" s="678">
        <f t="shared" si="55"/>
        <v>-162.95277600000006</v>
      </c>
      <c r="AK98" s="678">
        <f t="shared" si="55"/>
        <v>0</v>
      </c>
      <c r="AL98" s="678">
        <f t="shared" si="55"/>
        <v>0</v>
      </c>
      <c r="AM98" s="678">
        <f t="shared" si="55"/>
        <v>0</v>
      </c>
      <c r="AN98" s="678">
        <f t="shared" si="55"/>
        <v>0</v>
      </c>
    </row>
    <row r="99" spans="1:40" ht="16.5" customHeight="1" x14ac:dyDescent="0.3">
      <c r="A99" s="688" t="s">
        <v>495</v>
      </c>
      <c r="B99" s="678">
        <f>SUM(B100:B108)</f>
        <v>42432.870440000006</v>
      </c>
      <c r="C99" s="678">
        <f t="shared" ref="C99:AN99" si="56">SUM(C100:C108)</f>
        <v>-1182723</v>
      </c>
      <c r="D99" s="678">
        <f t="shared" si="56"/>
        <v>-140071.53275547794</v>
      </c>
      <c r="E99" s="678">
        <f t="shared" si="56"/>
        <v>24704</v>
      </c>
      <c r="F99" s="678">
        <f t="shared" si="56"/>
        <v>-1769.1039740000269</v>
      </c>
      <c r="G99" s="678">
        <f t="shared" si="56"/>
        <v>24746.698724000016</v>
      </c>
      <c r="H99" s="678">
        <f t="shared" si="56"/>
        <v>-69966.705835023822</v>
      </c>
      <c r="I99" s="678">
        <f t="shared" si="56"/>
        <v>-2731.2151369941785</v>
      </c>
      <c r="J99" s="678">
        <f t="shared" si="56"/>
        <v>-2926.8192475131582</v>
      </c>
      <c r="K99" s="678">
        <f t="shared" si="56"/>
        <v>-2452.6948463404151</v>
      </c>
      <c r="L99" s="678">
        <f t="shared" si="56"/>
        <v>-2142.2719359985022</v>
      </c>
      <c r="M99" s="678">
        <f t="shared" si="56"/>
        <v>-1781.5058253258212</v>
      </c>
      <c r="N99" s="678">
        <f t="shared" si="56"/>
        <v>-1279.0749225281979</v>
      </c>
      <c r="O99" s="678">
        <f t="shared" si="56"/>
        <v>54561.364389000439</v>
      </c>
      <c r="P99" s="678">
        <f t="shared" si="56"/>
        <v>93900.451547999866</v>
      </c>
      <c r="Q99" s="678">
        <f t="shared" si="56"/>
        <v>-66790.86746500009</v>
      </c>
      <c r="R99" s="678">
        <f t="shared" si="56"/>
        <v>-44573.127178999988</v>
      </c>
      <c r="S99" s="678">
        <f t="shared" si="56"/>
        <v>-300666.33593100018</v>
      </c>
      <c r="T99" s="678">
        <f t="shared" si="56"/>
        <v>55413.654421000072</v>
      </c>
      <c r="U99" s="678">
        <f t="shared" si="56"/>
        <v>20312.437584353785</v>
      </c>
      <c r="V99" s="678">
        <f t="shared" si="56"/>
        <v>382.82491623461829</v>
      </c>
      <c r="W99" s="678">
        <f t="shared" si="56"/>
        <v>-11466.634138122317</v>
      </c>
      <c r="X99" s="678">
        <f t="shared" si="56"/>
        <v>-13342.028985156532</v>
      </c>
      <c r="Y99" s="678">
        <f t="shared" si="56"/>
        <v>-12026.725548809496</v>
      </c>
      <c r="Z99" s="678">
        <f t="shared" si="56"/>
        <v>-16765.931851400412</v>
      </c>
      <c r="AA99" s="678">
        <f t="shared" si="56"/>
        <v>-18524.237622818706</v>
      </c>
      <c r="AB99" s="678">
        <f t="shared" si="56"/>
        <v>42432.870440000006</v>
      </c>
      <c r="AC99" s="678">
        <f t="shared" si="56"/>
        <v>-1088822.5484520001</v>
      </c>
      <c r="AD99" s="678">
        <f t="shared" si="56"/>
        <v>-206862.40022047804</v>
      </c>
      <c r="AE99" s="678">
        <f t="shared" si="56"/>
        <v>-19869.127178999988</v>
      </c>
      <c r="AF99" s="678">
        <f t="shared" si="56"/>
        <v>-302435.43990500015</v>
      </c>
      <c r="AG99" s="678">
        <f t="shared" si="56"/>
        <v>80160.353145000088</v>
      </c>
      <c r="AH99" s="678">
        <f t="shared" si="56"/>
        <v>-49654.268250670037</v>
      </c>
      <c r="AI99" s="678">
        <f t="shared" si="56"/>
        <v>-2348.3902207595602</v>
      </c>
      <c r="AJ99" s="678">
        <f t="shared" si="56"/>
        <v>-14393.453385635476</v>
      </c>
      <c r="AK99" s="678">
        <f t="shared" si="56"/>
        <v>-15794.723831496947</v>
      </c>
      <c r="AL99" s="678">
        <f t="shared" si="56"/>
        <v>-14168.997484807998</v>
      </c>
      <c r="AM99" s="678">
        <f t="shared" si="56"/>
        <v>-18547.437676726233</v>
      </c>
      <c r="AN99" s="678">
        <f t="shared" si="56"/>
        <v>-19803.312545346904</v>
      </c>
    </row>
    <row r="100" spans="1:40" ht="16.5" customHeight="1" x14ac:dyDescent="0.3">
      <c r="A100" s="689" t="s">
        <v>91</v>
      </c>
      <c r="B100" s="678">
        <f>'10. 추정 CF'!B14</f>
        <v>4635.9566500000074</v>
      </c>
      <c r="C100" s="678">
        <f>'10. 추정 CF'!C14</f>
        <v>2269</v>
      </c>
      <c r="D100" s="678">
        <f>'10. 추정 CF'!D14</f>
        <v>-28706</v>
      </c>
      <c r="E100" s="678">
        <f>'10. 추정 CF'!E14</f>
        <v>-2181</v>
      </c>
      <c r="F100" s="678">
        <f>'10. 추정 CF'!F14</f>
        <v>4514.0378999999957</v>
      </c>
      <c r="G100" s="678">
        <f>'10. 추정 CF'!G14</f>
        <v>18843.69948000001</v>
      </c>
      <c r="H100" s="678">
        <f>'10. 추정 CF'!H14</f>
        <v>-9708.167036635452</v>
      </c>
      <c r="I100" s="678">
        <f>'10. 추정 CF'!I14</f>
        <v>604.26639036703273</v>
      </c>
      <c r="J100" s="678">
        <f>'10. 추정 CF'!J14</f>
        <v>595.34956339783821</v>
      </c>
      <c r="K100" s="678">
        <f>'10. 추정 CF'!K14</f>
        <v>586.57783620179544</v>
      </c>
      <c r="L100" s="678">
        <f>'10. 추정 CF'!L14</f>
        <v>513.70400299966423</v>
      </c>
      <c r="M100" s="678">
        <f>'10. 추정 CF'!M14</f>
        <v>400.18224759968143</v>
      </c>
      <c r="N100" s="678">
        <f>'10. 추정 CF'!N14</f>
        <v>270.97285863660363</v>
      </c>
      <c r="O100" s="678">
        <f>'13. 추정 CF'!C14</f>
        <v>-6781.9002999999793</v>
      </c>
      <c r="P100" s="678">
        <f>'13. 추정 CF'!D14</f>
        <v>-9983.9255370000319</v>
      </c>
      <c r="Q100" s="678">
        <f>'13. 추정 CF'!E14</f>
        <v>-88621.559434000053</v>
      </c>
      <c r="R100" s="678">
        <f>'13. 추정 CF'!F14</f>
        <v>-125367.05507199978</v>
      </c>
      <c r="S100" s="678">
        <f>'13. 추정 CF'!G14</f>
        <v>3415.2855039997958</v>
      </c>
      <c r="T100" s="678">
        <f>'13. 추정 CF'!H14</f>
        <v>-51799.097415999975</v>
      </c>
      <c r="U100" s="678">
        <f>'13. 추정 CF'!I14</f>
        <v>6176.0908311828389</v>
      </c>
      <c r="V100" s="678">
        <f>'13. 추정 CF'!J14</f>
        <v>-6735.1993291266845</v>
      </c>
      <c r="W100" s="678">
        <f>'13. 추정 CF'!K14</f>
        <v>-7118.3969094558852</v>
      </c>
      <c r="X100" s="678">
        <f>'13. 추정 CF'!L14</f>
        <v>-7846.9353495190153</v>
      </c>
      <c r="Y100" s="678">
        <f>'13. 추정 CF'!M14</f>
        <v>-8139.8806813147385</v>
      </c>
      <c r="Z100" s="678">
        <f>'13. 추정 CF'!N14</f>
        <v>-9130.7204731612001</v>
      </c>
      <c r="AA100" s="678">
        <f>'13. 추정 CF'!O14</f>
        <v>-10021.66756485193</v>
      </c>
      <c r="AB100" s="678">
        <f t="shared" ref="AB100:AB108" si="57">B100</f>
        <v>4635.9566500000074</v>
      </c>
      <c r="AC100" s="678">
        <f t="shared" ref="AC100:AN108" si="58">C100+P100</f>
        <v>-7714.9255370000319</v>
      </c>
      <c r="AD100" s="678">
        <f t="shared" si="58"/>
        <v>-117327.55943400005</v>
      </c>
      <c r="AE100" s="678">
        <f t="shared" si="58"/>
        <v>-127548.05507199978</v>
      </c>
      <c r="AF100" s="678">
        <f t="shared" si="58"/>
        <v>7929.3234039997915</v>
      </c>
      <c r="AG100" s="678">
        <f t="shared" si="58"/>
        <v>-32955.397935999965</v>
      </c>
      <c r="AH100" s="678">
        <f t="shared" si="58"/>
        <v>-3532.0762054526131</v>
      </c>
      <c r="AI100" s="678">
        <f t="shared" si="58"/>
        <v>-6130.9329387596517</v>
      </c>
      <c r="AJ100" s="678">
        <f t="shared" si="58"/>
        <v>-6523.047346058047</v>
      </c>
      <c r="AK100" s="678">
        <f t="shared" si="58"/>
        <v>-7260.3575133172199</v>
      </c>
      <c r="AL100" s="678">
        <f t="shared" si="58"/>
        <v>-7626.1766783150742</v>
      </c>
      <c r="AM100" s="678">
        <f t="shared" si="58"/>
        <v>-8730.5382255615186</v>
      </c>
      <c r="AN100" s="678">
        <f t="shared" si="58"/>
        <v>-9750.6947062153267</v>
      </c>
    </row>
    <row r="101" spans="1:40" ht="16.5" customHeight="1" x14ac:dyDescent="0.3">
      <c r="A101" s="689" t="s">
        <v>122</v>
      </c>
      <c r="B101" s="678">
        <f>'10. 추정 CF'!B15</f>
        <v>0</v>
      </c>
      <c r="C101" s="678">
        <f>'10. 추정 CF'!C15</f>
        <v>0</v>
      </c>
      <c r="D101" s="678">
        <f>'10. 추정 CF'!D15</f>
        <v>0</v>
      </c>
      <c r="E101" s="678">
        <f>'10. 추정 CF'!E15</f>
        <v>0</v>
      </c>
      <c r="F101" s="678">
        <f>'10. 추정 CF'!F15</f>
        <v>0</v>
      </c>
      <c r="G101" s="678">
        <f>'10. 추정 CF'!G15</f>
        <v>0</v>
      </c>
      <c r="H101" s="678">
        <f>'10. 추정 CF'!H15</f>
        <v>0</v>
      </c>
      <c r="I101" s="678">
        <f>'10. 추정 CF'!I15</f>
        <v>0</v>
      </c>
      <c r="J101" s="678">
        <f>'10. 추정 CF'!J15</f>
        <v>0</v>
      </c>
      <c r="K101" s="678">
        <f>'10. 추정 CF'!K15</f>
        <v>0</v>
      </c>
      <c r="L101" s="678">
        <f>'10. 추정 CF'!L15</f>
        <v>0</v>
      </c>
      <c r="M101" s="678">
        <f>'10. 추정 CF'!M15</f>
        <v>0</v>
      </c>
      <c r="N101" s="678">
        <f>'10. 추정 CF'!N15</f>
        <v>0</v>
      </c>
      <c r="O101" s="678">
        <f>'13. 추정 CF'!C15</f>
        <v>14114.97044100007</v>
      </c>
      <c r="P101" s="678">
        <f>'13. 추정 CF'!D15</f>
        <v>32598.492535999976</v>
      </c>
      <c r="Q101" s="678">
        <f>'13. 추정 CF'!E15</f>
        <v>39222.286653000046</v>
      </c>
      <c r="R101" s="678">
        <f>'13. 추정 CF'!F15</f>
        <v>40103.728567000071</v>
      </c>
      <c r="S101" s="678">
        <f>'13. 추정 CF'!G15</f>
        <v>16157.189387999941</v>
      </c>
      <c r="T101" s="678">
        <f>'13. 추정 CF'!H15</f>
        <v>51774.711341999995</v>
      </c>
      <c r="U101" s="678">
        <f>'13. 추정 CF'!I15</f>
        <v>31870.227545337926</v>
      </c>
      <c r="V101" s="678">
        <f>'13. 추정 CF'!J15</f>
        <v>20425.281761535502</v>
      </c>
      <c r="W101" s="678">
        <f>'13. 추정 CF'!K15</f>
        <v>13452.547622212674</v>
      </c>
      <c r="X101" s="678">
        <f>'13. 추정 CF'!L15</f>
        <v>9027.1392236815882</v>
      </c>
      <c r="Y101" s="678">
        <f>'13. 추정 CF'!M15</f>
        <v>6135.9718898960273</v>
      </c>
      <c r="Z101" s="678">
        <f>'13. 추정 CF'!N15</f>
        <v>4208.0953901348985</v>
      </c>
      <c r="AA101" s="678">
        <f>'13. 추정 CF'!O15</f>
        <v>2903.8603245698614</v>
      </c>
      <c r="AB101" s="678">
        <f t="shared" si="57"/>
        <v>0</v>
      </c>
      <c r="AC101" s="678">
        <f t="shared" si="58"/>
        <v>32598.492535999976</v>
      </c>
      <c r="AD101" s="678">
        <f t="shared" si="58"/>
        <v>39222.286653000046</v>
      </c>
      <c r="AE101" s="678">
        <f t="shared" si="58"/>
        <v>40103.728567000071</v>
      </c>
      <c r="AF101" s="678">
        <f t="shared" si="58"/>
        <v>16157.189387999941</v>
      </c>
      <c r="AG101" s="678">
        <f t="shared" si="58"/>
        <v>51774.711341999995</v>
      </c>
      <c r="AH101" s="678">
        <f t="shared" si="58"/>
        <v>31870.227545337926</v>
      </c>
      <c r="AI101" s="678">
        <f t="shared" si="58"/>
        <v>20425.281761535502</v>
      </c>
      <c r="AJ101" s="678">
        <f t="shared" si="58"/>
        <v>13452.547622212674</v>
      </c>
      <c r="AK101" s="678">
        <f t="shared" si="58"/>
        <v>9027.1392236815882</v>
      </c>
      <c r="AL101" s="678">
        <f t="shared" si="58"/>
        <v>6135.9718898960273</v>
      </c>
      <c r="AM101" s="678">
        <f t="shared" si="58"/>
        <v>4208.0953901348985</v>
      </c>
      <c r="AN101" s="678">
        <f t="shared" si="58"/>
        <v>2903.8603245698614</v>
      </c>
    </row>
    <row r="102" spans="1:40" ht="16.5" customHeight="1" x14ac:dyDescent="0.3">
      <c r="A102" s="689" t="s">
        <v>496</v>
      </c>
      <c r="B102" s="678">
        <f>'10. 추정 CF'!B16</f>
        <v>7024.0561139999991</v>
      </c>
      <c r="C102" s="678">
        <f>'10. 추정 CF'!C16</f>
        <v>3363</v>
      </c>
      <c r="D102" s="678">
        <f>'10. 추정 CF'!D16</f>
        <v>2135</v>
      </c>
      <c r="E102" s="678">
        <f>'10. 추정 CF'!E16</f>
        <v>2609</v>
      </c>
      <c r="F102" s="678">
        <f>'10. 추정 CF'!F16</f>
        <v>-985</v>
      </c>
      <c r="G102" s="678">
        <f>'10. 추정 CF'!G16</f>
        <v>-5749</v>
      </c>
      <c r="H102" s="678">
        <f>'10. 추정 CF'!H16</f>
        <v>5519.4635214190239</v>
      </c>
      <c r="I102" s="678">
        <f>'10. 추정 CF'!I16</f>
        <v>-855.57656405628222</v>
      </c>
      <c r="J102" s="678">
        <f>'10. 추정 CF'!J16</f>
        <v>-688.2590682006703</v>
      </c>
      <c r="K102" s="678">
        <f>'10. 추정 CF'!K16</f>
        <v>-605.63616231661217</v>
      </c>
      <c r="L102" s="678">
        <f>'10. 추정 CF'!L16</f>
        <v>-557.40540442156271</v>
      </c>
      <c r="M102" s="678">
        <f>'10. 추정 CF'!M16</f>
        <v>-526.52803752639375</v>
      </c>
      <c r="N102" s="678">
        <f>'10. 추정 CF'!N16</f>
        <v>-505.6315586437413</v>
      </c>
      <c r="O102" s="678">
        <f>'13. 추정 CF'!C16</f>
        <v>-4010.5820949999907</v>
      </c>
      <c r="P102" s="678">
        <f>'13. 추정 CF'!D16</f>
        <v>39023.938556999987</v>
      </c>
      <c r="Q102" s="678">
        <f>'13. 추정 CF'!E16</f>
        <v>-31224.187724999996</v>
      </c>
      <c r="R102" s="678">
        <f>'13. 추정 CF'!F16</f>
        <v>-88563.766898000002</v>
      </c>
      <c r="S102" s="678">
        <f>'13. 추정 CF'!G16</f>
        <v>-5185.1568540000299</v>
      </c>
      <c r="T102" s="678">
        <f>'13. 추정 CF'!H16</f>
        <v>-30245.542076999962</v>
      </c>
      <c r="U102" s="678">
        <f>'13. 추정 CF'!I16</f>
        <v>8811.5751614452456</v>
      </c>
      <c r="V102" s="678">
        <f>'13. 추정 CF'!J16</f>
        <v>-5508.566424985067</v>
      </c>
      <c r="W102" s="678">
        <f>'13. 추정 CF'!K16</f>
        <v>-5695.6200770686264</v>
      </c>
      <c r="X102" s="678">
        <f>'13. 추정 CF'!L16</f>
        <v>-6207.9582330135745</v>
      </c>
      <c r="Y102" s="678">
        <f>'13. 추정 CF'!M16</f>
        <v>-6339.233477476344</v>
      </c>
      <c r="Z102" s="678">
        <f>'13. 추정 CF'!N16</f>
        <v>-7057.6284424372134</v>
      </c>
      <c r="AA102" s="678">
        <f>'13. 추정 CF'!O16</f>
        <v>-7685.8411771876272</v>
      </c>
      <c r="AB102" s="678">
        <f t="shared" si="57"/>
        <v>7024.0561139999991</v>
      </c>
      <c r="AC102" s="678">
        <f t="shared" si="58"/>
        <v>42386.938556999987</v>
      </c>
      <c r="AD102" s="678">
        <f t="shared" si="58"/>
        <v>-29089.187724999996</v>
      </c>
      <c r="AE102" s="678">
        <f t="shared" si="58"/>
        <v>-85954.766898000002</v>
      </c>
      <c r="AF102" s="678">
        <f t="shared" si="58"/>
        <v>-6170.1568540000299</v>
      </c>
      <c r="AG102" s="678">
        <f t="shared" si="58"/>
        <v>-35994.542076999962</v>
      </c>
      <c r="AH102" s="678">
        <f t="shared" si="58"/>
        <v>14331.03868286427</v>
      </c>
      <c r="AI102" s="678">
        <f t="shared" si="58"/>
        <v>-6364.1429890413492</v>
      </c>
      <c r="AJ102" s="678">
        <f t="shared" si="58"/>
        <v>-6383.8791452692967</v>
      </c>
      <c r="AK102" s="678">
        <f t="shared" si="58"/>
        <v>-6813.5943953301867</v>
      </c>
      <c r="AL102" s="678">
        <f t="shared" si="58"/>
        <v>-6896.6388818979067</v>
      </c>
      <c r="AM102" s="678">
        <f t="shared" si="58"/>
        <v>-7584.1564799636071</v>
      </c>
      <c r="AN102" s="678">
        <f t="shared" si="58"/>
        <v>-8191.4727358313685</v>
      </c>
    </row>
    <row r="103" spans="1:40" ht="16.5" customHeight="1" x14ac:dyDescent="0.3">
      <c r="A103" s="689" t="s">
        <v>497</v>
      </c>
      <c r="B103" s="678">
        <f>'10. 추정 CF'!B17</f>
        <v>-785.86192299999857</v>
      </c>
      <c r="C103" s="678">
        <f>'10. 추정 CF'!C17</f>
        <v>-48752</v>
      </c>
      <c r="D103" s="678">
        <f>'10. 추정 CF'!D17</f>
        <v>286</v>
      </c>
      <c r="E103" s="678">
        <f>'10. 추정 CF'!E17</f>
        <v>2323</v>
      </c>
      <c r="F103" s="678">
        <f>'10. 추정 CF'!F17</f>
        <v>2387.8960259999731</v>
      </c>
      <c r="G103" s="678">
        <f>'10. 추정 CF'!G17</f>
        <v>-2450.3012759999838</v>
      </c>
      <c r="H103" s="678">
        <f>'10. 추정 CF'!H17</f>
        <v>0</v>
      </c>
      <c r="I103" s="678">
        <f>'10. 추정 CF'!I17</f>
        <v>0</v>
      </c>
      <c r="J103" s="678">
        <f>'10. 추정 CF'!J17</f>
        <v>0</v>
      </c>
      <c r="K103" s="678">
        <f>'10. 추정 CF'!K17</f>
        <v>0</v>
      </c>
      <c r="L103" s="678">
        <f>'10. 추정 CF'!L17</f>
        <v>0</v>
      </c>
      <c r="M103" s="678">
        <f>'10. 추정 CF'!M17</f>
        <v>0</v>
      </c>
      <c r="N103" s="678">
        <f>'10. 추정 CF'!N17</f>
        <v>0</v>
      </c>
      <c r="O103" s="678">
        <f>'13. 추정 CF'!C17</f>
        <v>47917.572579000145</v>
      </c>
      <c r="P103" s="678">
        <f>'13. 추정 CF'!D17</f>
        <v>-27348.485727999941</v>
      </c>
      <c r="Q103" s="678">
        <f>'13. 추정 CF'!E17</f>
        <v>-58027.953528000042</v>
      </c>
      <c r="R103" s="678">
        <f>'13. 추정 CF'!F17</f>
        <v>-14971.305034000077</v>
      </c>
      <c r="S103" s="678">
        <f>'13. 추정 CF'!G17</f>
        <v>-46424.776097000111</v>
      </c>
      <c r="T103" s="678">
        <f>'13. 추정 CF'!H17</f>
        <v>57214.226623000111</v>
      </c>
      <c r="U103" s="678">
        <f>'13. 추정 CF'!I17</f>
        <v>-8539.67011160939</v>
      </c>
      <c r="V103" s="678">
        <f>'13. 추정 CF'!J17</f>
        <v>-10179.905033094576</v>
      </c>
      <c r="W103" s="678">
        <f>'13. 추정 CF'!K17</f>
        <v>-10636.187469912693</v>
      </c>
      <c r="X103" s="678">
        <f>'13. 추정 CF'!L17</f>
        <v>-16152.638220854802</v>
      </c>
      <c r="Y103" s="678">
        <f>'13. 추정 CF'!M17</f>
        <v>-14923.041972249513</v>
      </c>
      <c r="Z103" s="678">
        <f>'13. 추정 CF'!N17</f>
        <v>-16925.447125548497</v>
      </c>
      <c r="AA103" s="678">
        <f>'13. 추정 CF'!O17</f>
        <v>-19660.738399720518</v>
      </c>
      <c r="AB103" s="678">
        <f t="shared" si="57"/>
        <v>-785.86192299999857</v>
      </c>
      <c r="AC103" s="678">
        <f t="shared" si="58"/>
        <v>-76100.485727999941</v>
      </c>
      <c r="AD103" s="678">
        <f t="shared" si="58"/>
        <v>-57741.953528000042</v>
      </c>
      <c r="AE103" s="678">
        <f t="shared" si="58"/>
        <v>-12648.305034000077</v>
      </c>
      <c r="AF103" s="678">
        <f t="shared" si="58"/>
        <v>-44036.880071000138</v>
      </c>
      <c r="AG103" s="678">
        <f t="shared" si="58"/>
        <v>54763.925347000128</v>
      </c>
      <c r="AH103" s="678">
        <f t="shared" si="58"/>
        <v>-8539.67011160939</v>
      </c>
      <c r="AI103" s="678">
        <f t="shared" si="58"/>
        <v>-10179.905033094576</v>
      </c>
      <c r="AJ103" s="678">
        <f t="shared" si="58"/>
        <v>-10636.187469912693</v>
      </c>
      <c r="AK103" s="678">
        <f t="shared" si="58"/>
        <v>-16152.638220854802</v>
      </c>
      <c r="AL103" s="678">
        <f t="shared" si="58"/>
        <v>-14923.041972249513</v>
      </c>
      <c r="AM103" s="678">
        <f t="shared" si="58"/>
        <v>-16925.447125548497</v>
      </c>
      <c r="AN103" s="678">
        <f t="shared" si="58"/>
        <v>-19660.738399720518</v>
      </c>
    </row>
    <row r="104" spans="1:40" ht="16.5" customHeight="1" x14ac:dyDescent="0.3">
      <c r="A104" s="689" t="s">
        <v>145</v>
      </c>
      <c r="B104" s="678">
        <f>'10. 추정 CF'!B18</f>
        <v>14024.606165000005</v>
      </c>
      <c r="C104" s="678">
        <f>'10. 추정 CF'!C18</f>
        <v>-6420</v>
      </c>
      <c r="D104" s="678">
        <f>'10. 추정 CF'!D18</f>
        <v>41067</v>
      </c>
      <c r="E104" s="678">
        <f>'10. 추정 CF'!E18</f>
        <v>-15079</v>
      </c>
      <c r="F104" s="678">
        <f>'10. 추정 CF'!F18</f>
        <v>-43309.037899999996</v>
      </c>
      <c r="G104" s="678">
        <f>'10. 추정 CF'!G18</f>
        <v>-8873.6994800000102</v>
      </c>
      <c r="H104" s="678">
        <f>'10. 추정 CF'!H18</f>
        <v>8870.3090901859396</v>
      </c>
      <c r="I104" s="678">
        <f>'10. 추정 CF'!I18</f>
        <v>-1638.5406723112392</v>
      </c>
      <c r="J104" s="678">
        <f>'10. 추정 CF'!J18</f>
        <v>-1614.3616282837756</v>
      </c>
      <c r="K104" s="678">
        <f>'10. 추정 CF'!K18</f>
        <v>-1590.576039665495</v>
      </c>
      <c r="L104" s="678">
        <f>'10. 추정 CF'!L18</f>
        <v>-1392.9699150283413</v>
      </c>
      <c r="M104" s="678">
        <f>'10. 추정 CF'!M18</f>
        <v>-1085.1420821712527</v>
      </c>
      <c r="N104" s="678">
        <f>'10. 추정 CF'!N18</f>
        <v>-734.77535247133346</v>
      </c>
      <c r="O104" s="678">
        <f>'13. 추정 CF'!C18</f>
        <v>15454.313865000033</v>
      </c>
      <c r="P104" s="678">
        <f>'13. 추정 CF'!D18</f>
        <v>-38243.594172999903</v>
      </c>
      <c r="Q104" s="678">
        <f>'13. 추정 CF'!E18</f>
        <v>64329.842757999955</v>
      </c>
      <c r="R104" s="678">
        <f>'13. 추정 CF'!F18</f>
        <v>220493.23063199979</v>
      </c>
      <c r="S104" s="678">
        <f>'13. 추정 CF'!G18</f>
        <v>-244944.91211499984</v>
      </c>
      <c r="T104" s="678">
        <f>'13. 추정 CF'!H18</f>
        <v>42492.342997999978</v>
      </c>
      <c r="U104" s="678">
        <f>'13. 추정 CF'!I18</f>
        <v>-34786.92454633076</v>
      </c>
      <c r="V104" s="678">
        <f>'13. 추정 CF'!J18</f>
        <v>7886.8852218135144</v>
      </c>
      <c r="W104" s="678">
        <f>'13. 추정 CF'!K18</f>
        <v>8154.6991266460391</v>
      </c>
      <c r="X104" s="678">
        <f>'13. 추정 CF'!L18</f>
        <v>8888.2388389684493</v>
      </c>
      <c r="Y104" s="678">
        <f>'13. 추정 CF'!M18</f>
        <v>9076.192056859727</v>
      </c>
      <c r="Z104" s="678">
        <f>'13. 추정 CF'!N18</f>
        <v>10104.753427541582</v>
      </c>
      <c r="AA104" s="678">
        <f>'13. 추정 CF'!O18</f>
        <v>11004.196468000533</v>
      </c>
      <c r="AB104" s="678">
        <f t="shared" si="57"/>
        <v>14024.606165000005</v>
      </c>
      <c r="AC104" s="678">
        <f t="shared" si="58"/>
        <v>-44663.594172999903</v>
      </c>
      <c r="AD104" s="678">
        <f t="shared" si="58"/>
        <v>105396.84275799996</v>
      </c>
      <c r="AE104" s="678">
        <f t="shared" si="58"/>
        <v>205414.23063199979</v>
      </c>
      <c r="AF104" s="678">
        <f t="shared" si="58"/>
        <v>-288253.95001499983</v>
      </c>
      <c r="AG104" s="678">
        <f t="shared" si="58"/>
        <v>33618.643517999968</v>
      </c>
      <c r="AH104" s="678">
        <f t="shared" si="58"/>
        <v>-25916.61545614482</v>
      </c>
      <c r="AI104" s="678">
        <f t="shared" si="58"/>
        <v>6248.3445495022752</v>
      </c>
      <c r="AJ104" s="678">
        <f t="shared" si="58"/>
        <v>6540.3374983622634</v>
      </c>
      <c r="AK104" s="678">
        <f t="shared" si="58"/>
        <v>7297.6627993029542</v>
      </c>
      <c r="AL104" s="678">
        <f t="shared" si="58"/>
        <v>7683.2221418313857</v>
      </c>
      <c r="AM104" s="678">
        <f t="shared" si="58"/>
        <v>9019.6113453703292</v>
      </c>
      <c r="AN104" s="678">
        <f t="shared" si="58"/>
        <v>10269.4211155292</v>
      </c>
    </row>
    <row r="105" spans="1:40" ht="16.5" customHeight="1" x14ac:dyDescent="0.3">
      <c r="A105" s="689" t="s">
        <v>150</v>
      </c>
      <c r="B105" s="678">
        <f>'10. 추정 CF'!B19</f>
        <v>0</v>
      </c>
      <c r="C105" s="678">
        <f>'10. 추정 CF'!C19</f>
        <v>0</v>
      </c>
      <c r="D105" s="678">
        <f>'10. 추정 CF'!D19</f>
        <v>0</v>
      </c>
      <c r="E105" s="678">
        <f>'10. 추정 CF'!E19</f>
        <v>0</v>
      </c>
      <c r="F105" s="678">
        <f>'10. 추정 CF'!F19</f>
        <v>0</v>
      </c>
      <c r="G105" s="678">
        <f>'10. 추정 CF'!G19</f>
        <v>0</v>
      </c>
      <c r="H105" s="678">
        <f>'10. 추정 CF'!H19</f>
        <v>0</v>
      </c>
      <c r="I105" s="678">
        <f>'10. 추정 CF'!I19</f>
        <v>0</v>
      </c>
      <c r="J105" s="678">
        <f>'10. 추정 CF'!J19</f>
        <v>0</v>
      </c>
      <c r="K105" s="678">
        <f>'10. 추정 CF'!K19</f>
        <v>0</v>
      </c>
      <c r="L105" s="678">
        <f>'10. 추정 CF'!L19</f>
        <v>0</v>
      </c>
      <c r="M105" s="678">
        <f>'10. 추정 CF'!M19</f>
        <v>0</v>
      </c>
      <c r="N105" s="678">
        <f>'10. 추정 CF'!N19</f>
        <v>0</v>
      </c>
      <c r="O105" s="678">
        <f>'13. 추정 CF'!C19</f>
        <v>3489.5928730000051</v>
      </c>
      <c r="P105" s="678">
        <f>'13. 추정 CF'!D19</f>
        <v>-623.22838300000876</v>
      </c>
      <c r="Q105" s="678">
        <f>'13. 추정 CF'!E19</f>
        <v>24534.771319999982</v>
      </c>
      <c r="R105" s="678">
        <f>'13. 추정 CF'!F19</f>
        <v>-4852.8939539999774</v>
      </c>
      <c r="S105" s="678">
        <f>'13. 추정 CF'!G19</f>
        <v>4602.1124229999987</v>
      </c>
      <c r="T105" s="678">
        <f>'13. 추정 CF'!H19</f>
        <v>13784.684148</v>
      </c>
      <c r="U105" s="678">
        <f>'13. 추정 CF'!I19</f>
        <v>7672.774018621596</v>
      </c>
      <c r="V105" s="678">
        <f>'13. 추정 CF'!J19</f>
        <v>6800.506261389266</v>
      </c>
      <c r="W105" s="678">
        <f>'13. 추정 CF'!K19</f>
        <v>920.40138661704259</v>
      </c>
      <c r="X105" s="678">
        <f>'13. 추정 CF'!L19</f>
        <v>6135.8538970912632</v>
      </c>
      <c r="Y105" s="678">
        <f>'13. 추정 CF'!M19</f>
        <v>5203.690428493559</v>
      </c>
      <c r="Z105" s="678">
        <f>'13. 추정 CF'!N19</f>
        <v>4507.0951907171402</v>
      </c>
      <c r="AA105" s="678">
        <f>'13. 추정 CF'!O19</f>
        <v>5970.2040165423241</v>
      </c>
      <c r="AB105" s="678">
        <f t="shared" si="57"/>
        <v>0</v>
      </c>
      <c r="AC105" s="678">
        <f t="shared" si="58"/>
        <v>-623.22838300000876</v>
      </c>
      <c r="AD105" s="678">
        <f t="shared" si="58"/>
        <v>24534.771319999982</v>
      </c>
      <c r="AE105" s="678">
        <f t="shared" si="58"/>
        <v>-4852.8939539999774</v>
      </c>
      <c r="AF105" s="678">
        <f t="shared" si="58"/>
        <v>4602.1124229999987</v>
      </c>
      <c r="AG105" s="678">
        <f t="shared" si="58"/>
        <v>13784.684148</v>
      </c>
      <c r="AH105" s="678">
        <f t="shared" si="58"/>
        <v>7672.774018621596</v>
      </c>
      <c r="AI105" s="678">
        <f t="shared" si="58"/>
        <v>6800.506261389266</v>
      </c>
      <c r="AJ105" s="678">
        <f t="shared" si="58"/>
        <v>920.40138661704259</v>
      </c>
      <c r="AK105" s="678">
        <f t="shared" si="58"/>
        <v>6135.8538970912632</v>
      </c>
      <c r="AL105" s="678">
        <f t="shared" si="58"/>
        <v>5203.690428493559</v>
      </c>
      <c r="AM105" s="678">
        <f t="shared" si="58"/>
        <v>4507.0951907171402</v>
      </c>
      <c r="AN105" s="678">
        <f t="shared" si="58"/>
        <v>5970.2040165423241</v>
      </c>
    </row>
    <row r="106" spans="1:40" ht="16.5" customHeight="1" x14ac:dyDescent="0.3">
      <c r="A106" s="689" t="s">
        <v>498</v>
      </c>
      <c r="B106" s="678">
        <f>'10. 추정 CF'!B20</f>
        <v>17534.113433999992</v>
      </c>
      <c r="C106" s="678">
        <f>'10. 추정 CF'!C20</f>
        <v>-1133183</v>
      </c>
      <c r="D106" s="678">
        <f>'10. 추정 CF'!D20</f>
        <v>-21270.532755477936</v>
      </c>
      <c r="E106" s="678">
        <f>'10. 추정 CF'!E20</f>
        <v>37032</v>
      </c>
      <c r="F106" s="678">
        <f>'10. 추정 CF'!F20</f>
        <v>35623</v>
      </c>
      <c r="G106" s="678">
        <f>'10. 추정 CF'!G20</f>
        <v>22976</v>
      </c>
      <c r="H106" s="678">
        <f>'10. 추정 CF'!H20</f>
        <v>-74648.31140999333</v>
      </c>
      <c r="I106" s="678">
        <f>'10. 추정 CF'!I20</f>
        <v>-841.36429099368979</v>
      </c>
      <c r="J106" s="678">
        <f>'10. 추정 CF'!J20</f>
        <v>-1219.5481144265505</v>
      </c>
      <c r="K106" s="678">
        <f>'10. 추정 CF'!K20</f>
        <v>-843.06048056010331</v>
      </c>
      <c r="L106" s="678">
        <f>'10. 추정 CF'!L20</f>
        <v>-705.60061954826233</v>
      </c>
      <c r="M106" s="678">
        <f>'10. 추정 CF'!M20</f>
        <v>-570.0179532278562</v>
      </c>
      <c r="N106" s="678">
        <f>'10. 추정 CF'!N20</f>
        <v>-309.6408700497268</v>
      </c>
      <c r="O106" s="678">
        <f>'13. 추정 CF'!C20</f>
        <v>-20844.243886999844</v>
      </c>
      <c r="P106" s="678">
        <f>'13. 추정 CF'!D20</f>
        <v>121347.12067599979</v>
      </c>
      <c r="Q106" s="678">
        <f>'13. 추정 CF'!E20</f>
        <v>-44614.53424399998</v>
      </c>
      <c r="R106" s="678">
        <f>'13. 추정 CF'!F20</f>
        <v>-58244.524065000005</v>
      </c>
      <c r="S106" s="678">
        <f>'13. 추정 CF'!G20</f>
        <v>-29139.27209299989</v>
      </c>
      <c r="T106" s="678">
        <f>'13. 추정 CF'!H20</f>
        <v>-33881.671197000076</v>
      </c>
      <c r="U106" s="678">
        <f>'13. 추정 CF'!I20</f>
        <v>9108.3646857063286</v>
      </c>
      <c r="V106" s="678">
        <f>'13. 추정 CF'!J20</f>
        <v>-12306.177541297337</v>
      </c>
      <c r="W106" s="678">
        <f>'13. 추정 CF'!K20</f>
        <v>-10544.077817160869</v>
      </c>
      <c r="X106" s="678">
        <f>'13. 추정 CF'!L20</f>
        <v>-7185.729141510441</v>
      </c>
      <c r="Y106" s="678">
        <f>'13. 추정 CF'!M20</f>
        <v>-3040.4237930182135</v>
      </c>
      <c r="Z106" s="678">
        <f>'13. 추정 CF'!N20</f>
        <v>-2472.079818647122</v>
      </c>
      <c r="AA106" s="678">
        <f>'13. 추정 CF'!O20</f>
        <v>-1034.251290171349</v>
      </c>
      <c r="AB106" s="678">
        <f t="shared" si="57"/>
        <v>17534.113433999992</v>
      </c>
      <c r="AC106" s="678">
        <f t="shared" si="58"/>
        <v>-1011835.8793240002</v>
      </c>
      <c r="AD106" s="678">
        <f t="shared" si="58"/>
        <v>-65885.066999477916</v>
      </c>
      <c r="AE106" s="678">
        <f t="shared" si="58"/>
        <v>-21212.524065000005</v>
      </c>
      <c r="AF106" s="678">
        <f t="shared" si="58"/>
        <v>6483.7279070001096</v>
      </c>
      <c r="AG106" s="678">
        <f t="shared" si="58"/>
        <v>-10905.671197000076</v>
      </c>
      <c r="AH106" s="678">
        <f t="shared" si="58"/>
        <v>-65539.946724287001</v>
      </c>
      <c r="AI106" s="678">
        <f t="shared" si="58"/>
        <v>-13147.541832291026</v>
      </c>
      <c r="AJ106" s="678">
        <f t="shared" si="58"/>
        <v>-11763.625931587419</v>
      </c>
      <c r="AK106" s="678">
        <f t="shared" si="58"/>
        <v>-8028.7896220705443</v>
      </c>
      <c r="AL106" s="678">
        <f t="shared" si="58"/>
        <v>-3746.0244125664758</v>
      </c>
      <c r="AM106" s="678">
        <f t="shared" si="58"/>
        <v>-3042.0977718749782</v>
      </c>
      <c r="AN106" s="678">
        <f t="shared" si="58"/>
        <v>-1343.8921602210758</v>
      </c>
    </row>
    <row r="107" spans="1:40" ht="16.5" customHeight="1" x14ac:dyDescent="0.3">
      <c r="A107" s="689" t="s">
        <v>499</v>
      </c>
      <c r="B107" s="678">
        <f>'10. 추정 CF'!B21</f>
        <v>0</v>
      </c>
      <c r="C107" s="678">
        <f>'10. 추정 CF'!C21</f>
        <v>0</v>
      </c>
      <c r="D107" s="678">
        <f>'10. 추정 CF'!D21</f>
        <v>-133583</v>
      </c>
      <c r="E107" s="678">
        <f>'10. 추정 CF'!E21</f>
        <v>0</v>
      </c>
      <c r="F107" s="678">
        <f>'10. 추정 CF'!F21</f>
        <v>0</v>
      </c>
      <c r="G107" s="678">
        <f>'10. 추정 CF'!G21</f>
        <v>0</v>
      </c>
      <c r="H107" s="678">
        <f>'10. 추정 CF'!H21</f>
        <v>0</v>
      </c>
      <c r="I107" s="678">
        <f>'10. 추정 CF'!I21</f>
        <v>0</v>
      </c>
      <c r="J107" s="678">
        <f>'10. 추정 CF'!J21</f>
        <v>0</v>
      </c>
      <c r="K107" s="678">
        <f>'10. 추정 CF'!K21</f>
        <v>0</v>
      </c>
      <c r="L107" s="678">
        <f>'10. 추정 CF'!L21</f>
        <v>0</v>
      </c>
      <c r="M107" s="678">
        <f>'10. 추정 CF'!M21</f>
        <v>0</v>
      </c>
      <c r="N107" s="678">
        <f>'10. 추정 CF'!N21</f>
        <v>0</v>
      </c>
      <c r="O107" s="678">
        <f>'13. 추정 CF'!C21</f>
        <v>0</v>
      </c>
      <c r="P107" s="678">
        <f>'13. 추정 CF'!D21</f>
        <v>0</v>
      </c>
      <c r="Q107" s="678">
        <f>'13. 추정 CF'!E21</f>
        <v>0</v>
      </c>
      <c r="R107" s="678">
        <f>'13. 추정 CF'!F21</f>
        <v>0</v>
      </c>
      <c r="S107" s="678">
        <f>'13. 추정 CF'!G21</f>
        <v>0</v>
      </c>
      <c r="T107" s="678">
        <f>'13. 추정 CF'!H21</f>
        <v>0</v>
      </c>
      <c r="U107" s="678">
        <f>'13. 추정 CF'!I21</f>
        <v>0</v>
      </c>
      <c r="V107" s="678">
        <f>'13. 추정 CF'!J21</f>
        <v>0</v>
      </c>
      <c r="W107" s="678">
        <f>'13. 추정 CF'!K21</f>
        <v>0</v>
      </c>
      <c r="X107" s="678">
        <f>'13. 추정 CF'!L21</f>
        <v>0</v>
      </c>
      <c r="Y107" s="678">
        <f>'13. 추정 CF'!M21</f>
        <v>0</v>
      </c>
      <c r="Z107" s="678">
        <f>'13. 추정 CF'!N21</f>
        <v>0</v>
      </c>
      <c r="AA107" s="678">
        <f>'13. 추정 CF'!O21</f>
        <v>0</v>
      </c>
      <c r="AB107" s="678">
        <f t="shared" si="57"/>
        <v>0</v>
      </c>
      <c r="AC107" s="678">
        <f t="shared" si="58"/>
        <v>0</v>
      </c>
      <c r="AD107" s="678">
        <f t="shared" si="58"/>
        <v>-133583</v>
      </c>
      <c r="AE107" s="678">
        <f t="shared" si="58"/>
        <v>0</v>
      </c>
      <c r="AF107" s="678">
        <f t="shared" si="58"/>
        <v>0</v>
      </c>
      <c r="AG107" s="678">
        <f t="shared" si="58"/>
        <v>0</v>
      </c>
      <c r="AH107" s="678">
        <f t="shared" si="58"/>
        <v>0</v>
      </c>
      <c r="AI107" s="678">
        <f t="shared" si="58"/>
        <v>0</v>
      </c>
      <c r="AJ107" s="678">
        <f t="shared" si="58"/>
        <v>0</v>
      </c>
      <c r="AK107" s="678">
        <f t="shared" si="58"/>
        <v>0</v>
      </c>
      <c r="AL107" s="678">
        <f t="shared" si="58"/>
        <v>0</v>
      </c>
      <c r="AM107" s="678">
        <f t="shared" si="58"/>
        <v>0</v>
      </c>
      <c r="AN107" s="678">
        <f t="shared" si="58"/>
        <v>0</v>
      </c>
    </row>
    <row r="108" spans="1:40" ht="16.5" customHeight="1" x14ac:dyDescent="0.3">
      <c r="A108" s="689" t="s">
        <v>210</v>
      </c>
      <c r="B108" s="678">
        <f>'10. 추정 CF'!B22</f>
        <v>0</v>
      </c>
      <c r="C108" s="678">
        <f>'10. 추정 CF'!C22</f>
        <v>0</v>
      </c>
      <c r="D108" s="678">
        <f>'10. 추정 CF'!D22</f>
        <v>0</v>
      </c>
      <c r="E108" s="678">
        <f>'10. 추정 CF'!E22</f>
        <v>0</v>
      </c>
      <c r="F108" s="678">
        <f>'10. 추정 CF'!F22</f>
        <v>0</v>
      </c>
      <c r="G108" s="678">
        <f>'10. 추정 CF'!G22</f>
        <v>0</v>
      </c>
      <c r="H108" s="678">
        <f>'10. 추정 CF'!H22</f>
        <v>0</v>
      </c>
      <c r="I108" s="678">
        <f>'10. 추정 CF'!I22</f>
        <v>0</v>
      </c>
      <c r="J108" s="678">
        <f>'10. 추정 CF'!J22</f>
        <v>0</v>
      </c>
      <c r="K108" s="678">
        <f>'10. 추정 CF'!K22</f>
        <v>0</v>
      </c>
      <c r="L108" s="678">
        <f>'10. 추정 CF'!L22</f>
        <v>0</v>
      </c>
      <c r="M108" s="678">
        <f>'10. 추정 CF'!M22</f>
        <v>0</v>
      </c>
      <c r="N108" s="678">
        <f>'10. 추정 CF'!N22</f>
        <v>0</v>
      </c>
      <c r="O108" s="678">
        <f>'13. 추정 CF'!C22</f>
        <v>5221.6409130000002</v>
      </c>
      <c r="P108" s="678">
        <f>'13. 추정 CF'!D22</f>
        <v>-22869.866399999999</v>
      </c>
      <c r="Q108" s="678">
        <f>'13. 추정 CF'!E22</f>
        <v>27610.466734999998</v>
      </c>
      <c r="R108" s="678">
        <f>'13. 추정 CF'!F22</f>
        <v>-13170.541355000001</v>
      </c>
      <c r="S108" s="678">
        <f>'13. 추정 CF'!G22</f>
        <v>853.19391299999995</v>
      </c>
      <c r="T108" s="678">
        <f>'13. 추정 CF'!H22</f>
        <v>6074</v>
      </c>
      <c r="U108" s="678">
        <f>'13. 추정 CF'!I22</f>
        <v>0</v>
      </c>
      <c r="V108" s="678">
        <f>'13. 추정 CF'!J22</f>
        <v>0</v>
      </c>
      <c r="W108" s="678">
        <f>'13. 추정 CF'!K22</f>
        <v>0</v>
      </c>
      <c r="X108" s="678">
        <f>'13. 추정 CF'!L22</f>
        <v>0</v>
      </c>
      <c r="Y108" s="678">
        <f>'13. 추정 CF'!M22</f>
        <v>0</v>
      </c>
      <c r="Z108" s="678">
        <f>'13. 추정 CF'!N22</f>
        <v>0</v>
      </c>
      <c r="AA108" s="678">
        <f>'13. 추정 CF'!O22</f>
        <v>0</v>
      </c>
      <c r="AB108" s="678">
        <f t="shared" si="57"/>
        <v>0</v>
      </c>
      <c r="AC108" s="678">
        <f t="shared" si="58"/>
        <v>-22869.866399999999</v>
      </c>
      <c r="AD108" s="678">
        <f t="shared" si="58"/>
        <v>27610.466734999998</v>
      </c>
      <c r="AE108" s="678">
        <f t="shared" si="58"/>
        <v>-13170.541355000001</v>
      </c>
      <c r="AF108" s="678">
        <f t="shared" si="58"/>
        <v>853.19391299999995</v>
      </c>
      <c r="AG108" s="678">
        <f t="shared" si="58"/>
        <v>6074</v>
      </c>
      <c r="AH108" s="678">
        <f t="shared" si="58"/>
        <v>0</v>
      </c>
      <c r="AI108" s="678">
        <f t="shared" si="58"/>
        <v>0</v>
      </c>
      <c r="AJ108" s="678">
        <f t="shared" si="58"/>
        <v>0</v>
      </c>
      <c r="AK108" s="678">
        <f t="shared" si="58"/>
        <v>0</v>
      </c>
      <c r="AL108" s="678">
        <f t="shared" si="58"/>
        <v>0</v>
      </c>
      <c r="AM108" s="678">
        <f t="shared" si="58"/>
        <v>0</v>
      </c>
      <c r="AN108" s="678">
        <f t="shared" si="58"/>
        <v>0</v>
      </c>
    </row>
    <row r="109" spans="1:40" ht="16.5" customHeight="1" x14ac:dyDescent="0.3">
      <c r="A109" s="678" t="s">
        <v>500</v>
      </c>
      <c r="B109" s="678">
        <f t="shared" ref="B109:AN109" si="59">SUM(B110,B111,B117)</f>
        <v>-238544.09475199995</v>
      </c>
      <c r="C109" s="678">
        <f t="shared" si="59"/>
        <v>1069214.937261</v>
      </c>
      <c r="D109" s="678">
        <f t="shared" si="59"/>
        <v>-5619.5999999999767</v>
      </c>
      <c r="E109" s="678">
        <f t="shared" si="59"/>
        <v>-82075</v>
      </c>
      <c r="F109" s="678">
        <f t="shared" si="59"/>
        <v>-31602</v>
      </c>
      <c r="G109" s="678">
        <f t="shared" si="59"/>
        <v>2003.7780879999991</v>
      </c>
      <c r="H109" s="678">
        <f t="shared" si="59"/>
        <v>-25018.890060885686</v>
      </c>
      <c r="I109" s="678">
        <f t="shared" si="59"/>
        <v>-15925.032547932356</v>
      </c>
      <c r="J109" s="678">
        <f t="shared" si="59"/>
        <v>-15864.296803348596</v>
      </c>
      <c r="K109" s="678">
        <f t="shared" si="59"/>
        <v>-15804.66248418475</v>
      </c>
      <c r="L109" s="678">
        <f t="shared" si="59"/>
        <v>-15746.109616404668</v>
      </c>
      <c r="M109" s="678">
        <f t="shared" si="59"/>
        <v>-15688.618588195848</v>
      </c>
      <c r="N109" s="678">
        <f t="shared" si="59"/>
        <v>-15632.17014340007</v>
      </c>
      <c r="O109" s="678">
        <f t="shared" si="59"/>
        <v>-585725.62738600152</v>
      </c>
      <c r="P109" s="678">
        <f t="shared" si="59"/>
        <v>-2205356.1178019987</v>
      </c>
      <c r="Q109" s="678">
        <f t="shared" si="59"/>
        <v>-247663.62858800014</v>
      </c>
      <c r="R109" s="678">
        <f t="shared" si="59"/>
        <v>-396245.67455400346</v>
      </c>
      <c r="S109" s="678">
        <f t="shared" si="59"/>
        <v>-310693.73909199971</v>
      </c>
      <c r="T109" s="678">
        <f t="shared" si="59"/>
        <v>-251265.68672200289</v>
      </c>
      <c r="U109" s="678">
        <f t="shared" si="59"/>
        <v>-666567.73191330349</v>
      </c>
      <c r="V109" s="678">
        <f t="shared" si="59"/>
        <v>-526005.55183868902</v>
      </c>
      <c r="W109" s="678">
        <f t="shared" si="59"/>
        <v>-519478.57038439414</v>
      </c>
      <c r="X109" s="678">
        <f t="shared" si="59"/>
        <v>-560835.15064695361</v>
      </c>
      <c r="Y109" s="678">
        <f t="shared" si="59"/>
        <v>-579787.98408274911</v>
      </c>
      <c r="Z109" s="678">
        <f t="shared" si="59"/>
        <v>-585993.31581816054</v>
      </c>
      <c r="AA109" s="678">
        <f t="shared" si="59"/>
        <v>-602315.56442976021</v>
      </c>
      <c r="AB109" s="678">
        <f t="shared" si="59"/>
        <v>-238544.09475199995</v>
      </c>
      <c r="AC109" s="678">
        <f t="shared" si="59"/>
        <v>-1136141.1805409985</v>
      </c>
      <c r="AD109" s="678">
        <f t="shared" si="59"/>
        <v>-253283.22858800011</v>
      </c>
      <c r="AE109" s="678">
        <f t="shared" si="59"/>
        <v>-478320.67455400346</v>
      </c>
      <c r="AF109" s="678">
        <f t="shared" si="59"/>
        <v>-342295.7390919996</v>
      </c>
      <c r="AG109" s="678">
        <f t="shared" si="59"/>
        <v>-249261.90863400287</v>
      </c>
      <c r="AH109" s="678">
        <f t="shared" si="59"/>
        <v>-691586.6219741893</v>
      </c>
      <c r="AI109" s="678">
        <f t="shared" si="59"/>
        <v>-541930.58438662137</v>
      </c>
      <c r="AJ109" s="678">
        <f t="shared" si="59"/>
        <v>-535342.86718774273</v>
      </c>
      <c r="AK109" s="678">
        <f t="shared" si="59"/>
        <v>-576639.81313113833</v>
      </c>
      <c r="AL109" s="678">
        <f t="shared" si="59"/>
        <v>-595534.09369915375</v>
      </c>
      <c r="AM109" s="678">
        <f t="shared" si="59"/>
        <v>-601681.93440635642</v>
      </c>
      <c r="AN109" s="678">
        <f t="shared" si="59"/>
        <v>-617947.7345731603</v>
      </c>
    </row>
    <row r="110" spans="1:40" ht="16.5" customHeight="1" x14ac:dyDescent="0.3">
      <c r="A110" s="688" t="s">
        <v>501</v>
      </c>
      <c r="B110" s="678">
        <f>'10. 추정 CF'!B24</f>
        <v>0</v>
      </c>
      <c r="C110" s="678">
        <f>'10. 추정 CF'!C24</f>
        <v>0</v>
      </c>
      <c r="D110" s="678">
        <f>'10. 추정 CF'!D24</f>
        <v>0</v>
      </c>
      <c r="E110" s="678">
        <f>'10. 추정 CF'!E24</f>
        <v>0</v>
      </c>
      <c r="F110" s="678">
        <f>'10. 추정 CF'!F24</f>
        <v>0</v>
      </c>
      <c r="G110" s="678">
        <f>'10. 추정 CF'!G24</f>
        <v>0</v>
      </c>
      <c r="H110" s="678">
        <f>'10. 추정 CF'!H24</f>
        <v>0</v>
      </c>
      <c r="I110" s="678">
        <f>'10. 추정 CF'!I24</f>
        <v>0</v>
      </c>
      <c r="J110" s="678">
        <f>'10. 추정 CF'!J24</f>
        <v>0</v>
      </c>
      <c r="K110" s="678">
        <f>'10. 추정 CF'!K24</f>
        <v>0</v>
      </c>
      <c r="L110" s="678">
        <f>'10. 추정 CF'!L24</f>
        <v>0</v>
      </c>
      <c r="M110" s="678">
        <f>'10. 추정 CF'!M24</f>
        <v>0</v>
      </c>
      <c r="N110" s="678">
        <f>'10. 추정 CF'!N24</f>
        <v>0</v>
      </c>
      <c r="O110" s="678">
        <f>'13. 추정 CF'!C24</f>
        <v>41278.185759</v>
      </c>
      <c r="P110" s="678">
        <f>'13. 추정 CF'!D24</f>
        <v>-142065.44604000001</v>
      </c>
      <c r="Q110" s="678">
        <f>'13. 추정 CF'!E24</f>
        <v>167112.89559</v>
      </c>
      <c r="R110" s="678">
        <f>'13. 추정 CF'!F24</f>
        <v>-22500.885843999997</v>
      </c>
      <c r="S110" s="678">
        <f>'13. 추정 CF'!G24</f>
        <v>1723.0198459999956</v>
      </c>
      <c r="T110" s="678">
        <f>'13. 추정 CF'!H24</f>
        <v>27474.032118000003</v>
      </c>
      <c r="U110" s="678">
        <f>'13. 추정 CF'!I24</f>
        <v>-28870.726903999996</v>
      </c>
      <c r="V110" s="678">
        <f>'13. 추정 CF'!J24</f>
        <v>0</v>
      </c>
      <c r="W110" s="678">
        <f>'13. 추정 CF'!K24</f>
        <v>0</v>
      </c>
      <c r="X110" s="678">
        <f>'13. 추정 CF'!L24</f>
        <v>0</v>
      </c>
      <c r="Y110" s="678">
        <f>'13. 추정 CF'!M24</f>
        <v>0</v>
      </c>
      <c r="Z110" s="678">
        <f>'13. 추정 CF'!N24</f>
        <v>0</v>
      </c>
      <c r="AA110" s="678">
        <f>'13. 추정 CF'!O24</f>
        <v>0</v>
      </c>
      <c r="AB110" s="678">
        <f>B110</f>
        <v>0</v>
      </c>
      <c r="AC110" s="678">
        <f>C110+P110</f>
        <v>-142065.44604000001</v>
      </c>
      <c r="AD110" s="678">
        <f>D110+Q110</f>
        <v>167112.89559</v>
      </c>
      <c r="AE110" s="678">
        <f>E110+R110</f>
        <v>-22500.885843999997</v>
      </c>
      <c r="AF110" s="678">
        <f>F110+S110</f>
        <v>1723.0198459999956</v>
      </c>
      <c r="AG110" s="678">
        <f>G110+T110</f>
        <v>27474.032118000003</v>
      </c>
      <c r="AH110" s="678">
        <f t="shared" ref="AH110:AN110" si="60">H110+U110</f>
        <v>-28870.726903999996</v>
      </c>
      <c r="AI110" s="678">
        <f t="shared" si="60"/>
        <v>0</v>
      </c>
      <c r="AJ110" s="678">
        <f t="shared" si="60"/>
        <v>0</v>
      </c>
      <c r="AK110" s="678">
        <f t="shared" si="60"/>
        <v>0</v>
      </c>
      <c r="AL110" s="678">
        <f t="shared" si="60"/>
        <v>0</v>
      </c>
      <c r="AM110" s="678">
        <f t="shared" si="60"/>
        <v>0</v>
      </c>
      <c r="AN110" s="678">
        <f t="shared" si="60"/>
        <v>0</v>
      </c>
    </row>
    <row r="111" spans="1:40" ht="16.5" customHeight="1" x14ac:dyDescent="0.3">
      <c r="A111" s="688" t="s">
        <v>502</v>
      </c>
      <c r="B111" s="678">
        <f>SUM(B112:B116)</f>
        <v>-222825.09475199995</v>
      </c>
      <c r="C111" s="678">
        <f t="shared" ref="C111:AN111" si="61">SUM(C112:C116)</f>
        <v>1091717.937261</v>
      </c>
      <c r="D111" s="678">
        <f t="shared" si="61"/>
        <v>715</v>
      </c>
      <c r="E111" s="678">
        <f t="shared" si="61"/>
        <v>-71966</v>
      </c>
      <c r="F111" s="678">
        <f t="shared" si="61"/>
        <v>-21411</v>
      </c>
      <c r="G111" s="678">
        <f t="shared" si="61"/>
        <v>7618</v>
      </c>
      <c r="H111" s="678">
        <f t="shared" si="61"/>
        <v>0</v>
      </c>
      <c r="I111" s="678">
        <f t="shared" si="61"/>
        <v>0</v>
      </c>
      <c r="J111" s="678">
        <f t="shared" si="61"/>
        <v>0</v>
      </c>
      <c r="K111" s="678">
        <f t="shared" si="61"/>
        <v>0</v>
      </c>
      <c r="L111" s="678">
        <f t="shared" si="61"/>
        <v>0</v>
      </c>
      <c r="M111" s="678">
        <f t="shared" si="61"/>
        <v>0</v>
      </c>
      <c r="N111" s="678">
        <f t="shared" si="61"/>
        <v>0</v>
      </c>
      <c r="O111" s="678">
        <f t="shared" si="61"/>
        <v>-213988.24125800162</v>
      </c>
      <c r="P111" s="678">
        <f t="shared" si="61"/>
        <v>-1490009.549001998</v>
      </c>
      <c r="Q111" s="678">
        <f t="shared" si="61"/>
        <v>202205.52853699963</v>
      </c>
      <c r="R111" s="678">
        <f t="shared" si="61"/>
        <v>299688.5831699972</v>
      </c>
      <c r="S111" s="678">
        <f t="shared" si="61"/>
        <v>235603.87625900027</v>
      </c>
      <c r="T111" s="678">
        <f t="shared" si="61"/>
        <v>154156.86952699686</v>
      </c>
      <c r="U111" s="678">
        <f t="shared" si="61"/>
        <v>-81885.868933962993</v>
      </c>
      <c r="V111" s="678">
        <f t="shared" si="61"/>
        <v>7978.0166020590314</v>
      </c>
      <c r="W111" s="678">
        <f t="shared" si="61"/>
        <v>17372.184782952907</v>
      </c>
      <c r="X111" s="678">
        <f t="shared" si="61"/>
        <v>10907.749168918235</v>
      </c>
      <c r="Y111" s="678">
        <f t="shared" si="61"/>
        <v>-1793.6887903665192</v>
      </c>
      <c r="Z111" s="678">
        <f t="shared" si="61"/>
        <v>4396.1916502721142</v>
      </c>
      <c r="AA111" s="678">
        <f t="shared" si="61"/>
        <v>1365.962272652192</v>
      </c>
      <c r="AB111" s="678">
        <f t="shared" si="61"/>
        <v>-222825.09475199995</v>
      </c>
      <c r="AC111" s="678">
        <f t="shared" si="61"/>
        <v>-398291.61174099799</v>
      </c>
      <c r="AD111" s="678">
        <f t="shared" si="61"/>
        <v>202920.52853699963</v>
      </c>
      <c r="AE111" s="678">
        <f t="shared" si="61"/>
        <v>227722.58316999723</v>
      </c>
      <c r="AF111" s="678">
        <f t="shared" si="61"/>
        <v>214192.87625900039</v>
      </c>
      <c r="AG111" s="678">
        <f t="shared" si="61"/>
        <v>161774.86952699686</v>
      </c>
      <c r="AH111" s="678">
        <f t="shared" si="61"/>
        <v>-81885.868933962993</v>
      </c>
      <c r="AI111" s="678">
        <f t="shared" si="61"/>
        <v>7978.0166020590314</v>
      </c>
      <c r="AJ111" s="678">
        <f t="shared" si="61"/>
        <v>17372.184782952907</v>
      </c>
      <c r="AK111" s="678">
        <f t="shared" si="61"/>
        <v>10907.749168918235</v>
      </c>
      <c r="AL111" s="678">
        <f t="shared" si="61"/>
        <v>-1793.6887903665192</v>
      </c>
      <c r="AM111" s="678">
        <f t="shared" si="61"/>
        <v>4396.1916502721142</v>
      </c>
      <c r="AN111" s="678">
        <f t="shared" si="61"/>
        <v>1365.962272652192</v>
      </c>
    </row>
    <row r="112" spans="1:40" ht="16.5" customHeight="1" x14ac:dyDescent="0.3">
      <c r="A112" s="689" t="s">
        <v>503</v>
      </c>
      <c r="B112" s="678">
        <f>'10. 추정 CF'!B26</f>
        <v>-222825.09475199995</v>
      </c>
      <c r="C112" s="678">
        <f>'10. 추정 CF'!C26</f>
        <v>1080249</v>
      </c>
      <c r="D112" s="678">
        <f>'10. 추정 CF'!D26</f>
        <v>-1746</v>
      </c>
      <c r="E112" s="678">
        <f>'10. 추정 CF'!E26</f>
        <v>1635</v>
      </c>
      <c r="F112" s="678">
        <f>'10. 추정 CF'!F26</f>
        <v>2226</v>
      </c>
      <c r="G112" s="678">
        <f>'10. 추정 CF'!G26</f>
        <v>22293</v>
      </c>
      <c r="H112" s="678">
        <f>'10. 추정 CF'!H26</f>
        <v>0</v>
      </c>
      <c r="I112" s="678">
        <f>'10. 추정 CF'!I26</f>
        <v>0</v>
      </c>
      <c r="J112" s="678">
        <f>'10. 추정 CF'!J26</f>
        <v>0</v>
      </c>
      <c r="K112" s="678">
        <f>'10. 추정 CF'!K26</f>
        <v>0</v>
      </c>
      <c r="L112" s="678">
        <f>'10. 추정 CF'!L26</f>
        <v>0</v>
      </c>
      <c r="M112" s="678">
        <f>'10. 추정 CF'!M26</f>
        <v>0</v>
      </c>
      <c r="N112" s="678">
        <f>'10. 추정 CF'!N26</f>
        <v>0</v>
      </c>
      <c r="O112" s="678">
        <f>'13. 추정 CF'!C26</f>
        <v>-216423.04953400162</v>
      </c>
      <c r="P112" s="678">
        <f>'13. 추정 CF'!D26</f>
        <v>-1269178.530224998</v>
      </c>
      <c r="Q112" s="678">
        <f>'13. 추정 CF'!E26</f>
        <v>157981.27263999963</v>
      </c>
      <c r="R112" s="678">
        <f>'13. 추정 CF'!F26</f>
        <v>182879.93573899986</v>
      </c>
      <c r="S112" s="678">
        <f>'13. 추정 CF'!G26</f>
        <v>994200.60526100034</v>
      </c>
      <c r="T112" s="678">
        <f>'13. 추정 CF'!H26</f>
        <v>54670.113547999877</v>
      </c>
      <c r="U112" s="678">
        <f>'13. 추정 CF'!I26</f>
        <v>-81722.916157962987</v>
      </c>
      <c r="V112" s="678">
        <f>'13. 추정 CF'!J26</f>
        <v>8140.9693780590314</v>
      </c>
      <c r="W112" s="678">
        <f>'13. 추정 CF'!K26</f>
        <v>17535.137558952905</v>
      </c>
      <c r="X112" s="678">
        <f>'13. 추정 CF'!L26</f>
        <v>10907.749168918235</v>
      </c>
      <c r="Y112" s="678">
        <f>'13. 추정 CF'!M26</f>
        <v>-1793.6887903665192</v>
      </c>
      <c r="Z112" s="678">
        <f>'13. 추정 CF'!N26</f>
        <v>4396.1916502721142</v>
      </c>
      <c r="AA112" s="678">
        <f>'13. 추정 CF'!O26</f>
        <v>1365.962272652192</v>
      </c>
      <c r="AB112" s="678">
        <f>B112</f>
        <v>-222825.09475199995</v>
      </c>
      <c r="AC112" s="678">
        <f t="shared" ref="AC112:AN116" si="62">C112+P112</f>
        <v>-188929.53022499802</v>
      </c>
      <c r="AD112" s="678">
        <f t="shared" si="62"/>
        <v>156235.27263999963</v>
      </c>
      <c r="AE112" s="678">
        <f t="shared" si="62"/>
        <v>184514.93573899986</v>
      </c>
      <c r="AF112" s="678">
        <f t="shared" si="62"/>
        <v>996426.60526100034</v>
      </c>
      <c r="AG112" s="678">
        <f t="shared" si="62"/>
        <v>76963.113547999877</v>
      </c>
      <c r="AH112" s="678">
        <f t="shared" si="62"/>
        <v>-81722.916157962987</v>
      </c>
      <c r="AI112" s="678">
        <f t="shared" si="62"/>
        <v>8140.9693780590314</v>
      </c>
      <c r="AJ112" s="678">
        <f t="shared" si="62"/>
        <v>17535.137558952905</v>
      </c>
      <c r="AK112" s="678">
        <f t="shared" si="62"/>
        <v>10907.749168918235</v>
      </c>
      <c r="AL112" s="678">
        <f t="shared" si="62"/>
        <v>-1793.6887903665192</v>
      </c>
      <c r="AM112" s="678">
        <f t="shared" si="62"/>
        <v>4396.1916502721142</v>
      </c>
      <c r="AN112" s="678">
        <f t="shared" si="62"/>
        <v>1365.962272652192</v>
      </c>
    </row>
    <row r="113" spans="1:40" ht="16.5" customHeight="1" x14ac:dyDescent="0.3">
      <c r="A113" s="689" t="s">
        <v>491</v>
      </c>
      <c r="B113" s="678">
        <f>'10. 추정 CF'!B27</f>
        <v>0</v>
      </c>
      <c r="C113" s="678">
        <f>'10. 추정 CF'!C27</f>
        <v>0</v>
      </c>
      <c r="D113" s="678">
        <f>'10. 추정 CF'!D27</f>
        <v>0</v>
      </c>
      <c r="E113" s="678">
        <f>'10. 추정 CF'!E27</f>
        <v>0</v>
      </c>
      <c r="F113" s="678">
        <f>'10. 추정 CF'!F27</f>
        <v>0</v>
      </c>
      <c r="G113" s="678">
        <f>'10. 추정 CF'!G27</f>
        <v>0</v>
      </c>
      <c r="H113" s="678">
        <f>'10. 추정 CF'!H27</f>
        <v>0</v>
      </c>
      <c r="I113" s="678">
        <f>'10. 추정 CF'!I27</f>
        <v>0</v>
      </c>
      <c r="J113" s="678">
        <f>'10. 추정 CF'!J27</f>
        <v>0</v>
      </c>
      <c r="K113" s="678">
        <f>'10. 추정 CF'!K27</f>
        <v>0</v>
      </c>
      <c r="L113" s="678">
        <f>'10. 추정 CF'!L27</f>
        <v>0</v>
      </c>
      <c r="M113" s="678">
        <f>'10. 추정 CF'!M27</f>
        <v>0</v>
      </c>
      <c r="N113" s="678">
        <f>'10. 추정 CF'!N27</f>
        <v>0</v>
      </c>
      <c r="O113" s="678">
        <f>'13. 추정 CF'!C27</f>
        <v>-3918.4150490000002</v>
      </c>
      <c r="P113" s="678">
        <f>'13. 추정 CF'!D27</f>
        <v>-1214.5052049999999</v>
      </c>
      <c r="Q113" s="678">
        <f>'13. 추정 CF'!E27</f>
        <v>0</v>
      </c>
      <c r="R113" s="678">
        <f>'13. 추정 CF'!F27</f>
        <v>-11191.715326</v>
      </c>
      <c r="S113" s="678">
        <f>'13. 추정 CF'!G27</f>
        <v>0</v>
      </c>
      <c r="T113" s="678">
        <f>'13. 추정 CF'!H27</f>
        <v>0</v>
      </c>
      <c r="U113" s="678">
        <f>'13. 추정 CF'!I27</f>
        <v>0</v>
      </c>
      <c r="V113" s="678">
        <f>'13. 추정 CF'!J27</f>
        <v>0</v>
      </c>
      <c r="W113" s="678">
        <f>'13. 추정 CF'!K27</f>
        <v>0</v>
      </c>
      <c r="X113" s="678">
        <f>'13. 추정 CF'!L27</f>
        <v>0</v>
      </c>
      <c r="Y113" s="678">
        <f>'13. 추정 CF'!M27</f>
        <v>0</v>
      </c>
      <c r="Z113" s="678">
        <f>'13. 추정 CF'!N27</f>
        <v>0</v>
      </c>
      <c r="AA113" s="678">
        <f>'13. 추정 CF'!O27</f>
        <v>0</v>
      </c>
      <c r="AB113" s="678">
        <f>B113</f>
        <v>0</v>
      </c>
      <c r="AC113" s="678">
        <f t="shared" si="62"/>
        <v>-1214.5052049999999</v>
      </c>
      <c r="AD113" s="678">
        <f t="shared" si="62"/>
        <v>0</v>
      </c>
      <c r="AE113" s="678">
        <f t="shared" si="62"/>
        <v>-11191.715326</v>
      </c>
      <c r="AF113" s="678">
        <f t="shared" si="62"/>
        <v>0</v>
      </c>
      <c r="AG113" s="678">
        <f t="shared" si="62"/>
        <v>0</v>
      </c>
      <c r="AH113" s="678">
        <f t="shared" si="62"/>
        <v>0</v>
      </c>
      <c r="AI113" s="678">
        <f t="shared" si="62"/>
        <v>0</v>
      </c>
      <c r="AJ113" s="678">
        <f t="shared" si="62"/>
        <v>0</v>
      </c>
      <c r="AK113" s="678">
        <f t="shared" si="62"/>
        <v>0</v>
      </c>
      <c r="AL113" s="678">
        <f t="shared" si="62"/>
        <v>0</v>
      </c>
      <c r="AM113" s="678">
        <f t="shared" si="62"/>
        <v>0</v>
      </c>
      <c r="AN113" s="678">
        <f t="shared" si="62"/>
        <v>0</v>
      </c>
    </row>
    <row r="114" spans="1:40" ht="16.5" customHeight="1" x14ac:dyDescent="0.3">
      <c r="A114" s="689" t="s">
        <v>494</v>
      </c>
      <c r="B114" s="678">
        <f>'10. 추정 CF'!B28</f>
        <v>0</v>
      </c>
      <c r="C114" s="678">
        <f>'10. 추정 CF'!C28</f>
        <v>0</v>
      </c>
      <c r="D114" s="678">
        <f>'10. 추정 CF'!D28</f>
        <v>0</v>
      </c>
      <c r="E114" s="678">
        <f>'10. 추정 CF'!E28</f>
        <v>0</v>
      </c>
      <c r="F114" s="678">
        <f>'10. 추정 CF'!F28</f>
        <v>0</v>
      </c>
      <c r="G114" s="678">
        <f>'10. 추정 CF'!G28</f>
        <v>0</v>
      </c>
      <c r="H114" s="678">
        <f>'10. 추정 CF'!H28</f>
        <v>0</v>
      </c>
      <c r="I114" s="678">
        <f>'10. 추정 CF'!I28</f>
        <v>0</v>
      </c>
      <c r="J114" s="678">
        <f>'10. 추정 CF'!J28</f>
        <v>0</v>
      </c>
      <c r="K114" s="678">
        <f>'10. 추정 CF'!K28</f>
        <v>0</v>
      </c>
      <c r="L114" s="678">
        <f>'10. 추정 CF'!L28</f>
        <v>0</v>
      </c>
      <c r="M114" s="678">
        <f>'10. 추정 CF'!M28</f>
        <v>0</v>
      </c>
      <c r="N114" s="678">
        <f>'10. 추정 CF'!N28</f>
        <v>0</v>
      </c>
      <c r="O114" s="678">
        <f>'13. 추정 CF'!C28</f>
        <v>0</v>
      </c>
      <c r="P114" s="678">
        <f>'13. 추정 CF'!D28</f>
        <v>28359.628100999998</v>
      </c>
      <c r="Q114" s="678">
        <f>'13. 추정 CF'!E28</f>
        <v>14673.927170999999</v>
      </c>
      <c r="R114" s="678">
        <f>'13. 추정 CF'!F28</f>
        <v>0</v>
      </c>
      <c r="S114" s="678">
        <f>'13. 추정 CF'!G28</f>
        <v>1052.0385900000001</v>
      </c>
      <c r="T114" s="678">
        <f>'13. 추정 CF'!H28</f>
        <v>9180</v>
      </c>
      <c r="U114" s="678">
        <f>'13. 추정 CF'!I28</f>
        <v>-162.95277600000006</v>
      </c>
      <c r="V114" s="678">
        <f>'13. 추정 CF'!J28</f>
        <v>-162.95277600000006</v>
      </c>
      <c r="W114" s="678">
        <f>'13. 추정 CF'!K28</f>
        <v>-162.95277600000006</v>
      </c>
      <c r="X114" s="678">
        <f>'13. 추정 CF'!L28</f>
        <v>0</v>
      </c>
      <c r="Y114" s="678">
        <f>'13. 추정 CF'!M28</f>
        <v>0</v>
      </c>
      <c r="Z114" s="678">
        <f>'13. 추정 CF'!N28</f>
        <v>0</v>
      </c>
      <c r="AA114" s="678">
        <f>'13. 추정 CF'!O28</f>
        <v>0</v>
      </c>
      <c r="AB114" s="678">
        <f>B114</f>
        <v>0</v>
      </c>
      <c r="AC114" s="678">
        <f t="shared" si="62"/>
        <v>28359.628100999998</v>
      </c>
      <c r="AD114" s="678">
        <f t="shared" si="62"/>
        <v>14673.927170999999</v>
      </c>
      <c r="AE114" s="678">
        <f t="shared" si="62"/>
        <v>0</v>
      </c>
      <c r="AF114" s="678">
        <f t="shared" si="62"/>
        <v>1052.0385900000001</v>
      </c>
      <c r="AG114" s="678">
        <f t="shared" si="62"/>
        <v>9180</v>
      </c>
      <c r="AH114" s="678">
        <f t="shared" si="62"/>
        <v>-162.95277600000006</v>
      </c>
      <c r="AI114" s="678">
        <f t="shared" si="62"/>
        <v>-162.95277600000006</v>
      </c>
      <c r="AJ114" s="678">
        <f t="shared" si="62"/>
        <v>-162.95277600000006</v>
      </c>
      <c r="AK114" s="678">
        <f t="shared" si="62"/>
        <v>0</v>
      </c>
      <c r="AL114" s="678">
        <f t="shared" si="62"/>
        <v>0</v>
      </c>
      <c r="AM114" s="678">
        <f t="shared" si="62"/>
        <v>0</v>
      </c>
      <c r="AN114" s="678">
        <f t="shared" si="62"/>
        <v>0</v>
      </c>
    </row>
    <row r="115" spans="1:40" ht="16.5" customHeight="1" x14ac:dyDescent="0.3">
      <c r="A115" s="689" t="s">
        <v>504</v>
      </c>
      <c r="B115" s="678">
        <f>'10. 추정 CF'!B29</f>
        <v>0</v>
      </c>
      <c r="C115" s="678">
        <f>'10. 추정 CF'!C29</f>
        <v>11468.937261000043</v>
      </c>
      <c r="D115" s="678">
        <f>'10. 추정 CF'!D29</f>
        <v>2461</v>
      </c>
      <c r="E115" s="678">
        <f>'10. 추정 CF'!E29</f>
        <v>-73601</v>
      </c>
      <c r="F115" s="678">
        <f>'10. 추정 CF'!F29</f>
        <v>-23637</v>
      </c>
      <c r="G115" s="678">
        <f>'10. 추정 CF'!G29</f>
        <v>-14675</v>
      </c>
      <c r="H115" s="678">
        <f>'10. 추정 CF'!H29</f>
        <v>0</v>
      </c>
      <c r="I115" s="678">
        <f>'10. 추정 CF'!I29</f>
        <v>0</v>
      </c>
      <c r="J115" s="678">
        <f>'10. 추정 CF'!J29</f>
        <v>0</v>
      </c>
      <c r="K115" s="678">
        <f>'10. 추정 CF'!K29</f>
        <v>0</v>
      </c>
      <c r="L115" s="678">
        <f>'10. 추정 CF'!L29</f>
        <v>0</v>
      </c>
      <c r="M115" s="678">
        <f>'10. 추정 CF'!M29</f>
        <v>0</v>
      </c>
      <c r="N115" s="678">
        <f>'10. 추정 CF'!N29</f>
        <v>0</v>
      </c>
      <c r="O115" s="678">
        <f>'13. 추정 CF'!C29</f>
        <v>6353.2233249999999</v>
      </c>
      <c r="P115" s="678">
        <f>'13. 추정 CF'!D29</f>
        <v>-80869.729180000009</v>
      </c>
      <c r="Q115" s="678">
        <f>'13. 추정 CF'!E29</f>
        <v>29550.328726000014</v>
      </c>
      <c r="R115" s="678">
        <f>'13. 추정 CF'!F29</f>
        <v>128000.36275699738</v>
      </c>
      <c r="S115" s="678">
        <f>'13. 추정 CF'!G29</f>
        <v>72711.999714000005</v>
      </c>
      <c r="T115" s="678">
        <f>'13. 추정 CF'!H29</f>
        <v>90306.755978996996</v>
      </c>
      <c r="U115" s="678">
        <f>'13. 추정 CF'!I29</f>
        <v>0</v>
      </c>
      <c r="V115" s="678">
        <f>'13. 추정 CF'!J29</f>
        <v>0</v>
      </c>
      <c r="W115" s="678">
        <f>'13. 추정 CF'!K29</f>
        <v>0</v>
      </c>
      <c r="X115" s="678">
        <f>'13. 추정 CF'!L29</f>
        <v>0</v>
      </c>
      <c r="Y115" s="678">
        <f>'13. 추정 CF'!M29</f>
        <v>0</v>
      </c>
      <c r="Z115" s="678">
        <f>'13. 추정 CF'!N29</f>
        <v>0</v>
      </c>
      <c r="AA115" s="678">
        <f>'13. 추정 CF'!O29</f>
        <v>0</v>
      </c>
      <c r="AB115" s="678">
        <f>B115</f>
        <v>0</v>
      </c>
      <c r="AC115" s="678">
        <f t="shared" si="62"/>
        <v>-69400.791918999967</v>
      </c>
      <c r="AD115" s="678">
        <f t="shared" si="62"/>
        <v>32011.328726000014</v>
      </c>
      <c r="AE115" s="678">
        <f t="shared" si="62"/>
        <v>54399.362756997376</v>
      </c>
      <c r="AF115" s="678">
        <f t="shared" si="62"/>
        <v>49074.999714000005</v>
      </c>
      <c r="AG115" s="678">
        <f t="shared" si="62"/>
        <v>75631.755978996996</v>
      </c>
      <c r="AH115" s="678">
        <f t="shared" si="62"/>
        <v>0</v>
      </c>
      <c r="AI115" s="678">
        <f t="shared" si="62"/>
        <v>0</v>
      </c>
      <c r="AJ115" s="678">
        <f t="shared" si="62"/>
        <v>0</v>
      </c>
      <c r="AK115" s="678">
        <f t="shared" si="62"/>
        <v>0</v>
      </c>
      <c r="AL115" s="678">
        <f t="shared" si="62"/>
        <v>0</v>
      </c>
      <c r="AM115" s="678">
        <f t="shared" si="62"/>
        <v>0</v>
      </c>
      <c r="AN115" s="678">
        <f t="shared" si="62"/>
        <v>0</v>
      </c>
    </row>
    <row r="116" spans="1:40" ht="16.5" customHeight="1" x14ac:dyDescent="0.3">
      <c r="A116" s="689" t="s">
        <v>505</v>
      </c>
      <c r="B116" s="678"/>
      <c r="C116" s="678"/>
      <c r="D116" s="678"/>
      <c r="E116" s="678"/>
      <c r="F116" s="678"/>
      <c r="G116" s="678"/>
      <c r="H116" s="678"/>
      <c r="I116" s="678"/>
      <c r="J116" s="678"/>
      <c r="K116" s="678"/>
      <c r="L116" s="678"/>
      <c r="M116" s="678"/>
      <c r="N116" s="678"/>
      <c r="O116" s="678">
        <f>'13. 추정 CF'!C30</f>
        <v>0</v>
      </c>
      <c r="P116" s="678">
        <f>'13. 추정 CF'!D30</f>
        <v>-167106.41249300004</v>
      </c>
      <c r="Q116" s="678">
        <f>'13. 추정 CF'!E30</f>
        <v>0</v>
      </c>
      <c r="R116" s="678">
        <f>'13. 추정 CF'!F30</f>
        <v>0</v>
      </c>
      <c r="S116" s="678">
        <f>'13. 추정 CF'!G30</f>
        <v>-832360.76730599999</v>
      </c>
      <c r="T116" s="678">
        <f>'13. 추정 CF'!H30</f>
        <v>0</v>
      </c>
      <c r="U116" s="678">
        <f>'13. 추정 CF'!I30</f>
        <v>0</v>
      </c>
      <c r="V116" s="678">
        <f>'13. 추정 CF'!J30</f>
        <v>0</v>
      </c>
      <c r="W116" s="678">
        <f>'13. 추정 CF'!K30</f>
        <v>0</v>
      </c>
      <c r="X116" s="678">
        <f>'13. 추정 CF'!L30</f>
        <v>0</v>
      </c>
      <c r="Y116" s="678">
        <f>'13. 추정 CF'!M30</f>
        <v>0</v>
      </c>
      <c r="Z116" s="678">
        <f>'13. 추정 CF'!N30</f>
        <v>0</v>
      </c>
      <c r="AA116" s="678">
        <f>'13. 추정 CF'!O30</f>
        <v>0</v>
      </c>
      <c r="AB116" s="678">
        <f>B116</f>
        <v>0</v>
      </c>
      <c r="AC116" s="678">
        <f t="shared" si="62"/>
        <v>-167106.41249300004</v>
      </c>
      <c r="AD116" s="678">
        <f t="shared" si="62"/>
        <v>0</v>
      </c>
      <c r="AE116" s="678">
        <f t="shared" si="62"/>
        <v>0</v>
      </c>
      <c r="AF116" s="678">
        <f t="shared" si="62"/>
        <v>-832360.76730599999</v>
      </c>
      <c r="AG116" s="678">
        <f t="shared" si="62"/>
        <v>0</v>
      </c>
      <c r="AH116" s="678">
        <f t="shared" si="62"/>
        <v>0</v>
      </c>
      <c r="AI116" s="678">
        <f t="shared" si="62"/>
        <v>0</v>
      </c>
      <c r="AJ116" s="678">
        <f t="shared" si="62"/>
        <v>0</v>
      </c>
      <c r="AK116" s="678">
        <f t="shared" si="62"/>
        <v>0</v>
      </c>
      <c r="AL116" s="678">
        <f t="shared" si="62"/>
        <v>0</v>
      </c>
      <c r="AM116" s="678">
        <f t="shared" si="62"/>
        <v>0</v>
      </c>
      <c r="AN116" s="678">
        <f t="shared" si="62"/>
        <v>0</v>
      </c>
    </row>
    <row r="117" spans="1:40" ht="16.5" customHeight="1" x14ac:dyDescent="0.3">
      <c r="A117" s="688" t="s">
        <v>506</v>
      </c>
      <c r="B117" s="678">
        <f>SUM(B118:B119)</f>
        <v>-15719</v>
      </c>
      <c r="C117" s="678">
        <f t="shared" ref="C117:AN117" si="63">SUM(C118:C119)</f>
        <v>-22503</v>
      </c>
      <c r="D117" s="678">
        <f t="shared" si="63"/>
        <v>-6334.5999999999767</v>
      </c>
      <c r="E117" s="678">
        <f t="shared" si="63"/>
        <v>-10109</v>
      </c>
      <c r="F117" s="678">
        <f t="shared" si="63"/>
        <v>-10191</v>
      </c>
      <c r="G117" s="678">
        <f t="shared" si="63"/>
        <v>-5614.2219120000009</v>
      </c>
      <c r="H117" s="678">
        <f t="shared" si="63"/>
        <v>-25018.890060885686</v>
      </c>
      <c r="I117" s="678">
        <f t="shared" si="63"/>
        <v>-15925.032547932356</v>
      </c>
      <c r="J117" s="678">
        <f t="shared" si="63"/>
        <v>-15864.296803348596</v>
      </c>
      <c r="K117" s="678">
        <f t="shared" si="63"/>
        <v>-15804.66248418475</v>
      </c>
      <c r="L117" s="678">
        <f t="shared" si="63"/>
        <v>-15746.109616404668</v>
      </c>
      <c r="M117" s="678">
        <f t="shared" si="63"/>
        <v>-15688.618588195848</v>
      </c>
      <c r="N117" s="678">
        <f t="shared" si="63"/>
        <v>-15632.17014340007</v>
      </c>
      <c r="O117" s="678">
        <f t="shared" si="63"/>
        <v>-413015.57188699988</v>
      </c>
      <c r="P117" s="678">
        <f t="shared" si="63"/>
        <v>-573281.12276000041</v>
      </c>
      <c r="Q117" s="678">
        <f t="shared" si="63"/>
        <v>-616982.05271499977</v>
      </c>
      <c r="R117" s="678">
        <f t="shared" si="63"/>
        <v>-673433.37188000069</v>
      </c>
      <c r="S117" s="678">
        <f t="shared" si="63"/>
        <v>-548020.635197</v>
      </c>
      <c r="T117" s="678">
        <f t="shared" si="63"/>
        <v>-432896.58836699976</v>
      </c>
      <c r="U117" s="678">
        <f t="shared" si="63"/>
        <v>-555811.13607534056</v>
      </c>
      <c r="V117" s="678">
        <f t="shared" si="63"/>
        <v>-533983.56844074803</v>
      </c>
      <c r="W117" s="678">
        <f t="shared" si="63"/>
        <v>-536850.75516734703</v>
      </c>
      <c r="X117" s="678">
        <f t="shared" si="63"/>
        <v>-571742.89981587185</v>
      </c>
      <c r="Y117" s="678">
        <f t="shared" si="63"/>
        <v>-577994.29529238259</v>
      </c>
      <c r="Z117" s="678">
        <f t="shared" si="63"/>
        <v>-590389.50746843265</v>
      </c>
      <c r="AA117" s="678">
        <f t="shared" si="63"/>
        <v>-603681.5267024124</v>
      </c>
      <c r="AB117" s="678">
        <f t="shared" si="63"/>
        <v>-15719</v>
      </c>
      <c r="AC117" s="678">
        <f t="shared" si="63"/>
        <v>-595784.12276000041</v>
      </c>
      <c r="AD117" s="678">
        <f t="shared" si="63"/>
        <v>-623316.65271499974</v>
      </c>
      <c r="AE117" s="678">
        <f t="shared" si="63"/>
        <v>-683542.37188000069</v>
      </c>
      <c r="AF117" s="678">
        <f t="shared" si="63"/>
        <v>-558211.635197</v>
      </c>
      <c r="AG117" s="678">
        <f t="shared" si="63"/>
        <v>-438510.81027899974</v>
      </c>
      <c r="AH117" s="678">
        <f t="shared" si="63"/>
        <v>-580830.02613622625</v>
      </c>
      <c r="AI117" s="678">
        <f t="shared" si="63"/>
        <v>-549908.60098868038</v>
      </c>
      <c r="AJ117" s="678">
        <f t="shared" si="63"/>
        <v>-552715.05197069561</v>
      </c>
      <c r="AK117" s="678">
        <f t="shared" si="63"/>
        <v>-587547.56230005657</v>
      </c>
      <c r="AL117" s="678">
        <f t="shared" si="63"/>
        <v>-593740.40490878723</v>
      </c>
      <c r="AM117" s="678">
        <f t="shared" si="63"/>
        <v>-606078.12605662853</v>
      </c>
      <c r="AN117" s="678">
        <f t="shared" si="63"/>
        <v>-619313.69684581249</v>
      </c>
    </row>
    <row r="118" spans="1:40" ht="16.5" customHeight="1" x14ac:dyDescent="0.3">
      <c r="A118" s="689" t="s">
        <v>507</v>
      </c>
      <c r="B118" s="678">
        <f>'10. 추정 CF'!B31</f>
        <v>-15719</v>
      </c>
      <c r="C118" s="678">
        <f>'10. 추정 CF'!C31</f>
        <v>-22503</v>
      </c>
      <c r="D118" s="678">
        <f>'10. 추정 CF'!D31</f>
        <v>-6334.5999999999767</v>
      </c>
      <c r="E118" s="678">
        <f>'10. 추정 CF'!E31</f>
        <v>-10109</v>
      </c>
      <c r="F118" s="678">
        <f>'10. 추정 CF'!F31</f>
        <v>-10191</v>
      </c>
      <c r="G118" s="678">
        <f>'10. 추정 CF'!G31</f>
        <v>-5614.2219120000009</v>
      </c>
      <c r="H118" s="678">
        <f>'10. 추정 CF'!H31</f>
        <v>-25018.890060885686</v>
      </c>
      <c r="I118" s="678">
        <f>'10. 추정 CF'!I31</f>
        <v>-15925.032547932356</v>
      </c>
      <c r="J118" s="678">
        <f>'10. 추정 CF'!J31</f>
        <v>-15864.296803348596</v>
      </c>
      <c r="K118" s="678">
        <f>'10. 추정 CF'!K31</f>
        <v>-15804.66248418475</v>
      </c>
      <c r="L118" s="678">
        <f>'10. 추정 CF'!L31</f>
        <v>-15746.109616404668</v>
      </c>
      <c r="M118" s="678">
        <f>'10. 추정 CF'!M31</f>
        <v>-15688.618588195848</v>
      </c>
      <c r="N118" s="678">
        <f>'10. 추정 CF'!N31</f>
        <v>-15632.17014340007</v>
      </c>
      <c r="O118" s="678">
        <f>'13. 추정 CF'!C32</f>
        <v>-415086.98468099989</v>
      </c>
      <c r="P118" s="678">
        <f>'13. 추정 CF'!D32</f>
        <v>-590385.95422000042</v>
      </c>
      <c r="Q118" s="678">
        <f>'13. 추정 CF'!E32</f>
        <v>-617584.8560309998</v>
      </c>
      <c r="R118" s="678">
        <f>'13. 추정 CF'!F32</f>
        <v>-675566.46958700067</v>
      </c>
      <c r="S118" s="678">
        <f>'13. 추정 CF'!G32</f>
        <v>-560223.13931100001</v>
      </c>
      <c r="T118" s="678">
        <f>'13. 추정 CF'!H32</f>
        <v>-439012.58836699976</v>
      </c>
      <c r="U118" s="678">
        <f>'13. 추정 CF'!I32</f>
        <v>-566361.42583971482</v>
      </c>
      <c r="V118" s="678">
        <f>'13. 추정 CF'!J32</f>
        <v>-561137.14164411835</v>
      </c>
      <c r="W118" s="678">
        <f>'13. 추정 CF'!K32</f>
        <v>-564304.94102829252</v>
      </c>
      <c r="X118" s="678">
        <f>'13. 추정 CF'!L32</f>
        <v>-593462.24942543521</v>
      </c>
      <c r="Y118" s="678">
        <f>'13. 추정 CF'!M32</f>
        <v>-603436.66485034232</v>
      </c>
      <c r="Z118" s="678">
        <f>'13. 추정 CF'!N32</f>
        <v>-615261.47581125551</v>
      </c>
      <c r="AA118" s="678">
        <f>'13. 추정 CF'!O32</f>
        <v>-627692.75587252772</v>
      </c>
      <c r="AB118" s="678">
        <f>B118</f>
        <v>-15719</v>
      </c>
      <c r="AC118" s="678">
        <f t="shared" ref="AC118:AN119" si="64">C118+P118</f>
        <v>-612888.95422000042</v>
      </c>
      <c r="AD118" s="678">
        <f t="shared" si="64"/>
        <v>-623919.45603099978</v>
      </c>
      <c r="AE118" s="678">
        <f t="shared" si="64"/>
        <v>-685675.46958700067</v>
      </c>
      <c r="AF118" s="678">
        <f t="shared" si="64"/>
        <v>-570414.13931100001</v>
      </c>
      <c r="AG118" s="678">
        <f t="shared" si="64"/>
        <v>-444626.81027899974</v>
      </c>
      <c r="AH118" s="678">
        <f t="shared" si="64"/>
        <v>-591380.31590060052</v>
      </c>
      <c r="AI118" s="678">
        <f t="shared" si="64"/>
        <v>-577062.1741920507</v>
      </c>
      <c r="AJ118" s="678">
        <f t="shared" si="64"/>
        <v>-580169.23783164111</v>
      </c>
      <c r="AK118" s="678">
        <f t="shared" si="64"/>
        <v>-609266.91190961993</v>
      </c>
      <c r="AL118" s="678">
        <f t="shared" si="64"/>
        <v>-619182.77446674695</v>
      </c>
      <c r="AM118" s="678">
        <f t="shared" si="64"/>
        <v>-630950.09439945139</v>
      </c>
      <c r="AN118" s="678">
        <f t="shared" si="64"/>
        <v>-643324.92601592781</v>
      </c>
    </row>
    <row r="119" spans="1:40" ht="16.5" customHeight="1" x14ac:dyDescent="0.3">
      <c r="A119" s="689" t="s">
        <v>493</v>
      </c>
      <c r="B119" s="678">
        <f>'10. 추정 CF'!B32</f>
        <v>0</v>
      </c>
      <c r="C119" s="678">
        <f>'10. 추정 CF'!C32</f>
        <v>0</v>
      </c>
      <c r="D119" s="678">
        <f>'10. 추정 CF'!D32</f>
        <v>0</v>
      </c>
      <c r="E119" s="678">
        <f>'10. 추정 CF'!E32</f>
        <v>0</v>
      </c>
      <c r="F119" s="678">
        <f>'10. 추정 CF'!F32</f>
        <v>0</v>
      </c>
      <c r="G119" s="678">
        <f>'10. 추정 CF'!G32</f>
        <v>0</v>
      </c>
      <c r="H119" s="678">
        <f>'10. 추정 CF'!H32</f>
        <v>0</v>
      </c>
      <c r="I119" s="678">
        <f>'10. 추정 CF'!I32</f>
        <v>0</v>
      </c>
      <c r="J119" s="678">
        <f>'10. 추정 CF'!J32</f>
        <v>0</v>
      </c>
      <c r="K119" s="678">
        <f>'10. 추정 CF'!K32</f>
        <v>0</v>
      </c>
      <c r="L119" s="678">
        <f>'10. 추정 CF'!L32</f>
        <v>0</v>
      </c>
      <c r="M119" s="678">
        <f>'10. 추정 CF'!M32</f>
        <v>0</v>
      </c>
      <c r="N119" s="678">
        <f>'10. 추정 CF'!N32</f>
        <v>0</v>
      </c>
      <c r="O119" s="678">
        <f>'13. 추정 CF'!C33</f>
        <v>2071.4127939999998</v>
      </c>
      <c r="P119" s="678">
        <f>'13. 추정 CF'!D33</f>
        <v>17104.831460000001</v>
      </c>
      <c r="Q119" s="678">
        <f>'13. 추정 CF'!E33</f>
        <v>602.803316</v>
      </c>
      <c r="R119" s="678">
        <f>'13. 추정 CF'!F33</f>
        <v>2133.0977069999999</v>
      </c>
      <c r="S119" s="678">
        <f>'13. 추정 CF'!G33</f>
        <v>12202.504114000001</v>
      </c>
      <c r="T119" s="678">
        <f>'13. 추정 CF'!H33</f>
        <v>6116</v>
      </c>
      <c r="U119" s="678">
        <f>'13. 추정 CF'!I33</f>
        <v>10550.289764374216</v>
      </c>
      <c r="V119" s="678">
        <f>'13. 추정 CF'!J33</f>
        <v>27153.573203370284</v>
      </c>
      <c r="W119" s="678">
        <f>'13. 추정 CF'!K33</f>
        <v>27454.185860945545</v>
      </c>
      <c r="X119" s="678">
        <f>'13. 추정 CF'!L33</f>
        <v>21719.349609563349</v>
      </c>
      <c r="Y119" s="678">
        <f>'13. 추정 CF'!M33</f>
        <v>25442.369557959726</v>
      </c>
      <c r="Z119" s="678">
        <f>'13. 추정 CF'!N33</f>
        <v>24871.968342822875</v>
      </c>
      <c r="AA119" s="678">
        <f>'13. 추정 CF'!O33</f>
        <v>24011.229170115319</v>
      </c>
      <c r="AB119" s="678">
        <f>B119</f>
        <v>0</v>
      </c>
      <c r="AC119" s="678">
        <f t="shared" si="64"/>
        <v>17104.831460000001</v>
      </c>
      <c r="AD119" s="678">
        <f t="shared" si="64"/>
        <v>602.803316</v>
      </c>
      <c r="AE119" s="678">
        <f t="shared" si="64"/>
        <v>2133.0977069999999</v>
      </c>
      <c r="AF119" s="678">
        <f t="shared" si="64"/>
        <v>12202.504114000001</v>
      </c>
      <c r="AG119" s="678">
        <f t="shared" si="64"/>
        <v>6116</v>
      </c>
      <c r="AH119" s="678">
        <f t="shared" si="64"/>
        <v>10550.289764374216</v>
      </c>
      <c r="AI119" s="678">
        <f t="shared" si="64"/>
        <v>27153.573203370284</v>
      </c>
      <c r="AJ119" s="678">
        <f t="shared" si="64"/>
        <v>27454.185860945545</v>
      </c>
      <c r="AK119" s="678">
        <f t="shared" si="64"/>
        <v>21719.349609563349</v>
      </c>
      <c r="AL119" s="678">
        <f t="shared" si="64"/>
        <v>25442.369557959726</v>
      </c>
      <c r="AM119" s="678">
        <f t="shared" si="64"/>
        <v>24871.968342822875</v>
      </c>
      <c r="AN119" s="678">
        <f t="shared" si="64"/>
        <v>24011.229170115319</v>
      </c>
    </row>
    <row r="120" spans="1:40" ht="16.5" customHeight="1" x14ac:dyDescent="0.3">
      <c r="A120" s="678" t="s">
        <v>508</v>
      </c>
      <c r="B120" s="678">
        <f t="shared" ref="B120:AN120" si="65">SUM(B121:B123)</f>
        <v>-38788</v>
      </c>
      <c r="C120" s="678">
        <f t="shared" si="65"/>
        <v>-50681</v>
      </c>
      <c r="D120" s="678">
        <f t="shared" si="65"/>
        <v>0</v>
      </c>
      <c r="E120" s="678">
        <f t="shared" si="65"/>
        <v>-74617</v>
      </c>
      <c r="F120" s="678">
        <f t="shared" si="65"/>
        <v>-82172.896025999915</v>
      </c>
      <c r="G120" s="678">
        <f t="shared" si="65"/>
        <v>-119921.44125660998</v>
      </c>
      <c r="H120" s="678">
        <f t="shared" si="65"/>
        <v>-1033.7766439288389</v>
      </c>
      <c r="I120" s="678">
        <f t="shared" si="65"/>
        <v>-75210.75580043532</v>
      </c>
      <c r="J120" s="678">
        <f t="shared" si="65"/>
        <v>-70694.599337140564</v>
      </c>
      <c r="K120" s="678">
        <f t="shared" si="65"/>
        <v>-69167.193932511844</v>
      </c>
      <c r="L120" s="678">
        <f t="shared" si="65"/>
        <v>-67920.782994509209</v>
      </c>
      <c r="M120" s="678">
        <f t="shared" si="65"/>
        <v>-66940.337027945323</v>
      </c>
      <c r="N120" s="678">
        <f t="shared" si="65"/>
        <v>-67011.951879765373</v>
      </c>
      <c r="O120" s="678">
        <f t="shared" si="65"/>
        <v>-174050.46143100027</v>
      </c>
      <c r="P120" s="678">
        <f t="shared" si="65"/>
        <v>968539.49033300008</v>
      </c>
      <c r="Q120" s="678">
        <f t="shared" si="65"/>
        <v>209604.0642609997</v>
      </c>
      <c r="R120" s="678">
        <f t="shared" si="65"/>
        <v>143445.76082100024</v>
      </c>
      <c r="S120" s="678">
        <f t="shared" si="65"/>
        <v>-106118.07817400128</v>
      </c>
      <c r="T120" s="678">
        <f t="shared" si="65"/>
        <v>-147377.0616829978</v>
      </c>
      <c r="U120" s="678">
        <f t="shared" si="65"/>
        <v>-112574.98233045987</v>
      </c>
      <c r="V120" s="678">
        <f t="shared" si="65"/>
        <v>-68138.454710236751</v>
      </c>
      <c r="W120" s="678">
        <f t="shared" si="65"/>
        <v>-69789.31045452808</v>
      </c>
      <c r="X120" s="678">
        <f t="shared" si="65"/>
        <v>-68950.83926920197</v>
      </c>
      <c r="Y120" s="678">
        <f t="shared" si="65"/>
        <v>-69392.773376779631</v>
      </c>
      <c r="Z120" s="678">
        <f t="shared" si="65"/>
        <v>-75793.70699443249</v>
      </c>
      <c r="AA120" s="678">
        <f t="shared" si="65"/>
        <v>-77828.99326777691</v>
      </c>
      <c r="AB120" s="678">
        <f t="shared" si="65"/>
        <v>-38788</v>
      </c>
      <c r="AC120" s="678">
        <f t="shared" si="65"/>
        <v>917858.49033300008</v>
      </c>
      <c r="AD120" s="678">
        <f t="shared" si="65"/>
        <v>209604.0642609997</v>
      </c>
      <c r="AE120" s="678">
        <f t="shared" si="65"/>
        <v>68828.760821000236</v>
      </c>
      <c r="AF120" s="678">
        <f t="shared" si="65"/>
        <v>-188290.97420000119</v>
      </c>
      <c r="AG120" s="678">
        <f t="shared" si="65"/>
        <v>-267298.50293960777</v>
      </c>
      <c r="AH120" s="678">
        <f t="shared" si="65"/>
        <v>-113608.75897438871</v>
      </c>
      <c r="AI120" s="678">
        <f t="shared" si="65"/>
        <v>-143349.21051067207</v>
      </c>
      <c r="AJ120" s="678">
        <f t="shared" si="65"/>
        <v>-140483.90979166864</v>
      </c>
      <c r="AK120" s="678">
        <f t="shared" si="65"/>
        <v>-138118.03320171381</v>
      </c>
      <c r="AL120" s="678">
        <f t="shared" si="65"/>
        <v>-137313.55637128884</v>
      </c>
      <c r="AM120" s="678">
        <f t="shared" si="65"/>
        <v>-142734.04402237781</v>
      </c>
      <c r="AN120" s="678">
        <f t="shared" si="65"/>
        <v>-144840.94514754228</v>
      </c>
    </row>
    <row r="121" spans="1:40" ht="16.5" customHeight="1" x14ac:dyDescent="0.3">
      <c r="A121" s="688" t="s">
        <v>509</v>
      </c>
      <c r="B121" s="678">
        <f>'10. 추정 CF'!B34</f>
        <v>0</v>
      </c>
      <c r="C121" s="678">
        <f>'10. 추정 CF'!C34</f>
        <v>0</v>
      </c>
      <c r="D121" s="678">
        <f>'10. 추정 CF'!D34</f>
        <v>0</v>
      </c>
      <c r="E121" s="678">
        <f>'10. 추정 CF'!E34</f>
        <v>-74617</v>
      </c>
      <c r="F121" s="678">
        <f>'10. 추정 CF'!F34</f>
        <v>-82172.896025999915</v>
      </c>
      <c r="G121" s="678">
        <f>'10. 추정 CF'!G34</f>
        <v>-119921.44125660998</v>
      </c>
      <c r="H121" s="678">
        <f>'10. 추정 CF'!H34</f>
        <v>-1033.7766439288389</v>
      </c>
      <c r="I121" s="678">
        <f>'10. 추정 CF'!I34</f>
        <v>-75210.75580043532</v>
      </c>
      <c r="J121" s="678">
        <f>'10. 추정 CF'!J34</f>
        <v>-70694.599337140564</v>
      </c>
      <c r="K121" s="678">
        <f>'10. 추정 CF'!K34</f>
        <v>-69167.193932511844</v>
      </c>
      <c r="L121" s="678">
        <f>'10. 추정 CF'!L34</f>
        <v>-67920.782994509209</v>
      </c>
      <c r="M121" s="678">
        <f>'10. 추정 CF'!M34</f>
        <v>-66940.337027945323</v>
      </c>
      <c r="N121" s="678">
        <f>'10. 추정 CF'!N34</f>
        <v>-67011.951879765373</v>
      </c>
      <c r="O121" s="678">
        <f>'13. 추정 CF'!C35</f>
        <v>-63493.469371000188</v>
      </c>
      <c r="P121" s="678">
        <f>'13. 추정 CF'!D35</f>
        <v>635767.0342570002</v>
      </c>
      <c r="Q121" s="678">
        <f>'13. 추정 CF'!E35</f>
        <v>283712.03144799988</v>
      </c>
      <c r="R121" s="678">
        <f>'13. 추정 CF'!F35</f>
        <v>126273.38487100019</v>
      </c>
      <c r="S121" s="678">
        <f>'13. 추정 CF'!G35</f>
        <v>7403.4352789977565</v>
      </c>
      <c r="T121" s="678">
        <f>'13. 추정 CF'!H35</f>
        <v>-49392.784422997851</v>
      </c>
      <c r="U121" s="678">
        <f>'13. 추정 CF'!I35</f>
        <v>-45497.512026459211</v>
      </c>
      <c r="V121" s="678">
        <f>'13. 추정 CF'!J35</f>
        <v>15510.755800435087</v>
      </c>
      <c r="W121" s="678">
        <f>'13. 추정 CF'!K35</f>
        <v>20694.599337140564</v>
      </c>
      <c r="X121" s="678">
        <f>'13. 추정 CF'!L35</f>
        <v>19167.193932511844</v>
      </c>
      <c r="Y121" s="678">
        <f>'13. 추정 CF'!M35</f>
        <v>17920.782994509442</v>
      </c>
      <c r="Z121" s="678">
        <f>'13. 추정 CF'!N35</f>
        <v>16940.337027945323</v>
      </c>
      <c r="AA121" s="678">
        <f>'13. 추정 CF'!O35</f>
        <v>17011.951879765373</v>
      </c>
      <c r="AB121" s="678">
        <f>B121</f>
        <v>0</v>
      </c>
      <c r="AC121" s="678">
        <f t="shared" ref="AC121:AN123" si="66">C121+P121</f>
        <v>635767.0342570002</v>
      </c>
      <c r="AD121" s="678">
        <f t="shared" si="66"/>
        <v>283712.03144799988</v>
      </c>
      <c r="AE121" s="678">
        <f t="shared" si="66"/>
        <v>51656.384871000191</v>
      </c>
      <c r="AF121" s="678">
        <f t="shared" si="66"/>
        <v>-74769.460747002158</v>
      </c>
      <c r="AG121" s="678">
        <f t="shared" si="66"/>
        <v>-169314.22567960783</v>
      </c>
      <c r="AH121" s="678">
        <f t="shared" si="66"/>
        <v>-46531.28867038805</v>
      </c>
      <c r="AI121" s="678">
        <f t="shared" si="66"/>
        <v>-59700.000000000233</v>
      </c>
      <c r="AJ121" s="678">
        <f t="shared" si="66"/>
        <v>-50000</v>
      </c>
      <c r="AK121" s="678">
        <f t="shared" si="66"/>
        <v>-50000</v>
      </c>
      <c r="AL121" s="678">
        <f t="shared" si="66"/>
        <v>-49999.999999999767</v>
      </c>
      <c r="AM121" s="678">
        <f t="shared" si="66"/>
        <v>-50000</v>
      </c>
      <c r="AN121" s="678">
        <f t="shared" si="66"/>
        <v>-50000</v>
      </c>
    </row>
    <row r="122" spans="1:40" ht="16.5" customHeight="1" x14ac:dyDescent="0.3">
      <c r="A122" s="688" t="s">
        <v>510</v>
      </c>
      <c r="B122" s="678">
        <f>'10. 추정 CF'!B35</f>
        <v>0</v>
      </c>
      <c r="C122" s="678">
        <f>'10. 추정 CF'!C35</f>
        <v>0</v>
      </c>
      <c r="D122" s="678">
        <f>'10. 추정 CF'!D35</f>
        <v>0</v>
      </c>
      <c r="E122" s="678">
        <f>'10. 추정 CF'!E35</f>
        <v>0</v>
      </c>
      <c r="F122" s="678">
        <f>'10. 추정 CF'!F35</f>
        <v>0</v>
      </c>
      <c r="G122" s="678">
        <f>'10. 추정 CF'!G35</f>
        <v>0</v>
      </c>
      <c r="H122" s="678">
        <f>'10. 추정 CF'!H35</f>
        <v>0</v>
      </c>
      <c r="I122" s="678">
        <f>'10. 추정 CF'!I35</f>
        <v>0</v>
      </c>
      <c r="J122" s="678">
        <f>'10. 추정 CF'!J35</f>
        <v>0</v>
      </c>
      <c r="K122" s="678">
        <f>'10. 추정 CF'!K35</f>
        <v>0</v>
      </c>
      <c r="L122" s="678">
        <f>'10. 추정 CF'!L35</f>
        <v>0</v>
      </c>
      <c r="M122" s="678">
        <f>'10. 추정 CF'!M35</f>
        <v>0</v>
      </c>
      <c r="N122" s="678">
        <f>'10. 추정 CF'!N35</f>
        <v>0</v>
      </c>
      <c r="O122" s="678">
        <f>'13. 추정 CF'!C36</f>
        <v>-52806.992060000077</v>
      </c>
      <c r="P122" s="678">
        <f>'13. 추정 CF'!D36</f>
        <v>402072.45607599989</v>
      </c>
      <c r="Q122" s="678">
        <f>'13. 추정 CF'!E36</f>
        <v>48508.062812999822</v>
      </c>
      <c r="R122" s="678">
        <f>'13. 추정 CF'!F36</f>
        <v>61109.786700000055</v>
      </c>
      <c r="S122" s="678">
        <f>'13. 추정 CF'!G36</f>
        <v>-61802.385452999035</v>
      </c>
      <c r="T122" s="678">
        <f>'13. 추정 CF'!H36</f>
        <v>-56201.482259999961</v>
      </c>
      <c r="U122" s="678">
        <f>'13. 추정 CF'!I36</f>
        <v>-33430.470304000657</v>
      </c>
      <c r="V122" s="678">
        <f>'13. 추정 CF'!J36</f>
        <v>-26336.210510671837</v>
      </c>
      <c r="W122" s="678">
        <f>'13. 추정 CF'!K36</f>
        <v>-22147.909791668644</v>
      </c>
      <c r="X122" s="678">
        <f>'13. 추정 CF'!L36</f>
        <v>-20165.033201713813</v>
      </c>
      <c r="Y122" s="678">
        <f>'13. 추정 CF'!M36</f>
        <v>-18938.556371289073</v>
      </c>
      <c r="Z122" s="678">
        <f>'13. 추정 CF'!N36</f>
        <v>-19528.044022377813</v>
      </c>
      <c r="AA122" s="678">
        <f>'13. 추정 CF'!O36</f>
        <v>-19399.945147542283</v>
      </c>
      <c r="AB122" s="678">
        <f>B122</f>
        <v>0</v>
      </c>
      <c r="AC122" s="678">
        <f t="shared" si="66"/>
        <v>402072.45607599989</v>
      </c>
      <c r="AD122" s="678">
        <f t="shared" si="66"/>
        <v>48508.062812999822</v>
      </c>
      <c r="AE122" s="678">
        <f t="shared" si="66"/>
        <v>61109.786700000055</v>
      </c>
      <c r="AF122" s="678">
        <f t="shared" si="66"/>
        <v>-61802.385452999035</v>
      </c>
      <c r="AG122" s="678">
        <f t="shared" si="66"/>
        <v>-56201.482259999961</v>
      </c>
      <c r="AH122" s="678">
        <f t="shared" si="66"/>
        <v>-33430.470304000657</v>
      </c>
      <c r="AI122" s="678">
        <f t="shared" si="66"/>
        <v>-26336.210510671837</v>
      </c>
      <c r="AJ122" s="678">
        <f t="shared" si="66"/>
        <v>-22147.909791668644</v>
      </c>
      <c r="AK122" s="678">
        <f t="shared" si="66"/>
        <v>-20165.033201713813</v>
      </c>
      <c r="AL122" s="678">
        <f t="shared" si="66"/>
        <v>-18938.556371289073</v>
      </c>
      <c r="AM122" s="678">
        <f t="shared" si="66"/>
        <v>-19528.044022377813</v>
      </c>
      <c r="AN122" s="678">
        <f t="shared" si="66"/>
        <v>-19399.945147542283</v>
      </c>
    </row>
    <row r="123" spans="1:40" ht="16.5" customHeight="1" x14ac:dyDescent="0.3">
      <c r="A123" s="688" t="s">
        <v>232</v>
      </c>
      <c r="B123" s="678">
        <f>'10. 추정 CF'!B36</f>
        <v>-38788</v>
      </c>
      <c r="C123" s="678">
        <f>'10. 추정 CF'!C36</f>
        <v>-50681</v>
      </c>
      <c r="D123" s="678">
        <f>'10. 추정 CF'!D36</f>
        <v>0</v>
      </c>
      <c r="E123" s="678">
        <f>'10. 추정 CF'!E36</f>
        <v>0</v>
      </c>
      <c r="F123" s="678">
        <f>'10. 추정 CF'!F36</f>
        <v>0</v>
      </c>
      <c r="G123" s="678">
        <f>'10. 추정 CF'!G36</f>
        <v>0</v>
      </c>
      <c r="H123" s="678">
        <f>'10. 추정 CF'!H36</f>
        <v>0</v>
      </c>
      <c r="I123" s="678">
        <f>'10. 추정 CF'!I36</f>
        <v>0</v>
      </c>
      <c r="J123" s="678">
        <f>'10. 추정 CF'!J36</f>
        <v>0</v>
      </c>
      <c r="K123" s="678">
        <f>'10. 추정 CF'!K36</f>
        <v>0</v>
      </c>
      <c r="L123" s="678">
        <f>'10. 추정 CF'!L36</f>
        <v>0</v>
      </c>
      <c r="M123" s="678">
        <f>'10. 추정 CF'!M36</f>
        <v>0</v>
      </c>
      <c r="N123" s="678">
        <f>'10. 추정 CF'!N36</f>
        <v>0</v>
      </c>
      <c r="O123" s="678">
        <f>'13. 추정 CF'!C37</f>
        <v>-57750</v>
      </c>
      <c r="P123" s="678">
        <f>'13. 추정 CF'!D37</f>
        <v>-69300</v>
      </c>
      <c r="Q123" s="678">
        <f>'13. 추정 CF'!E37</f>
        <v>-122616.03</v>
      </c>
      <c r="R123" s="678">
        <f>'13. 추정 CF'!F37</f>
        <v>-43937.410750000003</v>
      </c>
      <c r="S123" s="678">
        <f>'13. 추정 CF'!G37</f>
        <v>-51719.127999999997</v>
      </c>
      <c r="T123" s="678">
        <f>'13. 추정 CF'!H37</f>
        <v>-41782.794999999998</v>
      </c>
      <c r="U123" s="678">
        <f>'13. 추정 CF'!I37</f>
        <v>-33647</v>
      </c>
      <c r="V123" s="678">
        <f>'13. 추정 CF'!J37</f>
        <v>-57313</v>
      </c>
      <c r="W123" s="678">
        <f>'13. 추정 CF'!K37</f>
        <v>-68336</v>
      </c>
      <c r="X123" s="678">
        <f>'13. 추정 CF'!L37</f>
        <v>-67953</v>
      </c>
      <c r="Y123" s="678">
        <f>'13. 추정 CF'!M37</f>
        <v>-68375</v>
      </c>
      <c r="Z123" s="678">
        <f>'13. 추정 CF'!N37</f>
        <v>-73206</v>
      </c>
      <c r="AA123" s="678">
        <f>'13. 추정 CF'!O37</f>
        <v>-75441</v>
      </c>
      <c r="AB123" s="678">
        <f>B123</f>
        <v>-38788</v>
      </c>
      <c r="AC123" s="678">
        <f t="shared" si="66"/>
        <v>-119981</v>
      </c>
      <c r="AD123" s="678">
        <f t="shared" si="66"/>
        <v>-122616.03</v>
      </c>
      <c r="AE123" s="678">
        <f t="shared" si="66"/>
        <v>-43937.410750000003</v>
      </c>
      <c r="AF123" s="678">
        <f t="shared" si="66"/>
        <v>-51719.127999999997</v>
      </c>
      <c r="AG123" s="678">
        <f t="shared" si="66"/>
        <v>-41782.794999999998</v>
      </c>
      <c r="AH123" s="678">
        <f t="shared" si="66"/>
        <v>-33647</v>
      </c>
      <c r="AI123" s="678">
        <f t="shared" si="66"/>
        <v>-57313</v>
      </c>
      <c r="AJ123" s="678">
        <f t="shared" si="66"/>
        <v>-68336</v>
      </c>
      <c r="AK123" s="678">
        <f t="shared" si="66"/>
        <v>-67953</v>
      </c>
      <c r="AL123" s="678">
        <f t="shared" si="66"/>
        <v>-68375</v>
      </c>
      <c r="AM123" s="678">
        <f t="shared" si="66"/>
        <v>-73206</v>
      </c>
      <c r="AN123" s="678">
        <f t="shared" si="66"/>
        <v>-75441</v>
      </c>
    </row>
    <row r="124" spans="1:40" ht="16.5" customHeight="1" x14ac:dyDescent="0.3">
      <c r="A124" s="678" t="s">
        <v>511</v>
      </c>
      <c r="B124" s="678">
        <f>B90+B109+B120</f>
        <v>-96884.954724999989</v>
      </c>
      <c r="C124" s="678">
        <f t="shared" ref="C124:AN124" si="67">C90+C109+C120</f>
        <v>82718.937261000043</v>
      </c>
      <c r="D124" s="678">
        <f t="shared" si="67"/>
        <v>-233.13275547791272</v>
      </c>
      <c r="E124" s="678">
        <f t="shared" si="67"/>
        <v>3355.9828695913311</v>
      </c>
      <c r="F124" s="678">
        <f t="shared" si="67"/>
        <v>-2975.017946608772</v>
      </c>
      <c r="G124" s="678">
        <f t="shared" si="67"/>
        <v>4003.0350770193036</v>
      </c>
      <c r="H124" s="678">
        <f t="shared" si="67"/>
        <v>-1.6079866327345371E-9</v>
      </c>
      <c r="I124" s="678">
        <f t="shared" si="67"/>
        <v>-3.7834979593753815E-10</v>
      </c>
      <c r="J124" s="678">
        <f t="shared" si="67"/>
        <v>0</v>
      </c>
      <c r="K124" s="678">
        <f t="shared" si="67"/>
        <v>0</v>
      </c>
      <c r="L124" s="678">
        <f t="shared" si="67"/>
        <v>0</v>
      </c>
      <c r="M124" s="678">
        <f t="shared" si="67"/>
        <v>1.1641532182693481E-10</v>
      </c>
      <c r="N124" s="678">
        <f t="shared" si="67"/>
        <v>2.1827872842550278E-10</v>
      </c>
      <c r="O124" s="678">
        <f t="shared" si="67"/>
        <v>-4824.1544090009993</v>
      </c>
      <c r="P124" s="678">
        <f t="shared" si="67"/>
        <v>7305.5590470003663</v>
      </c>
      <c r="Q124" s="678">
        <f t="shared" si="67"/>
        <v>293197.07113499939</v>
      </c>
      <c r="R124" s="678">
        <f t="shared" si="67"/>
        <v>50424.167658999009</v>
      </c>
      <c r="S124" s="678">
        <f t="shared" si="67"/>
        <v>-341107.16102800076</v>
      </c>
      <c r="T124" s="678">
        <f t="shared" si="67"/>
        <v>209610.90601599932</v>
      </c>
      <c r="U124" s="678">
        <f t="shared" si="67"/>
        <v>-143953.46636212803</v>
      </c>
      <c r="V124" s="678">
        <f t="shared" si="67"/>
        <v>37219.839055148885</v>
      </c>
      <c r="W124" s="678">
        <f t="shared" si="67"/>
        <v>39080.831007906352</v>
      </c>
      <c r="X124" s="678">
        <f t="shared" si="67"/>
        <v>16935.026770091965</v>
      </c>
      <c r="Y124" s="678">
        <f t="shared" si="67"/>
        <v>18628.529447102104</v>
      </c>
      <c r="Z124" s="678">
        <f t="shared" si="67"/>
        <v>20491.382391812163</v>
      </c>
      <c r="AA124" s="678">
        <f t="shared" si="67"/>
        <v>22540.520630993648</v>
      </c>
      <c r="AB124" s="678">
        <f t="shared" si="67"/>
        <v>-96884.954724999989</v>
      </c>
      <c r="AC124" s="678">
        <f t="shared" si="67"/>
        <v>90024.496308000642</v>
      </c>
      <c r="AD124" s="678">
        <f t="shared" si="67"/>
        <v>292963.93837952148</v>
      </c>
      <c r="AE124" s="678">
        <f t="shared" si="67"/>
        <v>53780.15052859034</v>
      </c>
      <c r="AF124" s="678">
        <f t="shared" si="67"/>
        <v>-344082.17897460936</v>
      </c>
      <c r="AG124" s="678">
        <f t="shared" si="67"/>
        <v>213613.94109301857</v>
      </c>
      <c r="AH124" s="678">
        <f t="shared" si="67"/>
        <v>-143953.46636212978</v>
      </c>
      <c r="AI124" s="678">
        <f t="shared" si="67"/>
        <v>37219.839055148535</v>
      </c>
      <c r="AJ124" s="678">
        <f t="shared" si="67"/>
        <v>39080.831007906469</v>
      </c>
      <c r="AK124" s="678">
        <f t="shared" si="67"/>
        <v>16935.026770092081</v>
      </c>
      <c r="AL124" s="678">
        <f t="shared" si="67"/>
        <v>18628.529447102221</v>
      </c>
      <c r="AM124" s="678">
        <f t="shared" si="67"/>
        <v>20491.382391812163</v>
      </c>
      <c r="AN124" s="678">
        <f t="shared" si="67"/>
        <v>22540.52063099388</v>
      </c>
    </row>
    <row r="125" spans="1:40" ht="16.5" customHeight="1" x14ac:dyDescent="0.3">
      <c r="A125" s="678" t="s">
        <v>512</v>
      </c>
      <c r="B125" s="678">
        <f>'10. 추정 CF'!B38</f>
        <v>137582.95472499999</v>
      </c>
      <c r="C125" s="678">
        <f>'10. 추정 CF'!C38</f>
        <v>40698</v>
      </c>
      <c r="D125" s="678">
        <f>'10. 추정 CF'!D38</f>
        <v>3212</v>
      </c>
      <c r="E125" s="678">
        <f>'10. 추정 CF'!E38</f>
        <v>2979</v>
      </c>
      <c r="F125" s="678">
        <f>'10. 추정 CF'!F38</f>
        <v>6335</v>
      </c>
      <c r="G125" s="678">
        <f>'10. 추정 CF'!G38</f>
        <v>3360</v>
      </c>
      <c r="H125" s="678">
        <f>'10. 추정 CF'!H38</f>
        <v>7363</v>
      </c>
      <c r="I125" s="678">
        <f>'10. 추정 CF'!I38</f>
        <v>7363</v>
      </c>
      <c r="J125" s="678">
        <f>'10. 추정 CF'!J38</f>
        <v>7363</v>
      </c>
      <c r="K125" s="678">
        <f>'10. 추정 CF'!K38</f>
        <v>7363</v>
      </c>
      <c r="L125" s="678">
        <f>'10. 추정 CF'!L38</f>
        <v>7363</v>
      </c>
      <c r="M125" s="678">
        <f>'10. 추정 CF'!M38</f>
        <v>7363</v>
      </c>
      <c r="N125" s="678">
        <f>'10. 추정 CF'!N38</f>
        <v>7363</v>
      </c>
      <c r="O125" s="678">
        <f>'13. 추정 CF'!C39</f>
        <v>22397.107106000003</v>
      </c>
      <c r="P125" s="678">
        <f>'13. 추정 CF'!D39</f>
        <v>17572.952697000001</v>
      </c>
      <c r="Q125" s="678">
        <f>'13. 추정 CF'!E39</f>
        <v>24878.511743999999</v>
      </c>
      <c r="R125" s="678">
        <f>'13. 추정 CF'!F39</f>
        <v>318075.60317899997</v>
      </c>
      <c r="S125" s="678">
        <f>'13. 추정 CF'!G39</f>
        <v>368499.75053799996</v>
      </c>
      <c r="T125" s="678">
        <f>'13. 추정 CF'!H39</f>
        <v>27392.137847000002</v>
      </c>
      <c r="U125" s="678">
        <f>'13. 추정 CF'!I39</f>
        <v>237003</v>
      </c>
      <c r="V125" s="678">
        <f>'13. 추정 CF'!J39</f>
        <v>93049.597637871993</v>
      </c>
      <c r="W125" s="678">
        <f>'13. 추정 CF'!K39</f>
        <v>130269.43669302078</v>
      </c>
      <c r="X125" s="678">
        <f>'13. 추정 CF'!L39</f>
        <v>169350.26770092701</v>
      </c>
      <c r="Y125" s="678">
        <f>'13. 추정 CF'!M39</f>
        <v>186285.29447101973</v>
      </c>
      <c r="Z125" s="678">
        <f>'13. 추정 CF'!N39</f>
        <v>204913.82391812172</v>
      </c>
      <c r="AA125" s="678">
        <f>'13. 추정 CF'!O39</f>
        <v>225405.20630993391</v>
      </c>
      <c r="AB125" s="678">
        <f>B125</f>
        <v>137582.95472499999</v>
      </c>
      <c r="AC125" s="678">
        <f>C125+P125</f>
        <v>58270.952697000001</v>
      </c>
      <c r="AD125" s="678">
        <f>D125+Q125</f>
        <v>28090.511743999999</v>
      </c>
      <c r="AE125" s="678">
        <f>E125+R125</f>
        <v>321054.60317899997</v>
      </c>
      <c r="AF125" s="678">
        <f>F125+S125</f>
        <v>374834.75053799996</v>
      </c>
      <c r="AG125" s="678">
        <f>G125+T125</f>
        <v>30752.137847000002</v>
      </c>
      <c r="AH125" s="678">
        <f t="shared" ref="AH125:AN125" si="68">H125+U125</f>
        <v>244366</v>
      </c>
      <c r="AI125" s="678">
        <f t="shared" si="68"/>
        <v>100412.59763787199</v>
      </c>
      <c r="AJ125" s="678">
        <f t="shared" si="68"/>
        <v>137632.43669302078</v>
      </c>
      <c r="AK125" s="678">
        <f t="shared" si="68"/>
        <v>176713.26770092701</v>
      </c>
      <c r="AL125" s="678">
        <f t="shared" si="68"/>
        <v>193648.29447101973</v>
      </c>
      <c r="AM125" s="678">
        <f t="shared" si="68"/>
        <v>212276.82391812172</v>
      </c>
      <c r="AN125" s="678">
        <f t="shared" si="68"/>
        <v>232768.20630993391</v>
      </c>
    </row>
    <row r="126" spans="1:40" ht="16.5" customHeight="1" x14ac:dyDescent="0.3">
      <c r="A126" s="678" t="s">
        <v>513</v>
      </c>
      <c r="B126" s="678">
        <f t="shared" ref="B126:AN126" si="69">B124+B125</f>
        <v>40698</v>
      </c>
      <c r="C126" s="678">
        <f t="shared" si="69"/>
        <v>123416.93726100004</v>
      </c>
      <c r="D126" s="678">
        <f t="shared" si="69"/>
        <v>2978.8672445220873</v>
      </c>
      <c r="E126" s="678">
        <f t="shared" si="69"/>
        <v>6334.9828695913311</v>
      </c>
      <c r="F126" s="678">
        <f t="shared" si="69"/>
        <v>3359.982053391228</v>
      </c>
      <c r="G126" s="678">
        <f t="shared" si="69"/>
        <v>7363.0350770193036</v>
      </c>
      <c r="H126" s="678">
        <f t="shared" si="69"/>
        <v>7362.999999998392</v>
      </c>
      <c r="I126" s="678">
        <f t="shared" si="69"/>
        <v>7362.9999999996217</v>
      </c>
      <c r="J126" s="678">
        <f t="shared" si="69"/>
        <v>7363</v>
      </c>
      <c r="K126" s="678">
        <f t="shared" si="69"/>
        <v>7363</v>
      </c>
      <c r="L126" s="678">
        <f t="shared" si="69"/>
        <v>7363</v>
      </c>
      <c r="M126" s="678">
        <f t="shared" si="69"/>
        <v>7363.0000000001164</v>
      </c>
      <c r="N126" s="678">
        <f t="shared" si="69"/>
        <v>7363.0000000002183</v>
      </c>
      <c r="O126" s="678">
        <f t="shared" si="69"/>
        <v>17572.952696999004</v>
      </c>
      <c r="P126" s="678">
        <f t="shared" si="69"/>
        <v>24878.511744000367</v>
      </c>
      <c r="Q126" s="678">
        <f t="shared" si="69"/>
        <v>318075.58287899941</v>
      </c>
      <c r="R126" s="678">
        <f t="shared" si="69"/>
        <v>368499.77083799895</v>
      </c>
      <c r="S126" s="678">
        <f t="shared" si="69"/>
        <v>27392.589509999205</v>
      </c>
      <c r="T126" s="678">
        <f t="shared" si="69"/>
        <v>237003.04386299933</v>
      </c>
      <c r="U126" s="678">
        <f t="shared" si="69"/>
        <v>93049.533637871966</v>
      </c>
      <c r="V126" s="678">
        <f t="shared" si="69"/>
        <v>130269.43669302088</v>
      </c>
      <c r="W126" s="678">
        <f t="shared" si="69"/>
        <v>169350.26770092713</v>
      </c>
      <c r="X126" s="678">
        <f t="shared" si="69"/>
        <v>186285.29447101898</v>
      </c>
      <c r="Y126" s="678">
        <f t="shared" si="69"/>
        <v>204913.82391812184</v>
      </c>
      <c r="Z126" s="678">
        <f t="shared" si="69"/>
        <v>225405.20630993388</v>
      </c>
      <c r="AA126" s="678">
        <f t="shared" si="69"/>
        <v>247945.72694092756</v>
      </c>
      <c r="AB126" s="678">
        <f t="shared" si="69"/>
        <v>40698</v>
      </c>
      <c r="AC126" s="678">
        <f t="shared" si="69"/>
        <v>148295.44900500064</v>
      </c>
      <c r="AD126" s="678">
        <f t="shared" si="69"/>
        <v>321054.4501235215</v>
      </c>
      <c r="AE126" s="678">
        <f t="shared" si="69"/>
        <v>374834.75370759028</v>
      </c>
      <c r="AF126" s="678">
        <f t="shared" si="69"/>
        <v>30752.571563390607</v>
      </c>
      <c r="AG126" s="678">
        <f t="shared" si="69"/>
        <v>244366.07894001857</v>
      </c>
      <c r="AH126" s="678">
        <f t="shared" si="69"/>
        <v>100412.53363787022</v>
      </c>
      <c r="AI126" s="678">
        <f t="shared" si="69"/>
        <v>137632.43669302051</v>
      </c>
      <c r="AJ126" s="678">
        <f t="shared" si="69"/>
        <v>176713.26770092724</v>
      </c>
      <c r="AK126" s="678">
        <f t="shared" si="69"/>
        <v>193648.29447101909</v>
      </c>
      <c r="AL126" s="678">
        <f t="shared" si="69"/>
        <v>212276.82391812195</v>
      </c>
      <c r="AM126" s="678">
        <f t="shared" si="69"/>
        <v>232768.20630993388</v>
      </c>
      <c r="AN126" s="678">
        <f t="shared" si="69"/>
        <v>255308.72694092779</v>
      </c>
    </row>
    <row r="127" spans="1:40" ht="16.5" hidden="1" customHeight="1" outlineLevel="1" x14ac:dyDescent="0.3">
      <c r="A127" s="672"/>
      <c r="B127" s="687"/>
      <c r="C127" s="687"/>
      <c r="D127" s="687"/>
      <c r="E127" s="687"/>
      <c r="F127" s="687"/>
      <c r="G127" s="687"/>
      <c r="H127" s="687"/>
      <c r="I127" s="687"/>
      <c r="J127" s="687"/>
      <c r="K127" s="687"/>
      <c r="L127" s="687"/>
      <c r="M127" s="687"/>
      <c r="N127" s="687"/>
      <c r="O127" s="687"/>
      <c r="P127" s="687"/>
      <c r="Q127" s="687"/>
      <c r="R127" s="687"/>
      <c r="S127" s="687"/>
      <c r="T127" s="687"/>
      <c r="U127" s="687"/>
      <c r="V127" s="687"/>
      <c r="W127" s="687"/>
      <c r="X127" s="687"/>
      <c r="Y127" s="687"/>
      <c r="Z127" s="687"/>
      <c r="AA127" s="687"/>
      <c r="AB127" s="687"/>
      <c r="AC127" s="687"/>
      <c r="AD127" s="687"/>
      <c r="AE127" s="687"/>
      <c r="AF127" s="687"/>
      <c r="AG127" s="687"/>
      <c r="AH127" s="687"/>
      <c r="AI127" s="687"/>
      <c r="AJ127" s="687"/>
      <c r="AK127" s="687"/>
      <c r="AL127" s="687"/>
      <c r="AM127" s="687"/>
      <c r="AN127" s="687"/>
    </row>
    <row r="128" spans="1:40" ht="16.5" hidden="1" customHeight="1" outlineLevel="1" x14ac:dyDescent="0.3">
      <c r="A128" s="672"/>
      <c r="B128" s="687">
        <f>B126-'8. 추정 BS'!E5</f>
        <v>0</v>
      </c>
      <c r="C128" s="687">
        <f>C126-'8. 추정 BS'!F5</f>
        <v>120204.93726100004</v>
      </c>
      <c r="D128" s="687">
        <f>D126-'8. 추정 BS'!G5</f>
        <v>-0.13275547791272402</v>
      </c>
      <c r="E128" s="687">
        <f>E126-'8. 추정 BS'!H5</f>
        <v>-1.7130408668890595E-2</v>
      </c>
      <c r="F128" s="687">
        <f>F126-'8. 추정 BS'!I5</f>
        <v>-1.7946608772035688E-2</v>
      </c>
      <c r="G128" s="687">
        <f>G126-'8. 추정 BS'!J5</f>
        <v>3.5077019303571433E-2</v>
      </c>
      <c r="H128" s="687">
        <f>H126-'8. 추정 BS'!K5</f>
        <v>-1.6079866327345371E-9</v>
      </c>
      <c r="I128" s="687">
        <f>I126-'8. 추정 BS'!L5</f>
        <v>-3.7834979593753815E-10</v>
      </c>
      <c r="J128" s="687">
        <f>J126-'8. 추정 BS'!M5</f>
        <v>0</v>
      </c>
      <c r="K128" s="687">
        <f>K126-'8. 추정 BS'!N5</f>
        <v>0</v>
      </c>
      <c r="L128" s="687">
        <f>L126-'8. 추정 BS'!O5</f>
        <v>0</v>
      </c>
      <c r="M128" s="687">
        <f>M126-'8. 추정 BS'!P5</f>
        <v>1.1641532182693481E-10</v>
      </c>
      <c r="N128" s="687">
        <f>N126-'8. 추정 BS'!Q5</f>
        <v>2.1827872842550278E-10</v>
      </c>
      <c r="O128" s="687">
        <f>O126-'11. 추정 BS'!E6</f>
        <v>-9.9680619314312935E-10</v>
      </c>
      <c r="P128" s="687">
        <f>P126-'11. 추정 BS'!F6</f>
        <v>3.6743585951626301E-10</v>
      </c>
      <c r="Q128" s="687">
        <f>Q126-'11. 추정 BS'!G6</f>
        <v>-2.0300000556744635E-2</v>
      </c>
      <c r="R128" s="687">
        <f>R126-'11. 추정 BS'!H6</f>
        <v>2.029999898513779E-2</v>
      </c>
      <c r="S128" s="687">
        <f>S126-'11. 추정 BS'!I6</f>
        <v>0.45166299920310848</v>
      </c>
      <c r="T128" s="687">
        <f>T126-'11. 추정 BS'!J6</f>
        <v>4.3862999329576269E-2</v>
      </c>
      <c r="U128" s="687">
        <f>U126-'11. 추정 BS'!K6</f>
        <v>-6.4000000027590431E-2</v>
      </c>
      <c r="V128" s="687">
        <f>V126-'11. 추정 BS'!L6</f>
        <v>0</v>
      </c>
      <c r="W128" s="687">
        <f>W126-'11. 추정 BS'!M6</f>
        <v>0</v>
      </c>
      <c r="X128" s="687">
        <f>X126-'11. 추정 BS'!N6</f>
        <v>-7.5669959187507629E-10</v>
      </c>
      <c r="Y128" s="687">
        <f>Y126-'11. 추정 BS'!O6</f>
        <v>0</v>
      </c>
      <c r="Z128" s="687">
        <f>Z126-'11. 추정 BS'!P6</f>
        <v>0</v>
      </c>
      <c r="AA128" s="687">
        <f>AA126-'11. 추정 BS'!Q6</f>
        <v>2.3283064365386963E-10</v>
      </c>
      <c r="AB128" s="687">
        <f>B126-AB126</f>
        <v>0</v>
      </c>
      <c r="AC128" s="687">
        <f t="shared" ref="AC128:AN128" si="70">C126+P126-AC126</f>
        <v>-2.3283064365386963E-10</v>
      </c>
      <c r="AD128" s="687">
        <f t="shared" si="70"/>
        <v>0</v>
      </c>
      <c r="AE128" s="687">
        <f t="shared" si="70"/>
        <v>0</v>
      </c>
      <c r="AF128" s="687">
        <f t="shared" si="70"/>
        <v>-1.7462298274040222E-10</v>
      </c>
      <c r="AG128" s="687">
        <f t="shared" si="70"/>
        <v>0</v>
      </c>
      <c r="AH128" s="687">
        <f t="shared" si="70"/>
        <v>1.4551915228366852E-10</v>
      </c>
      <c r="AI128" s="687">
        <f t="shared" si="70"/>
        <v>0</v>
      </c>
      <c r="AJ128" s="687">
        <f t="shared" si="70"/>
        <v>0</v>
      </c>
      <c r="AK128" s="687">
        <f t="shared" si="70"/>
        <v>0</v>
      </c>
      <c r="AL128" s="687">
        <f t="shared" si="70"/>
        <v>0</v>
      </c>
      <c r="AM128" s="687">
        <f t="shared" si="70"/>
        <v>0</v>
      </c>
      <c r="AN128" s="687">
        <f t="shared" si="70"/>
        <v>0</v>
      </c>
    </row>
    <row r="129" ht="16.5" customHeight="1" collapsed="1" x14ac:dyDescent="0.3"/>
    <row r="130" ht="16.5" customHeight="1" x14ac:dyDescent="0.3"/>
  </sheetData>
  <mergeCells count="13">
    <mergeCell ref="A1:AN1"/>
    <mergeCell ref="B3:N3"/>
    <mergeCell ref="A3:A4"/>
    <mergeCell ref="O3:AA3"/>
    <mergeCell ref="AB3:AN3"/>
    <mergeCell ref="A39:A40"/>
    <mergeCell ref="A88:A89"/>
    <mergeCell ref="O39:AA39"/>
    <mergeCell ref="AB39:AN39"/>
    <mergeCell ref="O88:AA88"/>
    <mergeCell ref="AB88:AN88"/>
    <mergeCell ref="B39:N39"/>
    <mergeCell ref="B88:N88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DA1A-AF30-48A0-9B96-D6DE6C49E5F8}">
  <sheetPr codeName="Sheet11">
    <tabColor rgb="FFFF0000"/>
  </sheetPr>
  <dimension ref="A1"/>
  <sheetViews>
    <sheetView showGridLines="0" workbookViewId="0"/>
  </sheetViews>
  <sheetFormatPr defaultColWidth="9" defaultRowHeight="16.5" x14ac:dyDescent="0.3"/>
  <cols>
    <col min="1" max="16384" width="9" style="1"/>
  </cols>
  <sheetData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B970-7027-4D96-AA8A-ED3559DC9FFC}">
  <sheetPr codeName="Sheet12"/>
  <dimension ref="A1:AQ69"/>
  <sheetViews>
    <sheetView showGridLines="0" topLeftCell="B1" zoomScale="85" zoomScaleNormal="85" workbookViewId="0">
      <selection activeCell="B1" sqref="B1:S1"/>
    </sheetView>
  </sheetViews>
  <sheetFormatPr defaultColWidth="9" defaultRowHeight="18" customHeight="1" outlineLevelRow="1" outlineLevelCol="1" x14ac:dyDescent="0.3"/>
  <cols>
    <col min="1" max="1" width="9" style="62" hidden="1" customWidth="1" outlineLevel="1"/>
    <col min="2" max="2" width="26.625" style="62" customWidth="1" collapsed="1"/>
    <col min="3" max="5" width="9.125" style="499" hidden="1" customWidth="1" outlineLevel="1"/>
    <col min="6" max="6" width="9.125" style="499" hidden="1" customWidth="1" outlineLevel="1" collapsed="1"/>
    <col min="7" max="7" width="9.125" style="499" hidden="1" customWidth="1" outlineLevel="1"/>
    <col min="8" max="8" width="9.125" style="499" customWidth="1" collapsed="1"/>
    <col min="9" max="17" width="9.125" style="499" customWidth="1"/>
    <col min="18" max="18" width="1.625" style="62" customWidth="1"/>
    <col min="19" max="19" width="37.375" style="62" customWidth="1"/>
    <col min="20" max="20" width="3.75" style="62" hidden="1" customWidth="1" outlineLevel="1"/>
    <col min="21" max="21" width="4.125" style="62" hidden="1" customWidth="1" outlineLevel="1"/>
    <col min="22" max="34" width="7.875" style="62" hidden="1" customWidth="1" outlineLevel="1"/>
    <col min="35" max="35" width="4.125" style="62" hidden="1" customWidth="1" outlineLevel="1"/>
    <col min="36" max="36" width="18.25" style="62" hidden="1" customWidth="1" outlineLevel="1"/>
    <col min="37" max="37" width="12.125" style="62" hidden="1" customWidth="1" outlineLevel="1"/>
    <col min="38" max="38" width="7.125" style="62" hidden="1" customWidth="1" outlineLevel="1"/>
    <col min="39" max="39" width="4.125" style="62" hidden="1" customWidth="1" outlineLevel="1"/>
    <col min="40" max="40" width="18.25" style="62" hidden="1" customWidth="1" outlineLevel="1"/>
    <col min="41" max="41" width="13.75" style="62" hidden="1" customWidth="1" outlineLevel="1"/>
    <col min="42" max="42" width="92.125" style="62" hidden="1" customWidth="1" outlineLevel="1"/>
    <col min="43" max="43" width="9" style="62" collapsed="1"/>
    <col min="44" max="16384" width="9" style="62"/>
  </cols>
  <sheetData>
    <row r="1" spans="1:42" ht="31.5" x14ac:dyDescent="0.3">
      <c r="B1" s="1152" t="s">
        <v>8919</v>
      </c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005"/>
      <c r="S1" s="1005"/>
      <c r="U1" s="690"/>
      <c r="V1" s="690"/>
      <c r="W1" s="690"/>
      <c r="X1" s="690"/>
      <c r="Y1" s="690"/>
      <c r="Z1" s="690"/>
      <c r="AA1" s="690"/>
      <c r="AB1" s="690"/>
      <c r="AC1" s="690"/>
      <c r="AD1" s="690"/>
      <c r="AE1" s="690"/>
      <c r="AF1" s="690"/>
      <c r="AG1" s="690"/>
      <c r="AH1" s="690"/>
      <c r="AI1" s="690"/>
      <c r="AJ1" s="690"/>
      <c r="AK1" s="690"/>
      <c r="AL1" s="690"/>
      <c r="AM1" s="690"/>
      <c r="AN1" s="690"/>
      <c r="AO1" s="690"/>
      <c r="AP1" s="690"/>
    </row>
    <row r="2" spans="1:42" ht="18" customHeight="1" x14ac:dyDescent="0.3">
      <c r="A2" s="690"/>
      <c r="B2" s="59"/>
      <c r="C2" s="793"/>
      <c r="D2" s="793"/>
      <c r="E2" s="793"/>
      <c r="F2" s="793"/>
      <c r="G2" s="793"/>
      <c r="I2" s="691"/>
      <c r="Q2" s="792" t="s">
        <v>429</v>
      </c>
      <c r="S2" s="199"/>
    </row>
    <row r="3" spans="1:42" s="59" customFormat="1" ht="18" customHeight="1" x14ac:dyDescent="0.3">
      <c r="B3" s="954" t="s">
        <v>234</v>
      </c>
      <c r="C3" s="998">
        <v>2018</v>
      </c>
      <c r="D3" s="998">
        <v>2019</v>
      </c>
      <c r="E3" s="998">
        <v>2020</v>
      </c>
      <c r="F3" s="998">
        <v>2021</v>
      </c>
      <c r="G3" s="998">
        <v>2022</v>
      </c>
      <c r="H3" s="998">
        <v>2023</v>
      </c>
      <c r="I3" s="998">
        <v>2024</v>
      </c>
      <c r="J3" s="998">
        <v>2025</v>
      </c>
      <c r="K3" s="998">
        <v>2026</v>
      </c>
      <c r="L3" s="998">
        <v>2027</v>
      </c>
      <c r="M3" s="998">
        <v>2028</v>
      </c>
      <c r="N3" s="998">
        <v>2029</v>
      </c>
      <c r="O3" s="998">
        <v>2030</v>
      </c>
      <c r="P3" s="998">
        <v>2031</v>
      </c>
      <c r="Q3" s="998">
        <v>2032</v>
      </c>
      <c r="R3" s="5"/>
      <c r="S3" s="950" t="s">
        <v>235</v>
      </c>
      <c r="T3" s="5"/>
      <c r="U3" s="935"/>
      <c r="V3" s="935">
        <v>2021</v>
      </c>
      <c r="W3" s="935">
        <v>2022</v>
      </c>
      <c r="X3" s="935">
        <v>2023</v>
      </c>
      <c r="Y3" s="935">
        <v>2024</v>
      </c>
      <c r="Z3" s="935">
        <v>2025</v>
      </c>
      <c r="AA3" s="935" t="s">
        <v>401</v>
      </c>
      <c r="AB3" s="935">
        <v>2026</v>
      </c>
      <c r="AC3" s="935">
        <v>2027</v>
      </c>
      <c r="AD3" s="935">
        <v>2028</v>
      </c>
      <c r="AE3" s="935">
        <v>2029</v>
      </c>
      <c r="AF3" s="935">
        <v>2030</v>
      </c>
      <c r="AG3" s="935">
        <v>2031</v>
      </c>
      <c r="AH3" s="935">
        <v>2032</v>
      </c>
      <c r="AI3" s="5"/>
      <c r="AJ3" s="59" t="s">
        <v>8839</v>
      </c>
      <c r="AK3" s="59" t="s">
        <v>8840</v>
      </c>
      <c r="AL3" s="59" t="s">
        <v>8841</v>
      </c>
    </row>
    <row r="4" spans="1:42" ht="18" customHeight="1" x14ac:dyDescent="0.3">
      <c r="B4" s="955" t="s">
        <v>236</v>
      </c>
      <c r="C4" s="955">
        <f t="shared" ref="C4:Q4" si="0">SUM(C5,C6,C9,C10)</f>
        <v>710949.58669500006</v>
      </c>
      <c r="D4" s="955">
        <f t="shared" si="0"/>
        <v>642133.69154300005</v>
      </c>
      <c r="E4" s="955">
        <f t="shared" si="0"/>
        <v>740921</v>
      </c>
      <c r="F4" s="955">
        <f t="shared" si="0"/>
        <v>94993</v>
      </c>
      <c r="G4" s="955">
        <f t="shared" si="0"/>
        <v>118265</v>
      </c>
      <c r="H4" s="955">
        <f t="shared" si="0"/>
        <v>119664</v>
      </c>
      <c r="I4" s="955">
        <f t="shared" si="0"/>
        <v>110461.9621</v>
      </c>
      <c r="J4" s="955">
        <f t="shared" si="0"/>
        <v>103815.26261999999</v>
      </c>
      <c r="K4" s="955">
        <f t="shared" si="0"/>
        <v>108003.96613521643</v>
      </c>
      <c r="L4" s="955">
        <f t="shared" si="0"/>
        <v>108255.27630890567</v>
      </c>
      <c r="M4" s="955">
        <f t="shared" si="0"/>
        <v>108348.18581370849</v>
      </c>
      <c r="N4" s="955">
        <f t="shared" si="0"/>
        <v>108367.24413982332</v>
      </c>
      <c r="O4" s="955">
        <f t="shared" si="0"/>
        <v>108410.94554124521</v>
      </c>
      <c r="P4" s="955">
        <f t="shared" si="0"/>
        <v>108537.29133117193</v>
      </c>
      <c r="Q4" s="955">
        <f t="shared" si="0"/>
        <v>108771.95003117906</v>
      </c>
      <c r="R4" s="6"/>
      <c r="S4" s="953"/>
      <c r="T4" s="6"/>
      <c r="U4" s="936"/>
      <c r="V4" s="936"/>
      <c r="W4" s="936"/>
      <c r="X4" s="936"/>
      <c r="Y4" s="936"/>
      <c r="Z4" s="936"/>
      <c r="AA4" s="936"/>
      <c r="AB4" s="936"/>
      <c r="AC4" s="936"/>
      <c r="AD4" s="936"/>
      <c r="AE4" s="936"/>
      <c r="AF4" s="6"/>
      <c r="AG4" s="6"/>
      <c r="AH4" s="6"/>
      <c r="AI4" s="6"/>
      <c r="AJ4" s="62">
        <f>'SAP BS'!L14</f>
        <v>103870259245</v>
      </c>
      <c r="AK4" s="62">
        <f>ROUND(AJ4/1000000,)</f>
        <v>103870</v>
      </c>
      <c r="AL4" s="62">
        <f>J4-AK4</f>
        <v>-54.737380000005942</v>
      </c>
    </row>
    <row r="5" spans="1:42" ht="18" customHeight="1" x14ac:dyDescent="0.3">
      <c r="B5" s="956" t="s">
        <v>237</v>
      </c>
      <c r="C5" s="957">
        <v>187791.59677400001</v>
      </c>
      <c r="D5" s="957">
        <v>137582.95472499999</v>
      </c>
      <c r="E5" s="957">
        <v>40698</v>
      </c>
      <c r="F5" s="957">
        <v>3212</v>
      </c>
      <c r="G5" s="957">
        <v>2979</v>
      </c>
      <c r="H5" s="957">
        <v>6335</v>
      </c>
      <c r="I5" s="957">
        <v>3360</v>
      </c>
      <c r="J5" s="957">
        <v>7363</v>
      </c>
      <c r="K5" s="957">
        <f t="shared" ref="K5:Q5" si="1">J5</f>
        <v>7363</v>
      </c>
      <c r="L5" s="957">
        <f t="shared" si="1"/>
        <v>7363</v>
      </c>
      <c r="M5" s="957">
        <f t="shared" si="1"/>
        <v>7363</v>
      </c>
      <c r="N5" s="957">
        <f t="shared" si="1"/>
        <v>7363</v>
      </c>
      <c r="O5" s="957">
        <f t="shared" si="1"/>
        <v>7363</v>
      </c>
      <c r="P5" s="957">
        <f t="shared" si="1"/>
        <v>7363</v>
      </c>
      <c r="Q5" s="957">
        <f t="shared" si="1"/>
        <v>7363</v>
      </c>
      <c r="R5" s="6"/>
      <c r="S5" s="952" t="s">
        <v>8885</v>
      </c>
      <c r="T5" s="6"/>
      <c r="U5" s="937"/>
      <c r="V5" s="937"/>
      <c r="W5" s="937"/>
      <c r="X5" s="937"/>
      <c r="Y5" s="937"/>
      <c r="Z5" s="937"/>
      <c r="AA5" s="937"/>
      <c r="AB5" s="937"/>
      <c r="AC5" s="937"/>
      <c r="AD5" s="937"/>
      <c r="AE5" s="937"/>
      <c r="AF5" s="6"/>
      <c r="AG5" s="6"/>
      <c r="AH5" s="6"/>
      <c r="AI5" s="6"/>
      <c r="AJ5" s="62">
        <f>'SAP BS'!L15</f>
        <v>7362920114</v>
      </c>
      <c r="AK5" s="62">
        <f>ROUND(AJ5/1000000,)</f>
        <v>7363</v>
      </c>
      <c r="AL5" s="62">
        <f>J5-AK5</f>
        <v>0</v>
      </c>
    </row>
    <row r="6" spans="1:42" ht="18" customHeight="1" x14ac:dyDescent="0.3">
      <c r="B6" s="956" t="s">
        <v>238</v>
      </c>
      <c r="C6" s="957">
        <f t="shared" ref="C6:M6" si="2">SUM(C7:C8)</f>
        <v>486946.34632100002</v>
      </c>
      <c r="D6" s="957">
        <f t="shared" si="2"/>
        <v>452693.652627</v>
      </c>
      <c r="E6" s="957">
        <f t="shared" si="2"/>
        <v>654767</v>
      </c>
      <c r="F6" s="957">
        <f t="shared" si="2"/>
        <v>45734</v>
      </c>
      <c r="G6" s="957">
        <f t="shared" si="2"/>
        <v>74440</v>
      </c>
      <c r="H6" s="957">
        <f t="shared" si="2"/>
        <v>76621</v>
      </c>
      <c r="I6" s="957">
        <f t="shared" si="2"/>
        <v>72106.962100000004</v>
      </c>
      <c r="J6" s="957">
        <f t="shared" si="2"/>
        <v>53263.262619999994</v>
      </c>
      <c r="K6" s="957">
        <f t="shared" si="2"/>
        <v>62971.429656635446</v>
      </c>
      <c r="L6" s="957">
        <f t="shared" si="2"/>
        <v>62367.163266268413</v>
      </c>
      <c r="M6" s="957">
        <f t="shared" si="2"/>
        <v>61771.813702870575</v>
      </c>
      <c r="N6" s="957">
        <f>SUM(N7:N8)</f>
        <v>61185.23586666878</v>
      </c>
      <c r="O6" s="957">
        <f>SUM(O7:O8)</f>
        <v>60671.531863669115</v>
      </c>
      <c r="P6" s="957">
        <f>SUM(P7:P8)</f>
        <v>60271.349616069434</v>
      </c>
      <c r="Q6" s="957">
        <f>SUM(Q7:Q8)</f>
        <v>60000.37675743283</v>
      </c>
      <c r="R6" s="6"/>
      <c r="S6" s="952"/>
      <c r="T6" s="6"/>
      <c r="U6" s="937"/>
      <c r="V6" s="937"/>
      <c r="W6" s="937"/>
      <c r="X6" s="937"/>
      <c r="Y6" s="937"/>
      <c r="Z6" s="937"/>
      <c r="AA6" s="937"/>
      <c r="AB6" s="937"/>
      <c r="AC6" s="937"/>
      <c r="AD6" s="937"/>
      <c r="AE6" s="937"/>
      <c r="AF6" s="6"/>
      <c r="AG6" s="6"/>
      <c r="AH6" s="6"/>
      <c r="AI6" s="6"/>
      <c r="AJ6" s="62">
        <f>'SAP BS'!L2525</f>
        <v>0</v>
      </c>
      <c r="AK6" s="62">
        <f>ROUND(AJ6/1000000,)</f>
        <v>0</v>
      </c>
      <c r="AL6" s="62">
        <f>J6-AK6</f>
        <v>53263.262619999994</v>
      </c>
    </row>
    <row r="7" spans="1:42" ht="18" customHeight="1" x14ac:dyDescent="0.3">
      <c r="A7" s="62" t="s">
        <v>8991</v>
      </c>
      <c r="B7" s="958" t="s">
        <v>8917</v>
      </c>
      <c r="C7" s="959">
        <v>70035.477218999993</v>
      </c>
      <c r="D7" s="959">
        <v>52638.956650000007</v>
      </c>
      <c r="E7" s="959">
        <v>48003</v>
      </c>
      <c r="F7" s="959">
        <v>45734</v>
      </c>
      <c r="G7" s="959">
        <v>74440</v>
      </c>
      <c r="H7" s="959">
        <v>76621</v>
      </c>
      <c r="I7" s="960">
        <v>72106.962100000004</v>
      </c>
      <c r="J7" s="960">
        <v>53263.262619999994</v>
      </c>
      <c r="K7" s="960">
        <f>AB7*'9. 추정 IS'!K5</f>
        <v>62971.429656635446</v>
      </c>
      <c r="L7" s="960">
        <f>AC7*'9. 추정 IS'!L5</f>
        <v>62367.163266268413</v>
      </c>
      <c r="M7" s="960">
        <f>AD7*'9. 추정 IS'!M5</f>
        <v>61771.813702870575</v>
      </c>
      <c r="N7" s="960">
        <f>AE7*'9. 추정 IS'!N5</f>
        <v>61185.23586666878</v>
      </c>
      <c r="O7" s="960">
        <f>AF7*'9. 추정 IS'!O5</f>
        <v>60671.531863669115</v>
      </c>
      <c r="P7" s="960">
        <f>AG7*'9. 추정 IS'!P5</f>
        <v>60271.349616069434</v>
      </c>
      <c r="Q7" s="960">
        <f>AH7*'9. 추정 IS'!Q5</f>
        <v>60000.37675743283</v>
      </c>
      <c r="R7" s="6"/>
      <c r="S7" s="951" t="s">
        <v>8886</v>
      </c>
      <c r="T7" s="6"/>
      <c r="U7" s="937"/>
      <c r="V7" s="938">
        <f>F7/'9. 추정 IS'!F5</f>
        <v>9.9788512244632418E-3</v>
      </c>
      <c r="W7" s="938">
        <f>G7/'9. 추정 IS'!G5</f>
        <v>1.6024759885265402E-2</v>
      </c>
      <c r="X7" s="938">
        <f>H7/'9. 추정 IS'!H5</f>
        <v>1.8271601689421484E-2</v>
      </c>
      <c r="Y7" s="938">
        <f>I7/'9. 추정 IS'!I5</f>
        <v>1.7798149030930018E-2</v>
      </c>
      <c r="Z7" s="938">
        <f>J7/'9. 추정 IS'!J5</f>
        <v>1.4071611366221454E-2</v>
      </c>
      <c r="AA7" s="938">
        <f>AVERAGE(X7:Z7)</f>
        <v>1.6713787362190983E-2</v>
      </c>
      <c r="AB7" s="938">
        <f t="shared" ref="AB7:AH7" si="3">AA7</f>
        <v>1.6713787362190983E-2</v>
      </c>
      <c r="AC7" s="938">
        <f t="shared" si="3"/>
        <v>1.6713787362190983E-2</v>
      </c>
      <c r="AD7" s="938">
        <f t="shared" si="3"/>
        <v>1.6713787362190983E-2</v>
      </c>
      <c r="AE7" s="938">
        <f t="shared" si="3"/>
        <v>1.6713787362190983E-2</v>
      </c>
      <c r="AF7" s="938">
        <f t="shared" si="3"/>
        <v>1.6713787362190983E-2</v>
      </c>
      <c r="AG7" s="938">
        <f t="shared" si="3"/>
        <v>1.6713787362190983E-2</v>
      </c>
      <c r="AH7" s="938">
        <f t="shared" si="3"/>
        <v>1.6713787362190983E-2</v>
      </c>
      <c r="AI7" s="6"/>
    </row>
    <row r="8" spans="1:42" ht="18" customHeight="1" x14ac:dyDescent="0.3">
      <c r="B8" s="958" t="s">
        <v>239</v>
      </c>
      <c r="C8" s="959">
        <v>416910.86910200003</v>
      </c>
      <c r="D8" s="959">
        <v>400054.695977</v>
      </c>
      <c r="E8" s="959">
        <v>606764</v>
      </c>
      <c r="F8" s="959">
        <v>0</v>
      </c>
      <c r="G8" s="959">
        <v>0</v>
      </c>
      <c r="H8" s="959">
        <v>0</v>
      </c>
      <c r="I8" s="960">
        <v>0</v>
      </c>
      <c r="J8" s="960">
        <v>0</v>
      </c>
      <c r="K8" s="960">
        <v>0</v>
      </c>
      <c r="L8" s="960">
        <v>0</v>
      </c>
      <c r="M8" s="960">
        <v>0</v>
      </c>
      <c r="N8" s="960">
        <v>0</v>
      </c>
      <c r="O8" s="960">
        <v>0</v>
      </c>
      <c r="P8" s="960">
        <v>0</v>
      </c>
      <c r="Q8" s="960">
        <v>0</v>
      </c>
      <c r="R8" s="6"/>
      <c r="S8" s="951"/>
      <c r="T8" s="6"/>
      <c r="U8" s="937"/>
      <c r="V8" s="937"/>
      <c r="W8" s="937"/>
      <c r="X8" s="937"/>
      <c r="Y8" s="937"/>
      <c r="Z8" s="937"/>
      <c r="AA8" s="937"/>
      <c r="AB8" s="937"/>
      <c r="AC8" s="937"/>
      <c r="AD8" s="937"/>
      <c r="AE8" s="937"/>
      <c r="AF8" s="6"/>
      <c r="AG8" s="6"/>
      <c r="AH8" s="6"/>
      <c r="AI8" s="6"/>
    </row>
    <row r="9" spans="1:42" ht="18" customHeight="1" x14ac:dyDescent="0.3">
      <c r="B9" s="956" t="s">
        <v>240</v>
      </c>
      <c r="C9" s="957">
        <v>10151.623795</v>
      </c>
      <c r="D9" s="957">
        <v>9797.0280770000008</v>
      </c>
      <c r="E9" s="957">
        <v>10420</v>
      </c>
      <c r="F9" s="957">
        <v>14374</v>
      </c>
      <c r="G9" s="957">
        <v>11308</v>
      </c>
      <c r="H9" s="957">
        <v>9779</v>
      </c>
      <c r="I9" s="961">
        <v>7081</v>
      </c>
      <c r="J9" s="961">
        <v>9526</v>
      </c>
      <c r="K9" s="961">
        <f t="shared" ref="K9:Q9" si="4">J9</f>
        <v>9526</v>
      </c>
      <c r="L9" s="961">
        <f t="shared" si="4"/>
        <v>9526</v>
      </c>
      <c r="M9" s="961">
        <f t="shared" si="4"/>
        <v>9526</v>
      </c>
      <c r="N9" s="961">
        <f t="shared" si="4"/>
        <v>9526</v>
      </c>
      <c r="O9" s="961">
        <f t="shared" si="4"/>
        <v>9526</v>
      </c>
      <c r="P9" s="961">
        <f t="shared" si="4"/>
        <v>9526</v>
      </c>
      <c r="Q9" s="961">
        <f t="shared" si="4"/>
        <v>9526</v>
      </c>
      <c r="R9" s="6"/>
      <c r="S9" s="952" t="s">
        <v>8885</v>
      </c>
      <c r="T9" s="6"/>
      <c r="U9" s="937"/>
      <c r="V9" s="937"/>
      <c r="W9" s="937"/>
      <c r="X9" s="937"/>
      <c r="Y9" s="937"/>
      <c r="Z9" s="937"/>
      <c r="AA9" s="937"/>
      <c r="AB9" s="937"/>
      <c r="AC9" s="937"/>
      <c r="AD9" s="937"/>
      <c r="AE9" s="937"/>
      <c r="AF9" s="6"/>
      <c r="AG9" s="6"/>
      <c r="AH9" s="6"/>
      <c r="AI9" s="6"/>
      <c r="AJ9" s="62">
        <f>AJ4-AJ5-AJ6-AJ10</f>
        <v>96507339131</v>
      </c>
      <c r="AK9" s="62">
        <f>ROUND(AJ9/1000000,)</f>
        <v>96507</v>
      </c>
      <c r="AL9" s="62">
        <f>J9-AK9</f>
        <v>-86981</v>
      </c>
      <c r="AN9" s="62">
        <f>'SAP BS'!B2664</f>
        <v>0</v>
      </c>
      <c r="AO9" s="62">
        <f>'SAP BS'!L2664</f>
        <v>0</v>
      </c>
      <c r="AP9" s="62" t="s">
        <v>8842</v>
      </c>
    </row>
    <row r="10" spans="1:42" ht="18" customHeight="1" x14ac:dyDescent="0.3">
      <c r="B10" s="956" t="s">
        <v>241</v>
      </c>
      <c r="C10" s="957">
        <v>26060.019805</v>
      </c>
      <c r="D10" s="957">
        <v>42060.056113999999</v>
      </c>
      <c r="E10" s="957">
        <v>35036</v>
      </c>
      <c r="F10" s="957">
        <v>31673</v>
      </c>
      <c r="G10" s="957">
        <v>29538</v>
      </c>
      <c r="H10" s="957">
        <v>26929</v>
      </c>
      <c r="I10" s="961">
        <v>27914</v>
      </c>
      <c r="J10" s="961">
        <v>33663</v>
      </c>
      <c r="K10" s="961">
        <f>AB10*'9. 추정 IS'!K18</f>
        <v>28143.536478580976</v>
      </c>
      <c r="L10" s="961">
        <f>AC10*'9. 추정 IS'!L18</f>
        <v>28999.113042637258</v>
      </c>
      <c r="M10" s="961">
        <f>AD10*'9. 추정 IS'!M18</f>
        <v>29687.372110837929</v>
      </c>
      <c r="N10" s="961">
        <f>AE10*'9. 추정 IS'!N18</f>
        <v>30293.008273154541</v>
      </c>
      <c r="O10" s="961">
        <f>AF10*'9. 추정 IS'!O18</f>
        <v>30850.413677576104</v>
      </c>
      <c r="P10" s="961">
        <f>AG10*'9. 추정 IS'!P18</f>
        <v>31376.941715102497</v>
      </c>
      <c r="Q10" s="961">
        <f>AH10*'9. 추정 IS'!Q18</f>
        <v>31882.573273746239</v>
      </c>
      <c r="R10" s="6"/>
      <c r="S10" s="952" t="s">
        <v>8887</v>
      </c>
      <c r="T10" s="6"/>
      <c r="U10" s="937"/>
      <c r="V10" s="938">
        <f>F10/'9. 추정 IS'!F18</f>
        <v>0.10703700824921343</v>
      </c>
      <c r="W10" s="938">
        <f>G10/'9. 추정 IS'!G18</f>
        <v>9.8321366872709481E-2</v>
      </c>
      <c r="X10" s="938">
        <f>H10/'9. 추정 IS'!H18</f>
        <v>0.10952179536192747</v>
      </c>
      <c r="Y10" s="938">
        <f>I10/'9. 추정 IS'!I18</f>
        <v>0.13346019239228135</v>
      </c>
      <c r="Z10" s="938">
        <f>AVERAGE(W10:Y10)</f>
        <v>0.11376778487563943</v>
      </c>
      <c r="AA10" s="938">
        <f>AVERAGE(X10:Z10)</f>
        <v>0.11891659087661609</v>
      </c>
      <c r="AB10" s="938">
        <f t="shared" ref="AB10:AH10" si="5">AA10</f>
        <v>0.11891659087661609</v>
      </c>
      <c r="AC10" s="938">
        <f t="shared" si="5"/>
        <v>0.11891659087661609</v>
      </c>
      <c r="AD10" s="938">
        <f t="shared" si="5"/>
        <v>0.11891659087661609</v>
      </c>
      <c r="AE10" s="938">
        <f t="shared" si="5"/>
        <v>0.11891659087661609</v>
      </c>
      <c r="AF10" s="938">
        <f t="shared" si="5"/>
        <v>0.11891659087661609</v>
      </c>
      <c r="AG10" s="938">
        <f t="shared" si="5"/>
        <v>0.11891659087661609</v>
      </c>
      <c r="AH10" s="938">
        <f t="shared" si="5"/>
        <v>0.11891659087661609</v>
      </c>
      <c r="AI10" s="6"/>
      <c r="AJ10" s="62">
        <f>'SAP BS'!L2670</f>
        <v>0</v>
      </c>
      <c r="AK10" s="62">
        <f>ROUND(AJ10/1000000,)</f>
        <v>0</v>
      </c>
      <c r="AL10" s="62">
        <f>J10-AK10</f>
        <v>33663</v>
      </c>
      <c r="AP10" s="62" t="s">
        <v>8843</v>
      </c>
    </row>
    <row r="11" spans="1:42" ht="18" customHeight="1" x14ac:dyDescent="0.3">
      <c r="B11" s="955" t="s">
        <v>8848</v>
      </c>
      <c r="C11" s="955">
        <f t="shared" ref="C11:Q11" si="6">SUM(C12,C15,C19,C23)</f>
        <v>673252.19299199991</v>
      </c>
      <c r="D11" s="955">
        <f t="shared" si="6"/>
        <v>784434.73899500002</v>
      </c>
      <c r="E11" s="955">
        <f t="shared" si="6"/>
        <v>820694</v>
      </c>
      <c r="F11" s="955">
        <f t="shared" si="6"/>
        <v>509953.4</v>
      </c>
      <c r="G11" s="955">
        <f t="shared" si="6"/>
        <v>503792</v>
      </c>
      <c r="H11" s="955">
        <f t="shared" si="6"/>
        <v>494214</v>
      </c>
      <c r="I11" s="955">
        <f t="shared" si="6"/>
        <v>487448.10397400003</v>
      </c>
      <c r="J11" s="955">
        <f t="shared" si="6"/>
        <v>455654.40525000001</v>
      </c>
      <c r="K11" s="955">
        <f t="shared" si="6"/>
        <v>464349.70525</v>
      </c>
      <c r="L11" s="955">
        <f t="shared" si="6"/>
        <v>464203.63348834199</v>
      </c>
      <c r="M11" s="955">
        <f t="shared" si="6"/>
        <v>464059.37105914927</v>
      </c>
      <c r="N11" s="955">
        <f t="shared" si="6"/>
        <v>463907.45639421651</v>
      </c>
      <c r="O11" s="955">
        <f t="shared" si="6"/>
        <v>463757.78966362186</v>
      </c>
      <c r="P11" s="955">
        <f t="shared" si="6"/>
        <v>463610.83709653548</v>
      </c>
      <c r="Q11" s="955">
        <f t="shared" si="6"/>
        <v>463466.54947237554</v>
      </c>
      <c r="R11" s="6"/>
      <c r="S11" s="953"/>
      <c r="T11" s="6"/>
      <c r="U11" s="936"/>
      <c r="V11" s="936"/>
      <c r="W11" s="936"/>
      <c r="X11" s="936"/>
      <c r="Y11" s="936"/>
      <c r="Z11" s="936"/>
      <c r="AA11" s="936"/>
      <c r="AB11" s="936"/>
      <c r="AC11" s="936"/>
      <c r="AD11" s="936"/>
      <c r="AE11" s="936"/>
      <c r="AF11" s="6"/>
      <c r="AG11" s="6"/>
      <c r="AH11" s="6"/>
      <c r="AI11" s="6"/>
      <c r="AJ11" s="62">
        <f>'SAP BS'!L2691</f>
        <v>0</v>
      </c>
      <c r="AK11" s="62">
        <f>ROUND(AJ11/1000000,)</f>
        <v>0</v>
      </c>
      <c r="AL11" s="62">
        <f>J11-AK11</f>
        <v>455654.40525000001</v>
      </c>
      <c r="AP11" s="62" t="s">
        <v>8844</v>
      </c>
    </row>
    <row r="12" spans="1:42" ht="18" customHeight="1" x14ac:dyDescent="0.3">
      <c r="B12" s="956" t="s">
        <v>242</v>
      </c>
      <c r="C12" s="957">
        <f t="shared" ref="C12:Q12" si="7">SUM(C13:C14)</f>
        <v>380317.30004</v>
      </c>
      <c r="D12" s="957">
        <f t="shared" si="7"/>
        <v>482787.209271</v>
      </c>
      <c r="E12" s="957">
        <f t="shared" si="7"/>
        <v>498903</v>
      </c>
      <c r="F12" s="957">
        <f t="shared" si="7"/>
        <v>25418</v>
      </c>
      <c r="G12" s="957">
        <f t="shared" si="7"/>
        <v>26164</v>
      </c>
      <c r="H12" s="957">
        <f t="shared" si="7"/>
        <v>24529</v>
      </c>
      <c r="I12" s="957">
        <f t="shared" si="7"/>
        <v>22303</v>
      </c>
      <c r="J12" s="957">
        <f t="shared" si="7"/>
        <v>10</v>
      </c>
      <c r="K12" s="957">
        <f t="shared" si="7"/>
        <v>10</v>
      </c>
      <c r="L12" s="957">
        <f t="shared" si="7"/>
        <v>10</v>
      </c>
      <c r="M12" s="957">
        <f t="shared" si="7"/>
        <v>10</v>
      </c>
      <c r="N12" s="957">
        <f t="shared" si="7"/>
        <v>10</v>
      </c>
      <c r="O12" s="957">
        <f t="shared" si="7"/>
        <v>10</v>
      </c>
      <c r="P12" s="957">
        <f t="shared" si="7"/>
        <v>10</v>
      </c>
      <c r="Q12" s="957">
        <f t="shared" si="7"/>
        <v>10</v>
      </c>
      <c r="R12" s="6"/>
      <c r="S12" s="952"/>
      <c r="T12" s="6"/>
      <c r="U12" s="937"/>
      <c r="V12" s="937"/>
      <c r="W12" s="937"/>
      <c r="X12" s="937"/>
      <c r="Y12" s="937"/>
      <c r="Z12" s="937"/>
      <c r="AA12" s="937"/>
      <c r="AB12" s="937"/>
      <c r="AC12" s="937"/>
      <c r="AD12" s="937"/>
      <c r="AE12" s="937"/>
      <c r="AF12" s="6"/>
      <c r="AG12" s="6"/>
      <c r="AH12" s="6"/>
      <c r="AI12" s="6"/>
      <c r="AP12" s="62" t="s">
        <v>8845</v>
      </c>
    </row>
    <row r="13" spans="1:42" ht="18" customHeight="1" x14ac:dyDescent="0.3">
      <c r="B13" s="958" t="s">
        <v>126</v>
      </c>
      <c r="C13" s="959">
        <v>170615.368108</v>
      </c>
      <c r="D13" s="959">
        <v>264042.32741899998</v>
      </c>
      <c r="E13" s="959">
        <v>329589</v>
      </c>
      <c r="F13" s="959">
        <v>1637</v>
      </c>
      <c r="G13" s="959">
        <v>1302</v>
      </c>
      <c r="H13" s="959">
        <v>1120</v>
      </c>
      <c r="I13" s="960">
        <v>10</v>
      </c>
      <c r="J13" s="960">
        <v>10</v>
      </c>
      <c r="K13" s="960">
        <f t="shared" ref="K13:Q14" si="8">J13</f>
        <v>10</v>
      </c>
      <c r="L13" s="960">
        <f t="shared" si="8"/>
        <v>10</v>
      </c>
      <c r="M13" s="960">
        <f t="shared" si="8"/>
        <v>10</v>
      </c>
      <c r="N13" s="960">
        <f t="shared" si="8"/>
        <v>10</v>
      </c>
      <c r="O13" s="960">
        <f t="shared" si="8"/>
        <v>10</v>
      </c>
      <c r="P13" s="960">
        <f t="shared" si="8"/>
        <v>10</v>
      </c>
      <c r="Q13" s="960">
        <f t="shared" si="8"/>
        <v>10</v>
      </c>
      <c r="R13" s="6"/>
      <c r="S13" s="951" t="s">
        <v>8885</v>
      </c>
      <c r="T13" s="6"/>
      <c r="U13" s="937"/>
      <c r="V13" s="937"/>
      <c r="W13" s="937"/>
      <c r="X13" s="937"/>
      <c r="Y13" s="937"/>
      <c r="Z13" s="937"/>
      <c r="AA13" s="937"/>
      <c r="AB13" s="937"/>
      <c r="AC13" s="937"/>
      <c r="AD13" s="937"/>
      <c r="AE13" s="937"/>
      <c r="AF13" s="6"/>
      <c r="AG13" s="6"/>
      <c r="AH13" s="6"/>
      <c r="AI13" s="6"/>
    </row>
    <row r="14" spans="1:42" ht="18" customHeight="1" x14ac:dyDescent="0.3">
      <c r="B14" s="958" t="s">
        <v>8918</v>
      </c>
      <c r="C14" s="959">
        <v>209701.93193200001</v>
      </c>
      <c r="D14" s="959">
        <v>218744.88185199999</v>
      </c>
      <c r="E14" s="959">
        <v>169314</v>
      </c>
      <c r="F14" s="959">
        <v>23781</v>
      </c>
      <c r="G14" s="959">
        <v>24862</v>
      </c>
      <c r="H14" s="959">
        <v>23409</v>
      </c>
      <c r="I14" s="960">
        <v>22293</v>
      </c>
      <c r="J14" s="960">
        <v>0</v>
      </c>
      <c r="K14" s="960">
        <f>J14</f>
        <v>0</v>
      </c>
      <c r="L14" s="960">
        <f t="shared" si="8"/>
        <v>0</v>
      </c>
      <c r="M14" s="960">
        <f t="shared" si="8"/>
        <v>0</v>
      </c>
      <c r="N14" s="960">
        <f t="shared" si="8"/>
        <v>0</v>
      </c>
      <c r="O14" s="960">
        <f t="shared" si="8"/>
        <v>0</v>
      </c>
      <c r="P14" s="960">
        <f t="shared" si="8"/>
        <v>0</v>
      </c>
      <c r="Q14" s="960">
        <f t="shared" si="8"/>
        <v>0</v>
      </c>
      <c r="R14" s="6"/>
      <c r="S14" s="951" t="s">
        <v>8885</v>
      </c>
      <c r="T14" s="6"/>
      <c r="U14" s="937"/>
      <c r="V14" s="937"/>
      <c r="W14" s="937"/>
      <c r="X14" s="937"/>
      <c r="Y14" s="937"/>
      <c r="Z14" s="937"/>
      <c r="AA14" s="937"/>
      <c r="AB14" s="937"/>
      <c r="AC14" s="937"/>
      <c r="AD14" s="937"/>
      <c r="AE14" s="937"/>
      <c r="AF14" s="6"/>
      <c r="AG14" s="6"/>
      <c r="AH14" s="6"/>
      <c r="AI14" s="6"/>
    </row>
    <row r="15" spans="1:42" ht="18" customHeight="1" x14ac:dyDescent="0.3">
      <c r="B15" s="956" t="s">
        <v>243</v>
      </c>
      <c r="C15" s="957">
        <f t="shared" ref="C15:Q15" si="9">SUM(C16:C18)</f>
        <v>244105.13762299999</v>
      </c>
      <c r="D15" s="957">
        <f t="shared" si="9"/>
        <v>287202.23522000003</v>
      </c>
      <c r="E15" s="957">
        <f t="shared" si="9"/>
        <v>308483</v>
      </c>
      <c r="F15" s="957">
        <f t="shared" si="9"/>
        <v>424563.4</v>
      </c>
      <c r="G15" s="957">
        <f t="shared" si="9"/>
        <v>410985</v>
      </c>
      <c r="H15" s="957">
        <f t="shared" si="9"/>
        <v>403308</v>
      </c>
      <c r="I15" s="957">
        <f t="shared" si="9"/>
        <v>397786</v>
      </c>
      <c r="J15" s="957">
        <f t="shared" si="9"/>
        <v>389756</v>
      </c>
      <c r="K15" s="957">
        <f t="shared" si="9"/>
        <v>398451.3</v>
      </c>
      <c r="L15" s="957">
        <f t="shared" si="9"/>
        <v>398305.22823834198</v>
      </c>
      <c r="M15" s="957">
        <f t="shared" si="9"/>
        <v>398160.96580914926</v>
      </c>
      <c r="N15" s="957">
        <f t="shared" si="9"/>
        <v>398009.0511442165</v>
      </c>
      <c r="O15" s="957">
        <f t="shared" si="9"/>
        <v>397859.38441362185</v>
      </c>
      <c r="P15" s="957">
        <f t="shared" si="9"/>
        <v>397712.43184653547</v>
      </c>
      <c r="Q15" s="957">
        <f t="shared" si="9"/>
        <v>397568.14422237553</v>
      </c>
      <c r="R15" s="6"/>
      <c r="S15" s="952"/>
      <c r="T15" s="6"/>
      <c r="U15" s="937"/>
      <c r="V15" s="937"/>
      <c r="W15" s="937"/>
      <c r="X15" s="937"/>
      <c r="Y15" s="937"/>
      <c r="Z15" s="937"/>
      <c r="AA15" s="937"/>
      <c r="AB15" s="937"/>
      <c r="AC15" s="937"/>
      <c r="AD15" s="937"/>
      <c r="AE15" s="937"/>
      <c r="AF15" s="6"/>
      <c r="AG15" s="6"/>
      <c r="AH15" s="6"/>
      <c r="AI15" s="6"/>
    </row>
    <row r="16" spans="1:42" ht="18" customHeight="1" x14ac:dyDescent="0.3">
      <c r="B16" s="958" t="s">
        <v>591</v>
      </c>
      <c r="C16" s="959">
        <v>4257.6208900000001</v>
      </c>
      <c r="D16" s="959">
        <v>4903.5344999999998</v>
      </c>
      <c r="E16" s="959">
        <v>5481</v>
      </c>
      <c r="F16" s="959">
        <v>35392</v>
      </c>
      <c r="G16" s="959">
        <v>33528</v>
      </c>
      <c r="H16" s="959">
        <v>54306</v>
      </c>
      <c r="I16" s="960">
        <v>66788</v>
      </c>
      <c r="J16" s="960">
        <v>51711</v>
      </c>
      <c r="K16" s="960">
        <f t="shared" ref="K16:Q16" si="10">J16</f>
        <v>51711</v>
      </c>
      <c r="L16" s="960">
        <f t="shared" si="10"/>
        <v>51711</v>
      </c>
      <c r="M16" s="960">
        <f t="shared" si="10"/>
        <v>51711</v>
      </c>
      <c r="N16" s="960">
        <f t="shared" si="10"/>
        <v>51711</v>
      </c>
      <c r="O16" s="960">
        <f t="shared" si="10"/>
        <v>51711</v>
      </c>
      <c r="P16" s="960">
        <f t="shared" si="10"/>
        <v>51711</v>
      </c>
      <c r="Q16" s="960">
        <f t="shared" si="10"/>
        <v>51711</v>
      </c>
      <c r="R16" s="6"/>
      <c r="S16" s="951" t="s">
        <v>8888</v>
      </c>
      <c r="T16" s="6"/>
      <c r="U16" s="937"/>
      <c r="V16" s="937"/>
      <c r="W16" s="937"/>
      <c r="X16" s="937"/>
      <c r="Y16" s="937"/>
      <c r="Z16" s="937"/>
      <c r="AA16" s="937"/>
      <c r="AB16" s="937"/>
      <c r="AC16" s="937"/>
      <c r="AD16" s="937"/>
      <c r="AE16" s="937"/>
      <c r="AF16" s="6"/>
      <c r="AG16" s="6"/>
      <c r="AH16" s="6"/>
      <c r="AI16" s="6"/>
    </row>
    <row r="17" spans="1:38" ht="18" customHeight="1" x14ac:dyDescent="0.3">
      <c r="B17" s="958" t="s">
        <v>562</v>
      </c>
      <c r="C17" s="959">
        <v>239847.516733</v>
      </c>
      <c r="D17" s="959">
        <v>282298.70072000002</v>
      </c>
      <c r="E17" s="959">
        <v>303002</v>
      </c>
      <c r="F17" s="959">
        <f>384198+4973.4</f>
        <v>389171.4</v>
      </c>
      <c r="G17" s="959">
        <f>370205.7+7251.3</f>
        <v>377457</v>
      </c>
      <c r="H17" s="959">
        <f>340454.1+8547.9</f>
        <v>349002</v>
      </c>
      <c r="I17" s="960">
        <v>330998</v>
      </c>
      <c r="J17" s="960">
        <v>338045</v>
      </c>
      <c r="K17" s="960">
        <f>J17+'9. 추정 IS'!K133</f>
        <v>346740.3</v>
      </c>
      <c r="L17" s="960">
        <f>K17-'9. 추정 IS'!K133+'9. 추정 IS'!L133</f>
        <v>346594.22823834198</v>
      </c>
      <c r="M17" s="960">
        <f>L17-'9. 추정 IS'!L133+'9. 추정 IS'!M133</f>
        <v>346449.96580914926</v>
      </c>
      <c r="N17" s="960">
        <f>M17-'9. 추정 IS'!M133+'9. 추정 IS'!N133</f>
        <v>346298.0511442165</v>
      </c>
      <c r="O17" s="960">
        <f>N17-'9. 추정 IS'!N133+'9. 추정 IS'!O133</f>
        <v>346148.38441362185</v>
      </c>
      <c r="P17" s="960">
        <f>O17-'9. 추정 IS'!O133+'9. 추정 IS'!P133</f>
        <v>346001.43184653547</v>
      </c>
      <c r="Q17" s="960">
        <f>P17-'9. 추정 IS'!P133+'9. 추정 IS'!Q133</f>
        <v>345857.14422237553</v>
      </c>
      <c r="R17" s="6"/>
      <c r="S17" s="951" t="s">
        <v>8888</v>
      </c>
      <c r="T17" s="6"/>
      <c r="U17" s="937"/>
      <c r="V17" s="937"/>
      <c r="W17" s="937"/>
      <c r="X17" s="937"/>
      <c r="Y17" s="937"/>
      <c r="Z17" s="937"/>
      <c r="AA17" s="937"/>
      <c r="AB17" s="937"/>
      <c r="AC17" s="937"/>
      <c r="AD17" s="937"/>
      <c r="AE17" s="937"/>
      <c r="AF17" s="6"/>
      <c r="AG17" s="6"/>
      <c r="AH17" s="6"/>
      <c r="AI17" s="6"/>
    </row>
    <row r="18" spans="1:38" ht="18" hidden="1" customHeight="1" outlineLevel="1" x14ac:dyDescent="0.3">
      <c r="A18" s="690"/>
      <c r="B18" s="958"/>
      <c r="C18" s="959"/>
      <c r="D18" s="959"/>
      <c r="E18" s="959"/>
      <c r="F18" s="959"/>
      <c r="G18" s="959"/>
      <c r="H18" s="959"/>
      <c r="I18" s="960"/>
      <c r="J18" s="960"/>
      <c r="K18" s="960"/>
      <c r="L18" s="960"/>
      <c r="M18" s="960"/>
      <c r="N18" s="960"/>
      <c r="O18" s="960"/>
      <c r="P18" s="960"/>
      <c r="Q18" s="960"/>
      <c r="R18" s="6"/>
      <c r="S18" s="951"/>
      <c r="T18" s="6"/>
      <c r="U18" s="937"/>
      <c r="V18" s="937"/>
      <c r="W18" s="937"/>
      <c r="X18" s="937"/>
      <c r="Y18" s="937"/>
      <c r="Z18" s="937"/>
      <c r="AA18" s="937"/>
      <c r="AB18" s="937"/>
      <c r="AC18" s="937"/>
      <c r="AD18" s="937"/>
      <c r="AE18" s="937"/>
      <c r="AF18" s="6"/>
      <c r="AG18" s="6"/>
      <c r="AH18" s="6"/>
      <c r="AI18" s="6"/>
    </row>
    <row r="19" spans="1:38" ht="18" customHeight="1" collapsed="1" x14ac:dyDescent="0.3">
      <c r="B19" s="956" t="s">
        <v>245</v>
      </c>
      <c r="C19" s="957">
        <f t="shared" ref="C19:J19" si="11">SUM(C20:C22)</f>
        <v>16425.528176</v>
      </c>
      <c r="D19" s="957">
        <f t="shared" si="11"/>
        <v>14405.184503999999</v>
      </c>
      <c r="E19" s="957">
        <f t="shared" si="11"/>
        <v>13105</v>
      </c>
      <c r="F19" s="957">
        <f t="shared" si="11"/>
        <v>14971</v>
      </c>
      <c r="G19" s="957">
        <f t="shared" si="11"/>
        <v>17862</v>
      </c>
      <c r="H19" s="957">
        <f t="shared" si="11"/>
        <v>18390</v>
      </c>
      <c r="I19" s="957">
        <f t="shared" si="11"/>
        <v>19062</v>
      </c>
      <c r="J19" s="957">
        <f t="shared" si="11"/>
        <v>17586</v>
      </c>
      <c r="K19" s="957">
        <f t="shared" ref="K19:Q19" si="12">SUM(K20:K22)</f>
        <v>17586</v>
      </c>
      <c r="L19" s="957">
        <f t="shared" si="12"/>
        <v>17586</v>
      </c>
      <c r="M19" s="957">
        <f t="shared" si="12"/>
        <v>17586</v>
      </c>
      <c r="N19" s="957">
        <f t="shared" si="12"/>
        <v>17586</v>
      </c>
      <c r="O19" s="957">
        <f t="shared" si="12"/>
        <v>17586</v>
      </c>
      <c r="P19" s="957">
        <f t="shared" si="12"/>
        <v>17586</v>
      </c>
      <c r="Q19" s="957">
        <f t="shared" si="12"/>
        <v>17586</v>
      </c>
      <c r="R19" s="6"/>
      <c r="S19" s="952"/>
      <c r="T19" s="6"/>
      <c r="U19" s="937"/>
      <c r="V19" s="937"/>
      <c r="W19" s="937"/>
      <c r="X19" s="937"/>
      <c r="Y19" s="937"/>
      <c r="Z19" s="937"/>
      <c r="AA19" s="937"/>
      <c r="AB19" s="937"/>
      <c r="AC19" s="937"/>
      <c r="AD19" s="937"/>
      <c r="AE19" s="937"/>
      <c r="AF19" s="6"/>
      <c r="AG19" s="6"/>
      <c r="AH19" s="6"/>
      <c r="AI19" s="6"/>
    </row>
    <row r="20" spans="1:38" ht="18" customHeight="1" x14ac:dyDescent="0.3">
      <c r="B20" s="958" t="s">
        <v>246</v>
      </c>
      <c r="C20" s="959">
        <v>16425.528176</v>
      </c>
      <c r="D20" s="959">
        <v>13662.655749</v>
      </c>
      <c r="E20" s="959">
        <v>12167</v>
      </c>
      <c r="F20" s="959">
        <v>14277</v>
      </c>
      <c r="G20" s="959">
        <v>17193</v>
      </c>
      <c r="H20" s="959">
        <v>17398</v>
      </c>
      <c r="I20" s="960">
        <v>18114</v>
      </c>
      <c r="J20" s="960">
        <v>16736</v>
      </c>
      <c r="K20" s="960">
        <f t="shared" ref="K20:Q21" si="13">J20</f>
        <v>16736</v>
      </c>
      <c r="L20" s="960">
        <f t="shared" si="13"/>
        <v>16736</v>
      </c>
      <c r="M20" s="960">
        <f t="shared" si="13"/>
        <v>16736</v>
      </c>
      <c r="N20" s="960">
        <f t="shared" si="13"/>
        <v>16736</v>
      </c>
      <c r="O20" s="960">
        <f t="shared" si="13"/>
        <v>16736</v>
      </c>
      <c r="P20" s="960">
        <f t="shared" si="13"/>
        <v>16736</v>
      </c>
      <c r="Q20" s="960">
        <f t="shared" si="13"/>
        <v>16736</v>
      </c>
      <c r="R20" s="6"/>
      <c r="S20" s="951" t="s">
        <v>8888</v>
      </c>
      <c r="T20" s="6"/>
      <c r="U20" s="937"/>
      <c r="V20" s="937"/>
      <c r="W20" s="937"/>
      <c r="X20" s="937"/>
      <c r="Y20" s="937"/>
      <c r="Z20" s="937"/>
      <c r="AA20" s="937"/>
      <c r="AB20" s="937"/>
      <c r="AC20" s="937"/>
      <c r="AD20" s="937"/>
      <c r="AE20" s="937"/>
      <c r="AF20" s="6"/>
      <c r="AG20" s="6"/>
      <c r="AH20" s="6"/>
      <c r="AI20" s="6"/>
    </row>
    <row r="21" spans="1:38" ht="18" customHeight="1" x14ac:dyDescent="0.3">
      <c r="B21" s="958" t="s">
        <v>247</v>
      </c>
      <c r="C21" s="959">
        <v>0</v>
      </c>
      <c r="D21" s="959">
        <v>742.52875500000005</v>
      </c>
      <c r="E21" s="959">
        <v>938</v>
      </c>
      <c r="F21" s="959">
        <v>694</v>
      </c>
      <c r="G21" s="959">
        <v>669</v>
      </c>
      <c r="H21" s="959">
        <v>992</v>
      </c>
      <c r="I21" s="960">
        <v>948</v>
      </c>
      <c r="J21" s="960">
        <v>850</v>
      </c>
      <c r="K21" s="960">
        <f t="shared" si="13"/>
        <v>850</v>
      </c>
      <c r="L21" s="960">
        <f t="shared" si="13"/>
        <v>850</v>
      </c>
      <c r="M21" s="960">
        <f t="shared" si="13"/>
        <v>850</v>
      </c>
      <c r="N21" s="960">
        <f t="shared" si="13"/>
        <v>850</v>
      </c>
      <c r="O21" s="960">
        <f t="shared" si="13"/>
        <v>850</v>
      </c>
      <c r="P21" s="960">
        <f t="shared" si="13"/>
        <v>850</v>
      </c>
      <c r="Q21" s="960">
        <f t="shared" si="13"/>
        <v>850</v>
      </c>
      <c r="R21" s="6"/>
      <c r="S21" s="951" t="s">
        <v>8888</v>
      </c>
      <c r="T21" s="6"/>
      <c r="U21" s="937"/>
      <c r="V21" s="937"/>
      <c r="W21" s="937"/>
      <c r="X21" s="937"/>
      <c r="Y21" s="937"/>
      <c r="Z21" s="937"/>
      <c r="AA21" s="937"/>
      <c r="AB21" s="937"/>
      <c r="AC21" s="937"/>
      <c r="AD21" s="937"/>
      <c r="AE21" s="937"/>
      <c r="AF21" s="6"/>
      <c r="AG21" s="6"/>
      <c r="AH21" s="6"/>
      <c r="AI21" s="6"/>
    </row>
    <row r="22" spans="1:38" ht="18" hidden="1" customHeight="1" outlineLevel="1" x14ac:dyDescent="0.3">
      <c r="A22" s="690"/>
      <c r="B22" s="958"/>
      <c r="C22" s="959"/>
      <c r="D22" s="959"/>
      <c r="E22" s="959"/>
      <c r="F22" s="959"/>
      <c r="G22" s="959"/>
      <c r="H22" s="959"/>
      <c r="I22" s="959"/>
      <c r="J22" s="959"/>
      <c r="K22" s="960"/>
      <c r="L22" s="960"/>
      <c r="M22" s="960"/>
      <c r="N22" s="960"/>
      <c r="O22" s="960"/>
      <c r="P22" s="960"/>
      <c r="Q22" s="960"/>
      <c r="R22" s="6"/>
      <c r="S22" s="951"/>
      <c r="T22" s="6"/>
      <c r="U22" s="937"/>
      <c r="V22" s="937"/>
      <c r="W22" s="937"/>
      <c r="X22" s="937"/>
      <c r="Y22" s="937"/>
      <c r="Z22" s="937"/>
      <c r="AA22" s="937"/>
      <c r="AB22" s="937"/>
      <c r="AC22" s="937"/>
      <c r="AD22" s="937"/>
      <c r="AE22" s="937"/>
      <c r="AF22" s="6"/>
      <c r="AG22" s="6"/>
      <c r="AH22" s="6"/>
      <c r="AI22" s="6"/>
    </row>
    <row r="23" spans="1:38" ht="18" customHeight="1" collapsed="1" x14ac:dyDescent="0.3">
      <c r="B23" s="956" t="s">
        <v>249</v>
      </c>
      <c r="C23" s="957">
        <f>SUM(C24:C27)</f>
        <v>32404.227153</v>
      </c>
      <c r="D23" s="957">
        <f t="shared" ref="D23:Q23" si="14">SUM(D24:D27)</f>
        <v>40.11</v>
      </c>
      <c r="E23" s="957">
        <f t="shared" si="14"/>
        <v>203</v>
      </c>
      <c r="F23" s="957">
        <f t="shared" si="14"/>
        <v>45001</v>
      </c>
      <c r="G23" s="957">
        <f t="shared" si="14"/>
        <v>48781</v>
      </c>
      <c r="H23" s="957">
        <f t="shared" si="14"/>
        <v>47987</v>
      </c>
      <c r="I23" s="957">
        <f t="shared" si="14"/>
        <v>48297.103974000027</v>
      </c>
      <c r="J23" s="957">
        <f t="shared" si="14"/>
        <v>48302.405250000011</v>
      </c>
      <c r="K23" s="957">
        <f t="shared" si="14"/>
        <v>48302.405250000011</v>
      </c>
      <c r="L23" s="957">
        <f t="shared" si="14"/>
        <v>48302.405250000011</v>
      </c>
      <c r="M23" s="957">
        <f t="shared" si="14"/>
        <v>48302.405250000011</v>
      </c>
      <c r="N23" s="957">
        <f t="shared" si="14"/>
        <v>48302.405250000011</v>
      </c>
      <c r="O23" s="957">
        <f t="shared" si="14"/>
        <v>48302.405250000011</v>
      </c>
      <c r="P23" s="957">
        <f t="shared" si="14"/>
        <v>48302.405250000011</v>
      </c>
      <c r="Q23" s="957">
        <f t="shared" si="14"/>
        <v>48302.405250000011</v>
      </c>
      <c r="R23" s="6"/>
      <c r="S23" s="952"/>
      <c r="T23" s="6"/>
      <c r="U23" s="937"/>
      <c r="V23" s="937"/>
      <c r="W23" s="937"/>
      <c r="X23" s="937"/>
      <c r="Y23" s="937"/>
      <c r="Z23" s="937"/>
      <c r="AA23" s="937"/>
      <c r="AB23" s="937"/>
      <c r="AC23" s="937"/>
      <c r="AD23" s="937"/>
      <c r="AE23" s="937"/>
      <c r="AF23" s="6"/>
      <c r="AG23" s="6"/>
      <c r="AH23" s="6"/>
      <c r="AI23" s="6"/>
    </row>
    <row r="24" spans="1:38" ht="18" customHeight="1" x14ac:dyDescent="0.3">
      <c r="B24" s="958" t="s">
        <v>250</v>
      </c>
      <c r="C24" s="959">
        <v>30030.11</v>
      </c>
      <c r="D24" s="959">
        <v>28.11</v>
      </c>
      <c r="E24" s="959">
        <v>191</v>
      </c>
      <c r="F24" s="959">
        <v>1</v>
      </c>
      <c r="G24" s="959">
        <v>2781</v>
      </c>
      <c r="H24" s="959">
        <v>1915</v>
      </c>
      <c r="I24" s="960">
        <v>2297.1039740000269</v>
      </c>
      <c r="J24" s="960">
        <v>2269.4052500000107</v>
      </c>
      <c r="K24" s="960">
        <f t="shared" ref="K24:Q27" si="15">J24</f>
        <v>2269.4052500000107</v>
      </c>
      <c r="L24" s="960">
        <f t="shared" si="15"/>
        <v>2269.4052500000107</v>
      </c>
      <c r="M24" s="960">
        <f t="shared" si="15"/>
        <v>2269.4052500000107</v>
      </c>
      <c r="N24" s="960">
        <f t="shared" si="15"/>
        <v>2269.4052500000107</v>
      </c>
      <c r="O24" s="960">
        <f t="shared" si="15"/>
        <v>2269.4052500000107</v>
      </c>
      <c r="P24" s="960">
        <f t="shared" si="15"/>
        <v>2269.4052500000107</v>
      </c>
      <c r="Q24" s="960">
        <f t="shared" si="15"/>
        <v>2269.4052500000107</v>
      </c>
      <c r="R24" s="6"/>
      <c r="S24" s="951" t="s">
        <v>8885</v>
      </c>
      <c r="T24" s="6"/>
      <c r="U24" s="937"/>
      <c r="V24" s="937"/>
      <c r="W24" s="937"/>
      <c r="X24" s="937"/>
      <c r="Y24" s="937"/>
      <c r="Z24" s="937"/>
      <c r="AA24" s="937"/>
      <c r="AB24" s="937"/>
      <c r="AC24" s="937"/>
      <c r="AD24" s="937"/>
      <c r="AE24" s="937"/>
      <c r="AF24" s="6"/>
      <c r="AG24" s="6"/>
      <c r="AH24" s="6"/>
      <c r="AI24" s="6"/>
    </row>
    <row r="25" spans="1:38" ht="18" customHeight="1" x14ac:dyDescent="0.3">
      <c r="B25" s="958" t="s">
        <v>239</v>
      </c>
      <c r="C25" s="959"/>
      <c r="D25" s="959">
        <v>12</v>
      </c>
      <c r="E25" s="959">
        <v>12</v>
      </c>
      <c r="F25" s="959">
        <v>45000</v>
      </c>
      <c r="G25" s="959">
        <v>46000</v>
      </c>
      <c r="H25" s="959">
        <v>46000</v>
      </c>
      <c r="I25" s="960">
        <v>46000</v>
      </c>
      <c r="J25" s="960">
        <v>46000</v>
      </c>
      <c r="K25" s="960">
        <f t="shared" si="15"/>
        <v>46000</v>
      </c>
      <c r="L25" s="960">
        <f t="shared" si="15"/>
        <v>46000</v>
      </c>
      <c r="M25" s="960">
        <f t="shared" si="15"/>
        <v>46000</v>
      </c>
      <c r="N25" s="960">
        <f t="shared" si="15"/>
        <v>46000</v>
      </c>
      <c r="O25" s="960">
        <f t="shared" si="15"/>
        <v>46000</v>
      </c>
      <c r="P25" s="960">
        <f t="shared" si="15"/>
        <v>46000</v>
      </c>
      <c r="Q25" s="960">
        <f t="shared" si="15"/>
        <v>46000</v>
      </c>
      <c r="R25" s="6"/>
      <c r="S25" s="951" t="s">
        <v>8885</v>
      </c>
      <c r="T25" s="6"/>
      <c r="U25" s="937"/>
      <c r="V25" s="937"/>
      <c r="W25" s="937"/>
      <c r="X25" s="937"/>
      <c r="Y25" s="937"/>
      <c r="Z25" s="937"/>
      <c r="AA25" s="937"/>
      <c r="AB25" s="937"/>
      <c r="AC25" s="937"/>
      <c r="AD25" s="937"/>
      <c r="AE25" s="937"/>
      <c r="AF25" s="6"/>
      <c r="AG25" s="6"/>
      <c r="AH25" s="6"/>
      <c r="AI25" s="6"/>
    </row>
    <row r="26" spans="1:38" ht="18" customHeight="1" x14ac:dyDescent="0.3">
      <c r="B26" s="958" t="s">
        <v>251</v>
      </c>
      <c r="C26" s="959">
        <v>0</v>
      </c>
      <c r="D26" s="959">
        <v>0</v>
      </c>
      <c r="E26" s="959">
        <v>0</v>
      </c>
      <c r="F26" s="959">
        <v>0</v>
      </c>
      <c r="G26" s="959">
        <v>0</v>
      </c>
      <c r="H26" s="959">
        <v>72</v>
      </c>
      <c r="I26" s="960">
        <v>0</v>
      </c>
      <c r="J26" s="960">
        <f>33</f>
        <v>33</v>
      </c>
      <c r="K26" s="960">
        <f t="shared" si="15"/>
        <v>33</v>
      </c>
      <c r="L26" s="960">
        <f t="shared" si="15"/>
        <v>33</v>
      </c>
      <c r="M26" s="960">
        <f t="shared" si="15"/>
        <v>33</v>
      </c>
      <c r="N26" s="960">
        <f t="shared" si="15"/>
        <v>33</v>
      </c>
      <c r="O26" s="960">
        <f t="shared" si="15"/>
        <v>33</v>
      </c>
      <c r="P26" s="960">
        <f t="shared" si="15"/>
        <v>33</v>
      </c>
      <c r="Q26" s="960">
        <f t="shared" si="15"/>
        <v>33</v>
      </c>
      <c r="R26" s="6"/>
      <c r="S26" s="951"/>
      <c r="T26" s="6"/>
      <c r="U26" s="937"/>
      <c r="V26" s="937"/>
      <c r="W26" s="937"/>
      <c r="X26" s="937"/>
      <c r="Y26" s="937"/>
      <c r="Z26" s="937"/>
      <c r="AA26" s="937"/>
      <c r="AB26" s="937"/>
      <c r="AC26" s="937"/>
      <c r="AD26" s="937"/>
      <c r="AE26" s="937"/>
      <c r="AF26" s="6"/>
      <c r="AG26" s="6"/>
      <c r="AH26" s="6"/>
      <c r="AI26" s="6"/>
    </row>
    <row r="27" spans="1:38" ht="18" customHeight="1" x14ac:dyDescent="0.3">
      <c r="B27" s="958" t="s">
        <v>137</v>
      </c>
      <c r="C27" s="959">
        <v>2374.1171530000001</v>
      </c>
      <c r="D27" s="959">
        <v>0</v>
      </c>
      <c r="E27" s="959">
        <v>0</v>
      </c>
      <c r="F27" s="959">
        <v>0</v>
      </c>
      <c r="G27" s="959">
        <v>0</v>
      </c>
      <c r="H27" s="959">
        <v>0</v>
      </c>
      <c r="I27" s="960">
        <v>0</v>
      </c>
      <c r="J27" s="960">
        <v>0</v>
      </c>
      <c r="K27" s="960">
        <f t="shared" si="15"/>
        <v>0</v>
      </c>
      <c r="L27" s="960">
        <f t="shared" si="15"/>
        <v>0</v>
      </c>
      <c r="M27" s="960">
        <f t="shared" si="15"/>
        <v>0</v>
      </c>
      <c r="N27" s="960">
        <f t="shared" si="15"/>
        <v>0</v>
      </c>
      <c r="O27" s="960">
        <f t="shared" si="15"/>
        <v>0</v>
      </c>
      <c r="P27" s="960">
        <f t="shared" si="15"/>
        <v>0</v>
      </c>
      <c r="Q27" s="960">
        <f t="shared" si="15"/>
        <v>0</v>
      </c>
      <c r="R27" s="6"/>
      <c r="S27" s="951"/>
      <c r="T27" s="6"/>
      <c r="U27" s="937"/>
      <c r="V27" s="937"/>
      <c r="W27" s="937"/>
      <c r="X27" s="937"/>
      <c r="Y27" s="937"/>
      <c r="Z27" s="937"/>
      <c r="AA27" s="937"/>
      <c r="AB27" s="937"/>
      <c r="AC27" s="937"/>
      <c r="AD27" s="937"/>
      <c r="AE27" s="937"/>
      <c r="AF27" s="6"/>
      <c r="AG27" s="6"/>
      <c r="AH27" s="6"/>
      <c r="AI27" s="6"/>
    </row>
    <row r="28" spans="1:38" ht="18" customHeight="1" x14ac:dyDescent="0.3">
      <c r="B28" s="962" t="s">
        <v>252</v>
      </c>
      <c r="C28" s="962">
        <f t="shared" ref="C28:Q28" si="16">C4+C11</f>
        <v>1384201.779687</v>
      </c>
      <c r="D28" s="962">
        <f t="shared" si="16"/>
        <v>1426568.4305380001</v>
      </c>
      <c r="E28" s="962">
        <f t="shared" si="16"/>
        <v>1561615</v>
      </c>
      <c r="F28" s="962">
        <f t="shared" si="16"/>
        <v>604946.4</v>
      </c>
      <c r="G28" s="962">
        <f t="shared" si="16"/>
        <v>622057</v>
      </c>
      <c r="H28" s="962">
        <f t="shared" si="16"/>
        <v>613878</v>
      </c>
      <c r="I28" s="962">
        <f t="shared" si="16"/>
        <v>597910.06607399997</v>
      </c>
      <c r="J28" s="962">
        <f t="shared" si="16"/>
        <v>559469.66787</v>
      </c>
      <c r="K28" s="962">
        <f t="shared" si="16"/>
        <v>572353.67138521641</v>
      </c>
      <c r="L28" s="962">
        <f t="shared" si="16"/>
        <v>572458.90979724762</v>
      </c>
      <c r="M28" s="962">
        <f t="shared" si="16"/>
        <v>572407.55687285773</v>
      </c>
      <c r="N28" s="962">
        <f t="shared" si="16"/>
        <v>572274.70053403988</v>
      </c>
      <c r="O28" s="962">
        <f t="shared" si="16"/>
        <v>572168.73520486709</v>
      </c>
      <c r="P28" s="962">
        <f t="shared" si="16"/>
        <v>572148.12842770736</v>
      </c>
      <c r="Q28" s="962">
        <f t="shared" si="16"/>
        <v>572238.49950355454</v>
      </c>
      <c r="R28" s="6"/>
      <c r="S28" s="967"/>
      <c r="T28" s="6"/>
      <c r="U28" s="936"/>
      <c r="V28" s="936"/>
      <c r="W28" s="936"/>
      <c r="X28" s="936"/>
      <c r="Y28" s="936"/>
      <c r="Z28" s="936"/>
      <c r="AA28" s="936"/>
      <c r="AB28" s="936"/>
      <c r="AC28" s="936"/>
      <c r="AD28" s="936"/>
      <c r="AE28" s="936"/>
      <c r="AF28" s="6"/>
      <c r="AG28" s="6"/>
      <c r="AH28" s="6"/>
      <c r="AI28" s="6"/>
      <c r="AJ28" s="62">
        <f>'SAP BS'!L13</f>
        <v>563789756818</v>
      </c>
      <c r="AK28" s="62">
        <f>ROUND(AJ28/1000000,)</f>
        <v>563790</v>
      </c>
      <c r="AL28" s="62">
        <f>J28-AK28</f>
        <v>-4320.3321299999952</v>
      </c>
    </row>
    <row r="29" spans="1:38" ht="18" customHeight="1" x14ac:dyDescent="0.3">
      <c r="B29" s="955" t="s">
        <v>253</v>
      </c>
      <c r="C29" s="955">
        <f>SUM(C30,C31,C34,C35)</f>
        <v>284162.716197</v>
      </c>
      <c r="D29" s="955">
        <f t="shared" ref="D29:Q29" si="17">SUM(D30,D31,D34,D35)</f>
        <v>267281.082933</v>
      </c>
      <c r="E29" s="955">
        <f t="shared" si="17"/>
        <v>285467</v>
      </c>
      <c r="F29" s="955">
        <f t="shared" si="17"/>
        <v>252855</v>
      </c>
      <c r="G29" s="955">
        <f t="shared" si="17"/>
        <v>280636</v>
      </c>
      <c r="H29" s="955">
        <f t="shared" si="17"/>
        <v>304373</v>
      </c>
      <c r="I29" s="955">
        <f t="shared" si="17"/>
        <v>288766.9621</v>
      </c>
      <c r="J29" s="955">
        <f t="shared" si="17"/>
        <v>305590.26261999999</v>
      </c>
      <c r="K29" s="955">
        <f t="shared" si="17"/>
        <v>239812.26030019257</v>
      </c>
      <c r="L29" s="955">
        <f t="shared" si="17"/>
        <v>237332.35533688767</v>
      </c>
      <c r="M29" s="955">
        <f t="shared" si="17"/>
        <v>234498.44559417735</v>
      </c>
      <c r="N29" s="955">
        <f t="shared" si="17"/>
        <v>232064.80907395174</v>
      </c>
      <c r="O29" s="955">
        <f t="shared" si="17"/>
        <v>229966.2385393751</v>
      </c>
      <c r="P29" s="955">
        <f t="shared" si="17"/>
        <v>228311.07850397599</v>
      </c>
      <c r="Q29" s="955">
        <f t="shared" si="17"/>
        <v>227266.66228145495</v>
      </c>
      <c r="R29" s="6"/>
      <c r="S29" s="953"/>
      <c r="T29" s="6"/>
      <c r="U29" s="936"/>
      <c r="V29" s="936"/>
      <c r="W29" s="936"/>
      <c r="X29" s="936"/>
      <c r="Y29" s="936"/>
      <c r="Z29" s="936"/>
      <c r="AA29" s="936"/>
      <c r="AB29" s="936"/>
      <c r="AC29" s="936"/>
      <c r="AD29" s="936"/>
      <c r="AE29" s="936"/>
      <c r="AF29" s="6"/>
      <c r="AG29" s="6"/>
      <c r="AH29" s="6"/>
      <c r="AI29" s="6"/>
      <c r="AJ29" s="62">
        <f>'SAP BS'!L2958</f>
        <v>-3868569</v>
      </c>
      <c r="AK29" s="62">
        <f>ROUND(AJ29/1000000,)</f>
        <v>-4</v>
      </c>
      <c r="AL29" s="62">
        <f>J29-AK29</f>
        <v>305594.26261999999</v>
      </c>
    </row>
    <row r="30" spans="1:38" ht="18" customHeight="1" x14ac:dyDescent="0.3">
      <c r="B30" s="957" t="s">
        <v>254</v>
      </c>
      <c r="C30" s="957">
        <v>195306.33779200001</v>
      </c>
      <c r="D30" s="957">
        <v>180474.393835</v>
      </c>
      <c r="E30" s="957">
        <v>194499</v>
      </c>
      <c r="F30" s="957">
        <v>188079</v>
      </c>
      <c r="G30" s="957">
        <v>229146</v>
      </c>
      <c r="H30" s="957">
        <v>214067</v>
      </c>
      <c r="I30" s="961">
        <v>170757.9621</v>
      </c>
      <c r="J30" s="961">
        <v>161884.26261999999</v>
      </c>
      <c r="K30" s="961">
        <f>AB30*'9. 추정 IS'!K5</f>
        <v>170754.57171018593</v>
      </c>
      <c r="L30" s="961">
        <f>AC30*'9. 추정 IS'!L5</f>
        <v>169116.03103787469</v>
      </c>
      <c r="M30" s="961">
        <f>AD30*'9. 추정 IS'!M5</f>
        <v>167501.66940959092</v>
      </c>
      <c r="N30" s="961">
        <f>AE30*'9. 추정 IS'!N5</f>
        <v>165911.09336992542</v>
      </c>
      <c r="O30" s="961">
        <f>AF30*'9. 추정 IS'!O5</f>
        <v>164518.12345489708</v>
      </c>
      <c r="P30" s="961">
        <f>AG30*'9. 추정 IS'!P5</f>
        <v>163432.98137272583</v>
      </c>
      <c r="Q30" s="961">
        <f>AH30*'9. 추정 IS'!Q5</f>
        <v>162698.2060202545</v>
      </c>
      <c r="R30" s="6"/>
      <c r="S30" s="952" t="s">
        <v>8889</v>
      </c>
      <c r="T30" s="6"/>
      <c r="U30" s="937"/>
      <c r="V30" s="938">
        <f>F30/'9. 추정 IS'!F5</f>
        <v>4.1037572909560109E-2</v>
      </c>
      <c r="W30" s="938">
        <f>G30/'9. 추정 IS'!G5</f>
        <v>4.9328447456596258E-2</v>
      </c>
      <c r="X30" s="938">
        <f>H30/'9. 추정 IS'!H5</f>
        <v>5.1047975866268892E-2</v>
      </c>
      <c r="Y30" s="938">
        <f>I30/'9. 추정 IS'!I5</f>
        <v>4.2148158363111782E-2</v>
      </c>
      <c r="Z30" s="938">
        <f>J30/'9. 추정 IS'!J5</f>
        <v>4.2768172992853945E-2</v>
      </c>
      <c r="AA30" s="938">
        <f>AVERAGE(X30:Z30)</f>
        <v>4.5321435740744875E-2</v>
      </c>
      <c r="AB30" s="938">
        <f t="shared" ref="AB30:AH30" si="18">AA30</f>
        <v>4.5321435740744875E-2</v>
      </c>
      <c r="AC30" s="938">
        <f t="shared" si="18"/>
        <v>4.5321435740744875E-2</v>
      </c>
      <c r="AD30" s="938">
        <f t="shared" si="18"/>
        <v>4.5321435740744875E-2</v>
      </c>
      <c r="AE30" s="938">
        <f t="shared" si="18"/>
        <v>4.5321435740744875E-2</v>
      </c>
      <c r="AF30" s="938">
        <f t="shared" si="18"/>
        <v>4.5321435740744875E-2</v>
      </c>
      <c r="AG30" s="938">
        <f t="shared" si="18"/>
        <v>4.5321435740744875E-2</v>
      </c>
      <c r="AH30" s="938">
        <f t="shared" si="18"/>
        <v>4.5321435740744875E-2</v>
      </c>
      <c r="AI30" s="6"/>
    </row>
    <row r="31" spans="1:38" ht="18" customHeight="1" x14ac:dyDescent="0.3">
      <c r="B31" s="957" t="s">
        <v>255</v>
      </c>
      <c r="C31" s="957">
        <f>SUM(C32:C33)</f>
        <v>73901.122291000007</v>
      </c>
      <c r="D31" s="957">
        <f t="shared" ref="D31:Q31" si="19">SUM(D32:D33)</f>
        <v>60384.834355000006</v>
      </c>
      <c r="E31" s="957">
        <f t="shared" si="19"/>
        <v>68474</v>
      </c>
      <c r="F31" s="957">
        <f t="shared" si="19"/>
        <v>61977</v>
      </c>
      <c r="G31" s="957">
        <f t="shared" si="19"/>
        <v>48558</v>
      </c>
      <c r="H31" s="957">
        <f t="shared" si="19"/>
        <v>57757</v>
      </c>
      <c r="I31" s="957">
        <f t="shared" si="19"/>
        <v>56883</v>
      </c>
      <c r="J31" s="957">
        <f t="shared" si="19"/>
        <v>58924</v>
      </c>
      <c r="K31" s="957">
        <f t="shared" si="19"/>
        <v>54472.401110873558</v>
      </c>
      <c r="L31" s="957">
        <f t="shared" si="19"/>
        <v>53955.12166216864</v>
      </c>
      <c r="M31" s="957">
        <f t="shared" si="19"/>
        <v>53445.475421949828</v>
      </c>
      <c r="N31" s="957">
        <f t="shared" si="19"/>
        <v>52943.338178227423</v>
      </c>
      <c r="O31" s="957">
        <f t="shared" si="19"/>
        <v>52503.584242371799</v>
      </c>
      <c r="P31" s="957">
        <f t="shared" si="19"/>
        <v>52161.010080181302</v>
      </c>
      <c r="Q31" s="957">
        <f t="shared" si="19"/>
        <v>51929.045017811382</v>
      </c>
      <c r="R31" s="6"/>
      <c r="S31" s="952"/>
      <c r="T31" s="6"/>
      <c r="U31" s="937"/>
      <c r="V31" s="937"/>
      <c r="W31" s="937"/>
      <c r="X31" s="937"/>
      <c r="Y31" s="937"/>
      <c r="Z31" s="937"/>
      <c r="AA31" s="937"/>
      <c r="AB31" s="937"/>
      <c r="AC31" s="937"/>
      <c r="AD31" s="937"/>
      <c r="AE31" s="937"/>
      <c r="AF31" s="937"/>
      <c r="AG31" s="937"/>
      <c r="AH31" s="937"/>
      <c r="AI31" s="6"/>
    </row>
    <row r="32" spans="1:38" ht="18" customHeight="1" x14ac:dyDescent="0.3">
      <c r="B32" s="958" t="s">
        <v>256</v>
      </c>
      <c r="C32" s="959">
        <v>0</v>
      </c>
      <c r="D32" s="959">
        <v>320.75862699999999</v>
      </c>
      <c r="E32" s="959">
        <v>446</v>
      </c>
      <c r="F32" s="959">
        <v>1791</v>
      </c>
      <c r="G32" s="959">
        <v>354</v>
      </c>
      <c r="H32" s="959">
        <v>757</v>
      </c>
      <c r="I32" s="960">
        <v>516</v>
      </c>
      <c r="J32" s="960">
        <v>566</v>
      </c>
      <c r="K32" s="960">
        <f t="shared" ref="K32:Q32" si="20">J32</f>
        <v>566</v>
      </c>
      <c r="L32" s="960">
        <f t="shared" si="20"/>
        <v>566</v>
      </c>
      <c r="M32" s="960">
        <f t="shared" si="20"/>
        <v>566</v>
      </c>
      <c r="N32" s="960">
        <f t="shared" si="20"/>
        <v>566</v>
      </c>
      <c r="O32" s="960">
        <f t="shared" si="20"/>
        <v>566</v>
      </c>
      <c r="P32" s="960">
        <f t="shared" si="20"/>
        <v>566</v>
      </c>
      <c r="Q32" s="960">
        <f t="shared" si="20"/>
        <v>566</v>
      </c>
      <c r="R32" s="6"/>
      <c r="S32" s="951" t="s">
        <v>8885</v>
      </c>
      <c r="T32" s="6"/>
      <c r="U32" s="937"/>
      <c r="V32" s="937"/>
      <c r="W32" s="937"/>
      <c r="X32" s="937"/>
      <c r="Y32" s="937"/>
      <c r="Z32" s="937"/>
      <c r="AA32" s="937"/>
      <c r="AB32" s="937"/>
      <c r="AC32" s="937"/>
      <c r="AD32" s="937"/>
      <c r="AE32" s="937"/>
      <c r="AF32" s="937"/>
      <c r="AG32" s="937"/>
      <c r="AH32" s="937"/>
      <c r="AI32" s="6"/>
    </row>
    <row r="33" spans="1:42" ht="18" customHeight="1" x14ac:dyDescent="0.3">
      <c r="B33" s="958" t="s">
        <v>257</v>
      </c>
      <c r="C33" s="959">
        <v>73901.122291000007</v>
      </c>
      <c r="D33" s="959">
        <v>60064.075728000003</v>
      </c>
      <c r="E33" s="959">
        <v>68028</v>
      </c>
      <c r="F33" s="959">
        <v>60186</v>
      </c>
      <c r="G33" s="959">
        <v>48204</v>
      </c>
      <c r="H33" s="959">
        <v>57000</v>
      </c>
      <c r="I33" s="960">
        <v>56367</v>
      </c>
      <c r="J33" s="960">
        <v>58358</v>
      </c>
      <c r="K33" s="960">
        <f>AB33*'9. 추정 IS'!K5</f>
        <v>53906.401110873558</v>
      </c>
      <c r="L33" s="960">
        <f>AC33*'9. 추정 IS'!L5</f>
        <v>53389.12166216864</v>
      </c>
      <c r="M33" s="960">
        <f>AD33*'9. 추정 IS'!M5</f>
        <v>52879.475421949828</v>
      </c>
      <c r="N33" s="960">
        <f>AE33*'9. 추정 IS'!N5</f>
        <v>52377.338178227423</v>
      </c>
      <c r="O33" s="960">
        <f>AF33*'9. 추정 IS'!O5</f>
        <v>51937.584242371799</v>
      </c>
      <c r="P33" s="960">
        <f>AG33*'9. 추정 IS'!P5</f>
        <v>51595.010080181302</v>
      </c>
      <c r="Q33" s="960">
        <f>AH33*'9. 추정 IS'!Q5</f>
        <v>51363.045017811382</v>
      </c>
      <c r="R33" s="6"/>
      <c r="S33" s="951" t="s">
        <v>8890</v>
      </c>
      <c r="T33" s="6"/>
      <c r="U33" s="937"/>
      <c r="V33" s="938">
        <v>1.3132180430217003E-2</v>
      </c>
      <c r="W33" s="938">
        <v>1.0376914636073795E-2</v>
      </c>
      <c r="X33" s="938">
        <f>H33/'9. 추정 IS'!H5</f>
        <v>1.3592635130016897E-2</v>
      </c>
      <c r="Y33" s="938">
        <f>I33/'9. 추정 IS'!I5</f>
        <v>1.3913056897822523E-2</v>
      </c>
      <c r="Z33" s="938">
        <f>J33/'9. 추정 IS'!J5</f>
        <v>1.5417589079524389E-2</v>
      </c>
      <c r="AA33" s="938">
        <f>AVERAGE(X33:Z33)</f>
        <v>1.4307760369121269E-2</v>
      </c>
      <c r="AB33" s="938">
        <f t="shared" ref="AB33:AH33" si="21">AA33</f>
        <v>1.4307760369121269E-2</v>
      </c>
      <c r="AC33" s="938">
        <f t="shared" si="21"/>
        <v>1.4307760369121269E-2</v>
      </c>
      <c r="AD33" s="938">
        <f t="shared" si="21"/>
        <v>1.4307760369121269E-2</v>
      </c>
      <c r="AE33" s="938">
        <f t="shared" si="21"/>
        <v>1.4307760369121269E-2</v>
      </c>
      <c r="AF33" s="938">
        <f t="shared" si="21"/>
        <v>1.4307760369121269E-2</v>
      </c>
      <c r="AG33" s="938">
        <f t="shared" si="21"/>
        <v>1.4307760369121269E-2</v>
      </c>
      <c r="AH33" s="938">
        <f t="shared" si="21"/>
        <v>1.4307760369121269E-2</v>
      </c>
      <c r="AI33" s="6"/>
    </row>
    <row r="34" spans="1:42" ht="18" customHeight="1" x14ac:dyDescent="0.3">
      <c r="B34" s="957" t="s">
        <v>258</v>
      </c>
      <c r="C34" s="957">
        <v>14454.637548999999</v>
      </c>
      <c r="D34" s="957">
        <v>25437.870020999999</v>
      </c>
      <c r="E34" s="957">
        <v>19688</v>
      </c>
      <c r="F34" s="957">
        <v>0</v>
      </c>
      <c r="G34" s="957">
        <v>0</v>
      </c>
      <c r="H34" s="957">
        <v>29436</v>
      </c>
      <c r="I34" s="961">
        <v>58688</v>
      </c>
      <c r="J34" s="961">
        <v>83335</v>
      </c>
      <c r="K34" s="961">
        <f>'9. 추정 IS'!K98*AB34</f>
        <v>12417.136780940733</v>
      </c>
      <c r="L34" s="961">
        <f>'9. 추정 IS'!L98*AC34</f>
        <v>12113.857256290641</v>
      </c>
      <c r="M34" s="961">
        <f>'9. 추정 IS'!M98*AD34</f>
        <v>11424.453687085475</v>
      </c>
      <c r="N34" s="961">
        <f>'9. 추정 IS'!N98*AE34</f>
        <v>11103.726738501664</v>
      </c>
      <c r="O34" s="961">
        <f>'9. 추정 IS'!O98*AF34</f>
        <v>10855.567245632566</v>
      </c>
      <c r="P34" s="961">
        <f>'9. 추정 IS'!P98*AG34</f>
        <v>10641.902011383076</v>
      </c>
      <c r="Q34" s="961">
        <f>'9. 추정 IS'!Q98*AH34</f>
        <v>10573.555990177041</v>
      </c>
      <c r="R34" s="6"/>
      <c r="S34" s="952" t="s">
        <v>8877</v>
      </c>
      <c r="T34" s="6"/>
      <c r="U34" s="937"/>
      <c r="V34" s="938">
        <v>0.32360506540293132</v>
      </c>
      <c r="W34" s="938">
        <v>0.50581347848969072</v>
      </c>
      <c r="X34" s="938">
        <v>0.5</v>
      </c>
      <c r="Y34" s="938">
        <v>0.5</v>
      </c>
      <c r="Z34" s="938">
        <v>0.5</v>
      </c>
      <c r="AA34" s="938">
        <f>AVERAGE(X34:Z34)</f>
        <v>0.5</v>
      </c>
      <c r="AB34" s="938">
        <v>0.5</v>
      </c>
      <c r="AC34" s="938">
        <v>0.5</v>
      </c>
      <c r="AD34" s="938">
        <v>0.5</v>
      </c>
      <c r="AE34" s="938">
        <v>0.5</v>
      </c>
      <c r="AF34" s="938">
        <v>0.5</v>
      </c>
      <c r="AG34" s="938">
        <v>0.5</v>
      </c>
      <c r="AH34" s="938">
        <v>0.5</v>
      </c>
      <c r="AI34" s="6"/>
    </row>
    <row r="35" spans="1:42" ht="18" customHeight="1" x14ac:dyDescent="0.3">
      <c r="B35" s="957" t="s">
        <v>259</v>
      </c>
      <c r="C35" s="957">
        <v>500.61856499999999</v>
      </c>
      <c r="D35" s="957">
        <v>983.98472200000003</v>
      </c>
      <c r="E35" s="957">
        <v>2806</v>
      </c>
      <c r="F35" s="957">
        <v>2799</v>
      </c>
      <c r="G35" s="957">
        <v>2932</v>
      </c>
      <c r="H35" s="957">
        <v>3113</v>
      </c>
      <c r="I35" s="961">
        <v>2438</v>
      </c>
      <c r="J35" s="961">
        <v>1447</v>
      </c>
      <c r="K35" s="961">
        <f>AB35*'9. 추정 IS'!K5</f>
        <v>2168.150698192369</v>
      </c>
      <c r="L35" s="961">
        <f>AC35*'9. 추정 IS'!L5</f>
        <v>2147.3453805536828</v>
      </c>
      <c r="M35" s="961">
        <f>AD35*'9. 추정 IS'!M5</f>
        <v>2126.8470755511139</v>
      </c>
      <c r="N35" s="961">
        <f>AE35*'9. 추정 IS'!N5</f>
        <v>2106.6507872972215</v>
      </c>
      <c r="O35" s="961">
        <f>AF35*'9. 추정 IS'!O5</f>
        <v>2088.9635964736835</v>
      </c>
      <c r="P35" s="961">
        <f>AG35*'9. 추정 IS'!P5</f>
        <v>2075.1850396858113</v>
      </c>
      <c r="Q35" s="961">
        <f>AH35*'9. 추정 IS'!Q5</f>
        <v>2065.8552532120461</v>
      </c>
      <c r="R35" s="6"/>
      <c r="S35" s="952" t="s">
        <v>8891</v>
      </c>
      <c r="T35" s="6"/>
      <c r="U35" s="937"/>
      <c r="V35" s="938">
        <v>6.107229758445052E-4</v>
      </c>
      <c r="W35" s="938">
        <v>6.3117404599137767E-4</v>
      </c>
      <c r="X35" s="938">
        <f>H35/'9. 추정 IS'!H5</f>
        <v>7.4234865192530875E-4</v>
      </c>
      <c r="Y35" s="938">
        <f>I35/'9. 추정 IS'!I5</f>
        <v>6.0177111992639864E-4</v>
      </c>
      <c r="Z35" s="938">
        <f>J35/'9. 추정 IS'!J5</f>
        <v>3.8228265872839698E-4</v>
      </c>
      <c r="AA35" s="938">
        <f>AVERAGE(X35:Z35)</f>
        <v>5.7546747686003483E-4</v>
      </c>
      <c r="AB35" s="938">
        <f t="shared" ref="AB35:AH35" si="22">AA35</f>
        <v>5.7546747686003483E-4</v>
      </c>
      <c r="AC35" s="938">
        <f t="shared" si="22"/>
        <v>5.7546747686003483E-4</v>
      </c>
      <c r="AD35" s="938">
        <f t="shared" si="22"/>
        <v>5.7546747686003483E-4</v>
      </c>
      <c r="AE35" s="938">
        <f t="shared" si="22"/>
        <v>5.7546747686003483E-4</v>
      </c>
      <c r="AF35" s="938">
        <f t="shared" si="22"/>
        <v>5.7546747686003483E-4</v>
      </c>
      <c r="AG35" s="938">
        <f t="shared" si="22"/>
        <v>5.7546747686003483E-4</v>
      </c>
      <c r="AH35" s="938">
        <f t="shared" si="22"/>
        <v>5.7546747686003483E-4</v>
      </c>
      <c r="AI35" s="6"/>
    </row>
    <row r="36" spans="1:42" ht="18" customHeight="1" x14ac:dyDescent="0.3">
      <c r="B36" s="955" t="s">
        <v>260</v>
      </c>
      <c r="C36" s="955">
        <f t="shared" ref="C36:Q36" si="23">SUM(C37:C41)</f>
        <v>6884.0029259999992</v>
      </c>
      <c r="D36" s="955">
        <f t="shared" si="23"/>
        <v>14028.197468</v>
      </c>
      <c r="E36" s="955">
        <f t="shared" si="23"/>
        <v>27401</v>
      </c>
      <c r="F36" s="955">
        <f t="shared" si="23"/>
        <v>-1079590</v>
      </c>
      <c r="G36" s="955">
        <f t="shared" si="23"/>
        <v>-1221157</v>
      </c>
      <c r="H36" s="955">
        <f t="shared" si="23"/>
        <v>-1297558</v>
      </c>
      <c r="I36" s="955">
        <f t="shared" si="23"/>
        <v>-1371810.8960259999</v>
      </c>
      <c r="J36" s="955">
        <f t="shared" si="23"/>
        <v>-1494453.3372826099</v>
      </c>
      <c r="K36" s="955">
        <f t="shared" si="23"/>
        <v>-1495487.1139265387</v>
      </c>
      <c r="L36" s="955">
        <f t="shared" si="23"/>
        <v>-1570697.8697269741</v>
      </c>
      <c r="M36" s="955">
        <f t="shared" si="23"/>
        <v>-1641392.4690641146</v>
      </c>
      <c r="N36" s="955">
        <f t="shared" si="23"/>
        <v>-1710559.6629966265</v>
      </c>
      <c r="O36" s="955">
        <f t="shared" si="23"/>
        <v>-1778480.4459911357</v>
      </c>
      <c r="P36" s="955">
        <f t="shared" si="23"/>
        <v>-1845420.783019081</v>
      </c>
      <c r="Q36" s="955">
        <f t="shared" si="23"/>
        <v>-1912432.7348988464</v>
      </c>
      <c r="R36" s="6"/>
      <c r="S36" s="953"/>
      <c r="T36" s="6"/>
      <c r="U36" s="936"/>
      <c r="V36" s="936"/>
      <c r="W36" s="936"/>
      <c r="X36" s="936"/>
      <c r="Y36" s="936"/>
      <c r="Z36" s="936"/>
      <c r="AA36" s="936"/>
      <c r="AB36" s="936"/>
      <c r="AC36" s="936"/>
      <c r="AD36" s="936"/>
      <c r="AE36" s="936"/>
      <c r="AF36" s="6"/>
      <c r="AG36" s="6"/>
      <c r="AH36" s="6"/>
      <c r="AI36" s="6"/>
      <c r="AJ36" s="62">
        <f>'SAP BS'!L3162</f>
        <v>0</v>
      </c>
      <c r="AK36" s="62">
        <f>ROUND(AJ36/1000000,)</f>
        <v>0</v>
      </c>
      <c r="AL36" s="62">
        <f>J36-AK36</f>
        <v>-1494453.3372826099</v>
      </c>
    </row>
    <row r="37" spans="1:42" ht="18" customHeight="1" x14ac:dyDescent="0.3">
      <c r="B37" s="957" t="s">
        <v>261</v>
      </c>
      <c r="C37" s="957">
        <v>912.44560100000001</v>
      </c>
      <c r="D37" s="957">
        <v>1262.401552</v>
      </c>
      <c r="E37" s="957">
        <v>8244</v>
      </c>
      <c r="F37" s="957">
        <v>-1128491</v>
      </c>
      <c r="G37" s="957">
        <v>-1262074</v>
      </c>
      <c r="H37" s="957">
        <v>-1336691</v>
      </c>
      <c r="I37" s="961">
        <v>-1418863.8960259999</v>
      </c>
      <c r="J37" s="961">
        <v>-1538785.3372826099</v>
      </c>
      <c r="K37" s="961">
        <f t="shared" ref="K37:Q37" si="24">J37-K66+J66</f>
        <v>-1539819.1139265387</v>
      </c>
      <c r="L37" s="961">
        <f t="shared" si="24"/>
        <v>-1615029.8697269741</v>
      </c>
      <c r="M37" s="961">
        <f t="shared" si="24"/>
        <v>-1685724.4690641146</v>
      </c>
      <c r="N37" s="961">
        <f t="shared" si="24"/>
        <v>-1754891.6629966265</v>
      </c>
      <c r="O37" s="961">
        <f t="shared" si="24"/>
        <v>-1822812.4459911357</v>
      </c>
      <c r="P37" s="961">
        <f t="shared" si="24"/>
        <v>-1889752.783019081</v>
      </c>
      <c r="Q37" s="961">
        <f t="shared" si="24"/>
        <v>-1956764.7348988464</v>
      </c>
      <c r="R37" s="6"/>
      <c r="S37" s="952" t="s">
        <v>8997</v>
      </c>
      <c r="T37" s="6"/>
      <c r="U37" s="937"/>
      <c r="V37" s="937"/>
      <c r="W37" s="937"/>
      <c r="X37" s="937"/>
      <c r="Y37" s="937"/>
      <c r="Z37" s="937"/>
      <c r="AA37" s="937"/>
      <c r="AB37" s="937"/>
      <c r="AC37" s="937"/>
      <c r="AD37" s="937"/>
      <c r="AE37" s="937"/>
      <c r="AF37" s="6"/>
      <c r="AG37" s="6"/>
      <c r="AH37" s="6"/>
      <c r="AI37" s="6"/>
    </row>
    <row r="38" spans="1:42" ht="18" customHeight="1" x14ac:dyDescent="0.3">
      <c r="B38" s="957" t="s">
        <v>262</v>
      </c>
      <c r="C38" s="957">
        <v>3487.4039029999999</v>
      </c>
      <c r="D38" s="957">
        <v>2589.4525050000002</v>
      </c>
      <c r="E38" s="957">
        <v>2824</v>
      </c>
      <c r="F38" s="957">
        <v>1056</v>
      </c>
      <c r="G38" s="957">
        <v>-7713</v>
      </c>
      <c r="H38" s="957">
        <v>-9394</v>
      </c>
      <c r="I38" s="961">
        <v>-1698</v>
      </c>
      <c r="J38" s="961">
        <f>-4265</f>
        <v>-4265</v>
      </c>
      <c r="K38" s="961">
        <f t="shared" ref="K38:Q41" si="25">J38</f>
        <v>-4265</v>
      </c>
      <c r="L38" s="961">
        <f t="shared" si="25"/>
        <v>-4265</v>
      </c>
      <c r="M38" s="961">
        <f t="shared" si="25"/>
        <v>-4265</v>
      </c>
      <c r="N38" s="961">
        <f t="shared" si="25"/>
        <v>-4265</v>
      </c>
      <c r="O38" s="961">
        <f t="shared" si="25"/>
        <v>-4265</v>
      </c>
      <c r="P38" s="961">
        <f t="shared" si="25"/>
        <v>-4265</v>
      </c>
      <c r="Q38" s="961">
        <f t="shared" si="25"/>
        <v>-4265</v>
      </c>
      <c r="R38" s="6"/>
      <c r="S38" s="952" t="s">
        <v>8885</v>
      </c>
      <c r="T38" s="6"/>
      <c r="U38" s="937"/>
      <c r="V38" s="937"/>
      <c r="W38" s="937"/>
      <c r="X38" s="937"/>
      <c r="Y38" s="937"/>
      <c r="Z38" s="937"/>
      <c r="AA38" s="937"/>
      <c r="AB38" s="937"/>
      <c r="AC38" s="937"/>
      <c r="AD38" s="937"/>
      <c r="AE38" s="937"/>
      <c r="AF38" s="6"/>
      <c r="AG38" s="6"/>
      <c r="AH38" s="6"/>
      <c r="AI38" s="6"/>
      <c r="AJ38" s="62">
        <f>'SAP BS'!L3202</f>
        <v>0</v>
      </c>
      <c r="AK38" s="62">
        <f>ROUND(AJ38/1000000,)</f>
        <v>0</v>
      </c>
      <c r="AL38" s="62">
        <f>J38-AK38</f>
        <v>-4265</v>
      </c>
      <c r="AN38" s="62" t="str">
        <f>'SAP BS'!B2749</f>
        <v>(3)종속기업, 조인트벤처 및 관계기업 투자</v>
      </c>
      <c r="AO38" s="62">
        <f>'SAP BS'!L2749</f>
        <v>0</v>
      </c>
      <c r="AP38" s="62" t="s">
        <v>8842</v>
      </c>
    </row>
    <row r="39" spans="1:42" ht="18" customHeight="1" x14ac:dyDescent="0.3">
      <c r="B39" s="957" t="s">
        <v>263</v>
      </c>
      <c r="C39" s="957">
        <v>0</v>
      </c>
      <c r="D39" s="957">
        <v>428.49453199999999</v>
      </c>
      <c r="E39" s="957">
        <v>496</v>
      </c>
      <c r="F39" s="957">
        <v>313</v>
      </c>
      <c r="G39" s="957">
        <v>323</v>
      </c>
      <c r="H39" s="957">
        <v>255</v>
      </c>
      <c r="I39" s="961">
        <v>479</v>
      </c>
      <c r="J39" s="961">
        <v>325</v>
      </c>
      <c r="K39" s="961">
        <f t="shared" si="25"/>
        <v>325</v>
      </c>
      <c r="L39" s="961">
        <f t="shared" si="25"/>
        <v>325</v>
      </c>
      <c r="M39" s="961">
        <f t="shared" si="25"/>
        <v>325</v>
      </c>
      <c r="N39" s="961">
        <f t="shared" si="25"/>
        <v>325</v>
      </c>
      <c r="O39" s="961">
        <f t="shared" si="25"/>
        <v>325</v>
      </c>
      <c r="P39" s="961">
        <f t="shared" si="25"/>
        <v>325</v>
      </c>
      <c r="Q39" s="961">
        <f t="shared" si="25"/>
        <v>325</v>
      </c>
      <c r="R39" s="6"/>
      <c r="S39" s="952" t="s">
        <v>8885</v>
      </c>
      <c r="T39" s="6"/>
      <c r="U39" s="937"/>
      <c r="V39" s="937"/>
      <c r="W39" s="937"/>
      <c r="X39" s="937"/>
      <c r="Y39" s="937"/>
      <c r="Z39" s="937"/>
      <c r="AA39" s="937"/>
      <c r="AB39" s="937"/>
      <c r="AC39" s="937"/>
      <c r="AD39" s="937"/>
      <c r="AE39" s="937"/>
      <c r="AF39" s="6"/>
      <c r="AG39" s="6"/>
      <c r="AH39" s="6"/>
      <c r="AI39" s="6"/>
      <c r="AP39" s="62" t="s">
        <v>8846</v>
      </c>
    </row>
    <row r="40" spans="1:42" ht="18" customHeight="1" x14ac:dyDescent="0.3">
      <c r="B40" s="957" t="s">
        <v>264</v>
      </c>
      <c r="C40" s="957">
        <v>0</v>
      </c>
      <c r="D40" s="957">
        <v>6910.5879279999999</v>
      </c>
      <c r="E40" s="957">
        <v>15837</v>
      </c>
      <c r="F40" s="957">
        <v>47532</v>
      </c>
      <c r="G40" s="957">
        <v>48307</v>
      </c>
      <c r="H40" s="957">
        <v>48272</v>
      </c>
      <c r="I40" s="961">
        <v>48272</v>
      </c>
      <c r="J40" s="961">
        <v>48272</v>
      </c>
      <c r="K40" s="961">
        <f t="shared" si="25"/>
        <v>48272</v>
      </c>
      <c r="L40" s="961">
        <f t="shared" si="25"/>
        <v>48272</v>
      </c>
      <c r="M40" s="961">
        <f t="shared" si="25"/>
        <v>48272</v>
      </c>
      <c r="N40" s="961">
        <f t="shared" si="25"/>
        <v>48272</v>
      </c>
      <c r="O40" s="961">
        <f t="shared" si="25"/>
        <v>48272</v>
      </c>
      <c r="P40" s="961">
        <f t="shared" si="25"/>
        <v>48272</v>
      </c>
      <c r="Q40" s="961">
        <f t="shared" si="25"/>
        <v>48272</v>
      </c>
      <c r="R40" s="6"/>
      <c r="S40" s="952" t="s">
        <v>8885</v>
      </c>
      <c r="T40" s="6"/>
      <c r="U40" s="937"/>
      <c r="V40" s="937"/>
      <c r="W40" s="937"/>
      <c r="X40" s="937"/>
      <c r="Y40" s="937"/>
      <c r="Z40" s="937"/>
      <c r="AA40" s="937"/>
      <c r="AB40" s="937"/>
      <c r="AC40" s="937"/>
      <c r="AD40" s="937"/>
      <c r="AE40" s="937"/>
      <c r="AF40" s="6"/>
      <c r="AG40" s="6"/>
      <c r="AH40" s="6"/>
      <c r="AI40" s="6"/>
      <c r="AP40" s="62" t="s">
        <v>8847</v>
      </c>
    </row>
    <row r="41" spans="1:42" ht="18" customHeight="1" x14ac:dyDescent="0.3">
      <c r="B41" s="957" t="s">
        <v>265</v>
      </c>
      <c r="C41" s="957">
        <v>2484.1534219999999</v>
      </c>
      <c r="D41" s="957">
        <v>2837.2609510000002</v>
      </c>
      <c r="E41" s="957">
        <v>0</v>
      </c>
      <c r="F41" s="957">
        <v>0</v>
      </c>
      <c r="G41" s="957">
        <v>0</v>
      </c>
      <c r="H41" s="957">
        <v>0</v>
      </c>
      <c r="I41" s="961"/>
      <c r="J41" s="961"/>
      <c r="K41" s="961">
        <f t="shared" si="25"/>
        <v>0</v>
      </c>
      <c r="L41" s="961">
        <f t="shared" si="25"/>
        <v>0</v>
      </c>
      <c r="M41" s="961">
        <f t="shared" si="25"/>
        <v>0</v>
      </c>
      <c r="N41" s="961">
        <f t="shared" si="25"/>
        <v>0</v>
      </c>
      <c r="O41" s="961">
        <f t="shared" si="25"/>
        <v>0</v>
      </c>
      <c r="P41" s="961">
        <f t="shared" si="25"/>
        <v>0</v>
      </c>
      <c r="Q41" s="961">
        <f t="shared" si="25"/>
        <v>0</v>
      </c>
      <c r="R41" s="6"/>
      <c r="S41" s="952" t="s">
        <v>8885</v>
      </c>
      <c r="T41" s="6"/>
      <c r="U41" s="937"/>
      <c r="V41" s="937"/>
      <c r="W41" s="937"/>
      <c r="X41" s="937"/>
      <c r="Y41" s="937"/>
      <c r="Z41" s="937"/>
      <c r="AA41" s="937"/>
      <c r="AB41" s="937"/>
      <c r="AC41" s="937"/>
      <c r="AD41" s="937"/>
      <c r="AE41" s="937"/>
      <c r="AF41" s="6"/>
      <c r="AG41" s="6"/>
      <c r="AH41" s="6"/>
      <c r="AI41" s="6"/>
      <c r="AP41" s="62" t="s">
        <v>8849</v>
      </c>
    </row>
    <row r="42" spans="1:42" ht="18" customHeight="1" x14ac:dyDescent="0.3">
      <c r="B42" s="962" t="s">
        <v>266</v>
      </c>
      <c r="C42" s="962">
        <f t="shared" ref="C42:Q42" si="26">SUM(C29,C36)</f>
        <v>291046.71912299999</v>
      </c>
      <c r="D42" s="962">
        <f t="shared" si="26"/>
        <v>281309.280401</v>
      </c>
      <c r="E42" s="962">
        <f t="shared" si="26"/>
        <v>312868</v>
      </c>
      <c r="F42" s="962">
        <f t="shared" si="26"/>
        <v>-826735</v>
      </c>
      <c r="G42" s="962">
        <f t="shared" si="26"/>
        <v>-940521</v>
      </c>
      <c r="H42" s="962">
        <f t="shared" si="26"/>
        <v>-993185</v>
      </c>
      <c r="I42" s="962">
        <f t="shared" si="26"/>
        <v>-1083043.9339259998</v>
      </c>
      <c r="J42" s="962">
        <f t="shared" si="26"/>
        <v>-1188863.07466261</v>
      </c>
      <c r="K42" s="962">
        <f t="shared" si="26"/>
        <v>-1255674.8536263462</v>
      </c>
      <c r="L42" s="962">
        <f t="shared" si="26"/>
        <v>-1333365.5143900863</v>
      </c>
      <c r="M42" s="962">
        <f t="shared" si="26"/>
        <v>-1406894.0234699373</v>
      </c>
      <c r="N42" s="962">
        <f t="shared" si="26"/>
        <v>-1478494.8539226747</v>
      </c>
      <c r="O42" s="962">
        <f t="shared" si="26"/>
        <v>-1548514.2074517605</v>
      </c>
      <c r="P42" s="962">
        <f t="shared" si="26"/>
        <v>-1617109.7045151051</v>
      </c>
      <c r="Q42" s="962">
        <f t="shared" si="26"/>
        <v>-1685166.0726173914</v>
      </c>
      <c r="R42" s="6"/>
      <c r="S42" s="967"/>
      <c r="T42" s="6"/>
      <c r="U42" s="936"/>
      <c r="V42" s="936"/>
      <c r="W42" s="936"/>
      <c r="X42" s="936"/>
      <c r="Y42" s="936"/>
      <c r="Z42" s="936"/>
      <c r="AA42" s="936"/>
      <c r="AB42" s="936"/>
      <c r="AC42" s="936"/>
      <c r="AD42" s="936"/>
      <c r="AE42" s="936"/>
      <c r="AF42" s="6"/>
      <c r="AG42" s="6"/>
      <c r="AH42" s="6"/>
      <c r="AI42" s="6"/>
      <c r="AJ42" s="62">
        <f>'SAP BS'!L2957</f>
        <v>-1385449024</v>
      </c>
      <c r="AK42" s="62">
        <f>ROUND(AJ42/1000000,)</f>
        <v>-1385</v>
      </c>
      <c r="AL42" s="62">
        <f>J42-AK42</f>
        <v>-1187478.07466261</v>
      </c>
    </row>
    <row r="43" spans="1:42" ht="18" hidden="1" customHeight="1" outlineLevel="1" x14ac:dyDescent="0.3">
      <c r="A43" s="225"/>
      <c r="B43" s="959" t="s">
        <v>267</v>
      </c>
      <c r="C43" s="959"/>
      <c r="D43" s="959"/>
      <c r="E43" s="959"/>
      <c r="F43" s="959"/>
      <c r="G43" s="959"/>
      <c r="H43" s="959"/>
      <c r="I43" s="959"/>
      <c r="J43" s="959"/>
      <c r="K43" s="959"/>
      <c r="L43" s="959"/>
      <c r="M43" s="959"/>
      <c r="N43" s="959"/>
      <c r="O43" s="959"/>
      <c r="P43" s="959"/>
      <c r="Q43" s="959"/>
      <c r="R43" s="6"/>
      <c r="S43" s="951"/>
      <c r="T43" s="6"/>
      <c r="U43" s="937"/>
      <c r="V43" s="937"/>
      <c r="W43" s="937"/>
      <c r="X43" s="937"/>
      <c r="Y43" s="937"/>
      <c r="Z43" s="937"/>
      <c r="AA43" s="937"/>
      <c r="AB43" s="937"/>
      <c r="AC43" s="937"/>
      <c r="AD43" s="937"/>
      <c r="AE43" s="937"/>
      <c r="AF43" s="6"/>
      <c r="AG43" s="6"/>
      <c r="AH43" s="6"/>
      <c r="AI43" s="6"/>
    </row>
    <row r="44" spans="1:42" ht="18" customHeight="1" collapsed="1" x14ac:dyDescent="0.3">
      <c r="B44" s="963" t="s">
        <v>268</v>
      </c>
      <c r="C44" s="963">
        <v>32812.5</v>
      </c>
      <c r="D44" s="963">
        <v>32812.5</v>
      </c>
      <c r="E44" s="963">
        <v>32813</v>
      </c>
      <c r="F44" s="963">
        <v>27718</v>
      </c>
      <c r="G44" s="963">
        <v>27718</v>
      </c>
      <c r="H44" s="963">
        <v>27718</v>
      </c>
      <c r="I44" s="964">
        <v>27718</v>
      </c>
      <c r="J44" s="964">
        <v>27718</v>
      </c>
      <c r="K44" s="964">
        <f t="shared" ref="K44:Q44" si="27">J44</f>
        <v>27718</v>
      </c>
      <c r="L44" s="964">
        <f t="shared" si="27"/>
        <v>27718</v>
      </c>
      <c r="M44" s="964">
        <f t="shared" si="27"/>
        <v>27718</v>
      </c>
      <c r="N44" s="964">
        <f t="shared" si="27"/>
        <v>27718</v>
      </c>
      <c r="O44" s="964">
        <f t="shared" si="27"/>
        <v>27718</v>
      </c>
      <c r="P44" s="964">
        <f t="shared" si="27"/>
        <v>27718</v>
      </c>
      <c r="Q44" s="964">
        <f t="shared" si="27"/>
        <v>27718</v>
      </c>
      <c r="R44" s="6"/>
      <c r="S44" s="953" t="s">
        <v>8892</v>
      </c>
      <c r="T44" s="6"/>
      <c r="U44" s="937"/>
      <c r="V44" s="937"/>
      <c r="W44" s="937"/>
      <c r="X44" s="937"/>
      <c r="Y44" s="937"/>
      <c r="Z44" s="937"/>
      <c r="AA44" s="937"/>
      <c r="AB44" s="937"/>
      <c r="AC44" s="937"/>
      <c r="AD44" s="937"/>
      <c r="AE44" s="937"/>
      <c r="AF44" s="6"/>
      <c r="AG44" s="6"/>
      <c r="AH44" s="6"/>
      <c r="AI44" s="6"/>
      <c r="AJ44" s="62">
        <f>'SAP BS'!L3231</f>
        <v>829409136</v>
      </c>
      <c r="AK44" s="62">
        <f>ROUND(AJ44/1000000,)</f>
        <v>829</v>
      </c>
      <c r="AL44" s="62">
        <f>J44-AK44</f>
        <v>26889</v>
      </c>
    </row>
    <row r="45" spans="1:42" ht="18" customHeight="1" x14ac:dyDescent="0.3">
      <c r="B45" s="963" t="s">
        <v>269</v>
      </c>
      <c r="C45" s="963">
        <f>SUM(C46:C48)</f>
        <v>110531.665354</v>
      </c>
      <c r="D45" s="963">
        <f t="shared" ref="D45:M45" si="28">SUM(D46:D48)</f>
        <v>110531.665354</v>
      </c>
      <c r="E45" s="963">
        <f t="shared" si="28"/>
        <v>110531</v>
      </c>
      <c r="F45" s="963">
        <f t="shared" si="28"/>
        <v>0</v>
      </c>
      <c r="G45" s="963">
        <f t="shared" si="28"/>
        <v>0</v>
      </c>
      <c r="H45" s="963">
        <f t="shared" si="28"/>
        <v>0</v>
      </c>
      <c r="I45" s="963">
        <f t="shared" si="28"/>
        <v>0</v>
      </c>
      <c r="J45" s="963">
        <f t="shared" si="28"/>
        <v>0</v>
      </c>
      <c r="K45" s="963">
        <f t="shared" si="28"/>
        <v>0</v>
      </c>
      <c r="L45" s="963">
        <f t="shared" si="28"/>
        <v>0</v>
      </c>
      <c r="M45" s="963">
        <f t="shared" si="28"/>
        <v>0</v>
      </c>
      <c r="N45" s="963">
        <f>SUM(N46:N48)</f>
        <v>0</v>
      </c>
      <c r="O45" s="963">
        <f>SUM(O46:O48)</f>
        <v>0</v>
      </c>
      <c r="P45" s="963">
        <f>SUM(P46:P48)</f>
        <v>0</v>
      </c>
      <c r="Q45" s="963">
        <f>SUM(Q46:Q48)</f>
        <v>0</v>
      </c>
      <c r="R45" s="6"/>
      <c r="S45" s="953"/>
      <c r="T45" s="6"/>
      <c r="U45" s="937"/>
      <c r="V45" s="937"/>
      <c r="W45" s="937"/>
      <c r="X45" s="937"/>
      <c r="Y45" s="937"/>
      <c r="Z45" s="937"/>
      <c r="AA45" s="937"/>
      <c r="AB45" s="937"/>
      <c r="AC45" s="937"/>
      <c r="AD45" s="937"/>
      <c r="AE45" s="937"/>
      <c r="AF45" s="6"/>
      <c r="AG45" s="6"/>
      <c r="AH45" s="6"/>
      <c r="AI45" s="6"/>
    </row>
    <row r="46" spans="1:42" ht="18" customHeight="1" x14ac:dyDescent="0.3">
      <c r="B46" s="959" t="s">
        <v>193</v>
      </c>
      <c r="C46" s="959">
        <v>75607.356459999995</v>
      </c>
      <c r="D46" s="959">
        <v>75607.356459999995</v>
      </c>
      <c r="E46" s="959">
        <v>75607</v>
      </c>
      <c r="F46" s="959">
        <v>0</v>
      </c>
      <c r="G46" s="959">
        <v>0</v>
      </c>
      <c r="H46" s="959">
        <v>0</v>
      </c>
      <c r="I46" s="965">
        <v>0</v>
      </c>
      <c r="J46" s="965">
        <v>0</v>
      </c>
      <c r="K46" s="965">
        <f t="shared" ref="K46:Q48" si="29">J46</f>
        <v>0</v>
      </c>
      <c r="L46" s="965">
        <f t="shared" si="29"/>
        <v>0</v>
      </c>
      <c r="M46" s="965">
        <f t="shared" si="29"/>
        <v>0</v>
      </c>
      <c r="N46" s="965">
        <f t="shared" si="29"/>
        <v>0</v>
      </c>
      <c r="O46" s="965">
        <f t="shared" si="29"/>
        <v>0</v>
      </c>
      <c r="P46" s="965">
        <f t="shared" si="29"/>
        <v>0</v>
      </c>
      <c r="Q46" s="965">
        <f t="shared" si="29"/>
        <v>0</v>
      </c>
      <c r="R46" s="6"/>
      <c r="S46" s="951"/>
      <c r="T46" s="6"/>
      <c r="U46" s="937"/>
      <c r="V46" s="937"/>
      <c r="W46" s="937"/>
      <c r="X46" s="937"/>
      <c r="Y46" s="937"/>
      <c r="Z46" s="937"/>
      <c r="AA46" s="937"/>
      <c r="AB46" s="937"/>
      <c r="AC46" s="937"/>
      <c r="AD46" s="937"/>
      <c r="AE46" s="937"/>
      <c r="AF46" s="6"/>
      <c r="AG46" s="6"/>
      <c r="AH46" s="6"/>
      <c r="AI46" s="6"/>
    </row>
    <row r="47" spans="1:42" ht="18" customHeight="1" x14ac:dyDescent="0.3">
      <c r="B47" s="959" t="s">
        <v>270</v>
      </c>
      <c r="C47" s="959">
        <v>34272.308894000002</v>
      </c>
      <c r="D47" s="959">
        <v>34272.308894000002</v>
      </c>
      <c r="E47" s="959">
        <v>34272</v>
      </c>
      <c r="F47" s="959">
        <v>0</v>
      </c>
      <c r="G47" s="959">
        <v>0</v>
      </c>
      <c r="H47" s="959">
        <v>0</v>
      </c>
      <c r="I47" s="965">
        <v>0</v>
      </c>
      <c r="J47" s="965">
        <v>0</v>
      </c>
      <c r="K47" s="965">
        <f t="shared" si="29"/>
        <v>0</v>
      </c>
      <c r="L47" s="965">
        <f t="shared" si="29"/>
        <v>0</v>
      </c>
      <c r="M47" s="965">
        <f t="shared" si="29"/>
        <v>0</v>
      </c>
      <c r="N47" s="965">
        <f t="shared" si="29"/>
        <v>0</v>
      </c>
      <c r="O47" s="965">
        <f t="shared" si="29"/>
        <v>0</v>
      </c>
      <c r="P47" s="965">
        <f t="shared" si="29"/>
        <v>0</v>
      </c>
      <c r="Q47" s="965">
        <f t="shared" si="29"/>
        <v>0</v>
      </c>
      <c r="R47" s="6"/>
      <c r="S47" s="951"/>
      <c r="T47" s="6"/>
      <c r="U47" s="937"/>
      <c r="V47" s="937"/>
      <c r="W47" s="937"/>
      <c r="X47" s="937"/>
      <c r="Y47" s="937"/>
      <c r="Z47" s="937"/>
      <c r="AA47" s="937"/>
      <c r="AB47" s="937"/>
      <c r="AC47" s="937"/>
      <c r="AD47" s="937"/>
      <c r="AE47" s="937"/>
      <c r="AF47" s="6"/>
      <c r="AG47" s="6"/>
      <c r="AH47" s="6"/>
      <c r="AI47" s="6"/>
    </row>
    <row r="48" spans="1:42" ht="18" customHeight="1" x14ac:dyDescent="0.3">
      <c r="B48" s="959" t="s">
        <v>194</v>
      </c>
      <c r="C48" s="959">
        <v>652</v>
      </c>
      <c r="D48" s="959">
        <v>652</v>
      </c>
      <c r="E48" s="959">
        <v>652</v>
      </c>
      <c r="F48" s="959">
        <v>0</v>
      </c>
      <c r="G48" s="959">
        <v>0</v>
      </c>
      <c r="H48" s="959">
        <v>0</v>
      </c>
      <c r="I48" s="965">
        <v>0</v>
      </c>
      <c r="J48" s="965">
        <v>0</v>
      </c>
      <c r="K48" s="965">
        <f t="shared" si="29"/>
        <v>0</v>
      </c>
      <c r="L48" s="965">
        <f t="shared" si="29"/>
        <v>0</v>
      </c>
      <c r="M48" s="965">
        <f t="shared" si="29"/>
        <v>0</v>
      </c>
      <c r="N48" s="965">
        <f t="shared" si="29"/>
        <v>0</v>
      </c>
      <c r="O48" s="965">
        <f t="shared" si="29"/>
        <v>0</v>
      </c>
      <c r="P48" s="965">
        <f t="shared" si="29"/>
        <v>0</v>
      </c>
      <c r="Q48" s="965">
        <f t="shared" si="29"/>
        <v>0</v>
      </c>
      <c r="R48" s="6"/>
      <c r="S48" s="951"/>
      <c r="T48" s="6"/>
      <c r="U48" s="937"/>
      <c r="V48" s="937"/>
      <c r="W48" s="937"/>
      <c r="X48" s="937"/>
      <c r="Y48" s="937"/>
      <c r="Z48" s="937"/>
      <c r="AA48" s="937"/>
      <c r="AB48" s="937"/>
      <c r="AC48" s="937"/>
      <c r="AD48" s="937"/>
      <c r="AE48" s="937"/>
      <c r="AF48" s="6"/>
      <c r="AG48" s="6"/>
      <c r="AH48" s="6"/>
      <c r="AI48" s="6"/>
    </row>
    <row r="49" spans="1:38" ht="18" customHeight="1" x14ac:dyDescent="0.3">
      <c r="B49" s="963" t="s">
        <v>271</v>
      </c>
      <c r="C49" s="963">
        <f>SUM(C50:C51)</f>
        <v>-96870.119366999992</v>
      </c>
      <c r="D49" s="963">
        <f t="shared" ref="D49:M49" si="30">SUM(D50:D51)</f>
        <v>-108108.980367</v>
      </c>
      <c r="E49" s="963">
        <f t="shared" si="30"/>
        <v>-108730</v>
      </c>
      <c r="F49" s="963">
        <f t="shared" si="30"/>
        <v>0</v>
      </c>
      <c r="G49" s="963">
        <f t="shared" si="30"/>
        <v>0</v>
      </c>
      <c r="H49" s="963">
        <f t="shared" si="30"/>
        <v>0</v>
      </c>
      <c r="I49" s="963">
        <f t="shared" si="30"/>
        <v>0</v>
      </c>
      <c r="J49" s="963">
        <f t="shared" si="30"/>
        <v>0</v>
      </c>
      <c r="K49" s="963">
        <f t="shared" si="30"/>
        <v>0</v>
      </c>
      <c r="L49" s="963">
        <f t="shared" si="30"/>
        <v>0</v>
      </c>
      <c r="M49" s="963">
        <f t="shared" si="30"/>
        <v>0</v>
      </c>
      <c r="N49" s="963">
        <f>SUM(N50:N51)</f>
        <v>0</v>
      </c>
      <c r="O49" s="963">
        <f>SUM(O50:O51)</f>
        <v>0</v>
      </c>
      <c r="P49" s="963">
        <f>SUM(P50:P51)</f>
        <v>0</v>
      </c>
      <c r="Q49" s="963">
        <f>SUM(Q50:Q51)</f>
        <v>0</v>
      </c>
      <c r="R49" s="6"/>
      <c r="S49" s="953"/>
      <c r="T49" s="6"/>
      <c r="U49" s="937"/>
      <c r="V49" s="937"/>
      <c r="W49" s="937"/>
      <c r="X49" s="937"/>
      <c r="Y49" s="937"/>
      <c r="Z49" s="937"/>
      <c r="AA49" s="937"/>
      <c r="AB49" s="937"/>
      <c r="AC49" s="937"/>
      <c r="AD49" s="937"/>
      <c r="AE49" s="937"/>
      <c r="AF49" s="6"/>
      <c r="AG49" s="6"/>
      <c r="AH49" s="6"/>
      <c r="AI49" s="6"/>
    </row>
    <row r="50" spans="1:38" ht="18" customHeight="1" x14ac:dyDescent="0.3">
      <c r="B50" s="959" t="s">
        <v>197</v>
      </c>
      <c r="C50" s="959">
        <v>-93807.148627999995</v>
      </c>
      <c r="D50" s="959">
        <v>-105046.009628</v>
      </c>
      <c r="E50" s="959">
        <v>-105667</v>
      </c>
      <c r="F50" s="959">
        <v>0</v>
      </c>
      <c r="G50" s="959">
        <v>0</v>
      </c>
      <c r="H50" s="959">
        <v>0</v>
      </c>
      <c r="I50" s="965">
        <v>0</v>
      </c>
      <c r="J50" s="965">
        <v>0</v>
      </c>
      <c r="K50" s="965">
        <f t="shared" ref="K50:Q51" si="31">J50</f>
        <v>0</v>
      </c>
      <c r="L50" s="965">
        <f t="shared" si="31"/>
        <v>0</v>
      </c>
      <c r="M50" s="965">
        <f t="shared" si="31"/>
        <v>0</v>
      </c>
      <c r="N50" s="965">
        <f t="shared" si="31"/>
        <v>0</v>
      </c>
      <c r="O50" s="965">
        <f t="shared" si="31"/>
        <v>0</v>
      </c>
      <c r="P50" s="965">
        <f t="shared" si="31"/>
        <v>0</v>
      </c>
      <c r="Q50" s="965">
        <f t="shared" si="31"/>
        <v>0</v>
      </c>
      <c r="R50" s="6"/>
      <c r="S50" s="951"/>
      <c r="T50" s="6"/>
      <c r="U50" s="937"/>
      <c r="V50" s="937"/>
      <c r="W50" s="937"/>
      <c r="X50" s="937"/>
      <c r="Y50" s="937"/>
      <c r="Z50" s="937"/>
      <c r="AA50" s="937"/>
      <c r="AB50" s="937"/>
      <c r="AC50" s="937"/>
      <c r="AD50" s="937"/>
      <c r="AE50" s="937"/>
      <c r="AF50" s="6"/>
      <c r="AG50" s="6"/>
      <c r="AH50" s="6"/>
      <c r="AI50" s="6"/>
    </row>
    <row r="51" spans="1:38" ht="18" customHeight="1" x14ac:dyDescent="0.3">
      <c r="B51" s="959" t="s">
        <v>198</v>
      </c>
      <c r="C51" s="959">
        <v>-3062.9707389999999</v>
      </c>
      <c r="D51" s="959">
        <v>-3062.9707389999999</v>
      </c>
      <c r="E51" s="959">
        <v>-3063</v>
      </c>
      <c r="F51" s="959">
        <v>0</v>
      </c>
      <c r="G51" s="959">
        <v>0</v>
      </c>
      <c r="H51" s="959">
        <v>0</v>
      </c>
      <c r="I51" s="965">
        <v>0</v>
      </c>
      <c r="J51" s="965">
        <v>0</v>
      </c>
      <c r="K51" s="965">
        <f t="shared" si="31"/>
        <v>0</v>
      </c>
      <c r="L51" s="965">
        <f t="shared" si="31"/>
        <v>0</v>
      </c>
      <c r="M51" s="965">
        <f t="shared" si="31"/>
        <v>0</v>
      </c>
      <c r="N51" s="965">
        <f t="shared" si="31"/>
        <v>0</v>
      </c>
      <c r="O51" s="965">
        <f t="shared" si="31"/>
        <v>0</v>
      </c>
      <c r="P51" s="965">
        <f t="shared" si="31"/>
        <v>0</v>
      </c>
      <c r="Q51" s="965">
        <f t="shared" si="31"/>
        <v>0</v>
      </c>
      <c r="R51" s="6"/>
      <c r="S51" s="951"/>
      <c r="T51" s="6"/>
      <c r="U51" s="937"/>
      <c r="V51" s="937"/>
      <c r="W51" s="937"/>
      <c r="X51" s="937"/>
      <c r="Y51" s="937"/>
      <c r="Z51" s="937"/>
      <c r="AA51" s="937"/>
      <c r="AB51" s="937"/>
      <c r="AC51" s="937"/>
      <c r="AD51" s="937"/>
      <c r="AE51" s="937"/>
      <c r="AF51" s="6"/>
      <c r="AG51" s="6"/>
      <c r="AH51" s="6"/>
      <c r="AI51" s="6"/>
    </row>
    <row r="52" spans="1:38" ht="18" customHeight="1" x14ac:dyDescent="0.3">
      <c r="B52" s="963" t="s">
        <v>272</v>
      </c>
      <c r="C52" s="963">
        <f t="shared" ref="C52:Q52" si="32">SUM(C53:C54)</f>
        <v>194.96745399999986</v>
      </c>
      <c r="D52" s="963">
        <f t="shared" si="32"/>
        <v>65.785391000000118</v>
      </c>
      <c r="E52" s="963">
        <f t="shared" si="32"/>
        <v>14954</v>
      </c>
      <c r="F52" s="963">
        <f t="shared" si="32"/>
        <v>-180</v>
      </c>
      <c r="G52" s="963">
        <f t="shared" si="32"/>
        <v>-440</v>
      </c>
      <c r="H52" s="963">
        <f t="shared" si="32"/>
        <v>-754</v>
      </c>
      <c r="I52" s="963">
        <f t="shared" si="32"/>
        <v>0</v>
      </c>
      <c r="J52" s="963">
        <f t="shared" si="32"/>
        <v>0</v>
      </c>
      <c r="K52" s="963">
        <f t="shared" si="32"/>
        <v>0</v>
      </c>
      <c r="L52" s="963">
        <f t="shared" si="32"/>
        <v>0</v>
      </c>
      <c r="M52" s="963">
        <f t="shared" si="32"/>
        <v>0</v>
      </c>
      <c r="N52" s="963">
        <f t="shared" si="32"/>
        <v>0</v>
      </c>
      <c r="O52" s="963">
        <f t="shared" si="32"/>
        <v>0</v>
      </c>
      <c r="P52" s="963">
        <f t="shared" si="32"/>
        <v>0</v>
      </c>
      <c r="Q52" s="963">
        <f t="shared" si="32"/>
        <v>0</v>
      </c>
      <c r="R52" s="6"/>
      <c r="S52" s="953"/>
      <c r="T52" s="6"/>
      <c r="U52" s="937"/>
      <c r="V52" s="937"/>
      <c r="W52" s="937"/>
      <c r="X52" s="937"/>
      <c r="Y52" s="937"/>
      <c r="Z52" s="937"/>
      <c r="AA52" s="937"/>
      <c r="AB52" s="937"/>
      <c r="AC52" s="937"/>
      <c r="AD52" s="937"/>
      <c r="AE52" s="937"/>
      <c r="AF52" s="6"/>
      <c r="AG52" s="6"/>
      <c r="AH52" s="6"/>
      <c r="AI52" s="6"/>
    </row>
    <row r="53" spans="1:38" ht="18" customHeight="1" x14ac:dyDescent="0.3">
      <c r="B53" s="959" t="s">
        <v>273</v>
      </c>
      <c r="C53" s="959">
        <v>1347.5614849999999</v>
      </c>
      <c r="D53" s="959">
        <v>2084.509172</v>
      </c>
      <c r="E53" s="959">
        <v>18825</v>
      </c>
      <c r="F53" s="959">
        <v>0</v>
      </c>
      <c r="G53" s="959">
        <v>0</v>
      </c>
      <c r="H53" s="959">
        <v>0</v>
      </c>
      <c r="I53" s="965">
        <v>0</v>
      </c>
      <c r="J53" s="965">
        <v>0</v>
      </c>
      <c r="K53" s="965">
        <v>0</v>
      </c>
      <c r="L53" s="965">
        <v>0</v>
      </c>
      <c r="M53" s="965">
        <v>0</v>
      </c>
      <c r="N53" s="965">
        <v>0</v>
      </c>
      <c r="O53" s="965">
        <v>0</v>
      </c>
      <c r="P53" s="965">
        <v>0</v>
      </c>
      <c r="Q53" s="965">
        <v>0</v>
      </c>
      <c r="R53" s="6"/>
      <c r="S53" s="951"/>
      <c r="T53" s="6"/>
      <c r="U53" s="937"/>
      <c r="V53" s="937"/>
      <c r="W53" s="937"/>
      <c r="X53" s="937"/>
      <c r="Y53" s="937"/>
      <c r="Z53" s="937"/>
      <c r="AA53" s="937"/>
      <c r="AB53" s="937"/>
      <c r="AC53" s="937"/>
      <c r="AD53" s="937"/>
      <c r="AE53" s="937"/>
      <c r="AF53" s="6"/>
      <c r="AG53" s="6"/>
      <c r="AH53" s="6"/>
      <c r="AI53" s="6"/>
    </row>
    <row r="54" spans="1:38" ht="18" customHeight="1" x14ac:dyDescent="0.3">
      <c r="B54" s="959" t="s">
        <v>274</v>
      </c>
      <c r="C54" s="959">
        <v>-1152.5940310000001</v>
      </c>
      <c r="D54" s="959">
        <v>-2018.7237809999999</v>
      </c>
      <c r="E54" s="959">
        <v>-3871</v>
      </c>
      <c r="F54" s="959">
        <v>-180</v>
      </c>
      <c r="G54" s="959">
        <v>-440</v>
      </c>
      <c r="H54" s="959">
        <v>-754</v>
      </c>
      <c r="I54" s="965">
        <v>0</v>
      </c>
      <c r="J54" s="965">
        <v>0</v>
      </c>
      <c r="K54" s="965">
        <v>0</v>
      </c>
      <c r="L54" s="965">
        <v>0</v>
      </c>
      <c r="M54" s="965">
        <v>0</v>
      </c>
      <c r="N54" s="965">
        <v>0</v>
      </c>
      <c r="O54" s="965">
        <v>0</v>
      </c>
      <c r="P54" s="965">
        <v>0</v>
      </c>
      <c r="Q54" s="965">
        <v>0</v>
      </c>
      <c r="R54" s="6"/>
      <c r="S54" s="951"/>
      <c r="T54" s="6"/>
      <c r="U54" s="937"/>
      <c r="V54" s="937"/>
      <c r="W54" s="937"/>
      <c r="X54" s="937"/>
      <c r="Y54" s="937"/>
      <c r="Z54" s="937"/>
      <c r="AA54" s="937"/>
      <c r="AB54" s="937"/>
      <c r="AC54" s="937"/>
      <c r="AD54" s="937"/>
      <c r="AE54" s="937"/>
      <c r="AF54" s="6"/>
      <c r="AG54" s="6"/>
      <c r="AH54" s="6"/>
      <c r="AI54" s="6"/>
    </row>
    <row r="55" spans="1:38" ht="18" customHeight="1" x14ac:dyDescent="0.3">
      <c r="B55" s="963" t="s">
        <v>275</v>
      </c>
      <c r="C55" s="963">
        <f>C60</f>
        <v>1046485.804625</v>
      </c>
      <c r="D55" s="963">
        <f t="shared" ref="D55:M55" si="33">D60</f>
        <v>1109957.937261</v>
      </c>
      <c r="E55" s="963">
        <f t="shared" si="33"/>
        <v>1199179</v>
      </c>
      <c r="F55" s="963">
        <f t="shared" si="33"/>
        <v>1404143</v>
      </c>
      <c r="G55" s="963">
        <f t="shared" si="33"/>
        <v>1538068</v>
      </c>
      <c r="H55" s="963">
        <f t="shared" si="33"/>
        <v>1582866.9828695913</v>
      </c>
      <c r="I55" s="963">
        <f t="shared" si="33"/>
        <v>1656003.9649229825</v>
      </c>
      <c r="J55" s="963">
        <f t="shared" si="33"/>
        <v>1723382.7425326118</v>
      </c>
      <c r="K55" s="963">
        <f t="shared" si="33"/>
        <v>1803078.5250115627</v>
      </c>
      <c r="L55" s="963">
        <f t="shared" si="33"/>
        <v>1880874.4241873338</v>
      </c>
      <c r="M55" s="963">
        <f t="shared" si="33"/>
        <v>1954351.5803427948</v>
      </c>
      <c r="N55" s="963">
        <f>N60</f>
        <v>2025819.5544567143</v>
      </c>
      <c r="O55" s="963">
        <f>O60</f>
        <v>2095732.9426566274</v>
      </c>
      <c r="P55" s="963">
        <f>P60</f>
        <v>2164307.8329428122</v>
      </c>
      <c r="Q55" s="963">
        <f>Q60</f>
        <v>2232454.5721209459</v>
      </c>
      <c r="R55" s="6"/>
      <c r="S55" s="953"/>
      <c r="T55" s="6"/>
      <c r="U55" s="937"/>
      <c r="V55" s="937"/>
      <c r="W55" s="937"/>
      <c r="X55" s="937"/>
      <c r="Y55" s="937"/>
      <c r="Z55" s="937"/>
      <c r="AA55" s="937"/>
      <c r="AB55" s="937"/>
      <c r="AC55" s="937"/>
      <c r="AD55" s="937"/>
      <c r="AE55" s="937"/>
      <c r="AF55" s="6"/>
      <c r="AG55" s="6"/>
      <c r="AH55" s="6"/>
      <c r="AI55" s="6"/>
      <c r="AJ55" s="62">
        <f>'SAP BS'!L3284</f>
        <v>0</v>
      </c>
      <c r="AK55" s="62">
        <f>ROUND(AJ55/1000000,)</f>
        <v>0</v>
      </c>
      <c r="AL55" s="62">
        <f>J55-AK55</f>
        <v>1723382.7425326118</v>
      </c>
    </row>
    <row r="56" spans="1:38" ht="18" customHeight="1" x14ac:dyDescent="0.3">
      <c r="B56" s="959" t="s">
        <v>231</v>
      </c>
      <c r="C56" s="959">
        <v>967275.35158200003</v>
      </c>
      <c r="D56" s="965">
        <f t="shared" ref="D56:Q56" si="34">C60</f>
        <v>1046485.804625</v>
      </c>
      <c r="E56" s="965">
        <v>1109957.937261</v>
      </c>
      <c r="F56" s="965">
        <v>1199179</v>
      </c>
      <c r="G56" s="965">
        <f>1404143+2768</f>
        <v>1406911</v>
      </c>
      <c r="H56" s="965">
        <f>G60</f>
        <v>1538068</v>
      </c>
      <c r="I56" s="965">
        <f>H60</f>
        <v>1582866.9828695913</v>
      </c>
      <c r="J56" s="965">
        <f t="shared" si="34"/>
        <v>1656003.9649229825</v>
      </c>
      <c r="K56" s="965">
        <f t="shared" si="34"/>
        <v>1723382.7425326118</v>
      </c>
      <c r="L56" s="965">
        <f t="shared" si="34"/>
        <v>1803078.5250115627</v>
      </c>
      <c r="M56" s="965">
        <f t="shared" si="34"/>
        <v>1880874.4241873338</v>
      </c>
      <c r="N56" s="965">
        <f t="shared" si="34"/>
        <v>1954351.5803427948</v>
      </c>
      <c r="O56" s="965">
        <f t="shared" si="34"/>
        <v>2025819.5544567143</v>
      </c>
      <c r="P56" s="965">
        <f t="shared" si="34"/>
        <v>2095732.9426566274</v>
      </c>
      <c r="Q56" s="965">
        <f t="shared" si="34"/>
        <v>2164307.8329428122</v>
      </c>
      <c r="R56" s="6"/>
      <c r="S56" s="951"/>
      <c r="T56" s="6"/>
      <c r="U56" s="937"/>
      <c r="V56" s="937"/>
      <c r="W56" s="937"/>
      <c r="X56" s="937"/>
      <c r="Y56" s="937"/>
      <c r="Z56" s="937"/>
      <c r="AA56" s="937"/>
      <c r="AB56" s="937"/>
      <c r="AC56" s="937"/>
      <c r="AD56" s="937"/>
      <c r="AE56" s="937"/>
      <c r="AF56" s="6"/>
      <c r="AG56" s="6"/>
      <c r="AH56" s="6"/>
      <c r="AI56" s="6"/>
    </row>
    <row r="57" spans="1:38" ht="18" customHeight="1" x14ac:dyDescent="0.3">
      <c r="B57" s="959" t="s">
        <v>211</v>
      </c>
      <c r="C57" s="959">
        <v>120615.16227099999</v>
      </c>
      <c r="D57" s="959">
        <v>106602.506595</v>
      </c>
      <c r="E57" s="965">
        <v>128898</v>
      </c>
      <c r="F57" s="959">
        <f>'9. 추정 IS'!F100</f>
        <v>229931</v>
      </c>
      <c r="G57" s="959">
        <f>'9. 추정 IS'!G100</f>
        <v>128436</v>
      </c>
      <c r="H57" s="959">
        <f>'9. 추정 IS'!H100</f>
        <v>118085.98286959133</v>
      </c>
      <c r="I57" s="959">
        <f>'9. 추정 IS'!I100</f>
        <v>97527.98205339117</v>
      </c>
      <c r="J57" s="965">
        <f>'9. 추정 IS'!J100</f>
        <v>82053.777609629265</v>
      </c>
      <c r="K57" s="965">
        <f>'9. 추정 IS'!K100</f>
        <v>79695.782478951034</v>
      </c>
      <c r="L57" s="965">
        <f>'9. 추정 IS'!L100</f>
        <v>77795.899175771119</v>
      </c>
      <c r="M57" s="965">
        <f>'9. 추정 IS'!M100</f>
        <v>73477.156155461067</v>
      </c>
      <c r="N57" s="965">
        <f>'9. 추정 IS'!N100</f>
        <v>71467.97411391951</v>
      </c>
      <c r="O57" s="965">
        <f>'9. 추정 IS'!O100</f>
        <v>69913.388199913083</v>
      </c>
      <c r="P57" s="965">
        <f>'9. 추정 IS'!P100</f>
        <v>68574.890286184876</v>
      </c>
      <c r="Q57" s="965">
        <f>'9. 추정 IS'!Q100</f>
        <v>68146.739178133852</v>
      </c>
      <c r="R57" s="6"/>
      <c r="S57" s="951"/>
      <c r="T57" s="6"/>
      <c r="U57" s="937"/>
      <c r="V57" s="937"/>
      <c r="W57" s="937"/>
      <c r="X57" s="937"/>
      <c r="Y57" s="937"/>
      <c r="Z57" s="937"/>
      <c r="AA57" s="937"/>
      <c r="AB57" s="937"/>
      <c r="AC57" s="937"/>
      <c r="AD57" s="937"/>
      <c r="AE57" s="937"/>
      <c r="AF57" s="6"/>
      <c r="AG57" s="6"/>
      <c r="AH57" s="6"/>
      <c r="AI57" s="6"/>
    </row>
    <row r="58" spans="1:38" ht="18" customHeight="1" x14ac:dyDescent="0.3">
      <c r="B58" s="959" t="s">
        <v>232</v>
      </c>
      <c r="C58" s="959">
        <v>-41018.25</v>
      </c>
      <c r="D58" s="959">
        <v>-42227.5</v>
      </c>
      <c r="E58" s="959">
        <v>-38788</v>
      </c>
      <c r="F58" s="959">
        <v>-50681</v>
      </c>
      <c r="G58" s="959">
        <v>0</v>
      </c>
      <c r="H58" s="959">
        <v>0</v>
      </c>
      <c r="I58" s="959">
        <v>0</v>
      </c>
      <c r="J58" s="959">
        <v>0</v>
      </c>
      <c r="K58" s="959">
        <f>J58</f>
        <v>0</v>
      </c>
      <c r="L58" s="959">
        <v>0</v>
      </c>
      <c r="M58" s="959">
        <v>0</v>
      </c>
      <c r="N58" s="959">
        <v>0</v>
      </c>
      <c r="O58" s="959">
        <v>0</v>
      </c>
      <c r="P58" s="959">
        <v>0</v>
      </c>
      <c r="Q58" s="959">
        <v>0</v>
      </c>
      <c r="R58" s="6"/>
      <c r="S58" s="951"/>
      <c r="T58" s="6"/>
      <c r="U58" s="937"/>
      <c r="V58" s="937"/>
      <c r="W58" s="937"/>
      <c r="X58" s="937"/>
      <c r="Y58" s="937"/>
      <c r="Z58" s="937"/>
      <c r="AA58" s="937"/>
      <c r="AB58" s="937"/>
      <c r="AC58" s="937"/>
      <c r="AD58" s="937"/>
      <c r="AE58" s="937"/>
      <c r="AF58" s="6"/>
      <c r="AG58" s="6"/>
      <c r="AH58" s="6"/>
      <c r="AI58" s="6"/>
    </row>
    <row r="59" spans="1:38" ht="18" customHeight="1" x14ac:dyDescent="0.3">
      <c r="B59" s="959" t="s">
        <v>276</v>
      </c>
      <c r="C59" s="959">
        <v>-386.459228</v>
      </c>
      <c r="D59" s="959">
        <v>-902.87395900000001</v>
      </c>
      <c r="E59" s="959">
        <v>-888.93726100004278</v>
      </c>
      <c r="F59" s="959">
        <v>25714</v>
      </c>
      <c r="G59" s="959">
        <v>2721</v>
      </c>
      <c r="H59" s="959">
        <v>-73287</v>
      </c>
      <c r="I59" s="959">
        <v>-24391</v>
      </c>
      <c r="J59" s="959">
        <v>-14675</v>
      </c>
      <c r="K59" s="959">
        <v>0</v>
      </c>
      <c r="L59" s="959">
        <v>0</v>
      </c>
      <c r="M59" s="959">
        <v>0</v>
      </c>
      <c r="N59" s="959">
        <v>0</v>
      </c>
      <c r="O59" s="959">
        <v>0</v>
      </c>
      <c r="P59" s="959">
        <v>0</v>
      </c>
      <c r="Q59" s="959">
        <v>0</v>
      </c>
      <c r="R59" s="6"/>
      <c r="S59" s="951" t="s">
        <v>592</v>
      </c>
      <c r="T59" s="6"/>
      <c r="U59" s="937"/>
      <c r="V59" s="937"/>
      <c r="W59" s="937"/>
      <c r="X59" s="937"/>
      <c r="Y59" s="937"/>
      <c r="Z59" s="937"/>
      <c r="AA59" s="937"/>
      <c r="AB59" s="937"/>
      <c r="AC59" s="937"/>
      <c r="AD59" s="937"/>
      <c r="AE59" s="937"/>
      <c r="AF59" s="6"/>
      <c r="AG59" s="6"/>
      <c r="AH59" s="6"/>
      <c r="AI59" s="6"/>
    </row>
    <row r="60" spans="1:38" ht="18" customHeight="1" x14ac:dyDescent="0.3">
      <c r="B60" s="959" t="s">
        <v>277</v>
      </c>
      <c r="C60" s="959">
        <f t="shared" ref="C60:Q60" si="35">SUM(C56:C59)</f>
        <v>1046485.804625</v>
      </c>
      <c r="D60" s="959">
        <f t="shared" si="35"/>
        <v>1109957.937261</v>
      </c>
      <c r="E60" s="959">
        <f t="shared" si="35"/>
        <v>1199179</v>
      </c>
      <c r="F60" s="959">
        <f t="shared" si="35"/>
        <v>1404143</v>
      </c>
      <c r="G60" s="959">
        <f t="shared" si="35"/>
        <v>1538068</v>
      </c>
      <c r="H60" s="959">
        <f t="shared" si="35"/>
        <v>1582866.9828695913</v>
      </c>
      <c r="I60" s="959">
        <f t="shared" si="35"/>
        <v>1656003.9649229825</v>
      </c>
      <c r="J60" s="959">
        <f t="shared" si="35"/>
        <v>1723382.7425326118</v>
      </c>
      <c r="K60" s="959">
        <f t="shared" si="35"/>
        <v>1803078.5250115627</v>
      </c>
      <c r="L60" s="959">
        <f t="shared" si="35"/>
        <v>1880874.4241873338</v>
      </c>
      <c r="M60" s="959">
        <f t="shared" si="35"/>
        <v>1954351.5803427948</v>
      </c>
      <c r="N60" s="959">
        <f t="shared" si="35"/>
        <v>2025819.5544567143</v>
      </c>
      <c r="O60" s="959">
        <f t="shared" si="35"/>
        <v>2095732.9426566274</v>
      </c>
      <c r="P60" s="959">
        <f t="shared" si="35"/>
        <v>2164307.8329428122</v>
      </c>
      <c r="Q60" s="959">
        <f t="shared" si="35"/>
        <v>2232454.5721209459</v>
      </c>
      <c r="R60" s="6"/>
      <c r="S60" s="951"/>
      <c r="T60" s="6"/>
      <c r="U60" s="937"/>
      <c r="V60" s="937"/>
      <c r="W60" s="937"/>
      <c r="X60" s="937"/>
      <c r="Y60" s="937"/>
      <c r="Z60" s="937"/>
      <c r="AA60" s="937"/>
      <c r="AB60" s="937"/>
      <c r="AC60" s="937"/>
      <c r="AD60" s="937"/>
      <c r="AE60" s="937"/>
      <c r="AF60" s="6"/>
      <c r="AG60" s="6"/>
      <c r="AH60" s="6"/>
      <c r="AI60" s="6"/>
    </row>
    <row r="61" spans="1:38" ht="18" customHeight="1" x14ac:dyDescent="0.3">
      <c r="B61" s="962" t="s">
        <v>278</v>
      </c>
      <c r="C61" s="962">
        <f t="shared" ref="C61:M61" si="36">SUM(C44,C45,C49,C52,C55)</f>
        <v>1093154.818066</v>
      </c>
      <c r="D61" s="962">
        <f t="shared" si="36"/>
        <v>1145258.9076390001</v>
      </c>
      <c r="E61" s="962">
        <f t="shared" si="36"/>
        <v>1248747</v>
      </c>
      <c r="F61" s="962">
        <f t="shared" si="36"/>
        <v>1431681</v>
      </c>
      <c r="G61" s="962">
        <f t="shared" si="36"/>
        <v>1565346</v>
      </c>
      <c r="H61" s="962">
        <f t="shared" si="36"/>
        <v>1609830.9828695913</v>
      </c>
      <c r="I61" s="962">
        <f t="shared" si="36"/>
        <v>1683721.9649229825</v>
      </c>
      <c r="J61" s="962">
        <f t="shared" si="36"/>
        <v>1751100.7425326118</v>
      </c>
      <c r="K61" s="962">
        <f t="shared" si="36"/>
        <v>1830796.5250115627</v>
      </c>
      <c r="L61" s="962">
        <f t="shared" si="36"/>
        <v>1908592.4241873338</v>
      </c>
      <c r="M61" s="962">
        <f t="shared" si="36"/>
        <v>1982069.5803427948</v>
      </c>
      <c r="N61" s="962">
        <f>SUM(N44,N45,N49,N52,N55)</f>
        <v>2053537.5544567143</v>
      </c>
      <c r="O61" s="962">
        <f>SUM(O44,O45,O49,O52,O55)</f>
        <v>2123450.9426566274</v>
      </c>
      <c r="P61" s="962">
        <f>SUM(P44,P45,P49,P52,P55)</f>
        <v>2192025.8329428122</v>
      </c>
      <c r="Q61" s="962">
        <f>SUM(Q44,Q45,Q49,Q52,Q55)</f>
        <v>2260172.5721209459</v>
      </c>
      <c r="R61" s="6"/>
      <c r="S61" s="967"/>
      <c r="T61" s="6"/>
      <c r="U61" s="936"/>
      <c r="V61" s="936"/>
      <c r="W61" s="936"/>
      <c r="X61" s="936"/>
      <c r="Y61" s="936"/>
      <c r="Z61" s="936"/>
      <c r="AA61" s="936"/>
      <c r="AB61" s="936"/>
      <c r="AC61" s="936"/>
      <c r="AD61" s="936"/>
      <c r="AE61" s="936"/>
      <c r="AF61" s="6"/>
      <c r="AG61" s="6"/>
      <c r="AH61" s="6"/>
      <c r="AI61" s="6"/>
      <c r="AJ61" s="62">
        <f>'SAP BS'!L3230</f>
        <v>-1541910057288</v>
      </c>
      <c r="AK61" s="62">
        <f>ROUND(AJ61/1000000,)</f>
        <v>-1541910</v>
      </c>
      <c r="AL61" s="62">
        <f>J61-AK61</f>
        <v>3293010.7425326118</v>
      </c>
    </row>
    <row r="62" spans="1:38" ht="18" customHeight="1" x14ac:dyDescent="0.3">
      <c r="B62" s="966" t="s">
        <v>279</v>
      </c>
      <c r="C62" s="966">
        <f t="shared" ref="C62:M62" si="37">SUM(C42,C61)</f>
        <v>1384201.5371890001</v>
      </c>
      <c r="D62" s="966">
        <f t="shared" si="37"/>
        <v>1426568.1880400002</v>
      </c>
      <c r="E62" s="966">
        <f t="shared" si="37"/>
        <v>1561615</v>
      </c>
      <c r="F62" s="966">
        <f t="shared" si="37"/>
        <v>604946</v>
      </c>
      <c r="G62" s="966">
        <f t="shared" si="37"/>
        <v>624825</v>
      </c>
      <c r="H62" s="966">
        <f t="shared" si="37"/>
        <v>616645.98286959133</v>
      </c>
      <c r="I62" s="966">
        <f t="shared" si="37"/>
        <v>600678.03099698271</v>
      </c>
      <c r="J62" s="966">
        <f t="shared" si="37"/>
        <v>562237.66787000187</v>
      </c>
      <c r="K62" s="966">
        <f t="shared" si="37"/>
        <v>575121.67138521653</v>
      </c>
      <c r="L62" s="966">
        <f t="shared" si="37"/>
        <v>575226.9097972475</v>
      </c>
      <c r="M62" s="966">
        <f t="shared" si="37"/>
        <v>575175.5568728575</v>
      </c>
      <c r="N62" s="966">
        <f>SUM(N42,N61)</f>
        <v>575042.70053403964</v>
      </c>
      <c r="O62" s="966">
        <f>SUM(O42,O61)</f>
        <v>574936.73520486685</v>
      </c>
      <c r="P62" s="966">
        <f>SUM(P42,P61)</f>
        <v>574916.12842770712</v>
      </c>
      <c r="Q62" s="966">
        <f>SUM(Q42,Q61)</f>
        <v>575006.49950355454</v>
      </c>
      <c r="R62" s="6"/>
      <c r="S62" s="968"/>
      <c r="T62" s="6"/>
      <c r="U62" s="936"/>
      <c r="V62" s="936"/>
      <c r="W62" s="936"/>
      <c r="X62" s="936"/>
      <c r="Y62" s="936"/>
      <c r="Z62" s="936"/>
      <c r="AA62" s="936"/>
      <c r="AB62" s="936"/>
      <c r="AC62" s="936"/>
      <c r="AD62" s="936"/>
      <c r="AE62" s="936"/>
      <c r="AF62" s="6"/>
      <c r="AG62" s="6"/>
      <c r="AH62" s="6"/>
      <c r="AI62" s="6"/>
      <c r="AJ62" s="62">
        <f>AJ61+AJ42</f>
        <v>-1543295506312</v>
      </c>
      <c r="AK62" s="62">
        <f>ROUND(AJ62/1000000,)</f>
        <v>-1543296</v>
      </c>
      <c r="AL62" s="62">
        <f>J62-AK62</f>
        <v>2105533.6678700019</v>
      </c>
    </row>
    <row r="63" spans="1:38" ht="18" hidden="1" customHeight="1" outlineLevel="1" x14ac:dyDescent="0.3">
      <c r="A63" s="690"/>
      <c r="F63" s="499">
        <f>F62-F28</f>
        <v>-0.40000000002328306</v>
      </c>
      <c r="G63" s="499">
        <f>G62-G28</f>
        <v>2768</v>
      </c>
      <c r="H63" s="200">
        <f>H62-H28</f>
        <v>2767.9828695913311</v>
      </c>
      <c r="I63" s="200">
        <f>I62-I28</f>
        <v>2767.9649229827337</v>
      </c>
      <c r="J63" s="200">
        <f>J62-J28</f>
        <v>2768.0000000018626</v>
      </c>
      <c r="K63" s="200">
        <f t="shared" ref="K63:Q63" si="38">K62-K28</f>
        <v>2768.0000000001164</v>
      </c>
      <c r="L63" s="200">
        <f>L62-L28</f>
        <v>2767.9999999998836</v>
      </c>
      <c r="M63" s="200">
        <f t="shared" si="38"/>
        <v>2767.9999999997672</v>
      </c>
      <c r="N63" s="200">
        <f t="shared" si="38"/>
        <v>2767.9999999997672</v>
      </c>
      <c r="O63" s="200">
        <f t="shared" si="38"/>
        <v>2767.9999999997672</v>
      </c>
      <c r="P63" s="200">
        <f t="shared" si="38"/>
        <v>2767.9999999997672</v>
      </c>
      <c r="Q63" s="200">
        <f t="shared" si="38"/>
        <v>2768</v>
      </c>
    </row>
    <row r="64" spans="1:38" ht="18" hidden="1" customHeight="1" outlineLevel="1" x14ac:dyDescent="0.3">
      <c r="A64" s="690"/>
      <c r="C64" s="796">
        <f t="shared" ref="C64:L64" si="39">C62-C28</f>
        <v>-0.24249799991957843</v>
      </c>
      <c r="D64" s="796">
        <f t="shared" si="39"/>
        <v>-0.24249799991957843</v>
      </c>
      <c r="E64" s="796">
        <f t="shared" si="39"/>
        <v>0</v>
      </c>
      <c r="F64" s="796">
        <v>-0.40000000002328306</v>
      </c>
      <c r="G64" s="796">
        <v>0</v>
      </c>
      <c r="H64" s="932">
        <v>0</v>
      </c>
      <c r="I64" s="932">
        <f>I62-I28</f>
        <v>2767.9649229827337</v>
      </c>
      <c r="J64" s="932">
        <f>J62-J28</f>
        <v>2768.0000000018626</v>
      </c>
      <c r="K64" s="932">
        <f t="shared" si="39"/>
        <v>2768.0000000001164</v>
      </c>
      <c r="L64" s="932">
        <f t="shared" si="39"/>
        <v>2767.9999999998836</v>
      </c>
      <c r="M64" s="932">
        <f>M62-M28</f>
        <v>2767.9999999997672</v>
      </c>
      <c r="N64" s="932">
        <f>N62-N28</f>
        <v>2767.9999999997672</v>
      </c>
      <c r="O64" s="932">
        <f>O62-O28</f>
        <v>2767.9999999997672</v>
      </c>
      <c r="P64" s="932">
        <f>P62-P28</f>
        <v>2767.9999999997672</v>
      </c>
      <c r="Q64" s="932">
        <f>Q62-Q28</f>
        <v>2768</v>
      </c>
    </row>
    <row r="65" spans="1:17" ht="18" hidden="1" customHeight="1" outlineLevel="1" x14ac:dyDescent="0.3">
      <c r="A65" s="690"/>
      <c r="C65" s="797"/>
      <c r="D65" s="797"/>
      <c r="E65" s="797"/>
      <c r="F65" s="797">
        <v>-0.40000000002328306</v>
      </c>
      <c r="G65" s="797">
        <v>0</v>
      </c>
      <c r="H65" s="933">
        <v>0</v>
      </c>
      <c r="I65" s="933">
        <f t="shared" ref="I65:Q65" si="40">I8+I64</f>
        <v>2767.9649229827337</v>
      </c>
      <c r="J65" s="933">
        <f t="shared" si="40"/>
        <v>2768.0000000018626</v>
      </c>
      <c r="K65" s="933">
        <f t="shared" si="40"/>
        <v>2768.0000000001164</v>
      </c>
      <c r="L65" s="933">
        <f t="shared" si="40"/>
        <v>2767.9999999998836</v>
      </c>
      <c r="M65" s="933">
        <f t="shared" si="40"/>
        <v>2767.9999999997672</v>
      </c>
      <c r="N65" s="933">
        <f t="shared" si="40"/>
        <v>2767.9999999997672</v>
      </c>
      <c r="O65" s="933">
        <f t="shared" si="40"/>
        <v>2767.9999999997672</v>
      </c>
      <c r="P65" s="933">
        <f t="shared" si="40"/>
        <v>2767.9999999997672</v>
      </c>
      <c r="Q65" s="933">
        <f t="shared" si="40"/>
        <v>2768</v>
      </c>
    </row>
    <row r="66" spans="1:17" ht="18" hidden="1" customHeight="1" outlineLevel="1" x14ac:dyDescent="0.3">
      <c r="A66" s="690"/>
      <c r="I66" s="499">
        <v>-7.799999974668026E-2</v>
      </c>
      <c r="J66" s="200">
        <v>0</v>
      </c>
      <c r="K66" s="499">
        <v>1033.7766439289553</v>
      </c>
      <c r="L66" s="499">
        <v>76244.532444364275</v>
      </c>
      <c r="M66" s="499">
        <v>146939.13178150472</v>
      </c>
      <c r="N66" s="499">
        <v>216106.32571401657</v>
      </c>
      <c r="O66" s="499">
        <v>284027.10870852578</v>
      </c>
      <c r="P66" s="499">
        <v>350967.44573647133</v>
      </c>
      <c r="Q66" s="499">
        <v>417979.3976162367</v>
      </c>
    </row>
    <row r="67" spans="1:17" ht="18" hidden="1" customHeight="1" outlineLevel="1" x14ac:dyDescent="0.3">
      <c r="A67" s="690"/>
      <c r="E67" s="499">
        <f>E64*1000000</f>
        <v>0</v>
      </c>
      <c r="F67" s="499">
        <f>F64*1000000</f>
        <v>-400000.00002328306</v>
      </c>
      <c r="G67" s="499">
        <f>G64*1000000</f>
        <v>0</v>
      </c>
      <c r="H67" s="499">
        <f>H64*1000000</f>
        <v>0</v>
      </c>
      <c r="I67" s="499">
        <f>I64*1000000</f>
        <v>2767964922.9827337</v>
      </c>
      <c r="J67" s="200">
        <f t="shared" ref="J67:Q67" si="41">J64*1000000</f>
        <v>2768000000.0018625</v>
      </c>
      <c r="K67" s="499">
        <f t="shared" si="41"/>
        <v>2768000000.0001163</v>
      </c>
      <c r="L67" s="499">
        <f t="shared" si="41"/>
        <v>2767999999.9998837</v>
      </c>
      <c r="M67" s="499">
        <f t="shared" si="41"/>
        <v>2767999999.9997673</v>
      </c>
      <c r="N67" s="499">
        <f t="shared" si="41"/>
        <v>2767999999.9997673</v>
      </c>
      <c r="O67" s="499">
        <f t="shared" si="41"/>
        <v>2767999999.9997673</v>
      </c>
      <c r="P67" s="499">
        <f t="shared" si="41"/>
        <v>2767999999.9997673</v>
      </c>
      <c r="Q67" s="499">
        <f t="shared" si="41"/>
        <v>2768000000</v>
      </c>
    </row>
    <row r="68" spans="1:17" ht="18" hidden="1" customHeight="1" outlineLevel="1" x14ac:dyDescent="0.3">
      <c r="A68" s="690"/>
      <c r="K68" s="499">
        <v>144484.3395743717</v>
      </c>
      <c r="L68" s="499">
        <v>224322.12555117812</v>
      </c>
      <c r="M68" s="499">
        <v>301216.97009493073</v>
      </c>
      <c r="N68" s="499">
        <v>375706.7977018964</v>
      </c>
      <c r="O68" s="499">
        <v>448592.04727737734</v>
      </c>
      <c r="P68" s="499">
        <v>520398.57212530426</v>
      </c>
      <c r="Q68" s="499">
        <v>591753.35560318327</v>
      </c>
    </row>
    <row r="69" spans="1:17" ht="18" customHeight="1" collapsed="1" x14ac:dyDescent="0.3"/>
  </sheetData>
  <mergeCells count="1">
    <mergeCell ref="B1:S1"/>
  </mergeCells>
  <phoneticPr fontId="2" type="noConversion"/>
  <pageMargins left="0.7" right="0.7" top="0.75" bottom="0.75" header="0.3" footer="0.3"/>
  <pageSetup paperSize="9" scale="51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0B9B-C127-4BCA-8547-ADBDDCCBB5C2}">
  <sheetPr codeName="Sheet13"/>
  <dimension ref="A1:BG176"/>
  <sheetViews>
    <sheetView showGridLines="0" topLeftCell="B1" zoomScale="85" zoomScaleNormal="85" workbookViewId="0">
      <selection activeCell="B1" sqref="B1:S1"/>
    </sheetView>
  </sheetViews>
  <sheetFormatPr defaultColWidth="8.75" defaultRowHeight="18" customHeight="1" outlineLevelRow="1" outlineLevelCol="1" x14ac:dyDescent="0.3"/>
  <cols>
    <col min="1" max="1" width="8.75" style="798" hidden="1" customWidth="1" outlineLevel="1"/>
    <col min="2" max="2" width="21.75" style="802" customWidth="1" collapsed="1"/>
    <col min="3" max="5" width="8.625" style="802" hidden="1" customWidth="1" outlineLevel="1"/>
    <col min="6" max="6" width="8.625" style="802" hidden="1" customWidth="1" outlineLevel="1" collapsed="1"/>
    <col min="7" max="7" width="8.625" style="802" hidden="1" customWidth="1" outlineLevel="1"/>
    <col min="8" max="8" width="8.625" style="802" customWidth="1" collapsed="1"/>
    <col min="9" max="17" width="8.625" style="802" customWidth="1"/>
    <col min="18" max="18" width="1.625" style="798" customWidth="1"/>
    <col min="19" max="19" width="45.5" style="798" customWidth="1"/>
    <col min="20" max="20" width="10.125" style="806" customWidth="1"/>
    <col min="21" max="21" width="16" style="798" hidden="1" customWidth="1" outlineLevel="1"/>
    <col min="22" max="22" width="9" style="798" hidden="1" customWidth="1" outlineLevel="1"/>
    <col min="23" max="28" width="9.875" style="798" hidden="1" customWidth="1" outlineLevel="1"/>
    <col min="29" max="29" width="9.875" style="807" hidden="1" customWidth="1" outlineLevel="1"/>
    <col min="30" max="34" width="9.875" style="798" hidden="1" customWidth="1" outlineLevel="1"/>
    <col min="35" max="36" width="4" style="798" hidden="1" customWidth="1" outlineLevel="1"/>
    <col min="37" max="37" width="17.125" style="798" hidden="1" customWidth="1" outlineLevel="1"/>
    <col min="38" max="40" width="10.625" style="798" hidden="1" customWidth="1" outlineLevel="1"/>
    <col min="41" max="44" width="9.5" style="798" hidden="1" customWidth="1" outlineLevel="1"/>
    <col min="45" max="45" width="4" style="798" hidden="1" customWidth="1" outlineLevel="1"/>
    <col min="46" max="46" width="17.125" style="798" hidden="1" customWidth="1" outlineLevel="1"/>
    <col min="47" max="47" width="22" style="798" hidden="1" customWidth="1" outlineLevel="1"/>
    <col min="48" max="48" width="12.625" style="798" hidden="1" customWidth="1" outlineLevel="1"/>
    <col min="49" max="49" width="10.125" style="798" hidden="1" customWidth="1" outlineLevel="1"/>
    <col min="50" max="50" width="27.75" style="798" hidden="1" customWidth="1" outlineLevel="1"/>
    <col min="51" max="51" width="8.75" style="798" collapsed="1"/>
    <col min="52" max="16384" width="8.75" style="798"/>
  </cols>
  <sheetData>
    <row r="1" spans="1:59" ht="31.5" x14ac:dyDescent="0.3">
      <c r="B1" s="1005" t="s">
        <v>593</v>
      </c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  <c r="O1" s="1005"/>
      <c r="P1" s="1005"/>
      <c r="Q1" s="1005"/>
      <c r="R1" s="1005"/>
      <c r="S1" s="1005"/>
      <c r="T1" s="799"/>
      <c r="U1" s="800"/>
      <c r="V1" s="800"/>
      <c r="W1" s="800"/>
      <c r="X1" s="800"/>
      <c r="Y1" s="800"/>
      <c r="Z1" s="800"/>
      <c r="AA1" s="800"/>
      <c r="AB1" s="800"/>
      <c r="AC1" s="801"/>
      <c r="AD1" s="800"/>
      <c r="AE1" s="800"/>
      <c r="AF1" s="800"/>
      <c r="AG1" s="800"/>
      <c r="AH1" s="800"/>
      <c r="AI1" s="800"/>
      <c r="AJ1" s="800"/>
      <c r="AK1" s="800"/>
      <c r="AL1" s="800"/>
      <c r="AM1" s="800">
        <f>AL4*(1+$AL$2)</f>
        <v>3750191.3523678808</v>
      </c>
      <c r="AN1" s="800">
        <f>AM4*(1+$AM$2+0.005%)</f>
        <v>3695859.7333006286</v>
      </c>
      <c r="AO1" s="800">
        <f>AN4*(1+$AM$2+0.005%)</f>
        <v>3660579.4934538021</v>
      </c>
      <c r="AP1" s="800">
        <f>AO4*(1+$AM$2+0.005%)</f>
        <v>3625819.0635780795</v>
      </c>
      <c r="AQ1" s="800">
        <f>AP4*(1+$AM$2+0.005%)</f>
        <v>3595377.1156027317</v>
      </c>
      <c r="AR1" s="800">
        <f>AQ4*(1+$AM$2+0.005%)</f>
        <v>3571662.4334298233</v>
      </c>
      <c r="AS1" s="800"/>
      <c r="AT1" s="800"/>
      <c r="AU1" s="800"/>
      <c r="AV1" s="800"/>
      <c r="AW1" s="800"/>
      <c r="AX1" s="800"/>
    </row>
    <row r="2" spans="1:59" ht="18" customHeight="1" x14ac:dyDescent="0.3">
      <c r="C2" s="803"/>
      <c r="D2" s="803"/>
      <c r="E2" s="803"/>
      <c r="F2" s="804"/>
      <c r="G2" s="804"/>
      <c r="H2" s="805"/>
      <c r="I2" s="805"/>
      <c r="J2" s="805"/>
      <c r="K2" s="805"/>
      <c r="L2" s="877"/>
      <c r="M2" s="877"/>
      <c r="N2" s="877"/>
      <c r="O2" s="877"/>
      <c r="P2" s="877"/>
      <c r="Q2" s="792" t="s">
        <v>429</v>
      </c>
      <c r="AC2" s="892">
        <f>2/(AC3-$AA$3)</f>
        <v>1</v>
      </c>
      <c r="AD2" s="892">
        <f>2/(AD3-$AA$3)</f>
        <v>0.66666666666666663</v>
      </c>
      <c r="AE2" s="892">
        <f>2/(AE3-$AA$3)</f>
        <v>0.5</v>
      </c>
      <c r="AF2" s="892">
        <f>2/(AF3-$AA$3)</f>
        <v>0.4</v>
      </c>
      <c r="AL2" s="821">
        <f t="shared" ref="AL2:AR2" si="0">AL4/AK4-1</f>
        <v>-4.6295411620933535E-3</v>
      </c>
      <c r="AM2" s="821">
        <f t="shared" si="0"/>
        <v>-9.5958817143255715E-3</v>
      </c>
      <c r="AN2" s="821">
        <f t="shared" si="0"/>
        <v>-9.5458817143254659E-3</v>
      </c>
      <c r="AO2" s="821">
        <f t="shared" si="0"/>
        <v>-9.4958817143254715E-3</v>
      </c>
      <c r="AP2" s="821">
        <f t="shared" si="0"/>
        <v>-8.3958817143254816E-3</v>
      </c>
      <c r="AQ2" s="821">
        <f t="shared" si="0"/>
        <v>-6.5958817143254578E-3</v>
      </c>
      <c r="AR2" s="821">
        <f t="shared" si="0"/>
        <v>-4.495881714325356E-3</v>
      </c>
      <c r="AT2" s="798">
        <v>3589011</v>
      </c>
    </row>
    <row r="3" spans="1:59" s="808" customFormat="1" ht="18" customHeight="1" x14ac:dyDescent="0.3">
      <c r="B3" s="950" t="s">
        <v>234</v>
      </c>
      <c r="C3" s="998">
        <v>2018</v>
      </c>
      <c r="D3" s="998">
        <v>2019</v>
      </c>
      <c r="E3" s="998">
        <v>2020</v>
      </c>
      <c r="F3" s="998">
        <v>2021</v>
      </c>
      <c r="G3" s="998">
        <v>2022</v>
      </c>
      <c r="H3" s="998">
        <v>2023</v>
      </c>
      <c r="I3" s="998">
        <v>2024</v>
      </c>
      <c r="J3" s="998">
        <v>2025</v>
      </c>
      <c r="K3" s="998">
        <v>2026</v>
      </c>
      <c r="L3" s="998">
        <v>2027</v>
      </c>
      <c r="M3" s="998">
        <v>2028</v>
      </c>
      <c r="N3" s="998">
        <v>2029</v>
      </c>
      <c r="O3" s="998">
        <v>2030</v>
      </c>
      <c r="P3" s="998">
        <v>2031</v>
      </c>
      <c r="Q3" s="998">
        <v>2032</v>
      </c>
      <c r="R3" s="986"/>
      <c r="S3" s="950" t="s">
        <v>235</v>
      </c>
      <c r="T3" s="809"/>
      <c r="U3" s="935"/>
      <c r="V3" s="935">
        <v>2020</v>
      </c>
      <c r="W3" s="935">
        <f>V3+1</f>
        <v>2021</v>
      </c>
      <c r="X3" s="935">
        <f t="shared" ref="X3:AD3" si="1">W3+1</f>
        <v>2022</v>
      </c>
      <c r="Y3" s="935">
        <f t="shared" si="1"/>
        <v>2023</v>
      </c>
      <c r="Z3" s="935">
        <f t="shared" si="1"/>
        <v>2024</v>
      </c>
      <c r="AA3" s="935">
        <f t="shared" si="1"/>
        <v>2025</v>
      </c>
      <c r="AB3" s="935">
        <f t="shared" si="1"/>
        <v>2026</v>
      </c>
      <c r="AC3" s="935">
        <f t="shared" si="1"/>
        <v>2027</v>
      </c>
      <c r="AD3" s="935">
        <f t="shared" si="1"/>
        <v>2028</v>
      </c>
      <c r="AE3" s="935">
        <f>AD3+1</f>
        <v>2029</v>
      </c>
      <c r="AF3" s="935">
        <f>AE3+1</f>
        <v>2030</v>
      </c>
      <c r="AG3" s="935">
        <f>AF3+1</f>
        <v>2031</v>
      </c>
      <c r="AH3" s="935">
        <f>AG3+1</f>
        <v>2032</v>
      </c>
      <c r="AK3" s="808">
        <v>2025</v>
      </c>
      <c r="AL3" s="808">
        <v>2026</v>
      </c>
      <c r="AM3" s="808">
        <v>2027</v>
      </c>
      <c r="AN3" s="808">
        <v>2028</v>
      </c>
      <c r="AO3" s="808">
        <f>AN3+1</f>
        <v>2029</v>
      </c>
      <c r="AP3" s="808">
        <f>AO3+1</f>
        <v>2030</v>
      </c>
      <c r="AQ3" s="808">
        <f>AP3+1</f>
        <v>2031</v>
      </c>
      <c r="AR3" s="808">
        <f>AQ3+1</f>
        <v>2032</v>
      </c>
      <c r="AU3" s="62" t="s">
        <v>8839</v>
      </c>
      <c r="AV3" s="62" t="s">
        <v>8840</v>
      </c>
    </row>
    <row r="4" spans="1:59" s="809" customFormat="1" ht="18" hidden="1" customHeight="1" outlineLevel="1" x14ac:dyDescent="0.3">
      <c r="A4" s="911"/>
      <c r="B4" s="974"/>
      <c r="C4" s="974"/>
      <c r="D4" s="974"/>
      <c r="E4" s="974"/>
      <c r="F4" s="974"/>
      <c r="G4" s="974"/>
      <c r="H4" s="974"/>
      <c r="I4" s="974"/>
      <c r="J4" s="974"/>
      <c r="K4" s="974"/>
      <c r="L4" s="974"/>
      <c r="M4" s="974"/>
      <c r="N4" s="974"/>
      <c r="O4" s="974"/>
      <c r="P4" s="974"/>
      <c r="Q4" s="974"/>
      <c r="R4" s="975"/>
      <c r="S4" s="974"/>
      <c r="U4" s="939"/>
      <c r="V4" s="940"/>
      <c r="W4" s="940"/>
      <c r="X4" s="940"/>
      <c r="Y4" s="940"/>
      <c r="Z4" s="940"/>
      <c r="AA4" s="940"/>
      <c r="AB4" s="940"/>
      <c r="AC4" s="941"/>
      <c r="AD4" s="940"/>
      <c r="AE4" s="940"/>
      <c r="AF4" s="940"/>
      <c r="AG4" s="940"/>
      <c r="AH4" s="940"/>
      <c r="AK4" s="810">
        <v>3785157.3095499994</v>
      </c>
      <c r="AL4" s="810">
        <v>3767633.7679804391</v>
      </c>
      <c r="AM4" s="811">
        <v>3731480</v>
      </c>
      <c r="AN4" s="810">
        <f>AM4*(1+AM2+0.005%)</f>
        <v>3695859.7333006286</v>
      </c>
      <c r="AO4" s="810">
        <f>AN4*(1+AN2+0.005%)</f>
        <v>3660764.2864404675</v>
      </c>
      <c r="AP4" s="810">
        <f>AO4*(1+AO2+0.11%)</f>
        <v>3630028.9425074863</v>
      </c>
      <c r="AQ4" s="810">
        <f>AP4*(1+AP2+0.18%)</f>
        <v>3606085.700983129</v>
      </c>
      <c r="AR4" s="810">
        <f>AQ4*(1+AQ2+0.21%)</f>
        <v>3589873.1662197886</v>
      </c>
      <c r="AT4" s="809" t="s">
        <v>594</v>
      </c>
    </row>
    <row r="5" spans="1:59" ht="34.5" customHeight="1" collapsed="1" x14ac:dyDescent="0.3">
      <c r="B5" s="976" t="s">
        <v>8882</v>
      </c>
      <c r="C5" s="977">
        <v>4248009.3433849998</v>
      </c>
      <c r="D5" s="977">
        <v>4282186.0693740007</v>
      </c>
      <c r="E5" s="977">
        <f>E7+E9+E11+E13+E14</f>
        <v>4498794.3365319995</v>
      </c>
      <c r="F5" s="977">
        <f t="shared" ref="F5:Q5" si="2">F7+F9+F11+F13+F14</f>
        <v>4583092.6798349991</v>
      </c>
      <c r="G5" s="977">
        <f t="shared" si="2"/>
        <v>4645311.4138981141</v>
      </c>
      <c r="H5" s="977">
        <f t="shared" si="2"/>
        <v>4193447.3672530004</v>
      </c>
      <c r="I5" s="977">
        <f t="shared" si="2"/>
        <v>4051374.2173239999</v>
      </c>
      <c r="J5" s="977">
        <f t="shared" si="2"/>
        <v>3785157.3095499999</v>
      </c>
      <c r="K5" s="977">
        <f t="shared" si="2"/>
        <v>3767633.7679804387</v>
      </c>
      <c r="L5" s="977">
        <f t="shared" si="2"/>
        <v>3731480.0000000005</v>
      </c>
      <c r="M5" s="977">
        <f t="shared" si="2"/>
        <v>3695859.7333006281</v>
      </c>
      <c r="N5" s="977">
        <f t="shared" si="2"/>
        <v>3660764.2864404675</v>
      </c>
      <c r="O5" s="977">
        <f t="shared" si="2"/>
        <v>3630028.9425074859</v>
      </c>
      <c r="P5" s="977">
        <f t="shared" si="2"/>
        <v>3606085.700983129</v>
      </c>
      <c r="Q5" s="977">
        <f t="shared" si="2"/>
        <v>3589873.1662197886</v>
      </c>
      <c r="R5" s="975"/>
      <c r="S5" s="978" t="s">
        <v>8995</v>
      </c>
      <c r="U5" s="943" t="s">
        <v>595</v>
      </c>
      <c r="V5" s="943"/>
      <c r="W5" s="944">
        <f t="shared" ref="W5:AB5" si="3">F6</f>
        <v>1.8737985557255539E-2</v>
      </c>
      <c r="X5" s="944">
        <f t="shared" si="3"/>
        <v>1.3575709332012674E-2</v>
      </c>
      <c r="Y5" s="944">
        <f t="shared" si="3"/>
        <v>-9.7273144119724778E-2</v>
      </c>
      <c r="Z5" s="944">
        <f t="shared" si="3"/>
        <v>-3.3879798048370005E-2</v>
      </c>
      <c r="AA5" s="944">
        <f t="shared" si="3"/>
        <v>-6.571027347600604E-2</v>
      </c>
      <c r="AB5" s="944">
        <f t="shared" si="3"/>
        <v>-4.6295411620936111E-3</v>
      </c>
      <c r="AC5" s="944">
        <f t="shared" ref="AC5:AH5" si="4">L6</f>
        <v>-9.595881714325346E-3</v>
      </c>
      <c r="AD5" s="944">
        <f t="shared" si="4"/>
        <v>-9.5458817143257695E-3</v>
      </c>
      <c r="AE5" s="944">
        <f t="shared" si="4"/>
        <v>-9.4958817143253171E-3</v>
      </c>
      <c r="AF5" s="944">
        <f t="shared" si="4"/>
        <v>-8.3958817143255666E-3</v>
      </c>
      <c r="AG5" s="944">
        <f t="shared" si="4"/>
        <v>-6.5958817143253416E-3</v>
      </c>
      <c r="AH5" s="944">
        <f t="shared" si="4"/>
        <v>-4.4958817143254089E-3</v>
      </c>
      <c r="AK5" s="813">
        <v>4100625.8274463923</v>
      </c>
      <c r="AL5" s="813">
        <v>4141432.1893660207</v>
      </c>
      <c r="AM5" s="813">
        <v>4202062.0748426188</v>
      </c>
      <c r="AN5" s="813">
        <v>4268040.3602814311</v>
      </c>
      <c r="AT5" s="798" t="s">
        <v>596</v>
      </c>
    </row>
    <row r="6" spans="1:59" s="988" customFormat="1" ht="18" customHeight="1" x14ac:dyDescent="0.3">
      <c r="B6" s="970" t="s">
        <v>283</v>
      </c>
      <c r="C6" s="989"/>
      <c r="D6" s="989"/>
      <c r="E6" s="989">
        <f t="shared" ref="E6:Q6" si="5">(E5-D5)/D5</f>
        <v>5.0583571953393455E-2</v>
      </c>
      <c r="F6" s="989">
        <f t="shared" si="5"/>
        <v>1.8737985557255539E-2</v>
      </c>
      <c r="G6" s="989">
        <f t="shared" si="5"/>
        <v>1.3575709332012674E-2</v>
      </c>
      <c r="H6" s="989">
        <f t="shared" si="5"/>
        <v>-9.7273144119724778E-2</v>
      </c>
      <c r="I6" s="989">
        <f t="shared" si="5"/>
        <v>-3.3879798048370005E-2</v>
      </c>
      <c r="J6" s="989">
        <f t="shared" si="5"/>
        <v>-6.571027347600604E-2</v>
      </c>
      <c r="K6" s="989">
        <f t="shared" si="5"/>
        <v>-4.6295411620936111E-3</v>
      </c>
      <c r="L6" s="989">
        <f t="shared" si="5"/>
        <v>-9.595881714325346E-3</v>
      </c>
      <c r="M6" s="989">
        <f t="shared" si="5"/>
        <v>-9.5458817143257695E-3</v>
      </c>
      <c r="N6" s="989">
        <f t="shared" si="5"/>
        <v>-9.4958817143253171E-3</v>
      </c>
      <c r="O6" s="989">
        <f t="shared" si="5"/>
        <v>-8.3958817143255666E-3</v>
      </c>
      <c r="P6" s="989">
        <f t="shared" si="5"/>
        <v>-6.5958817143253416E-3</v>
      </c>
      <c r="Q6" s="989">
        <f t="shared" si="5"/>
        <v>-4.4958817143254089E-3</v>
      </c>
      <c r="R6" s="809"/>
      <c r="S6" s="970"/>
      <c r="T6" s="806"/>
      <c r="U6" s="942"/>
      <c r="V6" s="942"/>
      <c r="W6" s="942"/>
      <c r="X6" s="942"/>
      <c r="Y6" s="942"/>
      <c r="Z6" s="942"/>
      <c r="AA6" s="942"/>
      <c r="AB6" s="942"/>
      <c r="AC6" s="942"/>
      <c r="AD6" s="942"/>
      <c r="AE6" s="942"/>
      <c r="AF6" s="942"/>
      <c r="AG6" s="942"/>
      <c r="AH6" s="942"/>
      <c r="AK6" s="988">
        <v>5.1279408560690382E-2</v>
      </c>
      <c r="AL6" s="988">
        <v>9.9512522324037671E-3</v>
      </c>
      <c r="AM6" s="988">
        <v>1.463983537682393E-2</v>
      </c>
      <c r="AN6" s="988">
        <v>1.5701406657892707E-2</v>
      </c>
      <c r="AY6" s="798"/>
      <c r="AZ6" s="798"/>
      <c r="BA6" s="798"/>
      <c r="BB6" s="798"/>
      <c r="BC6" s="798"/>
      <c r="BD6" s="798"/>
      <c r="BE6" s="798"/>
      <c r="BF6" s="798"/>
      <c r="BG6" s="798"/>
    </row>
    <row r="7" spans="1:59" s="988" customFormat="1" ht="18" customHeight="1" x14ac:dyDescent="0.3">
      <c r="B7" s="979" t="s">
        <v>597</v>
      </c>
      <c r="C7" s="980"/>
      <c r="D7" s="980"/>
      <c r="E7" s="980">
        <v>1286828.1873500003</v>
      </c>
      <c r="F7" s="980">
        <v>1254473.77474</v>
      </c>
      <c r="G7" s="980">
        <v>1227543.577756</v>
      </c>
      <c r="H7" s="980">
        <v>1102772.0343889999</v>
      </c>
      <c r="I7" s="980">
        <v>1059132.719453</v>
      </c>
      <c r="J7" s="980">
        <v>946419.88354200008</v>
      </c>
      <c r="K7" s="980">
        <f>938513.978005582</f>
        <v>938513.978005582</v>
      </c>
      <c r="L7" s="980">
        <f>K7*0.9518</f>
        <v>893277.6042657129</v>
      </c>
      <c r="M7" s="980">
        <f>L7*(1+(L7/K7)^(1/1.1)-1)</f>
        <v>854048.50555297395</v>
      </c>
      <c r="N7" s="980">
        <f>M7*(1+(M7/L7)^(1/1.1)-1)</f>
        <v>819882.67804400367</v>
      </c>
      <c r="O7" s="980">
        <f>N7*(1+(N7/M7)^(1/1.1)-1)</f>
        <v>790010.34484786948</v>
      </c>
      <c r="P7" s="980">
        <f>O7*(1+(O7/N7)^(1/1.1)-1)</f>
        <v>763799.20669996215</v>
      </c>
      <c r="Q7" s="980">
        <f>P7*(1+(P7/O7)^(1/1.1)-1)</f>
        <v>740726.31034168438</v>
      </c>
      <c r="R7" s="981"/>
      <c r="S7" s="982"/>
      <c r="T7" s="806"/>
      <c r="U7" s="942"/>
      <c r="V7" s="942"/>
      <c r="W7" s="990">
        <f t="shared" ref="W7:AH11" si="6">F7/E7-1</f>
        <v>-2.5142760259727059E-2</v>
      </c>
      <c r="X7" s="990">
        <f t="shared" si="6"/>
        <v>-2.1467325603982124E-2</v>
      </c>
      <c r="Y7" s="990">
        <f t="shared" si="6"/>
        <v>-0.10164327004592988</v>
      </c>
      <c r="Z7" s="990">
        <f t="shared" si="6"/>
        <v>-3.9572380850389166E-2</v>
      </c>
      <c r="AA7" s="990">
        <f t="shared" si="6"/>
        <v>-0.10641993570854047</v>
      </c>
      <c r="AB7" s="990">
        <f t="shared" si="6"/>
        <v>-8.3534863054969266E-3</v>
      </c>
      <c r="AC7" s="990">
        <f t="shared" si="6"/>
        <v>-4.8200000000000021E-2</v>
      </c>
      <c r="AD7" s="990">
        <f t="shared" si="6"/>
        <v>-4.3915909819530086E-2</v>
      </c>
      <c r="AE7" s="990">
        <f t="shared" si="6"/>
        <v>-4.0004551599617688E-2</v>
      </c>
      <c r="AF7" s="990">
        <f t="shared" si="6"/>
        <v>-3.6434887571232366E-2</v>
      </c>
      <c r="AG7" s="990">
        <f t="shared" si="6"/>
        <v>-3.3178221423106447E-2</v>
      </c>
      <c r="AH7" s="990">
        <f t="shared" si="6"/>
        <v>-3.0208065360483372E-2</v>
      </c>
      <c r="AK7" s="988">
        <v>990744.1894163579</v>
      </c>
      <c r="AL7" s="988">
        <v>950999.8671600658</v>
      </c>
      <c r="AM7" s="988">
        <v>916551.00269773114</v>
      </c>
      <c r="AN7" s="988">
        <v>883411.19508496532</v>
      </c>
      <c r="AT7" s="798" t="s">
        <v>596</v>
      </c>
      <c r="AY7" s="798"/>
      <c r="AZ7" s="798"/>
      <c r="BA7" s="798"/>
      <c r="BB7" s="798"/>
      <c r="BC7" s="798"/>
      <c r="BD7" s="798"/>
      <c r="BE7" s="798"/>
      <c r="BF7" s="798"/>
      <c r="BG7" s="798"/>
    </row>
    <row r="8" spans="1:59" s="988" customFormat="1" ht="18" customHeight="1" x14ac:dyDescent="0.3">
      <c r="B8" s="970" t="s">
        <v>283</v>
      </c>
      <c r="C8" s="971"/>
      <c r="D8" s="971"/>
      <c r="E8" s="971"/>
      <c r="F8" s="971"/>
      <c r="G8" s="971"/>
      <c r="H8" s="989">
        <f t="shared" ref="H8:Q8" si="7">(H7-G7)/G7</f>
        <v>-0.10164327004592991</v>
      </c>
      <c r="I8" s="989">
        <f t="shared" si="7"/>
        <v>-3.9572380850389131E-2</v>
      </c>
      <c r="J8" s="989">
        <f t="shared" si="7"/>
        <v>-0.1064199357085405</v>
      </c>
      <c r="K8" s="989">
        <f t="shared" si="7"/>
        <v>-8.3534863054969145E-3</v>
      </c>
      <c r="L8" s="989">
        <f t="shared" si="7"/>
        <v>-4.8200000000000048E-2</v>
      </c>
      <c r="M8" s="989">
        <f t="shared" si="7"/>
        <v>-4.3915909819530106E-2</v>
      </c>
      <c r="N8" s="989">
        <f t="shared" si="7"/>
        <v>-4.000455159961764E-2</v>
      </c>
      <c r="O8" s="989">
        <f t="shared" si="7"/>
        <v>-3.643488757123238E-2</v>
      </c>
      <c r="P8" s="989">
        <f t="shared" si="7"/>
        <v>-3.3178221423106495E-2</v>
      </c>
      <c r="Q8" s="989">
        <f t="shared" si="7"/>
        <v>-3.020806536048332E-2</v>
      </c>
      <c r="R8" s="809"/>
      <c r="S8" s="970"/>
      <c r="T8" s="806"/>
      <c r="U8" s="942"/>
      <c r="V8" s="942"/>
      <c r="W8" s="990"/>
      <c r="X8" s="990"/>
      <c r="Y8" s="990"/>
      <c r="Z8" s="990"/>
      <c r="AA8" s="990"/>
      <c r="AB8" s="990"/>
      <c r="AC8" s="990"/>
      <c r="AD8" s="990"/>
      <c r="AE8" s="990"/>
      <c r="AF8" s="990"/>
      <c r="AG8" s="990"/>
      <c r="AH8" s="990"/>
      <c r="AT8" s="798"/>
      <c r="AY8" s="798"/>
      <c r="AZ8" s="798"/>
      <c r="BA8" s="798"/>
      <c r="BB8" s="798"/>
      <c r="BC8" s="798"/>
      <c r="BD8" s="798"/>
      <c r="BE8" s="798"/>
      <c r="BF8" s="798"/>
      <c r="BG8" s="798"/>
    </row>
    <row r="9" spans="1:59" s="988" customFormat="1" ht="36.75" customHeight="1" x14ac:dyDescent="0.3">
      <c r="B9" s="979" t="s">
        <v>598</v>
      </c>
      <c r="C9" s="980"/>
      <c r="D9" s="980"/>
      <c r="E9" s="980">
        <v>284126.36924800003</v>
      </c>
      <c r="F9" s="980">
        <v>373805.20524599997</v>
      </c>
      <c r="G9" s="980">
        <v>446463.85187599988</v>
      </c>
      <c r="H9" s="980">
        <v>428831.81811700005</v>
      </c>
      <c r="I9" s="980">
        <v>379746.36304200004</v>
      </c>
      <c r="J9" s="980">
        <v>384490.27590900008</v>
      </c>
      <c r="K9" s="980">
        <v>359033.71025559719</v>
      </c>
      <c r="L9" s="980">
        <f>K9*0.952</f>
        <v>341800.09216332849</v>
      </c>
      <c r="M9" s="980">
        <f>L9*(1+(L9/K9)^(1/2.5)-1)</f>
        <v>335140.5320933758</v>
      </c>
      <c r="N9" s="980">
        <f>M9*(1+(M9/L9)^(1/2.5)-1)</f>
        <v>332513.18171832123</v>
      </c>
      <c r="O9" s="980">
        <f>N9*0.99712</f>
        <v>331555.54375497246</v>
      </c>
      <c r="P9" s="980">
        <f>O9*0.9976</f>
        <v>330759.81044996053</v>
      </c>
      <c r="Q9" s="980">
        <f>P9*0.998</f>
        <v>330098.2908290606</v>
      </c>
      <c r="R9" s="975"/>
      <c r="S9" s="984" t="s">
        <v>8992</v>
      </c>
      <c r="T9" s="806"/>
      <c r="U9" s="942"/>
      <c r="V9" s="942"/>
      <c r="W9" s="990">
        <f t="shared" si="6"/>
        <v>0.31563010584112194</v>
      </c>
      <c r="X9" s="990">
        <f t="shared" si="6"/>
        <v>0.19437569517573605</v>
      </c>
      <c r="Y9" s="990">
        <f t="shared" si="6"/>
        <v>-3.9492634588246367E-2</v>
      </c>
      <c r="Z9" s="990">
        <f t="shared" si="6"/>
        <v>-0.11446318347023354</v>
      </c>
      <c r="AA9" s="990">
        <f t="shared" si="6"/>
        <v>1.2492319423413001E-2</v>
      </c>
      <c r="AB9" s="990">
        <f t="shared" si="6"/>
        <v>-6.6208607209166104E-2</v>
      </c>
      <c r="AC9" s="990">
        <f t="shared" si="6"/>
        <v>-4.8000000000000154E-2</v>
      </c>
      <c r="AD9" s="990">
        <f t="shared" si="6"/>
        <v>-1.9483786642077394E-2</v>
      </c>
      <c r="AE9" s="990">
        <f t="shared" si="6"/>
        <v>-7.8395482594822985E-3</v>
      </c>
      <c r="AF9" s="990">
        <f t="shared" si="6"/>
        <v>-2.8799999999999937E-3</v>
      </c>
      <c r="AG9" s="990">
        <f t="shared" si="6"/>
        <v>-2.3999999999999577E-3</v>
      </c>
      <c r="AH9" s="990">
        <f t="shared" si="6"/>
        <v>-2.0000000000000018E-3</v>
      </c>
      <c r="AK9" s="988">
        <v>376574.32295212342</v>
      </c>
      <c r="AL9" s="988">
        <v>367159.96487832034</v>
      </c>
      <c r="AM9" s="988">
        <v>359816.76558075391</v>
      </c>
      <c r="AN9" s="988">
        <v>352620.43026913883</v>
      </c>
      <c r="AY9" s="798"/>
      <c r="AZ9" s="798"/>
      <c r="BA9" s="798"/>
      <c r="BB9" s="798"/>
      <c r="BC9" s="798"/>
      <c r="BD9" s="798"/>
      <c r="BE9" s="798"/>
      <c r="BF9" s="798"/>
      <c r="BG9" s="798"/>
    </row>
    <row r="10" spans="1:59" s="988" customFormat="1" ht="18" customHeight="1" x14ac:dyDescent="0.3">
      <c r="B10" s="970" t="s">
        <v>283</v>
      </c>
      <c r="C10" s="971"/>
      <c r="D10" s="971"/>
      <c r="E10" s="971"/>
      <c r="F10" s="971"/>
      <c r="G10" s="971"/>
      <c r="H10" s="989">
        <f t="shared" ref="H10:Q10" si="8">(H9-G9)/G9</f>
        <v>-3.9492634588246416E-2</v>
      </c>
      <c r="I10" s="989">
        <f t="shared" si="8"/>
        <v>-0.11446318347023356</v>
      </c>
      <c r="J10" s="989">
        <f t="shared" si="8"/>
        <v>1.2492319423413036E-2</v>
      </c>
      <c r="K10" s="989">
        <f t="shared" si="8"/>
        <v>-6.620860720916609E-2</v>
      </c>
      <c r="L10" s="989">
        <f t="shared" si="8"/>
        <v>-4.8000000000000112E-2</v>
      </c>
      <c r="M10" s="989">
        <f t="shared" si="8"/>
        <v>-1.9483786642077401E-2</v>
      </c>
      <c r="N10" s="989">
        <f t="shared" si="8"/>
        <v>-7.8395482594822482E-3</v>
      </c>
      <c r="O10" s="989">
        <f t="shared" si="8"/>
        <v>-2.880000000000005E-3</v>
      </c>
      <c r="P10" s="989">
        <f t="shared" si="8"/>
        <v>-2.4000000000000007E-3</v>
      </c>
      <c r="Q10" s="989">
        <f t="shared" si="8"/>
        <v>-2.0000000000000148E-3</v>
      </c>
      <c r="R10" s="809"/>
      <c r="S10" s="970"/>
      <c r="T10" s="806"/>
      <c r="U10" s="942"/>
      <c r="V10" s="942"/>
      <c r="W10" s="990"/>
      <c r="X10" s="990"/>
      <c r="Y10" s="990"/>
      <c r="Z10" s="990"/>
      <c r="AA10" s="990"/>
      <c r="AB10" s="990"/>
      <c r="AC10" s="990"/>
      <c r="AD10" s="990"/>
      <c r="AE10" s="990"/>
      <c r="AF10" s="990"/>
      <c r="AG10" s="990"/>
      <c r="AH10" s="990"/>
      <c r="AY10" s="798"/>
      <c r="AZ10" s="798"/>
      <c r="BA10" s="798"/>
      <c r="BB10" s="798"/>
      <c r="BC10" s="798"/>
      <c r="BD10" s="798"/>
      <c r="BE10" s="798"/>
      <c r="BF10" s="798"/>
      <c r="BG10" s="798"/>
    </row>
    <row r="11" spans="1:59" s="988" customFormat="1" ht="18" customHeight="1" x14ac:dyDescent="0.3">
      <c r="B11" s="979" t="s">
        <v>599</v>
      </c>
      <c r="C11" s="980"/>
      <c r="D11" s="980"/>
      <c r="E11" s="980">
        <v>2854891.9399620001</v>
      </c>
      <c r="F11" s="980">
        <v>2891446.6891979999</v>
      </c>
      <c r="G11" s="980">
        <v>2912429.4304511147</v>
      </c>
      <c r="H11" s="980">
        <v>2628283.0168940001</v>
      </c>
      <c r="I11" s="980">
        <v>2584579.971262</v>
      </c>
      <c r="J11" s="980">
        <v>2418763.6413699999</v>
      </c>
      <c r="K11" s="980">
        <f>2443642.46245491</f>
        <v>2443642.4624549099</v>
      </c>
      <c r="L11" s="980">
        <f t="shared" ref="L11:Q11" si="9">AM4-L9-L7-L14-L13</f>
        <v>2474907.9280572846</v>
      </c>
      <c r="M11" s="980">
        <f t="shared" si="9"/>
        <v>2487949.7631287631</v>
      </c>
      <c r="N11" s="980">
        <f t="shared" si="9"/>
        <v>2491294.663939774</v>
      </c>
      <c r="O11" s="980">
        <f t="shared" si="9"/>
        <v>2492406.0781562915</v>
      </c>
      <c r="P11" s="980">
        <f t="shared" si="9"/>
        <v>2496113.6987644196</v>
      </c>
      <c r="Q11" s="980">
        <f t="shared" si="9"/>
        <v>2504050.4932432622</v>
      </c>
      <c r="R11" s="975"/>
      <c r="S11" s="982" t="s">
        <v>8929</v>
      </c>
      <c r="T11" s="806"/>
      <c r="U11" s="942"/>
      <c r="V11" s="942"/>
      <c r="W11" s="990">
        <f t="shared" si="6"/>
        <v>1.2804249689564839E-2</v>
      </c>
      <c r="X11" s="990">
        <f t="shared" si="6"/>
        <v>7.2568314441012749E-3</v>
      </c>
      <c r="Y11" s="990">
        <f t="shared" si="6"/>
        <v>-9.7563364312350798E-2</v>
      </c>
      <c r="Z11" s="990">
        <f t="shared" si="6"/>
        <v>-1.6627983117147971E-2</v>
      </c>
      <c r="AA11" s="990">
        <f t="shared" si="6"/>
        <v>-6.415600667640986E-2</v>
      </c>
      <c r="AB11" s="990">
        <f t="shared" si="6"/>
        <v>1.0285759492737689E-2</v>
      </c>
      <c r="AC11" s="990">
        <f t="shared" si="6"/>
        <v>1.2794615449170488E-2</v>
      </c>
      <c r="AD11" s="990">
        <f t="shared" si="6"/>
        <v>5.2696243458705272E-3</v>
      </c>
      <c r="AE11" s="990">
        <f t="shared" si="6"/>
        <v>1.3444406557487909E-3</v>
      </c>
      <c r="AF11" s="990">
        <f t="shared" si="6"/>
        <v>4.4611913339864806E-4</v>
      </c>
      <c r="AG11" s="990">
        <f t="shared" si="6"/>
        <v>1.4875668297482658E-3</v>
      </c>
      <c r="AH11" s="990">
        <f t="shared" si="6"/>
        <v>3.1796606391651938E-3</v>
      </c>
      <c r="AK11" s="988">
        <v>2709102.2543061962</v>
      </c>
      <c r="AL11" s="988">
        <v>2799067.29655592</v>
      </c>
      <c r="AM11" s="988">
        <v>2901489.2457924196</v>
      </c>
      <c r="AN11" s="988">
        <v>3007803.6741556129</v>
      </c>
      <c r="AY11" s="798"/>
      <c r="AZ11" s="798"/>
      <c r="BA11" s="798"/>
      <c r="BB11" s="798"/>
      <c r="BC11" s="798"/>
      <c r="BD11" s="798"/>
      <c r="BE11" s="798"/>
      <c r="BF11" s="798"/>
      <c r="BG11" s="798"/>
    </row>
    <row r="12" spans="1:59" s="988" customFormat="1" ht="18" customHeight="1" x14ac:dyDescent="0.3">
      <c r="B12" s="970" t="s">
        <v>283</v>
      </c>
      <c r="C12" s="971"/>
      <c r="D12" s="971"/>
      <c r="E12" s="971"/>
      <c r="F12" s="971"/>
      <c r="G12" s="971"/>
      <c r="H12" s="989">
        <f t="shared" ref="H12:Q12" si="10">(H11-G11)/G11</f>
        <v>-9.7563364312350839E-2</v>
      </c>
      <c r="I12" s="989">
        <f t="shared" si="10"/>
        <v>-1.6627983117147936E-2</v>
      </c>
      <c r="J12" s="989">
        <f t="shared" si="10"/>
        <v>-6.4156006676409902E-2</v>
      </c>
      <c r="K12" s="989">
        <f t="shared" si="10"/>
        <v>1.0285759492737613E-2</v>
      </c>
      <c r="L12" s="989">
        <f t="shared" si="10"/>
        <v>1.27946154491705E-2</v>
      </c>
      <c r="M12" s="989">
        <f t="shared" si="10"/>
        <v>5.2696243458704682E-3</v>
      </c>
      <c r="N12" s="989">
        <f t="shared" si="10"/>
        <v>1.3444406557488265E-3</v>
      </c>
      <c r="O12" s="989">
        <f t="shared" si="10"/>
        <v>4.4611913339864107E-4</v>
      </c>
      <c r="P12" s="989">
        <f t="shared" si="10"/>
        <v>1.487566829748217E-3</v>
      </c>
      <c r="Q12" s="989">
        <f t="shared" si="10"/>
        <v>3.1796606391652949E-3</v>
      </c>
      <c r="R12" s="809"/>
      <c r="S12" s="970"/>
      <c r="T12" s="806"/>
      <c r="U12" s="942"/>
      <c r="V12" s="942"/>
      <c r="W12" s="990"/>
      <c r="X12" s="990"/>
      <c r="Y12" s="990"/>
      <c r="Z12" s="990"/>
      <c r="AA12" s="990"/>
      <c r="AB12" s="990"/>
      <c r="AC12" s="990"/>
      <c r="AD12" s="990"/>
      <c r="AE12" s="990"/>
      <c r="AF12" s="990"/>
      <c r="AG12" s="990"/>
      <c r="AH12" s="990"/>
      <c r="AY12" s="798"/>
      <c r="AZ12" s="798"/>
      <c r="BA12" s="798"/>
      <c r="BB12" s="798"/>
      <c r="BC12" s="798"/>
      <c r="BD12" s="798"/>
      <c r="BE12" s="798"/>
      <c r="BF12" s="798"/>
      <c r="BG12" s="798"/>
    </row>
    <row r="13" spans="1:59" s="988" customFormat="1" ht="18" customHeight="1" x14ac:dyDescent="0.3">
      <c r="B13" s="979" t="s">
        <v>284</v>
      </c>
      <c r="C13" s="980"/>
      <c r="D13" s="980"/>
      <c r="E13" s="980">
        <v>0</v>
      </c>
      <c r="F13" s="980">
        <v>0</v>
      </c>
      <c r="G13" s="980">
        <v>0</v>
      </c>
      <c r="H13" s="980">
        <v>0</v>
      </c>
      <c r="I13" s="980">
        <v>0</v>
      </c>
      <c r="J13" s="980">
        <v>0</v>
      </c>
      <c r="K13" s="980">
        <v>0</v>
      </c>
      <c r="L13" s="980">
        <f>AM$4/AM$5*AM13</f>
        <v>0</v>
      </c>
      <c r="M13" s="980">
        <f>AN$4/AN$5*AN13</f>
        <v>0</v>
      </c>
      <c r="N13" s="980">
        <v>0</v>
      </c>
      <c r="O13" s="980">
        <v>0</v>
      </c>
      <c r="P13" s="980">
        <v>0</v>
      </c>
      <c r="Q13" s="980">
        <v>0</v>
      </c>
      <c r="R13" s="975"/>
      <c r="S13" s="982"/>
      <c r="T13" s="806"/>
      <c r="U13" s="942"/>
      <c r="V13" s="942"/>
      <c r="W13" s="990"/>
      <c r="X13" s="990"/>
      <c r="Y13" s="990"/>
      <c r="Z13" s="990"/>
      <c r="AA13" s="990"/>
      <c r="AB13" s="990"/>
      <c r="AC13" s="990"/>
      <c r="AD13" s="990"/>
      <c r="AE13" s="990"/>
      <c r="AF13" s="990"/>
      <c r="AG13" s="990"/>
      <c r="AH13" s="990"/>
      <c r="AK13" s="988">
        <v>0</v>
      </c>
      <c r="AL13" s="988">
        <v>0</v>
      </c>
      <c r="AM13" s="988">
        <v>0</v>
      </c>
      <c r="AN13" s="988">
        <v>0</v>
      </c>
      <c r="AY13" s="798"/>
      <c r="AZ13" s="798"/>
      <c r="BA13" s="798"/>
      <c r="BB13" s="798"/>
      <c r="BC13" s="798"/>
      <c r="BD13" s="798"/>
      <c r="BE13" s="798"/>
      <c r="BF13" s="798"/>
      <c r="BG13" s="798"/>
    </row>
    <row r="14" spans="1:59" s="988" customFormat="1" ht="18" customHeight="1" x14ac:dyDescent="0.3">
      <c r="B14" s="979" t="s">
        <v>285</v>
      </c>
      <c r="C14" s="980"/>
      <c r="D14" s="980"/>
      <c r="E14" s="980">
        <v>72947.839971999521</v>
      </c>
      <c r="F14" s="980">
        <v>63367.010651000011</v>
      </c>
      <c r="G14" s="980">
        <v>58874.553814999999</v>
      </c>
      <c r="H14" s="980">
        <v>33560.497853000001</v>
      </c>
      <c r="I14" s="980">
        <v>27915.163566999996</v>
      </c>
      <c r="J14" s="980">
        <v>35483.508729000008</v>
      </c>
      <c r="K14" s="980">
        <v>26443.617264349603</v>
      </c>
      <c r="L14" s="980">
        <f>AM$4/AM$5*AM14</f>
        <v>21494.375513674258</v>
      </c>
      <c r="M14" s="980">
        <f>L14*(1+(L14/K14)^(1/1.5)-1)</f>
        <v>18720.932525515789</v>
      </c>
      <c r="N14" s="980">
        <f>M14*(1+(M14/L14)^(1/1.5)-1)</f>
        <v>17073.762738368674</v>
      </c>
      <c r="O14" s="980">
        <f>N14*(1+(N14/M14)^(1/1.5)-1)</f>
        <v>16056.975748352736</v>
      </c>
      <c r="P14" s="980">
        <f>O14*(1+(O14/N14)^(1/1.5)-1)</f>
        <v>15412.985068786433</v>
      </c>
      <c r="Q14" s="980">
        <f>P14*(1+(P14/O14)^(1/1.5)-1)</f>
        <v>14998.071805781912</v>
      </c>
      <c r="R14" s="975"/>
      <c r="S14" s="982" t="s">
        <v>8878</v>
      </c>
      <c r="T14" s="806"/>
      <c r="U14" s="942"/>
      <c r="V14" s="942"/>
      <c r="W14" s="990">
        <f t="shared" ref="W14:AD14" si="11">F14/E14-1</f>
        <v>-0.13133808108200373</v>
      </c>
      <c r="X14" s="990">
        <f t="shared" si="11"/>
        <v>-7.089583033579816E-2</v>
      </c>
      <c r="Y14" s="990">
        <f t="shared" si="11"/>
        <v>-0.42996599246499101</v>
      </c>
      <c r="Z14" s="990">
        <f t="shared" si="11"/>
        <v>-0.1682136632992578</v>
      </c>
      <c r="AA14" s="990">
        <f t="shared" si="11"/>
        <v>0.27111949904341448</v>
      </c>
      <c r="AB14" s="990">
        <f t="shared" si="11"/>
        <v>-0.25476317840186624</v>
      </c>
      <c r="AC14" s="990">
        <f t="shared" si="11"/>
        <v>-0.18716205506981631</v>
      </c>
      <c r="AD14" s="990">
        <f t="shared" si="11"/>
        <v>-0.12903110334115386</v>
      </c>
      <c r="AE14" s="990">
        <f>N14/M14-1</f>
        <v>-8.7985456114544336E-2</v>
      </c>
      <c r="AF14" s="990">
        <f>O14/N14-1</f>
        <v>-5.9552601590918464E-2</v>
      </c>
      <c r="AG14" s="990">
        <f>P14/O14-1</f>
        <v>-4.0106598506407298E-2</v>
      </c>
      <c r="AH14" s="990">
        <f>Q14/P14-1</f>
        <v>-2.6919721335796343E-2</v>
      </c>
      <c r="AK14" s="988">
        <v>24205.060771714288</v>
      </c>
      <c r="AL14" s="988">
        <v>24205.060771714288</v>
      </c>
      <c r="AM14" s="988">
        <v>24205.060771714288</v>
      </c>
      <c r="AN14" s="988">
        <v>24205.060771714288</v>
      </c>
      <c r="AY14" s="798"/>
      <c r="AZ14" s="798"/>
      <c r="BA14" s="798"/>
      <c r="BB14" s="798"/>
      <c r="BC14" s="798"/>
      <c r="BD14" s="798"/>
      <c r="BE14" s="798"/>
      <c r="BF14" s="798"/>
      <c r="BG14" s="798"/>
    </row>
    <row r="15" spans="1:59" s="988" customFormat="1" ht="18" customHeight="1" x14ac:dyDescent="0.3">
      <c r="B15" s="970" t="s">
        <v>283</v>
      </c>
      <c r="C15" s="971"/>
      <c r="D15" s="971"/>
      <c r="E15" s="971"/>
      <c r="F15" s="971"/>
      <c r="G15" s="971"/>
      <c r="H15" s="989">
        <f t="shared" ref="H15:Q15" si="12">(H14-G14)/G14</f>
        <v>-0.42996599246499101</v>
      </c>
      <c r="I15" s="989">
        <f t="shared" si="12"/>
        <v>-0.16821366329925774</v>
      </c>
      <c r="J15" s="989">
        <f t="shared" si="12"/>
        <v>0.27111949904341442</v>
      </c>
      <c r="K15" s="989">
        <f t="shared" si="12"/>
        <v>-0.25476317840186619</v>
      </c>
      <c r="L15" s="989">
        <f t="shared" si="12"/>
        <v>-0.18716205506981626</v>
      </c>
      <c r="M15" s="989">
        <f t="shared" si="12"/>
        <v>-0.12903110334115381</v>
      </c>
      <c r="N15" s="989">
        <f t="shared" si="12"/>
        <v>-8.7985456114544336E-2</v>
      </c>
      <c r="O15" s="989">
        <f t="shared" si="12"/>
        <v>-5.955260159091845E-2</v>
      </c>
      <c r="P15" s="989">
        <f t="shared" si="12"/>
        <v>-4.0106598506407347E-2</v>
      </c>
      <c r="Q15" s="989">
        <f t="shared" si="12"/>
        <v>-2.6919721335796339E-2</v>
      </c>
      <c r="R15" s="809"/>
      <c r="S15" s="970"/>
      <c r="T15" s="806"/>
      <c r="U15" s="942"/>
      <c r="V15" s="942"/>
      <c r="W15" s="990"/>
      <c r="X15" s="990"/>
      <c r="Y15" s="990"/>
      <c r="Z15" s="990"/>
      <c r="AA15" s="990"/>
      <c r="AB15" s="990"/>
      <c r="AC15" s="990"/>
      <c r="AD15" s="990"/>
      <c r="AE15" s="990"/>
      <c r="AF15" s="990"/>
      <c r="AG15" s="990"/>
      <c r="AH15" s="990"/>
      <c r="AY15" s="798"/>
      <c r="AZ15" s="798"/>
      <c r="BA15" s="798"/>
      <c r="BB15" s="798"/>
      <c r="BC15" s="798"/>
      <c r="BD15" s="798"/>
      <c r="BE15" s="798"/>
      <c r="BF15" s="798"/>
      <c r="BG15" s="798"/>
    </row>
    <row r="16" spans="1:59" s="817" customFormat="1" ht="18" customHeight="1" x14ac:dyDescent="0.3">
      <c r="B16" s="976" t="s">
        <v>600</v>
      </c>
      <c r="C16" s="977"/>
      <c r="D16" s="977">
        <v>1194599.5745550001</v>
      </c>
      <c r="E16" s="977">
        <f t="shared" ref="E16:Q16" si="13">E18+E20</f>
        <v>1206716</v>
      </c>
      <c r="F16" s="977">
        <f>F18+F20</f>
        <v>1227065</v>
      </c>
      <c r="G16" s="977">
        <f>G18+G20</f>
        <v>1239315</v>
      </c>
      <c r="H16" s="977">
        <f t="shared" si="13"/>
        <v>1131065</v>
      </c>
      <c r="I16" s="977">
        <f t="shared" si="13"/>
        <v>1052081</v>
      </c>
      <c r="J16" s="977">
        <f t="shared" si="13"/>
        <v>1049110.1877059999</v>
      </c>
      <c r="K16" s="977">
        <f t="shared" si="13"/>
        <v>1060021.4203150417</v>
      </c>
      <c r="L16" s="977">
        <f t="shared" si="13"/>
        <v>1054370.3980017116</v>
      </c>
      <c r="M16" s="977">
        <f t="shared" si="13"/>
        <v>1048778.7896114832</v>
      </c>
      <c r="N16" s="977">
        <f t="shared" si="13"/>
        <v>1043245.9677611254</v>
      </c>
      <c r="O16" s="977">
        <f t="shared" si="13"/>
        <v>1038379.8734587536</v>
      </c>
      <c r="P16" s="977">
        <f t="shared" si="13"/>
        <v>1034574.8563366034</v>
      </c>
      <c r="Q16" s="977">
        <f t="shared" si="13"/>
        <v>1031990.7862373232</v>
      </c>
      <c r="R16" s="983"/>
      <c r="S16" s="978" t="s">
        <v>8909</v>
      </c>
      <c r="T16" s="806"/>
      <c r="U16" s="943"/>
      <c r="V16" s="943"/>
      <c r="W16" s="943"/>
      <c r="X16" s="943"/>
      <c r="Y16" s="945"/>
      <c r="Z16" s="945"/>
      <c r="AA16" s="945"/>
      <c r="AB16" s="945"/>
      <c r="AC16" s="945"/>
      <c r="AD16" s="945"/>
      <c r="AE16" s="945"/>
      <c r="AF16" s="945"/>
      <c r="AG16" s="945"/>
      <c r="AH16" s="945"/>
      <c r="AU16" s="817">
        <f>홈쇼핑!V7*1000</f>
        <v>1049110187706</v>
      </c>
      <c r="AV16" s="817">
        <f>ROUND(AU16/1000000,)</f>
        <v>1049110</v>
      </c>
      <c r="AW16" s="818">
        <f>J16-AV16</f>
        <v>0.18770599993877113</v>
      </c>
      <c r="AY16" s="798"/>
      <c r="AZ16" s="798"/>
      <c r="BA16" s="798"/>
      <c r="BB16" s="798"/>
      <c r="BC16" s="798"/>
      <c r="BD16" s="798"/>
      <c r="BE16" s="798"/>
      <c r="BF16" s="798"/>
      <c r="BG16" s="798"/>
    </row>
    <row r="17" spans="1:44" ht="18" customHeight="1" x14ac:dyDescent="0.3">
      <c r="B17" s="970" t="s">
        <v>283</v>
      </c>
      <c r="C17" s="989"/>
      <c r="D17" s="989"/>
      <c r="E17" s="989">
        <f>(E16-D16)/D16</f>
        <v>1.0142666800725614E-2</v>
      </c>
      <c r="F17" s="989">
        <f>(F16-E16)/E16</f>
        <v>1.6863122723159384E-2</v>
      </c>
      <c r="G17" s="989">
        <f>(G16-F16)/F16</f>
        <v>9.9831712256481936E-3</v>
      </c>
      <c r="H17" s="989">
        <f t="shared" ref="H17:M17" si="14">(H16-G16)/G16</f>
        <v>-8.7346639070776999E-2</v>
      </c>
      <c r="I17" s="989">
        <f t="shared" si="14"/>
        <v>-6.9831530460229954E-2</v>
      </c>
      <c r="J17" s="989">
        <f t="shared" si="14"/>
        <v>-2.8237486410267474E-3</v>
      </c>
      <c r="K17" s="989">
        <f t="shared" si="14"/>
        <v>1.0400463875868366E-2</v>
      </c>
      <c r="L17" s="989">
        <f t="shared" si="14"/>
        <v>-5.3310453968473471E-3</v>
      </c>
      <c r="M17" s="989">
        <f t="shared" si="14"/>
        <v>-5.3032676190699355E-3</v>
      </c>
      <c r="N17" s="989">
        <f>(N16-M16)/M16</f>
        <v>-5.275489841291915E-3</v>
      </c>
      <c r="O17" s="989">
        <f>(O16-N16)/N16</f>
        <v>-4.664378730180766E-3</v>
      </c>
      <c r="P17" s="989">
        <f>(P16-O16)/O16</f>
        <v>-3.6643787301808757E-3</v>
      </c>
      <c r="Q17" s="989">
        <f>(Q16-P16)/P16</f>
        <v>-2.4977120635140174E-3</v>
      </c>
      <c r="R17" s="809"/>
      <c r="S17" s="970"/>
      <c r="U17" s="942" t="s">
        <v>601</v>
      </c>
      <c r="V17" s="942"/>
      <c r="W17" s="942">
        <f>F16</f>
        <v>1227065</v>
      </c>
      <c r="X17" s="942">
        <f>G16</f>
        <v>1239315</v>
      </c>
      <c r="Y17" s="942">
        <f>H16</f>
        <v>1131065</v>
      </c>
      <c r="Z17" s="942">
        <f>I16</f>
        <v>1052081</v>
      </c>
      <c r="AA17" s="942">
        <f>J16</f>
        <v>1049110.1877059999</v>
      </c>
      <c r="AB17" s="942">
        <v>1060021.4203150417</v>
      </c>
      <c r="AC17" s="942">
        <f t="shared" ref="AC17:AH17" si="15">AB17*(1+AC5/1.8)</f>
        <v>1054370.3980017116</v>
      </c>
      <c r="AD17" s="942">
        <f t="shared" si="15"/>
        <v>1048778.7896114832</v>
      </c>
      <c r="AE17" s="942">
        <f t="shared" si="15"/>
        <v>1043245.9677611254</v>
      </c>
      <c r="AF17" s="942">
        <f t="shared" si="15"/>
        <v>1038379.8734587535</v>
      </c>
      <c r="AG17" s="942">
        <f t="shared" si="15"/>
        <v>1034574.8563366034</v>
      </c>
      <c r="AH17" s="942">
        <f t="shared" si="15"/>
        <v>1031990.7862373231</v>
      </c>
    </row>
    <row r="18" spans="1:44" ht="18" customHeight="1" x14ac:dyDescent="0.3">
      <c r="B18" s="984" t="s">
        <v>287</v>
      </c>
      <c r="C18" s="980">
        <v>181023</v>
      </c>
      <c r="D18" s="980">
        <v>367826</v>
      </c>
      <c r="E18" s="980">
        <v>300857</v>
      </c>
      <c r="F18" s="980">
        <v>295907</v>
      </c>
      <c r="G18" s="980">
        <v>300423</v>
      </c>
      <c r="H18" s="980">
        <v>245878</v>
      </c>
      <c r="I18" s="980">
        <v>209156</v>
      </c>
      <c r="J18" s="980">
        <v>234230.088327</v>
      </c>
      <c r="K18" s="980">
        <v>236666.18989928643</v>
      </c>
      <c r="L18" s="980">
        <f t="shared" ref="L18:Q18" si="16">K18*(1+AC18)</f>
        <v>243860.95185595908</v>
      </c>
      <c r="M18" s="980">
        <f t="shared" si="16"/>
        <v>249648.69823455132</v>
      </c>
      <c r="N18" s="980">
        <f t="shared" si="16"/>
        <v>254741.64748454286</v>
      </c>
      <c r="O18" s="980">
        <f t="shared" si="16"/>
        <v>259429.01196676138</v>
      </c>
      <c r="P18" s="980">
        <f t="shared" si="16"/>
        <v>263856.72078051895</v>
      </c>
      <c r="Q18" s="980">
        <f t="shared" si="16"/>
        <v>268108.70576357626</v>
      </c>
      <c r="R18" s="975"/>
      <c r="S18" s="982" t="s">
        <v>8994</v>
      </c>
      <c r="U18" s="942" t="s">
        <v>602</v>
      </c>
      <c r="V18" s="938">
        <f t="shared" ref="V18:AB18" si="17">(E18-D18)/D18</f>
        <v>-0.18206706431845493</v>
      </c>
      <c r="W18" s="991">
        <f t="shared" si="17"/>
        <v>-1.6452999265431749E-2</v>
      </c>
      <c r="X18" s="991">
        <f t="shared" si="17"/>
        <v>1.5261551771333561E-2</v>
      </c>
      <c r="Y18" s="991">
        <f t="shared" si="17"/>
        <v>-0.181560666127427</v>
      </c>
      <c r="Z18" s="991">
        <f t="shared" si="17"/>
        <v>-0.14935049089385793</v>
      </c>
      <c r="AA18" s="991">
        <f t="shared" si="17"/>
        <v>0.11988223300789844</v>
      </c>
      <c r="AB18" s="991">
        <f t="shared" si="17"/>
        <v>1.0400463875868387E-2</v>
      </c>
      <c r="AC18" s="991">
        <f t="shared" ref="AC18:AH18" si="18">$AB$18+2%*(2/(AC3-$AA$3))</f>
        <v>3.0400463875868387E-2</v>
      </c>
      <c r="AD18" s="991">
        <f t="shared" si="18"/>
        <v>2.3733797209201719E-2</v>
      </c>
      <c r="AE18" s="991">
        <f t="shared" si="18"/>
        <v>2.0400463875868385E-2</v>
      </c>
      <c r="AF18" s="991">
        <f t="shared" si="18"/>
        <v>1.8400463875868387E-2</v>
      </c>
      <c r="AG18" s="991">
        <f t="shared" si="18"/>
        <v>1.7067130542535051E-2</v>
      </c>
      <c r="AH18" s="991">
        <f t="shared" si="18"/>
        <v>1.61147495901541E-2</v>
      </c>
    </row>
    <row r="19" spans="1:44" ht="18" customHeight="1" x14ac:dyDescent="0.3">
      <c r="B19" s="969" t="s">
        <v>603</v>
      </c>
      <c r="C19" s="969"/>
      <c r="D19" s="969"/>
      <c r="E19" s="969">
        <f t="shared" ref="E19:Q19" si="19">E18/E5</f>
        <v>6.6875028617539037E-2</v>
      </c>
      <c r="F19" s="969">
        <f t="shared" si="19"/>
        <v>6.4564917332340155E-2</v>
      </c>
      <c r="G19" s="969">
        <f>G18/G5</f>
        <v>6.4672305736312302E-2</v>
      </c>
      <c r="H19" s="969">
        <f t="shared" si="19"/>
        <v>5.8633858605233236E-2</v>
      </c>
      <c r="I19" s="969">
        <f t="shared" si="19"/>
        <v>5.1625939441889181E-2</v>
      </c>
      <c r="J19" s="969">
        <f t="shared" si="19"/>
        <v>6.1881203123588691E-2</v>
      </c>
      <c r="K19" s="969">
        <f t="shared" si="19"/>
        <v>6.2815603764520458E-2</v>
      </c>
      <c r="L19" s="969">
        <f t="shared" si="19"/>
        <v>6.5352340587637892E-2</v>
      </c>
      <c r="M19" s="969">
        <f t="shared" si="19"/>
        <v>6.7548206980138775E-2</v>
      </c>
      <c r="N19" s="969">
        <f t="shared" si="19"/>
        <v>6.9587011769129806E-2</v>
      </c>
      <c r="O19" s="969">
        <f t="shared" si="19"/>
        <v>7.1467477553376665E-2</v>
      </c>
      <c r="P19" s="969">
        <f t="shared" si="19"/>
        <v>7.3169841944849948E-2</v>
      </c>
      <c r="Q19" s="969">
        <f t="shared" si="19"/>
        <v>7.4684729334295763E-2</v>
      </c>
      <c r="R19" s="809"/>
      <c r="S19" s="970"/>
      <c r="U19" s="942"/>
      <c r="V19" s="942"/>
      <c r="W19" s="942"/>
      <c r="X19" s="942"/>
      <c r="Y19" s="942"/>
      <c r="Z19" s="942"/>
      <c r="AA19" s="942"/>
      <c r="AB19" s="942"/>
      <c r="AC19" s="942"/>
      <c r="AD19" s="942"/>
      <c r="AE19" s="942"/>
      <c r="AF19" s="942"/>
      <c r="AG19" s="942"/>
      <c r="AH19" s="942"/>
    </row>
    <row r="20" spans="1:44" ht="18" customHeight="1" x14ac:dyDescent="0.3">
      <c r="B20" s="984" t="s">
        <v>288</v>
      </c>
      <c r="C20" s="980">
        <v>892490.65592200006</v>
      </c>
      <c r="D20" s="980">
        <v>826773.57455500006</v>
      </c>
      <c r="E20" s="980">
        <v>905859</v>
      </c>
      <c r="F20" s="980">
        <v>931158</v>
      </c>
      <c r="G20" s="980">
        <v>938892</v>
      </c>
      <c r="H20" s="980">
        <v>885187</v>
      </c>
      <c r="I20" s="980">
        <v>842925</v>
      </c>
      <c r="J20" s="980">
        <v>814880.0993789999</v>
      </c>
      <c r="K20" s="980">
        <f t="shared" ref="K20:Q20" si="20">AB17-K18</f>
        <v>823355.23041575518</v>
      </c>
      <c r="L20" s="980">
        <f t="shared" si="20"/>
        <v>810509.44614575244</v>
      </c>
      <c r="M20" s="980">
        <f t="shared" si="20"/>
        <v>799130.09137693187</v>
      </c>
      <c r="N20" s="980">
        <f t="shared" si="20"/>
        <v>788504.32027658261</v>
      </c>
      <c r="O20" s="980">
        <f t="shared" si="20"/>
        <v>778950.86149199214</v>
      </c>
      <c r="P20" s="980">
        <f t="shared" si="20"/>
        <v>770718.13555608445</v>
      </c>
      <c r="Q20" s="980">
        <f t="shared" si="20"/>
        <v>763882.08047374687</v>
      </c>
      <c r="R20" s="975"/>
      <c r="S20" s="982"/>
      <c r="U20" s="942" t="s">
        <v>604</v>
      </c>
      <c r="V20" s="938">
        <f>(E20-D20)/D20</f>
        <v>9.5655482805635905E-2</v>
      </c>
      <c r="W20" s="938">
        <f t="shared" ref="W20:AD20" si="21">(F20-E20)/E20</f>
        <v>2.7928187499379042E-2</v>
      </c>
      <c r="X20" s="938">
        <f t="shared" si="21"/>
        <v>8.3057869878151724E-3</v>
      </c>
      <c r="Y20" s="938">
        <f t="shared" si="21"/>
        <v>-5.7200402176182136E-2</v>
      </c>
      <c r="Z20" s="938">
        <f t="shared" si="21"/>
        <v>-4.7743584124032547E-2</v>
      </c>
      <c r="AA20" s="938">
        <f t="shared" si="21"/>
        <v>-3.3270932314262945E-2</v>
      </c>
      <c r="AB20" s="938">
        <f t="shared" si="21"/>
        <v>1.0400463875868326E-2</v>
      </c>
      <c r="AC20" s="938">
        <f t="shared" si="21"/>
        <v>-1.5601752190869341E-2</v>
      </c>
      <c r="AD20" s="938">
        <f t="shared" si="21"/>
        <v>-1.4039755888019896E-2</v>
      </c>
      <c r="AE20" s="938">
        <f>(N20-M20)/M20</f>
        <v>-1.329667248800586E-2</v>
      </c>
      <c r="AF20" s="938">
        <f>(O20-N20)/N20</f>
        <v>-1.2115924464737773E-2</v>
      </c>
      <c r="AG20" s="938">
        <f>(P20-O20)/O20</f>
        <v>-1.0568992657815194E-2</v>
      </c>
      <c r="AH20" s="938">
        <f>(Q20-P20)/P20</f>
        <v>-8.8697213247814228E-3</v>
      </c>
    </row>
    <row r="21" spans="1:44" ht="18" customHeight="1" x14ac:dyDescent="0.3">
      <c r="B21" s="969" t="s">
        <v>605</v>
      </c>
      <c r="C21" s="969"/>
      <c r="D21" s="969"/>
      <c r="E21" s="969">
        <f t="shared" ref="E21:Q21" si="22">1-E19</f>
        <v>0.93312497138246098</v>
      </c>
      <c r="F21" s="969">
        <f t="shared" si="22"/>
        <v>0.93543508266765985</v>
      </c>
      <c r="G21" s="969">
        <f t="shared" si="22"/>
        <v>0.93532769426368767</v>
      </c>
      <c r="H21" s="969">
        <f t="shared" si="22"/>
        <v>0.94136614139476671</v>
      </c>
      <c r="I21" s="969">
        <f t="shared" si="22"/>
        <v>0.9483740605581108</v>
      </c>
      <c r="J21" s="969">
        <f t="shared" si="22"/>
        <v>0.93811879687641131</v>
      </c>
      <c r="K21" s="969">
        <f t="shared" si="22"/>
        <v>0.93718439623547956</v>
      </c>
      <c r="L21" s="969">
        <f t="shared" si="22"/>
        <v>0.93464765941236205</v>
      </c>
      <c r="M21" s="969">
        <f t="shared" si="22"/>
        <v>0.93245179301986125</v>
      </c>
      <c r="N21" s="969">
        <f t="shared" si="22"/>
        <v>0.93041298823087015</v>
      </c>
      <c r="O21" s="969">
        <f t="shared" si="22"/>
        <v>0.92853252244662332</v>
      </c>
      <c r="P21" s="969">
        <f t="shared" si="22"/>
        <v>0.92683015805515001</v>
      </c>
      <c r="Q21" s="969">
        <f t="shared" si="22"/>
        <v>0.92531527066570418</v>
      </c>
      <c r="R21" s="806"/>
      <c r="S21" s="970"/>
      <c r="U21" s="942"/>
      <c r="V21" s="942"/>
      <c r="W21" s="942"/>
      <c r="X21" s="942"/>
      <c r="Y21" s="942"/>
      <c r="Z21" s="942"/>
      <c r="AA21" s="942"/>
      <c r="AB21" s="942"/>
      <c r="AC21" s="942"/>
      <c r="AD21" s="942"/>
      <c r="AE21" s="942"/>
      <c r="AF21" s="942"/>
      <c r="AG21" s="942"/>
      <c r="AH21" s="942"/>
    </row>
    <row r="22" spans="1:44" ht="18" customHeight="1" x14ac:dyDescent="0.3">
      <c r="B22" s="969" t="s">
        <v>606</v>
      </c>
      <c r="C22" s="969"/>
      <c r="D22" s="969"/>
      <c r="E22" s="969">
        <f t="shared" ref="E22:Q22" si="23">E20/(E5-E18)</f>
        <v>0.21578668936214954</v>
      </c>
      <c r="F22" s="969">
        <f>F20/(F5-F18)</f>
        <v>0.21719563124586605</v>
      </c>
      <c r="G22" s="969">
        <f t="shared" si="23"/>
        <v>0.21609116519465502</v>
      </c>
      <c r="H22" s="969">
        <f t="shared" si="23"/>
        <v>0.22423595829450266</v>
      </c>
      <c r="I22" s="969">
        <f t="shared" si="23"/>
        <v>0.21938498865040368</v>
      </c>
      <c r="J22" s="969">
        <f t="shared" si="23"/>
        <v>0.22948375131674517</v>
      </c>
      <c r="K22" s="969">
        <f t="shared" si="23"/>
        <v>0.2331811924660023</v>
      </c>
      <c r="L22" s="969">
        <f t="shared" si="23"/>
        <v>0.23239620926404508</v>
      </c>
      <c r="M22" s="969">
        <f t="shared" si="23"/>
        <v>0.23188658014427416</v>
      </c>
      <c r="N22" s="969">
        <f t="shared" si="23"/>
        <v>0.23150295927518824</v>
      </c>
      <c r="O22" s="969">
        <f t="shared" si="23"/>
        <v>0.23110154795708129</v>
      </c>
      <c r="P22" s="969">
        <f t="shared" si="23"/>
        <v>0.23060003971043377</v>
      </c>
      <c r="Q22" s="969">
        <f t="shared" si="23"/>
        <v>0.22996274707835093</v>
      </c>
      <c r="R22" s="806"/>
      <c r="S22" s="1001"/>
      <c r="U22" s="942"/>
      <c r="V22" s="942"/>
      <c r="W22" s="942"/>
      <c r="X22" s="942"/>
      <c r="Y22" s="942"/>
      <c r="Z22" s="942"/>
      <c r="AA22" s="942"/>
      <c r="AB22" s="942"/>
      <c r="AC22" s="942"/>
      <c r="AD22" s="942"/>
      <c r="AE22" s="942"/>
      <c r="AF22" s="942"/>
      <c r="AG22" s="942"/>
      <c r="AH22" s="942"/>
    </row>
    <row r="23" spans="1:44" ht="18" hidden="1" customHeight="1" outlineLevel="1" x14ac:dyDescent="0.3">
      <c r="A23" s="800"/>
      <c r="B23" s="972"/>
      <c r="C23" s="992"/>
      <c r="D23" s="992"/>
      <c r="E23" s="992"/>
      <c r="F23" s="992"/>
      <c r="G23" s="992"/>
      <c r="H23" s="992"/>
      <c r="I23" s="992"/>
      <c r="J23" s="992"/>
      <c r="K23" s="992"/>
      <c r="L23" s="992"/>
      <c r="M23" s="992"/>
      <c r="N23" s="992"/>
      <c r="O23" s="992"/>
      <c r="P23" s="992"/>
      <c r="Q23" s="992"/>
      <c r="R23" s="975"/>
      <c r="S23" s="974"/>
      <c r="U23" s="942"/>
      <c r="V23" s="942"/>
      <c r="W23" s="942"/>
      <c r="X23" s="942"/>
      <c r="Y23" s="942"/>
      <c r="Z23" s="942"/>
      <c r="AA23" s="942"/>
      <c r="AB23" s="942"/>
      <c r="AC23" s="942"/>
      <c r="AD23" s="942"/>
      <c r="AE23" s="942"/>
      <c r="AF23" s="942"/>
      <c r="AG23" s="942"/>
      <c r="AH23" s="942"/>
      <c r="AK23" s="798" t="s">
        <v>8910</v>
      </c>
    </row>
    <row r="24" spans="1:44" ht="18" hidden="1" customHeight="1" outlineLevel="1" collapsed="1" x14ac:dyDescent="0.3">
      <c r="A24" s="800"/>
      <c r="B24" s="984" t="s">
        <v>878</v>
      </c>
      <c r="C24" s="980"/>
      <c r="D24" s="980">
        <f>SUM(D25:D29)</f>
        <v>1194599.5750000002</v>
      </c>
      <c r="E24" s="980">
        <f>SUM(E25:E29)</f>
        <v>1206717</v>
      </c>
      <c r="F24" s="980">
        <f>SUM(F25:F29)</f>
        <v>1227065</v>
      </c>
      <c r="G24" s="980">
        <f t="shared" ref="G24:Q24" si="24">SUM(G25:G29)</f>
        <v>1239314</v>
      </c>
      <c r="H24" s="980">
        <f t="shared" si="24"/>
        <v>1131065.3932139999</v>
      </c>
      <c r="I24" s="980">
        <f t="shared" si="24"/>
        <v>1052079.3435570002</v>
      </c>
      <c r="J24" s="980">
        <f t="shared" si="24"/>
        <v>1049110.1877059999</v>
      </c>
      <c r="K24" s="980">
        <f t="shared" si="24"/>
        <v>1060021.4203150417</v>
      </c>
      <c r="L24" s="980">
        <f t="shared" si="24"/>
        <v>1054370.3980017116</v>
      </c>
      <c r="M24" s="980">
        <f t="shared" si="24"/>
        <v>1048778.789611483</v>
      </c>
      <c r="N24" s="980">
        <f t="shared" si="24"/>
        <v>1043245.9677611254</v>
      </c>
      <c r="O24" s="980">
        <f t="shared" si="24"/>
        <v>1038379.8734587536</v>
      </c>
      <c r="P24" s="980">
        <f t="shared" si="24"/>
        <v>1034574.8563366034</v>
      </c>
      <c r="Q24" s="980">
        <f t="shared" si="24"/>
        <v>1031990.7862373232</v>
      </c>
      <c r="R24" s="975"/>
      <c r="S24" s="982"/>
      <c r="U24" s="942" t="s">
        <v>607</v>
      </c>
      <c r="V24" s="938">
        <f>SUM(V25:V29)</f>
        <v>1.0000008286954014</v>
      </c>
      <c r="W24" s="938">
        <f t="shared" ref="W24:AH24" si="25">SUM(W25:W29)</f>
        <v>1</v>
      </c>
      <c r="X24" s="938">
        <f t="shared" si="25"/>
        <v>0.9999991931026414</v>
      </c>
      <c r="Y24" s="938">
        <f t="shared" si="25"/>
        <v>1.0000003476493393</v>
      </c>
      <c r="Z24" s="938">
        <f t="shared" si="25"/>
        <v>0.99999842555563689</v>
      </c>
      <c r="AA24" s="938">
        <f t="shared" si="25"/>
        <v>1</v>
      </c>
      <c r="AB24" s="938">
        <f t="shared" si="25"/>
        <v>0.99999999999999989</v>
      </c>
      <c r="AC24" s="938">
        <f t="shared" si="25"/>
        <v>0.99999999999999989</v>
      </c>
      <c r="AD24" s="938">
        <f t="shared" si="25"/>
        <v>1</v>
      </c>
      <c r="AE24" s="938">
        <f t="shared" si="25"/>
        <v>0.99999999999999989</v>
      </c>
      <c r="AF24" s="938">
        <f t="shared" si="25"/>
        <v>1</v>
      </c>
      <c r="AG24" s="938">
        <f t="shared" si="25"/>
        <v>0.99999999999999989</v>
      </c>
      <c r="AH24" s="938">
        <f t="shared" si="25"/>
        <v>1</v>
      </c>
      <c r="AK24" s="819">
        <f t="shared" ref="AK24:AR24" si="26">SUM(AK25:AK29)</f>
        <v>1</v>
      </c>
      <c r="AL24" s="819">
        <f t="shared" si="26"/>
        <v>1.0000000000000002</v>
      </c>
      <c r="AM24" s="819">
        <f t="shared" si="26"/>
        <v>0.99999999999999989</v>
      </c>
      <c r="AN24" s="819">
        <f t="shared" si="26"/>
        <v>1</v>
      </c>
      <c r="AO24" s="819">
        <f t="shared" si="26"/>
        <v>1</v>
      </c>
      <c r="AP24" s="819">
        <f t="shared" si="26"/>
        <v>1</v>
      </c>
      <c r="AQ24" s="819">
        <f t="shared" si="26"/>
        <v>0.99999999999999989</v>
      </c>
      <c r="AR24" s="819">
        <f t="shared" si="26"/>
        <v>1.0000000000000002</v>
      </c>
    </row>
    <row r="25" spans="1:44" ht="18" hidden="1" customHeight="1" outlineLevel="1" x14ac:dyDescent="0.3">
      <c r="A25" s="800"/>
      <c r="B25" s="985" t="s">
        <v>608</v>
      </c>
      <c r="C25" s="965"/>
      <c r="D25" s="965">
        <f>D31+D37</f>
        <v>460225.58891200006</v>
      </c>
      <c r="E25" s="965">
        <v>403781</v>
      </c>
      <c r="F25" s="965">
        <v>389525</v>
      </c>
      <c r="G25" s="965">
        <v>370501</v>
      </c>
      <c r="H25" s="965">
        <v>332576.15932668728</v>
      </c>
      <c r="I25" s="965">
        <v>281079.64373615768</v>
      </c>
      <c r="J25" s="965">
        <v>301170.92059300002</v>
      </c>
      <c r="K25" s="965">
        <v>290766.95695491973</v>
      </c>
      <c r="L25" s="965">
        <f t="shared" ref="L25:Q28" si="27">L$16*AC25</f>
        <v>288162.49470948818</v>
      </c>
      <c r="M25" s="965">
        <f t="shared" si="27"/>
        <v>285585.51309265342</v>
      </c>
      <c r="N25" s="965">
        <f t="shared" si="27"/>
        <v>283035.66365175188</v>
      </c>
      <c r="O25" s="965">
        <f t="shared" si="27"/>
        <v>280677.09824887331</v>
      </c>
      <c r="P25" s="965">
        <f t="shared" si="27"/>
        <v>278614.01620366465</v>
      </c>
      <c r="Q25" s="965">
        <f t="shared" si="27"/>
        <v>276886.12782809132</v>
      </c>
      <c r="R25" s="975"/>
      <c r="S25" s="974"/>
      <c r="U25" s="942"/>
      <c r="V25" s="938">
        <f t="shared" ref="V25:AH29" si="28">E25/E$16</f>
        <v>0.33461145787409796</v>
      </c>
      <c r="W25" s="938">
        <f t="shared" si="28"/>
        <v>0.3174444711567847</v>
      </c>
      <c r="X25" s="938">
        <f t="shared" si="28"/>
        <v>0.29895627826662308</v>
      </c>
      <c r="Y25" s="938">
        <f t="shared" si="28"/>
        <v>0.29403806087774553</v>
      </c>
      <c r="Z25" s="938">
        <f t="shared" si="28"/>
        <v>0.26716540241308195</v>
      </c>
      <c r="AA25" s="938">
        <f t="shared" si="28"/>
        <v>0.28707272517441174</v>
      </c>
      <c r="AB25" s="938">
        <f>K25/K$16</f>
        <v>0.27430290688701636</v>
      </c>
      <c r="AC25" s="990">
        <f t="shared" ref="AC25:AH25" si="29">AB25-0.1%</f>
        <v>0.27330290688701636</v>
      </c>
      <c r="AD25" s="990">
        <f t="shared" si="29"/>
        <v>0.27230290688701636</v>
      </c>
      <c r="AE25" s="990">
        <f t="shared" si="29"/>
        <v>0.27130290688701636</v>
      </c>
      <c r="AF25" s="990">
        <f t="shared" si="29"/>
        <v>0.27030290688701636</v>
      </c>
      <c r="AG25" s="990">
        <f t="shared" si="29"/>
        <v>0.26930290688701636</v>
      </c>
      <c r="AH25" s="990">
        <f t="shared" si="29"/>
        <v>0.26830290688701636</v>
      </c>
      <c r="AK25" s="821">
        <f t="shared" ref="AK25:AR25" si="30">J7/J$5</f>
        <v>0.25003449160598179</v>
      </c>
      <c r="AL25" s="821">
        <f t="shared" si="30"/>
        <v>0.24909904619223455</v>
      </c>
      <c r="AM25" s="821">
        <f t="shared" si="30"/>
        <v>0.23938962670728847</v>
      </c>
      <c r="AN25" s="821">
        <f t="shared" si="30"/>
        <v>0.23108249965705721</v>
      </c>
      <c r="AO25" s="821">
        <f t="shared" si="30"/>
        <v>0.22396489199833569</v>
      </c>
      <c r="AP25" s="821">
        <f t="shared" si="30"/>
        <v>0.2176319686041292</v>
      </c>
      <c r="AQ25" s="821">
        <f t="shared" si="30"/>
        <v>0.21180839004789243</v>
      </c>
      <c r="AR25" s="821">
        <f t="shared" si="30"/>
        <v>0.20633773842257627</v>
      </c>
    </row>
    <row r="26" spans="1:44" ht="18" hidden="1" customHeight="1" outlineLevel="1" x14ac:dyDescent="0.3">
      <c r="A26" s="800"/>
      <c r="B26" s="985" t="s">
        <v>609</v>
      </c>
      <c r="C26" s="965"/>
      <c r="D26" s="965">
        <f>D32+D38</f>
        <v>62184.228087999996</v>
      </c>
      <c r="E26" s="965">
        <v>69983</v>
      </c>
      <c r="F26" s="965">
        <v>77570</v>
      </c>
      <c r="G26" s="965">
        <v>103192</v>
      </c>
      <c r="H26" s="965">
        <v>103879.74898600001</v>
      </c>
      <c r="I26" s="965">
        <v>106312.13381299999</v>
      </c>
      <c r="J26" s="965">
        <v>117051.217183</v>
      </c>
      <c r="K26" s="965">
        <v>119360.11779156665</v>
      </c>
      <c r="L26" s="965">
        <f t="shared" si="27"/>
        <v>115558.01348540204</v>
      </c>
      <c r="M26" s="965">
        <f t="shared" si="27"/>
        <v>113981.27076115971</v>
      </c>
      <c r="N26" s="965">
        <f t="shared" si="27"/>
        <v>113538.15760499479</v>
      </c>
      <c r="O26" s="965">
        <f t="shared" si="27"/>
        <v>113533.22300941744</v>
      </c>
      <c r="P26" s="965">
        <f t="shared" si="27"/>
        <v>113516.31604184191</v>
      </c>
      <c r="Q26" s="965">
        <f t="shared" si="27"/>
        <v>113470.10448299751</v>
      </c>
      <c r="R26" s="975"/>
      <c r="S26" s="974"/>
      <c r="U26" s="942"/>
      <c r="V26" s="938">
        <f t="shared" si="28"/>
        <v>5.7994590276419636E-2</v>
      </c>
      <c r="W26" s="938">
        <f t="shared" si="28"/>
        <v>6.3215885059063698E-2</v>
      </c>
      <c r="X26" s="938">
        <f t="shared" si="28"/>
        <v>8.3265352230869477E-2</v>
      </c>
      <c r="Y26" s="938">
        <f t="shared" si="28"/>
        <v>9.1842421952761336E-2</v>
      </c>
      <c r="Z26" s="938">
        <f t="shared" si="28"/>
        <v>0.10104938100108261</v>
      </c>
      <c r="AA26" s="938">
        <f t="shared" si="28"/>
        <v>0.11157190022045821</v>
      </c>
      <c r="AB26" s="938">
        <f>K26/K$16</f>
        <v>0.11260160927322813</v>
      </c>
      <c r="AC26" s="990">
        <f t="shared" ref="AC26:AH26" si="31">AM26+1.8%</f>
        <v>0.10959906850990182</v>
      </c>
      <c r="AD26" s="990">
        <f t="shared" si="31"/>
        <v>0.1086799922826278</v>
      </c>
      <c r="AE26" s="990">
        <f t="shared" si="31"/>
        <v>0.10883162850718241</v>
      </c>
      <c r="AF26" s="990">
        <f t="shared" si="31"/>
        <v>0.10933688711747475</v>
      </c>
      <c r="AG26" s="990">
        <f t="shared" si="31"/>
        <v>0.10972267047335711</v>
      </c>
      <c r="AH26" s="990">
        <f t="shared" si="31"/>
        <v>0.10995263329502557</v>
      </c>
      <c r="AK26" s="821">
        <f t="shared" ref="AK26:AR26" si="32">J9/J$5</f>
        <v>0.10157841391133897</v>
      </c>
      <c r="AL26" s="821">
        <f t="shared" si="32"/>
        <v>9.5294217104347087E-2</v>
      </c>
      <c r="AM26" s="821">
        <f t="shared" si="32"/>
        <v>9.1599068509901821E-2</v>
      </c>
      <c r="AN26" s="821">
        <f t="shared" si="32"/>
        <v>9.0679992282627797E-2</v>
      </c>
      <c r="AO26" s="821">
        <f t="shared" si="32"/>
        <v>9.0831628507182405E-2</v>
      </c>
      <c r="AP26" s="821">
        <f t="shared" si="32"/>
        <v>9.1336887117474744E-2</v>
      </c>
      <c r="AQ26" s="821">
        <f t="shared" si="32"/>
        <v>9.172267047335711E-2</v>
      </c>
      <c r="AR26" s="821">
        <f t="shared" si="32"/>
        <v>9.1952633295025565E-2</v>
      </c>
    </row>
    <row r="27" spans="1:44" ht="18" hidden="1" customHeight="1" outlineLevel="1" x14ac:dyDescent="0.3">
      <c r="A27" s="800"/>
      <c r="B27" s="985" t="s">
        <v>610</v>
      </c>
      <c r="C27" s="965"/>
      <c r="D27" s="965">
        <f>D33+D39</f>
        <v>619019.20299999998</v>
      </c>
      <c r="E27" s="965">
        <v>688859</v>
      </c>
      <c r="F27" s="965">
        <v>723367</v>
      </c>
      <c r="G27" s="965">
        <v>732689</v>
      </c>
      <c r="H27" s="965">
        <v>675496.45537428884</v>
      </c>
      <c r="I27" s="965">
        <v>648115.4544552014</v>
      </c>
      <c r="J27" s="965">
        <v>611356.64616600005</v>
      </c>
      <c r="K27" s="965">
        <v>623450.72830420558</v>
      </c>
      <c r="L27" s="965">
        <f t="shared" si="27"/>
        <v>629155.51429314702</v>
      </c>
      <c r="M27" s="965">
        <f t="shared" si="27"/>
        <v>630491.07323215413</v>
      </c>
      <c r="N27" s="965">
        <f t="shared" si="27"/>
        <v>629598.38376601005</v>
      </c>
      <c r="O27" s="965">
        <f t="shared" si="27"/>
        <v>628112.57645211008</v>
      </c>
      <c r="P27" s="965">
        <f t="shared" si="27"/>
        <v>627031.5390223104</v>
      </c>
      <c r="Q27" s="965">
        <f t="shared" si="27"/>
        <v>626636.48212045245</v>
      </c>
      <c r="R27" s="975"/>
      <c r="S27" s="974"/>
      <c r="U27" s="942"/>
      <c r="V27" s="938">
        <f t="shared" si="28"/>
        <v>0.57085428551539885</v>
      </c>
      <c r="W27" s="938">
        <f t="shared" si="28"/>
        <v>0.58950992816191483</v>
      </c>
      <c r="X27" s="938">
        <f t="shared" si="28"/>
        <v>0.59120481879102571</v>
      </c>
      <c r="Y27" s="938">
        <f t="shared" si="28"/>
        <v>0.59722160563211557</v>
      </c>
      <c r="Z27" s="938">
        <f t="shared" si="28"/>
        <v>0.61603189721628027</v>
      </c>
      <c r="AA27" s="938">
        <f t="shared" si="28"/>
        <v>0.58273826079489477</v>
      </c>
      <c r="AB27" s="938">
        <f t="shared" si="28"/>
        <v>0.58814917921084475</v>
      </c>
      <c r="AC27" s="990">
        <f t="shared" ref="AC27:AH27" si="33">1-AC29-AC28-AC26-AC25</f>
        <v>0.59671204302164571</v>
      </c>
      <c r="AD27" s="990">
        <f t="shared" si="33"/>
        <v>0.60116688044932487</v>
      </c>
      <c r="AE27" s="990">
        <f t="shared" si="33"/>
        <v>0.60349946534389165</v>
      </c>
      <c r="AF27" s="990">
        <f t="shared" si="33"/>
        <v>0.60489671699810721</v>
      </c>
      <c r="AG27" s="990">
        <f t="shared" si="33"/>
        <v>0.60607653006628159</v>
      </c>
      <c r="AH27" s="990">
        <f t="shared" si="33"/>
        <v>0.60721131474941981</v>
      </c>
      <c r="AK27" s="821">
        <f t="shared" ref="AK27:AR27" si="34">J11/J$5</f>
        <v>0.63901271296371975</v>
      </c>
      <c r="AL27" s="821">
        <f t="shared" si="34"/>
        <v>0.64858810939173994</v>
      </c>
      <c r="AM27" s="821">
        <f t="shared" si="34"/>
        <v>0.66325102320186202</v>
      </c>
      <c r="AN27" s="821">
        <f t="shared" si="34"/>
        <v>0.67317212845274088</v>
      </c>
      <c r="AO27" s="821">
        <f t="shared" si="34"/>
        <v>0.68053949093842814</v>
      </c>
      <c r="AP27" s="821">
        <f t="shared" si="34"/>
        <v>0.68660777024952102</v>
      </c>
      <c r="AQ27" s="821">
        <f t="shared" si="34"/>
        <v>0.6921947800863143</v>
      </c>
      <c r="AR27" s="821">
        <f t="shared" si="34"/>
        <v>0.6975317447997974</v>
      </c>
    </row>
    <row r="28" spans="1:44" ht="18" hidden="1" customHeight="1" outlineLevel="1" x14ac:dyDescent="0.3">
      <c r="A28" s="800"/>
      <c r="B28" s="985" t="s">
        <v>611</v>
      </c>
      <c r="C28" s="965"/>
      <c r="D28" s="965">
        <f>D34+D40</f>
        <v>9057.4449999999997</v>
      </c>
      <c r="E28" s="965">
        <v>0</v>
      </c>
      <c r="F28" s="965">
        <v>0</v>
      </c>
      <c r="G28" s="965">
        <v>0</v>
      </c>
      <c r="H28" s="965">
        <v>0</v>
      </c>
      <c r="I28" s="965">
        <v>0</v>
      </c>
      <c r="J28" s="965">
        <v>0</v>
      </c>
      <c r="K28" s="965">
        <v>0</v>
      </c>
      <c r="L28" s="965">
        <f t="shared" si="27"/>
        <v>0</v>
      </c>
      <c r="M28" s="965">
        <f t="shared" si="27"/>
        <v>0</v>
      </c>
      <c r="N28" s="965">
        <f t="shared" si="27"/>
        <v>0</v>
      </c>
      <c r="O28" s="965">
        <f t="shared" si="27"/>
        <v>0</v>
      </c>
      <c r="P28" s="965">
        <f t="shared" si="27"/>
        <v>0</v>
      </c>
      <c r="Q28" s="965">
        <f t="shared" si="27"/>
        <v>0</v>
      </c>
      <c r="R28" s="975"/>
      <c r="S28" s="974"/>
      <c r="U28" s="942"/>
      <c r="V28" s="938">
        <f t="shared" si="28"/>
        <v>0</v>
      </c>
      <c r="W28" s="938">
        <f t="shared" si="28"/>
        <v>0</v>
      </c>
      <c r="X28" s="938">
        <f t="shared" si="28"/>
        <v>0</v>
      </c>
      <c r="Y28" s="938">
        <f t="shared" si="28"/>
        <v>0</v>
      </c>
      <c r="Z28" s="938">
        <f t="shared" si="28"/>
        <v>0</v>
      </c>
      <c r="AA28" s="938">
        <f t="shared" si="28"/>
        <v>0</v>
      </c>
      <c r="AB28" s="938">
        <f t="shared" si="28"/>
        <v>0</v>
      </c>
      <c r="AC28" s="990">
        <v>0</v>
      </c>
      <c r="AD28" s="990">
        <v>0</v>
      </c>
      <c r="AE28" s="990">
        <v>0</v>
      </c>
      <c r="AF28" s="990">
        <v>0</v>
      </c>
      <c r="AG28" s="990">
        <v>0</v>
      </c>
      <c r="AH28" s="990">
        <v>0</v>
      </c>
      <c r="AK28" s="821">
        <f t="shared" ref="AK28:AR29" si="35">J13/J$5</f>
        <v>0</v>
      </c>
      <c r="AL28" s="821">
        <f t="shared" si="35"/>
        <v>0</v>
      </c>
      <c r="AM28" s="821">
        <f t="shared" si="35"/>
        <v>0</v>
      </c>
      <c r="AN28" s="821">
        <f t="shared" si="35"/>
        <v>0</v>
      </c>
      <c r="AO28" s="821">
        <f t="shared" si="35"/>
        <v>0</v>
      </c>
      <c r="AP28" s="821">
        <f t="shared" si="35"/>
        <v>0</v>
      </c>
      <c r="AQ28" s="821">
        <f t="shared" si="35"/>
        <v>0</v>
      </c>
      <c r="AR28" s="821">
        <f t="shared" si="35"/>
        <v>0</v>
      </c>
    </row>
    <row r="29" spans="1:44" ht="18" hidden="1" customHeight="1" outlineLevel="1" x14ac:dyDescent="0.3">
      <c r="A29" s="800"/>
      <c r="B29" s="985" t="s">
        <v>612</v>
      </c>
      <c r="C29" s="965"/>
      <c r="D29" s="965">
        <f>D35+D41</f>
        <v>44113.11</v>
      </c>
      <c r="E29" s="965">
        <v>44094</v>
      </c>
      <c r="F29" s="965">
        <v>36603</v>
      </c>
      <c r="G29" s="965">
        <v>32932</v>
      </c>
      <c r="H29" s="965">
        <v>19113.029527023864</v>
      </c>
      <c r="I29" s="965">
        <v>16572.11155264093</v>
      </c>
      <c r="J29" s="965">
        <v>19531.403763999999</v>
      </c>
      <c r="K29" s="965">
        <v>26443.617264349603</v>
      </c>
      <c r="L29" s="965">
        <f t="shared" ref="L29:Q29" si="36">L14</f>
        <v>21494.375513674258</v>
      </c>
      <c r="M29" s="965">
        <f t="shared" si="36"/>
        <v>18720.932525515789</v>
      </c>
      <c r="N29" s="965">
        <f t="shared" si="36"/>
        <v>17073.762738368674</v>
      </c>
      <c r="O29" s="965">
        <f t="shared" si="36"/>
        <v>16056.975748352736</v>
      </c>
      <c r="P29" s="965">
        <f t="shared" si="36"/>
        <v>15412.985068786433</v>
      </c>
      <c r="Q29" s="965">
        <f t="shared" si="36"/>
        <v>14998.071805781912</v>
      </c>
      <c r="R29" s="975"/>
      <c r="S29" s="974"/>
      <c r="U29" s="942"/>
      <c r="V29" s="938">
        <f t="shared" si="28"/>
        <v>3.6540495029484983E-2</v>
      </c>
      <c r="W29" s="938">
        <f t="shared" si="28"/>
        <v>2.98297156222368E-2</v>
      </c>
      <c r="X29" s="938">
        <f t="shared" si="28"/>
        <v>2.6572743814123126E-2</v>
      </c>
      <c r="Y29" s="938">
        <f t="shared" si="28"/>
        <v>1.6898259186716825E-2</v>
      </c>
      <c r="Z29" s="938">
        <f t="shared" si="28"/>
        <v>1.5751744925192004E-2</v>
      </c>
      <c r="AA29" s="938">
        <f t="shared" si="28"/>
        <v>1.8617113810235376E-2</v>
      </c>
      <c r="AB29" s="938">
        <f t="shared" si="28"/>
        <v>2.4946304628910686E-2</v>
      </c>
      <c r="AC29" s="938">
        <f t="shared" si="28"/>
        <v>2.0385981581436022E-2</v>
      </c>
      <c r="AD29" s="938">
        <f t="shared" si="28"/>
        <v>1.7850220381030873E-2</v>
      </c>
      <c r="AE29" s="938">
        <f t="shared" si="28"/>
        <v>1.6365999261909531E-2</v>
      </c>
      <c r="AF29" s="938">
        <f t="shared" si="28"/>
        <v>1.5463488997401633E-2</v>
      </c>
      <c r="AG29" s="938">
        <f t="shared" si="28"/>
        <v>1.4897892573344883E-2</v>
      </c>
      <c r="AH29" s="938">
        <f t="shared" si="28"/>
        <v>1.4533145068538296E-2</v>
      </c>
      <c r="AK29" s="821">
        <f t="shared" si="35"/>
        <v>9.3743815189595067E-3</v>
      </c>
      <c r="AL29" s="821">
        <f t="shared" si="35"/>
        <v>7.0186273116784785E-3</v>
      </c>
      <c r="AM29" s="821">
        <f t="shared" si="35"/>
        <v>5.7602815809475747E-3</v>
      </c>
      <c r="AN29" s="821">
        <f t="shared" si="35"/>
        <v>5.0653796075742453E-3</v>
      </c>
      <c r="AO29" s="821">
        <f t="shared" si="35"/>
        <v>4.6639885560537673E-3</v>
      </c>
      <c r="AP29" s="821">
        <f t="shared" si="35"/>
        <v>4.4233740288751495E-3</v>
      </c>
      <c r="AQ29" s="821">
        <f t="shared" si="35"/>
        <v>4.274159392436065E-3</v>
      </c>
      <c r="AR29" s="821">
        <f t="shared" si="35"/>
        <v>4.177883482600917E-3</v>
      </c>
    </row>
    <row r="30" spans="1:44" ht="18" hidden="1" customHeight="1" outlineLevel="1" x14ac:dyDescent="0.3">
      <c r="A30" s="800"/>
      <c r="B30" s="984" t="s">
        <v>613</v>
      </c>
      <c r="C30" s="980"/>
      <c r="D30" s="980">
        <f>SUM(D31:D35)</f>
        <v>367826.125</v>
      </c>
      <c r="E30" s="980">
        <f>SUM(E31:E35)</f>
        <v>300858</v>
      </c>
      <c r="F30" s="980">
        <f>SUM(F31:F35)</f>
        <v>295907</v>
      </c>
      <c r="G30" s="980">
        <f t="shared" ref="G30:Q30" si="37">SUM(G31:G35)</f>
        <v>300422</v>
      </c>
      <c r="H30" s="980">
        <f t="shared" si="37"/>
        <v>245877.63013599999</v>
      </c>
      <c r="I30" s="980">
        <f t="shared" si="37"/>
        <v>209155.60854900003</v>
      </c>
      <c r="J30" s="980">
        <f t="shared" si="37"/>
        <v>234230.08832699998</v>
      </c>
      <c r="K30" s="980">
        <f t="shared" si="37"/>
        <v>236666.18989928646</v>
      </c>
      <c r="L30" s="980">
        <f t="shared" si="37"/>
        <v>243860.95185595908</v>
      </c>
      <c r="M30" s="980">
        <f t="shared" si="37"/>
        <v>249648.69823455132</v>
      </c>
      <c r="N30" s="980">
        <f t="shared" si="37"/>
        <v>254741.64748454286</v>
      </c>
      <c r="O30" s="980">
        <f t="shared" si="37"/>
        <v>259429.01196676138</v>
      </c>
      <c r="P30" s="980">
        <f t="shared" si="37"/>
        <v>263856.72078051895</v>
      </c>
      <c r="Q30" s="980">
        <f t="shared" si="37"/>
        <v>268108.70576357626</v>
      </c>
      <c r="R30" s="975"/>
      <c r="S30" s="982"/>
      <c r="U30" s="942" t="s">
        <v>603</v>
      </c>
      <c r="V30" s="938">
        <f>SUM(V31:V35)</f>
        <v>1.0000033238382353</v>
      </c>
      <c r="W30" s="938">
        <f t="shared" ref="W30:AH30" si="38">SUM(W31:W35)</f>
        <v>0.99999999999999989</v>
      </c>
      <c r="X30" s="938">
        <f t="shared" si="38"/>
        <v>0.99999667136004899</v>
      </c>
      <c r="Y30" s="938">
        <f t="shared" si="38"/>
        <v>0.99999849574179056</v>
      </c>
      <c r="Z30" s="938">
        <f t="shared" si="38"/>
        <v>0.99999812842567282</v>
      </c>
      <c r="AA30" s="938">
        <f t="shared" si="38"/>
        <v>0.99999999999999989</v>
      </c>
      <c r="AB30" s="938">
        <f t="shared" si="38"/>
        <v>1</v>
      </c>
      <c r="AC30" s="938">
        <f t="shared" si="38"/>
        <v>1</v>
      </c>
      <c r="AD30" s="938">
        <f t="shared" si="38"/>
        <v>1</v>
      </c>
      <c r="AE30" s="938">
        <f t="shared" si="38"/>
        <v>1</v>
      </c>
      <c r="AF30" s="938">
        <f t="shared" si="38"/>
        <v>1</v>
      </c>
      <c r="AG30" s="938">
        <f t="shared" si="38"/>
        <v>1</v>
      </c>
      <c r="AH30" s="938">
        <f t="shared" si="38"/>
        <v>1</v>
      </c>
    </row>
    <row r="31" spans="1:44" ht="18" hidden="1" customHeight="1" outlineLevel="1" x14ac:dyDescent="0.3">
      <c r="A31" s="800"/>
      <c r="B31" s="985" t="s">
        <v>614</v>
      </c>
      <c r="C31" s="965"/>
      <c r="D31" s="965">
        <v>120248.59087900001</v>
      </c>
      <c r="E31" s="965">
        <v>81668</v>
      </c>
      <c r="F31" s="965">
        <v>71304</v>
      </c>
      <c r="G31" s="965">
        <v>71538</v>
      </c>
      <c r="H31" s="965">
        <v>53953.66794240025</v>
      </c>
      <c r="I31" s="965">
        <v>40890.211231467329</v>
      </c>
      <c r="J31" s="965">
        <v>44550.045072000001</v>
      </c>
      <c r="K31" s="965">
        <v>45000.227039968267</v>
      </c>
      <c r="L31" s="965">
        <f>L$18*AC31</f>
        <v>44173.506249799066</v>
      </c>
      <c r="M31" s="965">
        <f t="shared" ref="L31:Q35" si="39">M$18*AD31</f>
        <v>42975.073005040242</v>
      </c>
      <c r="N31" s="965">
        <f t="shared" si="39"/>
        <v>41559.10960208148</v>
      </c>
      <c r="O31" s="965">
        <f t="shared" si="39"/>
        <v>39988.955389326977</v>
      </c>
      <c r="P31" s="965">
        <f t="shared" si="39"/>
        <v>38296.741624191556</v>
      </c>
      <c r="Q31" s="965">
        <f t="shared" si="39"/>
        <v>36500.905673712055</v>
      </c>
      <c r="R31" s="975"/>
      <c r="S31" s="974"/>
      <c r="U31" s="942"/>
      <c r="V31" s="938">
        <f t="shared" ref="V31:AB35" si="40">E31/E$18</f>
        <v>0.27145122101197577</v>
      </c>
      <c r="W31" s="938">
        <f t="shared" si="40"/>
        <v>0.24096760130716746</v>
      </c>
      <c r="X31" s="938">
        <f t="shared" si="40"/>
        <v>0.23812424481481112</v>
      </c>
      <c r="Y31" s="938">
        <f t="shared" si="40"/>
        <v>0.21943267776051639</v>
      </c>
      <c r="Z31" s="938">
        <f t="shared" si="40"/>
        <v>0.19550101948529963</v>
      </c>
      <c r="AA31" s="938">
        <f t="shared" si="40"/>
        <v>0.19019778966144316</v>
      </c>
      <c r="AB31" s="938">
        <f t="shared" si="40"/>
        <v>0.19014218743758105</v>
      </c>
      <c r="AC31" s="990">
        <f t="shared" ref="AC31:AH31" si="41">AB31-0.9%</f>
        <v>0.18114218743758104</v>
      </c>
      <c r="AD31" s="990">
        <f t="shared" si="41"/>
        <v>0.17214218743758103</v>
      </c>
      <c r="AE31" s="990">
        <f t="shared" si="41"/>
        <v>0.16314218743758102</v>
      </c>
      <c r="AF31" s="990">
        <f t="shared" si="41"/>
        <v>0.15414218743758101</v>
      </c>
      <c r="AG31" s="990">
        <f t="shared" si="41"/>
        <v>0.14514218743758101</v>
      </c>
      <c r="AH31" s="990">
        <f t="shared" si="41"/>
        <v>0.136142187437581</v>
      </c>
    </row>
    <row r="32" spans="1:44" ht="18" hidden="1" customHeight="1" outlineLevel="1" x14ac:dyDescent="0.3">
      <c r="A32" s="800"/>
      <c r="B32" s="985" t="s">
        <v>615</v>
      </c>
      <c r="C32" s="965"/>
      <c r="D32" s="965">
        <v>23391.451120999998</v>
      </c>
      <c r="E32" s="965">
        <v>23628</v>
      </c>
      <c r="F32" s="965">
        <v>25736</v>
      </c>
      <c r="G32" s="965">
        <v>34806</v>
      </c>
      <c r="H32" s="965">
        <v>35741.312927999999</v>
      </c>
      <c r="I32" s="965">
        <v>35220.023423999999</v>
      </c>
      <c r="J32" s="965">
        <v>39705.292281999995</v>
      </c>
      <c r="K32" s="965">
        <v>40121.302362761795</v>
      </c>
      <c r="L32" s="965">
        <f t="shared" si="39"/>
        <v>41097.147614037764</v>
      </c>
      <c r="M32" s="965">
        <f t="shared" si="39"/>
        <v>41822.890283151413</v>
      </c>
      <c r="N32" s="965">
        <f t="shared" si="39"/>
        <v>42421.354998072711</v>
      </c>
      <c r="O32" s="965">
        <f t="shared" si="39"/>
        <v>42942.498596313373</v>
      </c>
      <c r="P32" s="965">
        <f t="shared" si="39"/>
        <v>43411.547104898753</v>
      </c>
      <c r="Q32" s="965">
        <f t="shared" si="39"/>
        <v>43843.004610051808</v>
      </c>
      <c r="R32" s="975"/>
      <c r="S32" s="974"/>
      <c r="U32" s="942"/>
      <c r="V32" s="938">
        <f t="shared" si="40"/>
        <v>7.8535649826994222E-2</v>
      </c>
      <c r="W32" s="938">
        <f t="shared" si="40"/>
        <v>8.69732720077592E-2</v>
      </c>
      <c r="X32" s="938">
        <f t="shared" si="40"/>
        <v>0.11585664213459022</v>
      </c>
      <c r="Y32" s="938">
        <f t="shared" si="40"/>
        <v>0.14536198003888107</v>
      </c>
      <c r="Z32" s="938">
        <f t="shared" si="40"/>
        <v>0.16839116938553042</v>
      </c>
      <c r="AA32" s="938">
        <f t="shared" si="40"/>
        <v>0.16951405588238902</v>
      </c>
      <c r="AB32" s="938">
        <f t="shared" si="40"/>
        <v>0.1695269712155989</v>
      </c>
      <c r="AC32" s="990">
        <f t="shared" ref="AC32:AH32" si="42">AB32-0.1%</f>
        <v>0.1685269712155989</v>
      </c>
      <c r="AD32" s="990">
        <f t="shared" si="42"/>
        <v>0.1675269712155989</v>
      </c>
      <c r="AE32" s="990">
        <f t="shared" si="42"/>
        <v>0.1665269712155989</v>
      </c>
      <c r="AF32" s="990">
        <f t="shared" si="42"/>
        <v>0.16552697121559889</v>
      </c>
      <c r="AG32" s="990">
        <f t="shared" si="42"/>
        <v>0.16452697121559889</v>
      </c>
      <c r="AH32" s="990">
        <f t="shared" si="42"/>
        <v>0.16352697121559889</v>
      </c>
    </row>
    <row r="33" spans="1:59" ht="18" hidden="1" customHeight="1" outlineLevel="1" x14ac:dyDescent="0.3">
      <c r="A33" s="800"/>
      <c r="B33" s="985" t="s">
        <v>616</v>
      </c>
      <c r="C33" s="965"/>
      <c r="D33" s="965">
        <v>211961.41899999999</v>
      </c>
      <c r="E33" s="965">
        <v>183293</v>
      </c>
      <c r="F33" s="965">
        <v>191735</v>
      </c>
      <c r="G33" s="965">
        <v>192851</v>
      </c>
      <c r="H33" s="965">
        <v>155661.71539559972</v>
      </c>
      <c r="I33" s="965">
        <v>133045.3738935327</v>
      </c>
      <c r="J33" s="965">
        <v>149974.75097299999</v>
      </c>
      <c r="K33" s="965">
        <v>151544.6604965564</v>
      </c>
      <c r="L33" s="965">
        <f t="shared" si="39"/>
        <v>158590.29799212224</v>
      </c>
      <c r="M33" s="965">
        <f t="shared" si="39"/>
        <v>164850.73494635968</v>
      </c>
      <c r="N33" s="965">
        <f t="shared" si="39"/>
        <v>170761.18288438866</v>
      </c>
      <c r="O33" s="965">
        <f t="shared" si="39"/>
        <v>176497.55798112103</v>
      </c>
      <c r="P33" s="965">
        <f t="shared" si="39"/>
        <v>182148.43205142865</v>
      </c>
      <c r="Q33" s="965">
        <f t="shared" si="39"/>
        <v>187764.7954798124</v>
      </c>
      <c r="R33" s="975"/>
      <c r="S33" s="974"/>
      <c r="U33" s="942"/>
      <c r="V33" s="938">
        <f t="shared" si="40"/>
        <v>0.60923628168864274</v>
      </c>
      <c r="W33" s="938">
        <f t="shared" si="40"/>
        <v>0.64795695945009746</v>
      </c>
      <c r="X33" s="938">
        <f t="shared" si="40"/>
        <v>0.64193154319076773</v>
      </c>
      <c r="Y33" s="938">
        <f t="shared" si="40"/>
        <v>0.6330851698631017</v>
      </c>
      <c r="Z33" s="938">
        <f t="shared" si="40"/>
        <v>0.63610593955484274</v>
      </c>
      <c r="AA33" s="938">
        <f t="shared" si="40"/>
        <v>0.64028815445616771</v>
      </c>
      <c r="AB33" s="938">
        <f t="shared" si="40"/>
        <v>0.64033084134682017</v>
      </c>
      <c r="AC33" s="990">
        <f t="shared" ref="AC33:AH33" si="43">1-AC31-AC32-AC34-AC35</f>
        <v>0.65033084134682007</v>
      </c>
      <c r="AD33" s="990">
        <f t="shared" si="43"/>
        <v>0.66033084134682007</v>
      </c>
      <c r="AE33" s="990">
        <f t="shared" si="43"/>
        <v>0.67033084134682008</v>
      </c>
      <c r="AF33" s="990">
        <f t="shared" si="43"/>
        <v>0.68033084134682009</v>
      </c>
      <c r="AG33" s="990">
        <f t="shared" si="43"/>
        <v>0.6903308413468201</v>
      </c>
      <c r="AH33" s="990">
        <f t="shared" si="43"/>
        <v>0.70033084134682011</v>
      </c>
    </row>
    <row r="34" spans="1:59" ht="18" hidden="1" customHeight="1" outlineLevel="1" x14ac:dyDescent="0.3">
      <c r="A34" s="800"/>
      <c r="B34" s="985" t="s">
        <v>617</v>
      </c>
      <c r="C34" s="965"/>
      <c r="D34" s="965">
        <v>9.609</v>
      </c>
      <c r="E34" s="965">
        <v>0</v>
      </c>
      <c r="F34" s="965">
        <v>0</v>
      </c>
      <c r="G34" s="965">
        <v>0</v>
      </c>
      <c r="H34" s="965">
        <v>0</v>
      </c>
      <c r="I34" s="965">
        <v>0</v>
      </c>
      <c r="J34" s="965">
        <v>0</v>
      </c>
      <c r="K34" s="965">
        <v>0</v>
      </c>
      <c r="L34" s="965">
        <f t="shared" si="39"/>
        <v>0</v>
      </c>
      <c r="M34" s="965">
        <f t="shared" si="39"/>
        <v>0</v>
      </c>
      <c r="N34" s="965">
        <f t="shared" si="39"/>
        <v>0</v>
      </c>
      <c r="O34" s="965">
        <f t="shared" si="39"/>
        <v>0</v>
      </c>
      <c r="P34" s="965">
        <f t="shared" si="39"/>
        <v>0</v>
      </c>
      <c r="Q34" s="965">
        <f t="shared" si="39"/>
        <v>0</v>
      </c>
      <c r="R34" s="975"/>
      <c r="S34" s="974"/>
      <c r="U34" s="942"/>
      <c r="V34" s="938">
        <f t="shared" si="40"/>
        <v>0</v>
      </c>
      <c r="W34" s="938">
        <f t="shared" si="40"/>
        <v>0</v>
      </c>
      <c r="X34" s="938">
        <f t="shared" si="40"/>
        <v>0</v>
      </c>
      <c r="Y34" s="938">
        <f t="shared" si="40"/>
        <v>0</v>
      </c>
      <c r="Z34" s="938">
        <f t="shared" si="40"/>
        <v>0</v>
      </c>
      <c r="AA34" s="938">
        <f t="shared" si="40"/>
        <v>0</v>
      </c>
      <c r="AB34" s="938">
        <f t="shared" si="40"/>
        <v>0</v>
      </c>
      <c r="AC34" s="990">
        <v>0</v>
      </c>
      <c r="AD34" s="990">
        <v>0</v>
      </c>
      <c r="AE34" s="990">
        <v>0</v>
      </c>
      <c r="AF34" s="990">
        <v>0</v>
      </c>
      <c r="AG34" s="990">
        <v>0</v>
      </c>
      <c r="AH34" s="990">
        <v>0</v>
      </c>
    </row>
    <row r="35" spans="1:59" ht="18" hidden="1" customHeight="1" outlineLevel="1" x14ac:dyDescent="0.3">
      <c r="A35" s="800"/>
      <c r="B35" s="985" t="s">
        <v>618</v>
      </c>
      <c r="C35" s="965"/>
      <c r="D35" s="965">
        <v>12215.055</v>
      </c>
      <c r="E35" s="965">
        <v>12269</v>
      </c>
      <c r="F35" s="965">
        <v>7132</v>
      </c>
      <c r="G35" s="965">
        <v>1227</v>
      </c>
      <c r="H35" s="965">
        <v>520.93386999999996</v>
      </c>
      <c r="I35" s="965">
        <v>0</v>
      </c>
      <c r="J35" s="965">
        <v>0</v>
      </c>
      <c r="K35" s="965">
        <v>0</v>
      </c>
      <c r="L35" s="965">
        <f t="shared" si="39"/>
        <v>0</v>
      </c>
      <c r="M35" s="965">
        <f t="shared" si="39"/>
        <v>0</v>
      </c>
      <c r="N35" s="965">
        <f t="shared" si="39"/>
        <v>0</v>
      </c>
      <c r="O35" s="965">
        <f t="shared" si="39"/>
        <v>0</v>
      </c>
      <c r="P35" s="965">
        <f t="shared" si="39"/>
        <v>0</v>
      </c>
      <c r="Q35" s="965">
        <f t="shared" si="39"/>
        <v>0</v>
      </c>
      <c r="R35" s="975"/>
      <c r="S35" s="974"/>
      <c r="U35" s="942"/>
      <c r="V35" s="938">
        <f t="shared" si="40"/>
        <v>4.0780171310622657E-2</v>
      </c>
      <c r="W35" s="938">
        <f t="shared" si="40"/>
        <v>2.4102167234975855E-2</v>
      </c>
      <c r="X35" s="938">
        <f t="shared" si="40"/>
        <v>4.084241219879969E-3</v>
      </c>
      <c r="Y35" s="938">
        <f t="shared" si="40"/>
        <v>2.1186680792913558E-3</v>
      </c>
      <c r="Z35" s="938">
        <f t="shared" si="40"/>
        <v>0</v>
      </c>
      <c r="AA35" s="938">
        <f>J35/J$18</f>
        <v>0</v>
      </c>
      <c r="AB35" s="938">
        <f>K35/K$18</f>
        <v>0</v>
      </c>
      <c r="AC35" s="990">
        <v>0</v>
      </c>
      <c r="AD35" s="990">
        <v>0</v>
      </c>
      <c r="AE35" s="990">
        <v>0</v>
      </c>
      <c r="AF35" s="990">
        <v>0</v>
      </c>
      <c r="AG35" s="990">
        <v>0</v>
      </c>
      <c r="AH35" s="990">
        <v>0</v>
      </c>
    </row>
    <row r="36" spans="1:59" ht="18" hidden="1" customHeight="1" outlineLevel="1" x14ac:dyDescent="0.3">
      <c r="A36" s="800"/>
      <c r="B36" s="984" t="s">
        <v>619</v>
      </c>
      <c r="C36" s="980"/>
      <c r="D36" s="980">
        <f>SUM(D37:D41)</f>
        <v>826773.45000000007</v>
      </c>
      <c r="E36" s="980">
        <f>SUM(E37:E41)</f>
        <v>905859</v>
      </c>
      <c r="F36" s="980">
        <f>SUM(F37:F41)</f>
        <v>931158</v>
      </c>
      <c r="G36" s="980">
        <f t="shared" ref="G36:Q36" si="44">SUM(G37:G41)</f>
        <v>938893</v>
      </c>
      <c r="H36" s="980">
        <f t="shared" si="44"/>
        <v>885187.76307799993</v>
      </c>
      <c r="I36" s="980">
        <f t="shared" si="44"/>
        <v>842923.73500800005</v>
      </c>
      <c r="J36" s="980">
        <f t="shared" si="44"/>
        <v>814880.09937900002</v>
      </c>
      <c r="K36" s="980">
        <f t="shared" si="44"/>
        <v>823355.23041575507</v>
      </c>
      <c r="L36" s="980">
        <f t="shared" si="44"/>
        <v>810509.44614575244</v>
      </c>
      <c r="M36" s="980">
        <f t="shared" si="44"/>
        <v>799130.09137693176</v>
      </c>
      <c r="N36" s="980">
        <f t="shared" si="44"/>
        <v>788504.32027658261</v>
      </c>
      <c r="O36" s="980">
        <f t="shared" si="44"/>
        <v>778950.86149199214</v>
      </c>
      <c r="P36" s="980">
        <f t="shared" si="44"/>
        <v>770718.13555608445</v>
      </c>
      <c r="Q36" s="980">
        <f t="shared" si="44"/>
        <v>763882.08047374687</v>
      </c>
      <c r="R36" s="975"/>
      <c r="S36" s="982"/>
      <c r="U36" s="942" t="s">
        <v>605</v>
      </c>
      <c r="V36" s="938">
        <f>SUM(V37:V41)</f>
        <v>0.99999999999999989</v>
      </c>
      <c r="W36" s="938">
        <f>SUM(W37:W41)</f>
        <v>1</v>
      </c>
      <c r="X36" s="938">
        <f t="shared" ref="X36:AH36" si="45">SUM(X37:X41)</f>
        <v>1.0000010650852282</v>
      </c>
      <c r="Y36" s="938">
        <f t="shared" si="45"/>
        <v>1.0000008620528769</v>
      </c>
      <c r="Z36" s="938">
        <f t="shared" si="45"/>
        <v>0.99999849928285434</v>
      </c>
      <c r="AA36" s="938">
        <f t="shared" si="45"/>
        <v>1</v>
      </c>
      <c r="AB36" s="938">
        <f t="shared" si="45"/>
        <v>0.99999999999999989</v>
      </c>
      <c r="AC36" s="938">
        <f t="shared" si="45"/>
        <v>0.99999999999999989</v>
      </c>
      <c r="AD36" s="938">
        <f t="shared" si="45"/>
        <v>0.99999999999999989</v>
      </c>
      <c r="AE36" s="938">
        <f t="shared" si="45"/>
        <v>0.99999999999999989</v>
      </c>
      <c r="AF36" s="938">
        <f t="shared" si="45"/>
        <v>1.0000000000000002</v>
      </c>
      <c r="AG36" s="938">
        <f t="shared" si="45"/>
        <v>1</v>
      </c>
      <c r="AH36" s="938">
        <f t="shared" si="45"/>
        <v>1.0000000000000002</v>
      </c>
    </row>
    <row r="37" spans="1:59" ht="18" hidden="1" customHeight="1" outlineLevel="1" x14ac:dyDescent="0.3">
      <c r="A37" s="800"/>
      <c r="B37" s="985" t="s">
        <v>620</v>
      </c>
      <c r="C37" s="965"/>
      <c r="D37" s="965">
        <v>339976.99803300004</v>
      </c>
      <c r="E37" s="965">
        <v>322113</v>
      </c>
      <c r="F37" s="965">
        <v>318221</v>
      </c>
      <c r="G37" s="965">
        <v>298964</v>
      </c>
      <c r="H37" s="965">
        <v>278622.49138428702</v>
      </c>
      <c r="I37" s="965">
        <v>240189.43250469037</v>
      </c>
      <c r="J37" s="965">
        <v>256620.87552100001</v>
      </c>
      <c r="K37" s="965">
        <f t="shared" ref="K37:Q41" si="46">K25-K31</f>
        <v>245766.72991495146</v>
      </c>
      <c r="L37" s="965">
        <f>L25-L31</f>
        <v>243988.98845968911</v>
      </c>
      <c r="M37" s="965">
        <f t="shared" si="46"/>
        <v>242610.44008761318</v>
      </c>
      <c r="N37" s="965">
        <f t="shared" si="46"/>
        <v>241476.55404967041</v>
      </c>
      <c r="O37" s="965">
        <f t="shared" si="46"/>
        <v>240688.14285954635</v>
      </c>
      <c r="P37" s="965">
        <f t="shared" si="46"/>
        <v>240317.2745794731</v>
      </c>
      <c r="Q37" s="965">
        <f t="shared" si="46"/>
        <v>240385.22215437927</v>
      </c>
      <c r="R37" s="975"/>
      <c r="S37" s="974"/>
      <c r="U37" s="942"/>
      <c r="V37" s="990">
        <f t="shared" ref="V37:AH41" si="47">E37/E$20</f>
        <v>0.35558845250750942</v>
      </c>
      <c r="W37" s="990">
        <f t="shared" si="47"/>
        <v>0.34174758741266253</v>
      </c>
      <c r="X37" s="990">
        <f t="shared" si="47"/>
        <v>0.31842214013965398</v>
      </c>
      <c r="Y37" s="990">
        <f t="shared" si="47"/>
        <v>0.31476116502421186</v>
      </c>
      <c r="Z37" s="990">
        <f t="shared" si="47"/>
        <v>0.28494757244676616</v>
      </c>
      <c r="AA37" s="990">
        <f t="shared" si="47"/>
        <v>0.31491856988109596</v>
      </c>
      <c r="AB37" s="990">
        <f t="shared" si="47"/>
        <v>0.29849416246600019</v>
      </c>
      <c r="AC37" s="990">
        <f t="shared" si="47"/>
        <v>0.30103164080312644</v>
      </c>
      <c r="AD37" s="990">
        <f t="shared" si="47"/>
        <v>0.30359317300839728</v>
      </c>
      <c r="AE37" s="990">
        <f t="shared" si="47"/>
        <v>0.3062463297156926</v>
      </c>
      <c r="AF37" s="990">
        <f t="shared" si="47"/>
        <v>0.30899014913281625</v>
      </c>
      <c r="AG37" s="990">
        <f t="shared" si="47"/>
        <v>0.31180954942247552</v>
      </c>
      <c r="AH37" s="990">
        <f t="shared" si="47"/>
        <v>0.31468891377226232</v>
      </c>
    </row>
    <row r="38" spans="1:59" ht="18" hidden="1" customHeight="1" outlineLevel="1" x14ac:dyDescent="0.3">
      <c r="A38" s="800"/>
      <c r="B38" s="985" t="s">
        <v>621</v>
      </c>
      <c r="C38" s="965"/>
      <c r="D38" s="965">
        <v>38792.776966999998</v>
      </c>
      <c r="E38" s="965">
        <v>46355</v>
      </c>
      <c r="F38" s="965">
        <v>51834</v>
      </c>
      <c r="G38" s="965">
        <v>68386</v>
      </c>
      <c r="H38" s="965">
        <v>68138.436058000007</v>
      </c>
      <c r="I38" s="965">
        <v>71092.110388999994</v>
      </c>
      <c r="J38" s="965">
        <v>77345.924901000006</v>
      </c>
      <c r="K38" s="965">
        <f t="shared" si="46"/>
        <v>79238.815428804854</v>
      </c>
      <c r="L38" s="965">
        <f t="shared" si="46"/>
        <v>74460.86587136428</v>
      </c>
      <c r="M38" s="965">
        <f t="shared" si="46"/>
        <v>72158.380478008301</v>
      </c>
      <c r="N38" s="965">
        <f t="shared" si="46"/>
        <v>71116.80260692208</v>
      </c>
      <c r="O38" s="965">
        <f t="shared" si="46"/>
        <v>70590.724413104064</v>
      </c>
      <c r="P38" s="965">
        <f t="shared" si="46"/>
        <v>70104.768936943161</v>
      </c>
      <c r="Q38" s="965">
        <f t="shared" si="46"/>
        <v>69627.099872945706</v>
      </c>
      <c r="R38" s="975"/>
      <c r="S38" s="974"/>
      <c r="U38" s="942"/>
      <c r="V38" s="990">
        <f t="shared" si="47"/>
        <v>5.1172423081296319E-2</v>
      </c>
      <c r="W38" s="990">
        <f t="shared" si="47"/>
        <v>5.5666170510267857E-2</v>
      </c>
      <c r="X38" s="990">
        <f t="shared" si="47"/>
        <v>7.2836918410211185E-2</v>
      </c>
      <c r="Y38" s="990">
        <f t="shared" si="47"/>
        <v>7.6976318063866733E-2</v>
      </c>
      <c r="Z38" s="990">
        <f t="shared" si="47"/>
        <v>8.4339781580804934E-2</v>
      </c>
      <c r="AA38" s="990">
        <f t="shared" si="47"/>
        <v>9.4916939264983194E-2</v>
      </c>
      <c r="AB38" s="990">
        <f t="shared" si="47"/>
        <v>9.6238916693093729E-2</v>
      </c>
      <c r="AC38" s="990">
        <f t="shared" si="47"/>
        <v>9.1869214141119482E-2</v>
      </c>
      <c r="AD38" s="990">
        <f t="shared" si="47"/>
        <v>9.0296162360344406E-2</v>
      </c>
      <c r="AE38" s="990">
        <f t="shared" si="47"/>
        <v>9.0192026572506967E-2</v>
      </c>
      <c r="AF38" s="990">
        <f t="shared" si="47"/>
        <v>9.0622820902843002E-2</v>
      </c>
      <c r="AG38" s="990">
        <f t="shared" si="47"/>
        <v>9.0960320904297315E-2</v>
      </c>
      <c r="AH38" s="990">
        <f t="shared" si="47"/>
        <v>9.1149015866119218E-2</v>
      </c>
    </row>
    <row r="39" spans="1:59" ht="18" hidden="1" customHeight="1" outlineLevel="1" x14ac:dyDescent="0.3">
      <c r="A39" s="800"/>
      <c r="B39" s="985" t="s">
        <v>622</v>
      </c>
      <c r="C39" s="965"/>
      <c r="D39" s="965">
        <v>407057.78399999999</v>
      </c>
      <c r="E39" s="965">
        <v>505566</v>
      </c>
      <c r="F39" s="965">
        <v>531632</v>
      </c>
      <c r="G39" s="965">
        <v>539838</v>
      </c>
      <c r="H39" s="965">
        <v>519834.73997868912</v>
      </c>
      <c r="I39" s="965">
        <v>515070.08056166873</v>
      </c>
      <c r="J39" s="965">
        <v>461381.89519299997</v>
      </c>
      <c r="K39" s="965">
        <f t="shared" si="46"/>
        <v>471906.06780764915</v>
      </c>
      <c r="L39" s="965">
        <f t="shared" si="46"/>
        <v>470565.21630102478</v>
      </c>
      <c r="M39" s="965">
        <f t="shared" si="46"/>
        <v>465640.33828579448</v>
      </c>
      <c r="N39" s="965">
        <f t="shared" si="46"/>
        <v>458837.20088162139</v>
      </c>
      <c r="O39" s="965">
        <f t="shared" si="46"/>
        <v>451615.01847098907</v>
      </c>
      <c r="P39" s="965">
        <f t="shared" si="46"/>
        <v>444883.10697088175</v>
      </c>
      <c r="Q39" s="965">
        <f t="shared" si="46"/>
        <v>438871.68664064002</v>
      </c>
      <c r="R39" s="975"/>
      <c r="S39" s="974"/>
      <c r="U39" s="942"/>
      <c r="V39" s="990">
        <f t="shared" si="47"/>
        <v>0.55810672521882543</v>
      </c>
      <c r="W39" s="990">
        <f t="shared" si="47"/>
        <v>0.5709364039185616</v>
      </c>
      <c r="X39" s="990">
        <f t="shared" si="47"/>
        <v>0.57497347937781984</v>
      </c>
      <c r="Y39" s="990">
        <f t="shared" si="47"/>
        <v>0.58725979931775896</v>
      </c>
      <c r="Z39" s="990">
        <f t="shared" si="47"/>
        <v>0.61105090080572855</v>
      </c>
      <c r="AA39" s="990">
        <f t="shared" si="47"/>
        <v>0.56619605208742707</v>
      </c>
      <c r="AB39" s="990">
        <f t="shared" si="47"/>
        <v>0.57315002124825154</v>
      </c>
      <c r="AC39" s="990">
        <f t="shared" si="47"/>
        <v>0.58057955837371433</v>
      </c>
      <c r="AD39" s="990">
        <f t="shared" si="47"/>
        <v>0.58268402517977802</v>
      </c>
      <c r="AE39" s="990">
        <f t="shared" si="47"/>
        <v>0.58190829026868951</v>
      </c>
      <c r="AF39" s="990">
        <f t="shared" si="47"/>
        <v>0.57977343732051556</v>
      </c>
      <c r="AG39" s="990">
        <f t="shared" si="47"/>
        <v>0.57723191715203648</v>
      </c>
      <c r="AH39" s="990">
        <f t="shared" si="47"/>
        <v>0.57452805591205802</v>
      </c>
    </row>
    <row r="40" spans="1:59" ht="18" hidden="1" customHeight="1" outlineLevel="1" x14ac:dyDescent="0.3">
      <c r="A40" s="800"/>
      <c r="B40" s="985" t="s">
        <v>623</v>
      </c>
      <c r="C40" s="965"/>
      <c r="D40" s="965">
        <v>9047.8359999999993</v>
      </c>
      <c r="E40" s="965">
        <v>0</v>
      </c>
      <c r="F40" s="965">
        <v>0</v>
      </c>
      <c r="G40" s="965">
        <v>0</v>
      </c>
      <c r="H40" s="965">
        <v>0</v>
      </c>
      <c r="I40" s="965">
        <v>0</v>
      </c>
      <c r="J40" s="965">
        <v>0</v>
      </c>
      <c r="K40" s="965">
        <f t="shared" si="46"/>
        <v>0</v>
      </c>
      <c r="L40" s="965">
        <f t="shared" si="46"/>
        <v>0</v>
      </c>
      <c r="M40" s="965">
        <f t="shared" si="46"/>
        <v>0</v>
      </c>
      <c r="N40" s="965">
        <f t="shared" si="46"/>
        <v>0</v>
      </c>
      <c r="O40" s="965">
        <f t="shared" si="46"/>
        <v>0</v>
      </c>
      <c r="P40" s="965">
        <f t="shared" si="46"/>
        <v>0</v>
      </c>
      <c r="Q40" s="965">
        <f t="shared" si="46"/>
        <v>0</v>
      </c>
      <c r="R40" s="975"/>
      <c r="S40" s="974"/>
      <c r="U40" s="942"/>
      <c r="V40" s="990">
        <f t="shared" si="47"/>
        <v>0</v>
      </c>
      <c r="W40" s="990">
        <f t="shared" si="47"/>
        <v>0</v>
      </c>
      <c r="X40" s="990">
        <f t="shared" si="47"/>
        <v>0</v>
      </c>
      <c r="Y40" s="990">
        <f t="shared" si="47"/>
        <v>0</v>
      </c>
      <c r="Z40" s="990">
        <f t="shared" si="47"/>
        <v>0</v>
      </c>
      <c r="AA40" s="990">
        <f t="shared" si="47"/>
        <v>0</v>
      </c>
      <c r="AB40" s="990">
        <f t="shared" si="47"/>
        <v>0</v>
      </c>
      <c r="AC40" s="990">
        <f t="shared" si="47"/>
        <v>0</v>
      </c>
      <c r="AD40" s="990">
        <f t="shared" si="47"/>
        <v>0</v>
      </c>
      <c r="AE40" s="990">
        <f t="shared" si="47"/>
        <v>0</v>
      </c>
      <c r="AF40" s="990">
        <f t="shared" si="47"/>
        <v>0</v>
      </c>
      <c r="AG40" s="990">
        <f t="shared" si="47"/>
        <v>0</v>
      </c>
      <c r="AH40" s="990">
        <f t="shared" si="47"/>
        <v>0</v>
      </c>
    </row>
    <row r="41" spans="1:59" ht="18" hidden="1" customHeight="1" outlineLevel="1" x14ac:dyDescent="0.3">
      <c r="A41" s="800"/>
      <c r="B41" s="985" t="s">
        <v>289</v>
      </c>
      <c r="C41" s="965"/>
      <c r="D41" s="965">
        <v>31898.055</v>
      </c>
      <c r="E41" s="965">
        <v>31825</v>
      </c>
      <c r="F41" s="965">
        <v>29471</v>
      </c>
      <c r="G41" s="965">
        <v>31705</v>
      </c>
      <c r="H41" s="965">
        <v>18592.095657023863</v>
      </c>
      <c r="I41" s="965">
        <v>16572.11155264093</v>
      </c>
      <c r="J41" s="965">
        <v>19531.403763999999</v>
      </c>
      <c r="K41" s="965">
        <f t="shared" si="46"/>
        <v>26443.617264349603</v>
      </c>
      <c r="L41" s="965">
        <f t="shared" si="46"/>
        <v>21494.375513674258</v>
      </c>
      <c r="M41" s="965">
        <f t="shared" si="46"/>
        <v>18720.932525515789</v>
      </c>
      <c r="N41" s="965">
        <f t="shared" si="46"/>
        <v>17073.762738368674</v>
      </c>
      <c r="O41" s="965">
        <f t="shared" si="46"/>
        <v>16056.975748352736</v>
      </c>
      <c r="P41" s="965">
        <f t="shared" si="46"/>
        <v>15412.985068786433</v>
      </c>
      <c r="Q41" s="965">
        <f t="shared" si="46"/>
        <v>14998.071805781912</v>
      </c>
      <c r="R41" s="975"/>
      <c r="S41" s="974"/>
      <c r="U41" s="942"/>
      <c r="V41" s="990">
        <f t="shared" si="47"/>
        <v>3.5132399192368789E-2</v>
      </c>
      <c r="W41" s="990">
        <f t="shared" si="47"/>
        <v>3.1649838158508005E-2</v>
      </c>
      <c r="X41" s="990">
        <f t="shared" si="47"/>
        <v>3.3768527157543145E-2</v>
      </c>
      <c r="Y41" s="990">
        <f t="shared" si="47"/>
        <v>2.1003579647039399E-2</v>
      </c>
      <c r="Z41" s="990">
        <f t="shared" si="47"/>
        <v>1.9660244449554741E-2</v>
      </c>
      <c r="AA41" s="990">
        <f t="shared" si="47"/>
        <v>2.396843876649387E-2</v>
      </c>
      <c r="AB41" s="990">
        <f t="shared" si="47"/>
        <v>3.211689959265436E-2</v>
      </c>
      <c r="AC41" s="990">
        <f t="shared" si="47"/>
        <v>2.6519586682039686E-2</v>
      </c>
      <c r="AD41" s="990">
        <f t="shared" si="47"/>
        <v>2.3426639451480175E-2</v>
      </c>
      <c r="AE41" s="990">
        <f t="shared" si="47"/>
        <v>2.1653353443110791E-2</v>
      </c>
      <c r="AF41" s="990">
        <f t="shared" si="47"/>
        <v>2.0613592643825333E-2</v>
      </c>
      <c r="AG41" s="990">
        <f t="shared" si="47"/>
        <v>1.9998212521190693E-2</v>
      </c>
      <c r="AH41" s="990">
        <f t="shared" si="47"/>
        <v>1.963401444956054E-2</v>
      </c>
    </row>
    <row r="42" spans="1:59" ht="18" hidden="1" customHeight="1" outlineLevel="1" x14ac:dyDescent="0.3">
      <c r="A42" s="800"/>
      <c r="B42" s="985"/>
      <c r="C42" s="985"/>
      <c r="D42" s="985"/>
      <c r="E42" s="985"/>
      <c r="F42" s="985"/>
      <c r="G42" s="985"/>
      <c r="H42" s="985"/>
      <c r="I42" s="985"/>
      <c r="J42" s="985"/>
      <c r="K42" s="985"/>
      <c r="L42" s="985"/>
      <c r="M42" s="985"/>
      <c r="N42" s="985"/>
      <c r="O42" s="985"/>
      <c r="P42" s="985"/>
      <c r="Q42" s="985"/>
      <c r="R42" s="975"/>
      <c r="S42" s="974"/>
      <c r="U42" s="942"/>
      <c r="V42" s="942"/>
      <c r="W42" s="942"/>
      <c r="X42" s="942"/>
      <c r="Y42" s="942"/>
      <c r="Z42" s="942">
        <f>I42/I$20</f>
        <v>0</v>
      </c>
      <c r="AA42" s="942"/>
      <c r="AB42" s="942"/>
      <c r="AC42" s="942"/>
      <c r="AD42" s="942"/>
      <c r="AE42" s="942"/>
      <c r="AF42" s="942"/>
      <c r="AG42" s="942"/>
      <c r="AH42" s="942"/>
    </row>
    <row r="43" spans="1:59" s="817" customFormat="1" ht="18" customHeight="1" collapsed="1" x14ac:dyDescent="0.3">
      <c r="B43" s="976" t="s">
        <v>624</v>
      </c>
      <c r="C43" s="977"/>
      <c r="D43" s="977"/>
      <c r="E43" s="977">
        <f t="shared" ref="E43:Q43" si="48">E44</f>
        <v>200911</v>
      </c>
      <c r="F43" s="977">
        <f t="shared" si="48"/>
        <v>192258</v>
      </c>
      <c r="G43" s="977">
        <f t="shared" si="48"/>
        <v>187896</v>
      </c>
      <c r="H43" s="977">
        <f t="shared" si="48"/>
        <v>149269</v>
      </c>
      <c r="I43" s="977">
        <f t="shared" si="48"/>
        <v>119598</v>
      </c>
      <c r="J43" s="977">
        <f t="shared" si="48"/>
        <v>139480.34736000001</v>
      </c>
      <c r="K43" s="977">
        <f t="shared" si="48"/>
        <v>139521.16706929944</v>
      </c>
      <c r="L43" s="977">
        <f t="shared" si="48"/>
        <v>142806.92456777723</v>
      </c>
      <c r="M43" s="977">
        <f t="shared" si="48"/>
        <v>146933.35538769717</v>
      </c>
      <c r="N43" s="977">
        <f t="shared" si="48"/>
        <v>149721.20462566064</v>
      </c>
      <c r="O43" s="977">
        <f t="shared" si="48"/>
        <v>152455.24345760813</v>
      </c>
      <c r="P43" s="977">
        <f t="shared" si="48"/>
        <v>155104.03930481637</v>
      </c>
      <c r="Q43" s="977">
        <f t="shared" si="48"/>
        <v>157583.31365132201</v>
      </c>
      <c r="R43" s="975"/>
      <c r="S43" s="976"/>
      <c r="T43" s="806"/>
      <c r="U43" s="943"/>
      <c r="V43" s="943"/>
      <c r="W43" s="943"/>
      <c r="X43" s="943"/>
      <c r="Y43" s="945"/>
      <c r="Z43" s="945"/>
      <c r="AA43" s="945"/>
      <c r="AB43" s="945"/>
      <c r="AC43" s="945"/>
      <c r="AD43" s="945"/>
      <c r="AE43" s="945"/>
      <c r="AF43" s="945"/>
      <c r="AG43" s="945"/>
      <c r="AH43" s="945"/>
      <c r="AU43" s="817">
        <f>홈쇼핑!V149*1000</f>
        <v>231188447453.99997</v>
      </c>
      <c r="AV43" s="817">
        <f>ROUND(AU43/1000000,)</f>
        <v>231188</v>
      </c>
      <c r="AW43" s="818">
        <f>J43-AV43</f>
        <v>-91707.652639999986</v>
      </c>
      <c r="AX43" s="817" t="s">
        <v>8850</v>
      </c>
      <c r="AY43" s="798"/>
      <c r="AZ43" s="798"/>
      <c r="BA43" s="798"/>
      <c r="BB43" s="798"/>
      <c r="BC43" s="798"/>
      <c r="BD43" s="798"/>
      <c r="BE43" s="798"/>
      <c r="BF43" s="798"/>
      <c r="BG43" s="798"/>
    </row>
    <row r="44" spans="1:59" ht="18" customHeight="1" x14ac:dyDescent="0.3">
      <c r="B44" s="985" t="s">
        <v>291</v>
      </c>
      <c r="C44" s="965"/>
      <c r="D44" s="965">
        <f>D18*V44</f>
        <v>245632.60780370742</v>
      </c>
      <c r="E44" s="965">
        <v>200911</v>
      </c>
      <c r="F44" s="965">
        <v>192258</v>
      </c>
      <c r="G44" s="965">
        <v>187896</v>
      </c>
      <c r="H44" s="965">
        <v>149269</v>
      </c>
      <c r="I44" s="965">
        <v>119598</v>
      </c>
      <c r="J44" s="965">
        <v>139480.34736000001</v>
      </c>
      <c r="K44" s="965">
        <v>139521.16706929944</v>
      </c>
      <c r="L44" s="965">
        <f>L18*AVERAGE(I45:K45)</f>
        <v>142806.92456777723</v>
      </c>
      <c r="M44" s="965">
        <f>M18*(J45*1+K45*2+L45*3)/6</f>
        <v>146933.35538769717</v>
      </c>
      <c r="N44" s="965">
        <f>N18*(K45*1+L45*2+M45*3)/6</f>
        <v>149721.20462566064</v>
      </c>
      <c r="O44" s="965">
        <f>O18*(L45*1+M45*2+N45*3)/6</f>
        <v>152455.24345760813</v>
      </c>
      <c r="P44" s="965">
        <f>P18*(M45*1+N45*2+O45*3)/6</f>
        <v>155104.03930481637</v>
      </c>
      <c r="Q44" s="965">
        <f>Q18*(N45*1+O45*2+P45*3)/6</f>
        <v>157583.31365132201</v>
      </c>
      <c r="R44" s="975"/>
      <c r="S44" s="972" t="s">
        <v>8883</v>
      </c>
      <c r="U44" s="942" t="s">
        <v>625</v>
      </c>
      <c r="V44" s="990">
        <f t="shared" ref="V44:AH44" si="49">E44/E18</f>
        <v>0.66779566372063803</v>
      </c>
      <c r="W44" s="990">
        <f t="shared" si="49"/>
        <v>0.64972440665479358</v>
      </c>
      <c r="X44" s="990">
        <f t="shared" si="49"/>
        <v>0.62543813223355071</v>
      </c>
      <c r="Y44" s="990">
        <f t="shared" si="49"/>
        <v>0.60708562783168885</v>
      </c>
      <c r="Z44" s="990">
        <f t="shared" si="49"/>
        <v>0.57181242708791524</v>
      </c>
      <c r="AA44" s="990">
        <f t="shared" si="49"/>
        <v>0.5954843306265446</v>
      </c>
      <c r="AB44" s="990">
        <f t="shared" si="49"/>
        <v>0.58952724564785886</v>
      </c>
      <c r="AC44" s="990">
        <f t="shared" si="49"/>
        <v>0.58560800112077294</v>
      </c>
      <c r="AD44" s="990">
        <f t="shared" si="49"/>
        <v>0.58856047088076358</v>
      </c>
      <c r="AE44" s="990">
        <f t="shared" si="49"/>
        <v>0.58773744342194922</v>
      </c>
      <c r="AF44" s="990">
        <f t="shared" si="49"/>
        <v>0.58765687885802464</v>
      </c>
      <c r="AG44" s="990">
        <f t="shared" si="49"/>
        <v>0.58783433238312266</v>
      </c>
      <c r="AH44" s="990">
        <f t="shared" si="49"/>
        <v>0.58775903304789434</v>
      </c>
    </row>
    <row r="45" spans="1:59" ht="18" customHeight="1" x14ac:dyDescent="0.3">
      <c r="B45" s="969" t="s">
        <v>8931</v>
      </c>
      <c r="C45" s="971"/>
      <c r="D45" s="971"/>
      <c r="E45" s="971"/>
      <c r="F45" s="971">
        <f>F44/F18</f>
        <v>0.64972440665479358</v>
      </c>
      <c r="G45" s="971">
        <f t="shared" ref="G45:M45" si="50">G44/G18</f>
        <v>0.62543813223355071</v>
      </c>
      <c r="H45" s="971">
        <f t="shared" si="50"/>
        <v>0.60708562783168885</v>
      </c>
      <c r="I45" s="971">
        <f t="shared" si="50"/>
        <v>0.57181242708791524</v>
      </c>
      <c r="J45" s="971">
        <f t="shared" si="50"/>
        <v>0.5954843306265446</v>
      </c>
      <c r="K45" s="971">
        <f t="shared" si="50"/>
        <v>0.58952724564785886</v>
      </c>
      <c r="L45" s="971">
        <f t="shared" si="50"/>
        <v>0.58560800112077294</v>
      </c>
      <c r="M45" s="971">
        <f t="shared" si="50"/>
        <v>0.58856047088076358</v>
      </c>
      <c r="N45" s="971">
        <f>N44/N18</f>
        <v>0.58773744342194922</v>
      </c>
      <c r="O45" s="971">
        <f>O44/O18</f>
        <v>0.58765687885802464</v>
      </c>
      <c r="P45" s="971">
        <f>P44/P18</f>
        <v>0.58783433238312266</v>
      </c>
      <c r="Q45" s="971">
        <f>Q44/Q18</f>
        <v>0.58775903304789434</v>
      </c>
      <c r="R45" s="806"/>
      <c r="S45" s="969"/>
      <c r="U45" s="942"/>
      <c r="V45" s="990"/>
      <c r="W45" s="990"/>
      <c r="X45" s="990"/>
      <c r="Y45" s="990"/>
      <c r="Z45" s="990"/>
      <c r="AA45" s="990"/>
      <c r="AB45" s="990"/>
      <c r="AC45" s="990"/>
      <c r="AD45" s="990"/>
      <c r="AE45" s="990"/>
      <c r="AF45" s="990"/>
      <c r="AG45" s="990"/>
      <c r="AH45" s="990"/>
    </row>
    <row r="46" spans="1:59" ht="18" customHeight="1" x14ac:dyDescent="0.3">
      <c r="B46" s="976" t="s">
        <v>626</v>
      </c>
      <c r="C46" s="977"/>
      <c r="D46" s="977"/>
      <c r="E46" s="977">
        <f t="shared" ref="E46:J46" si="51">E16-E43</f>
        <v>1005805</v>
      </c>
      <c r="F46" s="977">
        <f t="shared" si="51"/>
        <v>1034807</v>
      </c>
      <c r="G46" s="977">
        <f t="shared" si="51"/>
        <v>1051419</v>
      </c>
      <c r="H46" s="977">
        <f t="shared" si="51"/>
        <v>981796</v>
      </c>
      <c r="I46" s="977">
        <f t="shared" si="51"/>
        <v>932483</v>
      </c>
      <c r="J46" s="977">
        <f t="shared" si="51"/>
        <v>909629.84034599992</v>
      </c>
      <c r="K46" s="977">
        <f t="shared" ref="K46:Q46" si="52">K16-K43</f>
        <v>920500.25324574229</v>
      </c>
      <c r="L46" s="977">
        <f t="shared" si="52"/>
        <v>911563.47343393438</v>
      </c>
      <c r="M46" s="977">
        <f t="shared" si="52"/>
        <v>901845.434223786</v>
      </c>
      <c r="N46" s="977">
        <f t="shared" si="52"/>
        <v>893524.76313546475</v>
      </c>
      <c r="O46" s="977">
        <f t="shared" si="52"/>
        <v>885924.63000114542</v>
      </c>
      <c r="P46" s="977">
        <f t="shared" si="52"/>
        <v>879470.81703178701</v>
      </c>
      <c r="Q46" s="977">
        <f t="shared" si="52"/>
        <v>874407.47258600115</v>
      </c>
      <c r="R46" s="975"/>
      <c r="S46" s="978"/>
      <c r="U46" s="943"/>
      <c r="V46" s="943"/>
      <c r="W46" s="943"/>
      <c r="X46" s="943"/>
      <c r="Y46" s="945"/>
      <c r="Z46" s="945"/>
      <c r="AA46" s="945"/>
      <c r="AB46" s="945"/>
      <c r="AC46" s="945"/>
      <c r="AD46" s="945"/>
      <c r="AE46" s="945"/>
      <c r="AF46" s="945"/>
      <c r="AG46" s="945"/>
      <c r="AH46" s="945"/>
      <c r="AU46" s="798">
        <f>홈쇼핑!V218*1000</f>
        <v>817921740252</v>
      </c>
      <c r="AV46" s="817">
        <f>ROUND(AU46/1000000,)</f>
        <v>817922</v>
      </c>
      <c r="AW46" s="818">
        <f>J46-AV46</f>
        <v>91707.840345999924</v>
      </c>
      <c r="AX46" s="817" t="s">
        <v>8850</v>
      </c>
    </row>
    <row r="47" spans="1:59" ht="18" customHeight="1" x14ac:dyDescent="0.3">
      <c r="B47" s="970" t="s">
        <v>293</v>
      </c>
      <c r="C47" s="989"/>
      <c r="D47" s="989"/>
      <c r="E47" s="989">
        <f t="shared" ref="E47:Q47" si="53">E46/E5</f>
        <v>0.22357212283132469</v>
      </c>
      <c r="F47" s="989">
        <f t="shared" si="53"/>
        <v>0.22578792799740091</v>
      </c>
      <c r="G47" s="989">
        <f t="shared" si="53"/>
        <v>0.22633983092162632</v>
      </c>
      <c r="H47" s="989">
        <f t="shared" si="53"/>
        <v>0.23412622456333454</v>
      </c>
      <c r="I47" s="989">
        <f t="shared" si="53"/>
        <v>0.23016461822080719</v>
      </c>
      <c r="J47" s="989">
        <f t="shared" si="53"/>
        <v>0.2403149369911238</v>
      </c>
      <c r="K47" s="989">
        <f t="shared" si="53"/>
        <v>0.24431786896823499</v>
      </c>
      <c r="L47" s="989">
        <f t="shared" si="53"/>
        <v>0.2442900600924926</v>
      </c>
      <c r="M47" s="989">
        <f t="shared" si="53"/>
        <v>0.24401505990552921</v>
      </c>
      <c r="N47" s="989">
        <f t="shared" si="53"/>
        <v>0.24408147950008569</v>
      </c>
      <c r="O47" s="989">
        <f t="shared" si="53"/>
        <v>0.24405442602041139</v>
      </c>
      <c r="P47" s="989">
        <f t="shared" si="53"/>
        <v>0.24388516800696569</v>
      </c>
      <c r="Q47" s="989">
        <f t="shared" si="53"/>
        <v>0.24357614659315957</v>
      </c>
      <c r="R47" s="806"/>
      <c r="S47" s="993"/>
      <c r="U47" s="942"/>
      <c r="V47" s="942"/>
      <c r="W47" s="942"/>
      <c r="X47" s="942"/>
      <c r="Y47" s="942"/>
      <c r="Z47" s="942"/>
      <c r="AA47" s="942"/>
      <c r="AB47" s="942"/>
      <c r="AC47" s="942"/>
      <c r="AD47" s="942"/>
      <c r="AE47" s="942"/>
      <c r="AF47" s="942"/>
      <c r="AG47" s="942"/>
      <c r="AH47" s="942"/>
    </row>
    <row r="48" spans="1:59" s="817" customFormat="1" ht="18" customHeight="1" x14ac:dyDescent="0.3">
      <c r="B48" s="976" t="s">
        <v>627</v>
      </c>
      <c r="C48" s="977"/>
      <c r="D48" s="977"/>
      <c r="E48" s="977">
        <f t="shared" ref="E48:J48" si="54">E50+E52+E60+E64+E70+E73+E76+E79</f>
        <v>847921</v>
      </c>
      <c r="F48" s="977">
        <f t="shared" si="54"/>
        <v>898893</v>
      </c>
      <c r="G48" s="977">
        <f t="shared" si="54"/>
        <v>908849</v>
      </c>
      <c r="H48" s="977">
        <f t="shared" si="54"/>
        <v>864887.01713040867</v>
      </c>
      <c r="I48" s="977">
        <f t="shared" si="54"/>
        <v>825389.01794660883</v>
      </c>
      <c r="J48" s="977">
        <f t="shared" si="54"/>
        <v>816617.22180737066</v>
      </c>
      <c r="K48" s="977">
        <f t="shared" ref="K48:Q48" si="55">K169</f>
        <v>829142.22184761881</v>
      </c>
      <c r="L48" s="977">
        <f t="shared" si="55"/>
        <v>824539.06728648499</v>
      </c>
      <c r="M48" s="977">
        <f t="shared" si="55"/>
        <v>818965.04741669132</v>
      </c>
      <c r="N48" s="977">
        <f t="shared" si="55"/>
        <v>813832.08351325837</v>
      </c>
      <c r="O48" s="977">
        <f t="shared" si="55"/>
        <v>808553.09638735279</v>
      </c>
      <c r="P48" s="977">
        <f t="shared" si="55"/>
        <v>803616.37231238245</v>
      </c>
      <c r="Q48" s="977">
        <f t="shared" si="55"/>
        <v>799304.0619727294</v>
      </c>
      <c r="R48" s="983"/>
      <c r="S48" s="978"/>
      <c r="T48" s="806"/>
      <c r="U48" s="943"/>
      <c r="V48" s="943"/>
      <c r="W48" s="943"/>
      <c r="X48" s="943"/>
      <c r="Y48" s="945"/>
      <c r="Z48" s="945"/>
      <c r="AA48" s="945"/>
      <c r="AB48" s="945"/>
      <c r="AC48" s="945"/>
      <c r="AD48" s="945"/>
      <c r="AE48" s="945"/>
      <c r="AF48" s="945"/>
      <c r="AG48" s="945"/>
      <c r="AH48" s="945"/>
      <c r="AU48" s="817">
        <f>홈쇼핑!V219*1000</f>
        <v>724909088181.00012</v>
      </c>
      <c r="AV48" s="817">
        <f>ROUND(AU48/1000000,)</f>
        <v>724909</v>
      </c>
      <c r="AW48" s="818">
        <f>J48-AV48</f>
        <v>91708.221807370661</v>
      </c>
      <c r="AX48" s="817" t="s">
        <v>8850</v>
      </c>
      <c r="AY48" s="798"/>
      <c r="AZ48" s="798"/>
      <c r="BA48" s="798"/>
      <c r="BB48" s="798"/>
      <c r="BC48" s="798"/>
      <c r="BD48" s="798"/>
      <c r="BE48" s="798"/>
      <c r="BF48" s="798"/>
      <c r="BG48" s="798"/>
    </row>
    <row r="49" spans="1:59" ht="18" customHeight="1" x14ac:dyDescent="0.3">
      <c r="B49" s="970" t="s">
        <v>295</v>
      </c>
      <c r="C49" s="969"/>
      <c r="D49" s="969"/>
      <c r="E49" s="969">
        <v>0.18798878755392184</v>
      </c>
      <c r="F49" s="969">
        <f t="shared" ref="F49:Q49" si="56">F48/F5</f>
        <v>0.19613240726180603</v>
      </c>
      <c r="G49" s="969">
        <f t="shared" si="56"/>
        <v>0.19564867002906466</v>
      </c>
      <c r="H49" s="969">
        <f t="shared" si="56"/>
        <v>0.20624725706214594</v>
      </c>
      <c r="I49" s="969">
        <f t="shared" si="56"/>
        <v>0.20373062908313416</v>
      </c>
      <c r="J49" s="969">
        <f t="shared" si="56"/>
        <v>0.21574195073664046</v>
      </c>
      <c r="K49" s="969">
        <f t="shared" si="56"/>
        <v>0.22006975011588326</v>
      </c>
      <c r="L49" s="969">
        <f t="shared" si="56"/>
        <v>0.2209683737515637</v>
      </c>
      <c r="M49" s="969">
        <f t="shared" si="56"/>
        <v>0.2215898617681861</v>
      </c>
      <c r="N49" s="969">
        <f t="shared" si="56"/>
        <v>0.22231206923857569</v>
      </c>
      <c r="O49" s="969">
        <f t="shared" si="56"/>
        <v>0.22274012389246547</v>
      </c>
      <c r="P49" s="969">
        <f t="shared" si="56"/>
        <v>0.22285004820969509</v>
      </c>
      <c r="Q49" s="969">
        <f t="shared" si="56"/>
        <v>0.22265523737553472</v>
      </c>
      <c r="R49" s="806"/>
      <c r="S49" s="970"/>
      <c r="U49" s="942"/>
      <c r="V49" s="942"/>
      <c r="W49" s="942"/>
      <c r="X49" s="942"/>
      <c r="Y49" s="942"/>
      <c r="Z49" s="942"/>
      <c r="AA49" s="942"/>
      <c r="AB49" s="942"/>
      <c r="AC49" s="942"/>
      <c r="AD49" s="942"/>
      <c r="AE49" s="942"/>
      <c r="AF49" s="942"/>
      <c r="AG49" s="942"/>
      <c r="AH49" s="942"/>
    </row>
    <row r="50" spans="1:59" ht="18" customHeight="1" x14ac:dyDescent="0.3">
      <c r="B50" s="979" t="s">
        <v>296</v>
      </c>
      <c r="C50" s="980"/>
      <c r="D50" s="980"/>
      <c r="E50" s="980">
        <v>104642</v>
      </c>
      <c r="F50" s="980">
        <v>108194</v>
      </c>
      <c r="G50" s="980">
        <v>74094</v>
      </c>
      <c r="H50" s="980">
        <v>82590</v>
      </c>
      <c r="I50" s="980">
        <v>84194</v>
      </c>
      <c r="J50" s="980">
        <v>85905.775024999995</v>
      </c>
      <c r="K50" s="980">
        <v>91464.316522574009</v>
      </c>
      <c r="L50" s="980">
        <f>K50*'9. 추정 IS'!L122</f>
        <v>94208.24601825123</v>
      </c>
      <c r="M50" s="980">
        <f>L50*'9. 추정 IS'!M122</f>
        <v>97034.493398798775</v>
      </c>
      <c r="N50" s="980">
        <f>M50*'9. 추정 IS'!N122</f>
        <v>99945.528200762739</v>
      </c>
      <c r="O50" s="980">
        <f>N50*'9. 추정 IS'!O122</f>
        <v>102943.89404678563</v>
      </c>
      <c r="P50" s="980">
        <f>O50*'9. 추정 IS'!P122</f>
        <v>106032.2108681892</v>
      </c>
      <c r="Q50" s="980">
        <f>P50*'9. 추정 IS'!Q122</f>
        <v>109213.17719423487</v>
      </c>
      <c r="R50" s="975"/>
      <c r="S50" s="984" t="s">
        <v>8925</v>
      </c>
      <c r="U50" s="942"/>
      <c r="V50" s="942"/>
      <c r="W50" s="942"/>
      <c r="X50" s="942"/>
      <c r="Y50" s="942"/>
      <c r="Z50" s="942"/>
      <c r="AA50" s="942"/>
      <c r="AB50" s="942"/>
      <c r="AC50" s="942"/>
      <c r="AD50" s="942"/>
      <c r="AE50" s="942"/>
      <c r="AF50" s="942"/>
      <c r="AG50" s="942"/>
      <c r="AH50" s="942"/>
    </row>
    <row r="51" spans="1:59" s="988" customFormat="1" ht="18" customHeight="1" x14ac:dyDescent="0.3">
      <c r="B51" s="971" t="s">
        <v>628</v>
      </c>
      <c r="C51" s="969"/>
      <c r="D51" s="969"/>
      <c r="E51" s="969"/>
      <c r="F51" s="969">
        <f t="shared" ref="F51:Q51" si="57">(F50-E50)/E50</f>
        <v>3.3944305345845839E-2</v>
      </c>
      <c r="G51" s="969">
        <f t="shared" si="57"/>
        <v>-0.31517459378523766</v>
      </c>
      <c r="H51" s="969">
        <f t="shared" si="57"/>
        <v>0.11466515507328529</v>
      </c>
      <c r="I51" s="969">
        <f t="shared" si="57"/>
        <v>1.9421237437946482E-2</v>
      </c>
      <c r="J51" s="969">
        <f t="shared" si="57"/>
        <v>2.0331318443119407E-2</v>
      </c>
      <c r="K51" s="969">
        <f t="shared" si="57"/>
        <v>6.4705096903629425E-2</v>
      </c>
      <c r="L51" s="969">
        <f t="shared" si="57"/>
        <v>3.0000000000000009E-2</v>
      </c>
      <c r="M51" s="969">
        <f t="shared" si="57"/>
        <v>3.0000000000000093E-2</v>
      </c>
      <c r="N51" s="969">
        <f t="shared" si="57"/>
        <v>3.0000000000000009E-2</v>
      </c>
      <c r="O51" s="969">
        <f t="shared" si="57"/>
        <v>3.0000000000000086E-2</v>
      </c>
      <c r="P51" s="969">
        <f t="shared" si="57"/>
        <v>0.03</v>
      </c>
      <c r="Q51" s="969">
        <f t="shared" si="57"/>
        <v>2.9999999999999971E-2</v>
      </c>
      <c r="R51" s="806"/>
      <c r="S51" s="970"/>
      <c r="T51" s="806"/>
      <c r="U51" s="994"/>
      <c r="V51" s="942"/>
      <c r="W51" s="942"/>
      <c r="X51" s="942"/>
      <c r="Y51" s="942"/>
      <c r="Z51" s="942"/>
      <c r="AA51" s="942"/>
      <c r="AB51" s="942"/>
      <c r="AC51" s="942"/>
      <c r="AD51" s="942"/>
      <c r="AE51" s="942"/>
      <c r="AF51" s="942"/>
      <c r="AG51" s="942"/>
      <c r="AH51" s="942"/>
      <c r="AY51" s="798"/>
      <c r="AZ51" s="798"/>
      <c r="BA51" s="798"/>
      <c r="BB51" s="798"/>
      <c r="BC51" s="798"/>
      <c r="BD51" s="798"/>
      <c r="BE51" s="798"/>
      <c r="BF51" s="798"/>
      <c r="BG51" s="798"/>
    </row>
    <row r="52" spans="1:59" ht="18" customHeight="1" x14ac:dyDescent="0.3">
      <c r="B52" s="979" t="s">
        <v>298</v>
      </c>
      <c r="C52" s="980"/>
      <c r="D52" s="980"/>
      <c r="E52" s="980">
        <f t="shared" ref="E52:J52" si="58">SUM(E54:E59)</f>
        <v>517160</v>
      </c>
      <c r="F52" s="980">
        <f t="shared" si="58"/>
        <v>536543</v>
      </c>
      <c r="G52" s="980">
        <f t="shared" si="58"/>
        <v>555687</v>
      </c>
      <c r="H52" s="980">
        <f t="shared" si="58"/>
        <v>543872.01713040867</v>
      </c>
      <c r="I52" s="980">
        <f t="shared" si="58"/>
        <v>554985.01794660883</v>
      </c>
      <c r="J52" s="980">
        <f t="shared" si="58"/>
        <v>546024.55459137075</v>
      </c>
      <c r="K52" s="980">
        <f t="shared" ref="K52:Q52" si="59">SUM(K54:K59)</f>
        <v>542485.14324858482</v>
      </c>
      <c r="L52" s="980">
        <f t="shared" si="59"/>
        <v>535451.29527478293</v>
      </c>
      <c r="M52" s="980">
        <f t="shared" si="59"/>
        <v>532291.69195033901</v>
      </c>
      <c r="N52" s="980">
        <f t="shared" si="59"/>
        <v>528983.09053545003</v>
      </c>
      <c r="O52" s="980">
        <f t="shared" si="59"/>
        <v>525396.75266608794</v>
      </c>
      <c r="P52" s="980">
        <f t="shared" si="59"/>
        <v>522478.50859355705</v>
      </c>
      <c r="Q52" s="980">
        <f t="shared" si="59"/>
        <v>519664.31734933332</v>
      </c>
      <c r="R52" s="975"/>
      <c r="S52" s="984"/>
      <c r="U52" s="942"/>
      <c r="V52" s="942"/>
      <c r="W52" s="942"/>
      <c r="X52" s="942"/>
      <c r="Y52" s="942"/>
      <c r="Z52" s="942"/>
      <c r="AA52" s="942"/>
      <c r="AB52" s="942"/>
      <c r="AC52" s="942"/>
      <c r="AD52" s="942"/>
      <c r="AE52" s="942"/>
      <c r="AF52" s="942"/>
      <c r="AG52" s="942"/>
      <c r="AH52" s="942"/>
    </row>
    <row r="53" spans="1:59" s="988" customFormat="1" ht="18" customHeight="1" x14ac:dyDescent="0.3">
      <c r="B53" s="971" t="s">
        <v>629</v>
      </c>
      <c r="C53" s="969"/>
      <c r="D53" s="969"/>
      <c r="E53" s="969">
        <f t="shared" ref="E53:Q53" si="60">E52/E5</f>
        <v>0.11495524385288189</v>
      </c>
      <c r="F53" s="969">
        <f t="shared" si="60"/>
        <v>0.11707007417954216</v>
      </c>
      <c r="G53" s="969">
        <f t="shared" si="60"/>
        <v>0.11962319648526967</v>
      </c>
      <c r="H53" s="969">
        <f t="shared" si="60"/>
        <v>0.12969568221543762</v>
      </c>
      <c r="I53" s="969">
        <f t="shared" si="60"/>
        <v>0.1369868563544312</v>
      </c>
      <c r="J53" s="969">
        <f t="shared" si="60"/>
        <v>0.14425412471332272</v>
      </c>
      <c r="K53" s="969">
        <f t="shared" si="60"/>
        <v>0.14398563572153475</v>
      </c>
      <c r="L53" s="969">
        <f t="shared" si="60"/>
        <v>0.14349568945158031</v>
      </c>
      <c r="M53" s="969">
        <f t="shared" si="60"/>
        <v>0.14402378076047007</v>
      </c>
      <c r="N53" s="969">
        <f t="shared" si="60"/>
        <v>0.14450072420527382</v>
      </c>
      <c r="O53" s="969">
        <f t="shared" si="60"/>
        <v>0.14473624342597222</v>
      </c>
      <c r="P53" s="969">
        <f t="shared" si="60"/>
        <v>0.14488798989195223</v>
      </c>
      <c r="Q53" s="969">
        <f t="shared" si="60"/>
        <v>0.14475840601815765</v>
      </c>
      <c r="R53" s="806"/>
      <c r="S53" s="970"/>
      <c r="T53" s="806"/>
      <c r="U53" s="942"/>
      <c r="V53" s="942"/>
      <c r="W53" s="942"/>
      <c r="X53" s="942"/>
      <c r="Y53" s="942"/>
      <c r="Z53" s="942"/>
      <c r="AA53" s="942"/>
      <c r="AB53" s="942"/>
      <c r="AC53" s="942"/>
      <c r="AD53" s="942"/>
      <c r="AE53" s="942"/>
      <c r="AF53" s="942"/>
      <c r="AG53" s="942"/>
      <c r="AH53" s="942"/>
      <c r="AY53" s="798"/>
      <c r="AZ53" s="798"/>
      <c r="BA53" s="798"/>
      <c r="BB53" s="798"/>
      <c r="BC53" s="798"/>
      <c r="BD53" s="798"/>
      <c r="BE53" s="798"/>
      <c r="BF53" s="798"/>
      <c r="BG53" s="798"/>
    </row>
    <row r="54" spans="1:59" ht="18" customHeight="1" x14ac:dyDescent="0.3">
      <c r="B54" s="985" t="s">
        <v>8993</v>
      </c>
      <c r="C54" s="965"/>
      <c r="D54" s="965"/>
      <c r="E54" s="965">
        <v>84622</v>
      </c>
      <c r="F54" s="965">
        <v>80631</v>
      </c>
      <c r="G54" s="965">
        <v>77520</v>
      </c>
      <c r="H54" s="965">
        <v>74019</v>
      </c>
      <c r="I54" s="965">
        <v>67732</v>
      </c>
      <c r="J54" s="965">
        <v>66615.577915000002</v>
      </c>
      <c r="K54" s="965">
        <v>65664.713178818696</v>
      </c>
      <c r="L54" s="965">
        <f t="shared" ref="L54:Q54" si="61">K54/K$5*L$5</f>
        <v>65034.602358349657</v>
      </c>
      <c r="M54" s="965">
        <f t="shared" si="61"/>
        <v>64413.789736898638</v>
      </c>
      <c r="N54" s="965">
        <f t="shared" si="61"/>
        <v>63802.124008785628</v>
      </c>
      <c r="O54" s="965">
        <f t="shared" si="61"/>
        <v>63266.448922485128</v>
      </c>
      <c r="P54" s="965">
        <f t="shared" si="61"/>
        <v>62849.15090890701</v>
      </c>
      <c r="Q54" s="965">
        <f t="shared" si="61"/>
        <v>62566.588560574775</v>
      </c>
      <c r="R54" s="975"/>
      <c r="S54" s="973" t="s">
        <v>8932</v>
      </c>
      <c r="U54" s="942"/>
      <c r="V54" s="990">
        <f t="shared" ref="V54:AH54" si="62">E54/E$5</f>
        <v>1.8809928543040009E-2</v>
      </c>
      <c r="W54" s="990">
        <f t="shared" si="62"/>
        <v>1.759314193116053E-2</v>
      </c>
      <c r="X54" s="990">
        <f t="shared" si="62"/>
        <v>1.6687794012705183E-2</v>
      </c>
      <c r="Y54" s="990">
        <f t="shared" si="62"/>
        <v>1.7651109819100362E-2</v>
      </c>
      <c r="Z54" s="990">
        <f t="shared" si="62"/>
        <v>1.6718277889604113E-2</v>
      </c>
      <c r="AA54" s="990">
        <f t="shared" si="62"/>
        <v>1.7599157040825767E-2</v>
      </c>
      <c r="AB54" s="990">
        <f t="shared" si="62"/>
        <v>1.7428634846856916E-2</v>
      </c>
      <c r="AC54" s="990">
        <f t="shared" si="62"/>
        <v>1.7428634846856916E-2</v>
      </c>
      <c r="AD54" s="990">
        <f t="shared" si="62"/>
        <v>1.7428634846856916E-2</v>
      </c>
      <c r="AE54" s="990">
        <f t="shared" si="62"/>
        <v>1.7428634846856916E-2</v>
      </c>
      <c r="AF54" s="990">
        <f t="shared" si="62"/>
        <v>1.7428634846856916E-2</v>
      </c>
      <c r="AG54" s="990">
        <f t="shared" si="62"/>
        <v>1.7428634846856916E-2</v>
      </c>
      <c r="AH54" s="990">
        <f t="shared" si="62"/>
        <v>1.7428634846856916E-2</v>
      </c>
    </row>
    <row r="55" spans="1:59" ht="18" customHeight="1" x14ac:dyDescent="0.3">
      <c r="B55" s="985" t="s">
        <v>299</v>
      </c>
      <c r="C55" s="965"/>
      <c r="D55" s="965"/>
      <c r="E55" s="965">
        <v>323632</v>
      </c>
      <c r="F55" s="965">
        <v>354247</v>
      </c>
      <c r="G55" s="965">
        <f>378752-2768</f>
        <v>375984</v>
      </c>
      <c r="H55" s="965">
        <v>384028</v>
      </c>
      <c r="I55" s="965">
        <v>382578</v>
      </c>
      <c r="J55" s="965">
        <v>380133.15956499998</v>
      </c>
      <c r="K55" s="965">
        <v>377499.99999999988</v>
      </c>
      <c r="L55" s="965">
        <v>375500</v>
      </c>
      <c r="M55" s="965">
        <v>374500</v>
      </c>
      <c r="N55" s="965">
        <v>373500</v>
      </c>
      <c r="O55" s="965">
        <v>372500</v>
      </c>
      <c r="P55" s="965">
        <v>371500</v>
      </c>
      <c r="Q55" s="965">
        <v>370500</v>
      </c>
      <c r="R55" s="975"/>
      <c r="S55" s="973" t="s">
        <v>8933</v>
      </c>
      <c r="U55" s="942"/>
      <c r="V55" s="938"/>
      <c r="W55" s="938">
        <f t="shared" ref="W55:AH55" si="63">(F55-E55)/E55</f>
        <v>9.4598185593513615E-2</v>
      </c>
      <c r="X55" s="938">
        <f t="shared" si="63"/>
        <v>6.1361140673033221E-2</v>
      </c>
      <c r="Y55" s="938">
        <f t="shared" si="63"/>
        <v>2.1394527426699009E-2</v>
      </c>
      <c r="Z55" s="938">
        <f t="shared" si="63"/>
        <v>-3.7757663503702856E-3</v>
      </c>
      <c r="AA55" s="938">
        <f t="shared" si="63"/>
        <v>-6.3904365515006613E-3</v>
      </c>
      <c r="AB55" s="938">
        <f t="shared" si="63"/>
        <v>-6.9269399386607455E-3</v>
      </c>
      <c r="AC55" s="938">
        <f t="shared" si="63"/>
        <v>-5.2980132450328055E-3</v>
      </c>
      <c r="AD55" s="938">
        <f t="shared" si="63"/>
        <v>-2.6631158455392811E-3</v>
      </c>
      <c r="AE55" s="938">
        <f t="shared" si="63"/>
        <v>-2.6702269692923898E-3</v>
      </c>
      <c r="AF55" s="938">
        <f t="shared" si="63"/>
        <v>-2.6773761713520749E-3</v>
      </c>
      <c r="AG55" s="938">
        <f t="shared" si="63"/>
        <v>-2.6845637583892616E-3</v>
      </c>
      <c r="AH55" s="938">
        <f t="shared" si="63"/>
        <v>-2.6917900403768506E-3</v>
      </c>
    </row>
    <row r="56" spans="1:59" ht="18" customHeight="1" x14ac:dyDescent="0.3">
      <c r="B56" s="985" t="s">
        <v>300</v>
      </c>
      <c r="C56" s="965"/>
      <c r="D56" s="965"/>
      <c r="E56" s="965">
        <v>33983</v>
      </c>
      <c r="F56" s="965">
        <v>30458</v>
      </c>
      <c r="G56" s="965">
        <v>29956</v>
      </c>
      <c r="H56" s="965">
        <v>26237</v>
      </c>
      <c r="I56" s="965">
        <v>25823</v>
      </c>
      <c r="J56" s="965">
        <v>25116.099147000001</v>
      </c>
      <c r="K56" s="965">
        <v>25920.821294011552</v>
      </c>
      <c r="L56" s="965">
        <f t="shared" ref="L56:Q56" si="64">(L7+L9)*AVERAGE(I57:K57)/1.05</f>
        <v>22268.551627814217</v>
      </c>
      <c r="M56" s="965">
        <f t="shared" si="64"/>
        <v>21472.688039784087</v>
      </c>
      <c r="N56" s="965">
        <f t="shared" si="64"/>
        <v>20510.246332118677</v>
      </c>
      <c r="O56" s="965">
        <f t="shared" si="64"/>
        <v>19185.748159865601</v>
      </c>
      <c r="P56" s="965">
        <f t="shared" si="64"/>
        <v>18402.738791460888</v>
      </c>
      <c r="Q56" s="965">
        <f t="shared" si="64"/>
        <v>17580.920122955984</v>
      </c>
      <c r="R56" s="975"/>
      <c r="S56" s="973" t="s">
        <v>8927</v>
      </c>
      <c r="U56" s="942"/>
      <c r="V56" s="990">
        <f t="shared" ref="V56:AH56" si="65">E56/E$5</f>
        <v>7.55380163170486E-3</v>
      </c>
      <c r="W56" s="990">
        <f t="shared" si="65"/>
        <v>6.6457307603686845E-3</v>
      </c>
      <c r="X56" s="990">
        <f t="shared" si="65"/>
        <v>6.4486527018136801E-3</v>
      </c>
      <c r="Y56" s="990">
        <f t="shared" si="65"/>
        <v>6.2566661036184794E-3</v>
      </c>
      <c r="Z56" s="990">
        <f t="shared" si="65"/>
        <v>6.3738866406314156E-3</v>
      </c>
      <c r="AA56" s="990">
        <f t="shared" si="65"/>
        <v>6.635417525087204E-3</v>
      </c>
      <c r="AB56" s="990">
        <f t="shared" si="65"/>
        <v>6.8798675482478928E-3</v>
      </c>
      <c r="AC56" s="990">
        <f t="shared" si="65"/>
        <v>5.9677531777777753E-3</v>
      </c>
      <c r="AD56" s="990">
        <f t="shared" si="65"/>
        <v>5.8099304598358409E-3</v>
      </c>
      <c r="AE56" s="990">
        <f t="shared" si="65"/>
        <v>5.6027224719408936E-3</v>
      </c>
      <c r="AF56" s="990">
        <f t="shared" si="65"/>
        <v>5.285287931234184E-3</v>
      </c>
      <c r="AG56" s="990">
        <f t="shared" si="65"/>
        <v>5.1032449912224052E-3</v>
      </c>
      <c r="AH56" s="990">
        <f t="shared" si="65"/>
        <v>4.8973652574664803E-3</v>
      </c>
    </row>
    <row r="57" spans="1:59" ht="18" customHeight="1" x14ac:dyDescent="0.3">
      <c r="B57" s="969" t="s">
        <v>8928</v>
      </c>
      <c r="C57" s="971"/>
      <c r="D57" s="971"/>
      <c r="E57" s="971"/>
      <c r="F57" s="971"/>
      <c r="G57" s="971"/>
      <c r="H57" s="969">
        <f t="shared" ref="H57:Q57" si="66">H56/(H7+H9)</f>
        <v>1.7130408726167144E-2</v>
      </c>
      <c r="I57" s="969">
        <f t="shared" si="66"/>
        <v>1.7946608797191777E-2</v>
      </c>
      <c r="J57" s="969">
        <f t="shared" si="66"/>
        <v>1.8871370819920994E-2</v>
      </c>
      <c r="K57" s="969">
        <f t="shared" si="66"/>
        <v>1.9976777368967136E-2</v>
      </c>
      <c r="L57" s="969">
        <f t="shared" si="66"/>
        <v>1.803008158288251E-2</v>
      </c>
      <c r="M57" s="969">
        <f t="shared" si="66"/>
        <v>1.8056580879927182E-2</v>
      </c>
      <c r="N57" s="969">
        <f t="shared" si="66"/>
        <v>1.7797917406913277E-2</v>
      </c>
      <c r="O57" s="969">
        <f t="shared" si="66"/>
        <v>1.7106215831658084E-2</v>
      </c>
      <c r="P57" s="969">
        <f t="shared" si="66"/>
        <v>1.6812925116983665E-2</v>
      </c>
      <c r="Q57" s="969">
        <f t="shared" si="66"/>
        <v>1.6418113763668262E-2</v>
      </c>
      <c r="R57" s="806"/>
      <c r="S57" s="970"/>
      <c r="U57" s="942"/>
      <c r="V57" s="990"/>
      <c r="W57" s="990"/>
      <c r="X57" s="990"/>
      <c r="Y57" s="990"/>
      <c r="Z57" s="990"/>
      <c r="AA57" s="990"/>
      <c r="AB57" s="990"/>
      <c r="AC57" s="990"/>
      <c r="AD57" s="990"/>
      <c r="AE57" s="990"/>
      <c r="AF57" s="990"/>
      <c r="AG57" s="990"/>
      <c r="AH57" s="990"/>
    </row>
    <row r="58" spans="1:59" ht="18" customHeight="1" x14ac:dyDescent="0.3">
      <c r="B58" s="985" t="s">
        <v>301</v>
      </c>
      <c r="C58" s="965"/>
      <c r="D58" s="965"/>
      <c r="E58" s="965">
        <v>20017</v>
      </c>
      <c r="F58" s="965">
        <v>19704</v>
      </c>
      <c r="G58" s="965">
        <v>20564</v>
      </c>
      <c r="H58" s="965">
        <v>23412</v>
      </c>
      <c r="I58" s="965">
        <v>36946</v>
      </c>
      <c r="J58" s="965">
        <v>35515.311297</v>
      </c>
      <c r="K58" s="965">
        <v>35025.582193687129</v>
      </c>
      <c r="L58" s="965">
        <f t="shared" ref="L58:Q59" si="67">K58*(K58/J58)</f>
        <v>34542.6060818552</v>
      </c>
      <c r="M58" s="965">
        <f t="shared" si="67"/>
        <v>34066.289842893057</v>
      </c>
      <c r="N58" s="965">
        <f t="shared" si="67"/>
        <v>33596.5416422243</v>
      </c>
      <c r="O58" s="965">
        <f t="shared" si="67"/>
        <v>33133.270911601423</v>
      </c>
      <c r="P58" s="965">
        <f t="shared" si="67"/>
        <v>32676.388331644095</v>
      </c>
      <c r="Q58" s="965">
        <f t="shared" si="67"/>
        <v>32225.805814618234</v>
      </c>
      <c r="R58" s="975"/>
      <c r="S58" s="973" t="s">
        <v>8926</v>
      </c>
      <c r="U58" s="942"/>
      <c r="V58" s="990"/>
      <c r="W58" s="938">
        <f t="shared" ref="W58:AH59" si="68">(F58-E58)/E58</f>
        <v>-1.5636708797522107E-2</v>
      </c>
      <c r="X58" s="938">
        <f t="shared" si="68"/>
        <v>4.3645960211124643E-2</v>
      </c>
      <c r="Y58" s="938">
        <f t="shared" si="68"/>
        <v>0.13849445633145302</v>
      </c>
      <c r="Z58" s="938">
        <f t="shared" si="68"/>
        <v>0.57807961729027846</v>
      </c>
      <c r="AA58" s="938">
        <f t="shared" si="68"/>
        <v>-3.8723778027391326E-2</v>
      </c>
      <c r="AB58" s="938">
        <f t="shared" si="68"/>
        <v>-1.37892386530831E-2</v>
      </c>
      <c r="AC58" s="938">
        <f t="shared" si="68"/>
        <v>-1.3789238653083088E-2</v>
      </c>
      <c r="AD58" s="938">
        <f t="shared" si="68"/>
        <v>-1.3789238653083154E-2</v>
      </c>
      <c r="AE58" s="938">
        <f t="shared" si="68"/>
        <v>-1.3789238653083211E-2</v>
      </c>
      <c r="AF58" s="938">
        <f t="shared" si="68"/>
        <v>-1.3789238653083144E-2</v>
      </c>
      <c r="AG58" s="938">
        <f t="shared" si="68"/>
        <v>-1.3789238653083086E-2</v>
      </c>
      <c r="AH58" s="938">
        <f t="shared" si="68"/>
        <v>-1.378923865308313E-2</v>
      </c>
    </row>
    <row r="59" spans="1:59" s="822" customFormat="1" ht="18" customHeight="1" x14ac:dyDescent="0.3">
      <c r="B59" s="985" t="s">
        <v>302</v>
      </c>
      <c r="C59" s="965"/>
      <c r="D59" s="965"/>
      <c r="E59" s="965">
        <v>54906</v>
      </c>
      <c r="F59" s="965">
        <v>51503</v>
      </c>
      <c r="G59" s="965">
        <v>51663</v>
      </c>
      <c r="H59" s="965">
        <v>36176</v>
      </c>
      <c r="I59" s="965">
        <v>41906</v>
      </c>
      <c r="J59" s="965">
        <v>38644.387795999995</v>
      </c>
      <c r="K59" s="965">
        <v>38374.006605290109</v>
      </c>
      <c r="L59" s="965">
        <f t="shared" si="67"/>
        <v>38105.517176682282</v>
      </c>
      <c r="M59" s="965">
        <f t="shared" si="67"/>
        <v>37838.906274182395</v>
      </c>
      <c r="N59" s="965">
        <f t="shared" si="67"/>
        <v>37574.160754403914</v>
      </c>
      <c r="O59" s="965">
        <f t="shared" si="67"/>
        <v>37311.267565919974</v>
      </c>
      <c r="P59" s="965">
        <f t="shared" si="67"/>
        <v>37050.213748619943</v>
      </c>
      <c r="Q59" s="965">
        <f t="shared" si="67"/>
        <v>36790.986433070531</v>
      </c>
      <c r="R59" s="975"/>
      <c r="S59" s="973" t="s">
        <v>8926</v>
      </c>
      <c r="T59" s="823"/>
      <c r="U59" s="946"/>
      <c r="V59" s="990"/>
      <c r="W59" s="938">
        <f>(F59-E59)/E59</f>
        <v>-6.1978654427567115E-2</v>
      </c>
      <c r="X59" s="938">
        <f>(G59-F59)/F59</f>
        <v>3.1066151486321184E-3</v>
      </c>
      <c r="Y59" s="938">
        <f>(H59-G59)/G59</f>
        <v>-0.29976966107272129</v>
      </c>
      <c r="Z59" s="938">
        <f t="shared" si="68"/>
        <v>0.15839230429013712</v>
      </c>
      <c r="AA59" s="938">
        <f t="shared" si="68"/>
        <v>-7.7831628024626648E-2</v>
      </c>
      <c r="AB59" s="990">
        <v>0.02</v>
      </c>
      <c r="AC59" s="990">
        <f t="shared" ref="AC59:AH59" si="69">AB59</f>
        <v>0.02</v>
      </c>
      <c r="AD59" s="990">
        <f t="shared" si="69"/>
        <v>0.02</v>
      </c>
      <c r="AE59" s="990">
        <f t="shared" si="69"/>
        <v>0.02</v>
      </c>
      <c r="AF59" s="990">
        <f t="shared" si="69"/>
        <v>0.02</v>
      </c>
      <c r="AG59" s="990">
        <f t="shared" si="69"/>
        <v>0.02</v>
      </c>
      <c r="AH59" s="990">
        <f t="shared" si="69"/>
        <v>0.02</v>
      </c>
      <c r="AY59" s="798"/>
      <c r="AZ59" s="798"/>
      <c r="BA59" s="798"/>
      <c r="BB59" s="798"/>
      <c r="BC59" s="798"/>
      <c r="BD59" s="798"/>
      <c r="BE59" s="798"/>
      <c r="BF59" s="798"/>
      <c r="BG59" s="798"/>
    </row>
    <row r="60" spans="1:59" ht="18" customHeight="1" x14ac:dyDescent="0.3">
      <c r="B60" s="980" t="s">
        <v>303</v>
      </c>
      <c r="C60" s="980"/>
      <c r="D60" s="980"/>
      <c r="E60" s="980">
        <f t="shared" ref="E60:Q60" si="70">SUM(E61:E63)</f>
        <v>15719</v>
      </c>
      <c r="F60" s="980">
        <f t="shared" si="70"/>
        <v>16977</v>
      </c>
      <c r="G60" s="980">
        <f t="shared" si="70"/>
        <v>17022</v>
      </c>
      <c r="H60" s="980">
        <f t="shared" si="70"/>
        <v>17258</v>
      </c>
      <c r="I60" s="980">
        <f t="shared" si="70"/>
        <v>15041</v>
      </c>
      <c r="J60" s="980">
        <f t="shared" si="70"/>
        <v>15120.221912000001</v>
      </c>
      <c r="K60" s="980">
        <f t="shared" si="70"/>
        <v>16323.590060885699</v>
      </c>
      <c r="L60" s="980">
        <f t="shared" si="70"/>
        <v>16071.104309590364</v>
      </c>
      <c r="M60" s="980">
        <f t="shared" si="70"/>
        <v>16008.559232541316</v>
      </c>
      <c r="N60" s="980">
        <f t="shared" si="70"/>
        <v>15956.577149117509</v>
      </c>
      <c r="O60" s="980">
        <f t="shared" si="70"/>
        <v>15895.776346999315</v>
      </c>
      <c r="P60" s="980">
        <f t="shared" si="70"/>
        <v>15835.571155282229</v>
      </c>
      <c r="Q60" s="980">
        <f t="shared" si="70"/>
        <v>15776.457767560014</v>
      </c>
      <c r="R60" s="975"/>
      <c r="S60" s="982"/>
      <c r="U60" s="942"/>
      <c r="V60" s="942"/>
      <c r="W60" s="942"/>
      <c r="X60" s="942"/>
      <c r="Y60" s="942"/>
      <c r="Z60" s="942"/>
      <c r="AA60" s="942"/>
      <c r="AB60" s="942"/>
      <c r="AC60" s="942"/>
      <c r="AD60" s="942"/>
      <c r="AE60" s="942"/>
      <c r="AF60" s="942"/>
      <c r="AG60" s="942"/>
      <c r="AH60" s="942"/>
    </row>
    <row r="61" spans="1:59" ht="18" hidden="1" customHeight="1" outlineLevel="1" x14ac:dyDescent="0.3">
      <c r="A61" s="800"/>
      <c r="B61" s="965" t="s">
        <v>304</v>
      </c>
      <c r="C61" s="965"/>
      <c r="D61" s="965"/>
      <c r="E61" s="965">
        <v>15719</v>
      </c>
      <c r="F61" s="965">
        <f>16424.4+552.6</f>
        <v>16977</v>
      </c>
      <c r="G61" s="965">
        <f>15540.9+1481.1</f>
        <v>17022</v>
      </c>
      <c r="H61" s="965">
        <f>15050.6+2207.4</f>
        <v>17258</v>
      </c>
      <c r="I61" s="965">
        <f>15041</f>
        <v>15041</v>
      </c>
      <c r="J61" s="965">
        <f>15120.221912</f>
        <v>15120.221912000001</v>
      </c>
      <c r="K61" s="965">
        <f>16323.5900608857</f>
        <v>16323.590060885699</v>
      </c>
      <c r="L61" s="965">
        <f t="shared" ref="L61:Q61" si="71">K61-K132+L132</f>
        <v>16071.104309590364</v>
      </c>
      <c r="M61" s="965">
        <f t="shared" si="71"/>
        <v>16008.559232541316</v>
      </c>
      <c r="N61" s="965">
        <f t="shared" si="71"/>
        <v>15956.577149117509</v>
      </c>
      <c r="O61" s="965">
        <f t="shared" si="71"/>
        <v>15895.776346999315</v>
      </c>
      <c r="P61" s="965">
        <f t="shared" si="71"/>
        <v>15835.571155282229</v>
      </c>
      <c r="Q61" s="965">
        <f t="shared" si="71"/>
        <v>15776.457767560014</v>
      </c>
      <c r="R61" s="975"/>
      <c r="S61" s="974"/>
      <c r="U61" s="942"/>
      <c r="V61" s="942"/>
      <c r="W61" s="942"/>
      <c r="X61" s="942"/>
      <c r="Y61" s="942"/>
      <c r="Z61" s="942"/>
      <c r="AA61" s="942"/>
      <c r="AB61" s="942"/>
      <c r="AC61" s="942"/>
      <c r="AD61" s="942"/>
      <c r="AE61" s="942"/>
      <c r="AF61" s="942"/>
      <c r="AG61" s="942"/>
      <c r="AH61" s="942"/>
    </row>
    <row r="62" spans="1:59" ht="18" hidden="1" customHeight="1" outlineLevel="1" x14ac:dyDescent="0.3">
      <c r="A62" s="800"/>
      <c r="B62" s="965" t="s">
        <v>244</v>
      </c>
      <c r="C62" s="965"/>
      <c r="D62" s="965"/>
      <c r="E62" s="965"/>
      <c r="F62" s="965"/>
      <c r="G62" s="965"/>
      <c r="H62" s="965"/>
      <c r="I62" s="965"/>
      <c r="J62" s="965"/>
      <c r="K62" s="965"/>
      <c r="L62" s="965"/>
      <c r="M62" s="965"/>
      <c r="N62" s="965"/>
      <c r="O62" s="965"/>
      <c r="P62" s="965"/>
      <c r="Q62" s="965"/>
      <c r="R62" s="975"/>
      <c r="S62" s="974"/>
      <c r="U62" s="942"/>
      <c r="V62" s="942"/>
      <c r="W62" s="942"/>
      <c r="X62" s="942"/>
      <c r="Y62" s="942"/>
      <c r="Z62" s="942"/>
      <c r="AA62" s="942"/>
      <c r="AB62" s="942"/>
      <c r="AC62" s="942"/>
      <c r="AD62" s="942"/>
      <c r="AE62" s="942"/>
      <c r="AF62" s="942"/>
      <c r="AG62" s="942"/>
      <c r="AH62" s="942"/>
    </row>
    <row r="63" spans="1:59" ht="18" hidden="1" customHeight="1" outlineLevel="1" x14ac:dyDescent="0.3">
      <c r="A63" s="800"/>
      <c r="B63" s="965" t="s">
        <v>248</v>
      </c>
      <c r="C63" s="965"/>
      <c r="D63" s="965"/>
      <c r="E63" s="965"/>
      <c r="F63" s="965">
        <v>0</v>
      </c>
      <c r="G63" s="965">
        <v>0</v>
      </c>
      <c r="H63" s="965">
        <v>0</v>
      </c>
      <c r="I63" s="965">
        <v>0</v>
      </c>
      <c r="J63" s="965"/>
      <c r="K63" s="965">
        <f t="shared" ref="K63:Q63" si="72">K136</f>
        <v>0</v>
      </c>
      <c r="L63" s="965">
        <f t="shared" si="72"/>
        <v>0</v>
      </c>
      <c r="M63" s="965">
        <f t="shared" si="72"/>
        <v>0</v>
      </c>
      <c r="N63" s="965">
        <f t="shared" si="72"/>
        <v>0</v>
      </c>
      <c r="O63" s="965">
        <f t="shared" si="72"/>
        <v>0</v>
      </c>
      <c r="P63" s="965">
        <f t="shared" si="72"/>
        <v>0</v>
      </c>
      <c r="Q63" s="965">
        <f t="shared" si="72"/>
        <v>0</v>
      </c>
      <c r="R63" s="975"/>
      <c r="S63" s="974"/>
      <c r="U63" s="942"/>
      <c r="V63" s="942"/>
      <c r="W63" s="942"/>
      <c r="X63" s="942"/>
      <c r="Y63" s="942"/>
      <c r="Z63" s="942"/>
      <c r="AA63" s="942"/>
      <c r="AB63" s="942"/>
      <c r="AC63" s="942"/>
      <c r="AD63" s="942"/>
      <c r="AE63" s="942"/>
      <c r="AF63" s="942"/>
      <c r="AG63" s="942"/>
      <c r="AH63" s="942"/>
    </row>
    <row r="64" spans="1:59" ht="18" customHeight="1" collapsed="1" x14ac:dyDescent="0.3">
      <c r="B64" s="980" t="s">
        <v>305</v>
      </c>
      <c r="C64" s="980"/>
      <c r="D64" s="980"/>
      <c r="E64" s="980">
        <f t="shared" ref="E64:Q64" si="73">SUM(E66:E69)</f>
        <v>63736</v>
      </c>
      <c r="F64" s="980">
        <f t="shared" si="73"/>
        <v>89189</v>
      </c>
      <c r="G64" s="980">
        <f t="shared" si="73"/>
        <v>71935</v>
      </c>
      <c r="H64" s="980">
        <f t="shared" si="73"/>
        <v>74544</v>
      </c>
      <c r="I64" s="980">
        <f t="shared" si="73"/>
        <v>70103</v>
      </c>
      <c r="J64" s="980">
        <f t="shared" si="73"/>
        <v>70139.225880999991</v>
      </c>
      <c r="K64" s="980">
        <f t="shared" si="73"/>
        <v>73117.948845367646</v>
      </c>
      <c r="L64" s="980">
        <f t="shared" si="73"/>
        <v>72469.624514196272</v>
      </c>
      <c r="M64" s="980">
        <f t="shared" si="73"/>
        <v>71883.434043082161</v>
      </c>
      <c r="N64" s="980">
        <f t="shared" si="73"/>
        <v>71357.727354179864</v>
      </c>
      <c r="O64" s="980">
        <f t="shared" si="73"/>
        <v>70966.046541197225</v>
      </c>
      <c r="P64" s="980">
        <f t="shared" si="73"/>
        <v>70755.540442548401</v>
      </c>
      <c r="Q64" s="980">
        <f t="shared" si="73"/>
        <v>70745.135316332948</v>
      </c>
      <c r="R64" s="975"/>
      <c r="S64" s="982"/>
      <c r="U64" s="942"/>
      <c r="V64" s="942"/>
      <c r="W64" s="942"/>
      <c r="X64" s="942"/>
      <c r="Y64" s="942"/>
      <c r="Z64" s="942"/>
      <c r="AA64" s="942"/>
      <c r="AB64" s="942"/>
      <c r="AC64" s="942"/>
      <c r="AD64" s="942"/>
      <c r="AE64" s="942"/>
      <c r="AF64" s="942"/>
      <c r="AG64" s="942"/>
      <c r="AH64" s="942"/>
    </row>
    <row r="65" spans="2:59" s="988" customFormat="1" ht="18" customHeight="1" x14ac:dyDescent="0.3">
      <c r="B65" s="971" t="s">
        <v>629</v>
      </c>
      <c r="C65" s="969"/>
      <c r="D65" s="969"/>
      <c r="E65" s="969">
        <f t="shared" ref="E65:Q65" si="74">E64/E5</f>
        <v>1.4167351346212546E-2</v>
      </c>
      <c r="F65" s="969">
        <f t="shared" si="74"/>
        <v>1.9460439975918398E-2</v>
      </c>
      <c r="G65" s="969">
        <f>G64/G5</f>
        <v>1.5485506479669084E-2</v>
      </c>
      <c r="H65" s="969">
        <f t="shared" si="74"/>
        <v>1.7776305142666309E-2</v>
      </c>
      <c r="I65" s="969">
        <f t="shared" si="74"/>
        <v>1.7303511411074782E-2</v>
      </c>
      <c r="J65" s="969">
        <f t="shared" si="74"/>
        <v>1.8530068936378902E-2</v>
      </c>
      <c r="K65" s="969">
        <f t="shared" si="74"/>
        <v>1.940686206466426E-2</v>
      </c>
      <c r="L65" s="969">
        <f t="shared" si="74"/>
        <v>1.9421147778949977E-2</v>
      </c>
      <c r="M65" s="969">
        <f t="shared" si="74"/>
        <v>1.9449719207521404E-2</v>
      </c>
      <c r="N65" s="969">
        <f t="shared" si="74"/>
        <v>1.949257635037855E-2</v>
      </c>
      <c r="O65" s="969">
        <f t="shared" si="74"/>
        <v>1.954971920752141E-2</v>
      </c>
      <c r="P65" s="969">
        <f t="shared" si="74"/>
        <v>1.9621147778949979E-2</v>
      </c>
      <c r="Q65" s="969">
        <f t="shared" si="74"/>
        <v>1.9706862064664266E-2</v>
      </c>
      <c r="R65" s="806"/>
      <c r="S65" s="970"/>
      <c r="T65" s="806"/>
      <c r="U65" s="942"/>
      <c r="V65" s="942"/>
      <c r="W65" s="942"/>
      <c r="X65" s="942"/>
      <c r="Y65" s="942"/>
      <c r="Z65" s="942"/>
      <c r="AA65" s="942"/>
      <c r="AB65" s="942"/>
      <c r="AC65" s="942"/>
      <c r="AD65" s="942"/>
      <c r="AE65" s="942"/>
      <c r="AF65" s="942"/>
      <c r="AG65" s="942"/>
      <c r="AH65" s="942"/>
      <c r="AY65" s="798"/>
      <c r="AZ65" s="798"/>
      <c r="BA65" s="798"/>
      <c r="BB65" s="798"/>
      <c r="BC65" s="798"/>
      <c r="BD65" s="798"/>
      <c r="BE65" s="798"/>
      <c r="BF65" s="798"/>
      <c r="BG65" s="798"/>
    </row>
    <row r="66" spans="2:59" ht="18" customHeight="1" x14ac:dyDescent="0.3">
      <c r="B66" s="965" t="s">
        <v>306</v>
      </c>
      <c r="C66" s="965"/>
      <c r="D66" s="965"/>
      <c r="E66" s="965">
        <v>19823</v>
      </c>
      <c r="F66" s="965">
        <v>23767</v>
      </c>
      <c r="G66" s="965">
        <v>27310</v>
      </c>
      <c r="H66" s="965">
        <v>22445</v>
      </c>
      <c r="I66" s="965">
        <v>23736</v>
      </c>
      <c r="J66" s="965">
        <v>17215.280611999999</v>
      </c>
      <c r="K66" s="965">
        <v>22488.930935500717</v>
      </c>
      <c r="L66" s="965">
        <f t="shared" ref="L66:Q66" si="75">K66/K$5*L$5</f>
        <v>22273.129814362019</v>
      </c>
      <c r="M66" s="965">
        <f t="shared" si="75"/>
        <v>22060.513151746298</v>
      </c>
      <c r="N66" s="965">
        <f t="shared" si="75"/>
        <v>21851.029128299997</v>
      </c>
      <c r="O66" s="965">
        <f t="shared" si="75"/>
        <v>21667.570472402509</v>
      </c>
      <c r="P66" s="965">
        <f t="shared" si="75"/>
        <v>21524.653740529735</v>
      </c>
      <c r="Q66" s="965">
        <f t="shared" si="75"/>
        <v>21427.881443370501</v>
      </c>
      <c r="R66" s="975"/>
      <c r="S66" s="973" t="s">
        <v>8926</v>
      </c>
      <c r="U66" s="942"/>
      <c r="V66" s="942"/>
      <c r="W66" s="942"/>
      <c r="X66" s="942"/>
      <c r="Y66" s="942"/>
      <c r="Z66" s="942"/>
      <c r="AA66" s="942"/>
      <c r="AB66" s="942"/>
      <c r="AC66" s="942"/>
      <c r="AD66" s="942"/>
      <c r="AE66" s="942"/>
      <c r="AF66" s="942"/>
      <c r="AG66" s="942"/>
      <c r="AH66" s="942"/>
    </row>
    <row r="67" spans="2:59" ht="18" customHeight="1" x14ac:dyDescent="0.3">
      <c r="B67" s="965" t="s">
        <v>307</v>
      </c>
      <c r="C67" s="965"/>
      <c r="D67" s="965"/>
      <c r="E67" s="965">
        <v>20001</v>
      </c>
      <c r="F67" s="965">
        <v>30242</v>
      </c>
      <c r="G67" s="965">
        <v>24413</v>
      </c>
      <c r="H67" s="965">
        <v>23638</v>
      </c>
      <c r="I67" s="965">
        <v>16605</v>
      </c>
      <c r="J67" s="965">
        <v>19366.643131000001</v>
      </c>
      <c r="K67" s="965">
        <v>17701.910434090158</v>
      </c>
      <c r="L67" s="965">
        <f>(K67/K$5+0.01%*(L3-$K$3)/7)*L$5</f>
        <v>17585.351852589905</v>
      </c>
      <c r="M67" s="965">
        <f t="shared" ref="M67:Q67" si="76">(L67/L$5+0.01%*(M3-$K$3)/7)*M$5</f>
        <v>17523.080156280299</v>
      </c>
      <c r="N67" s="965">
        <f t="shared" si="76"/>
        <v>17513.572957835928</v>
      </c>
      <c r="O67" s="965">
        <f t="shared" si="76"/>
        <v>17573.961296172871</v>
      </c>
      <c r="P67" s="965">
        <f t="shared" si="76"/>
        <v>17715.623076281405</v>
      </c>
      <c r="Q67" s="965">
        <f t="shared" si="76"/>
        <v>17943.679144682279</v>
      </c>
      <c r="R67" s="975"/>
      <c r="S67" s="973" t="s">
        <v>8926</v>
      </c>
      <c r="U67" s="942"/>
      <c r="V67" s="990">
        <f t="shared" ref="V67:AH67" si="77">E67/E$5</f>
        <v>4.4458578240805374E-3</v>
      </c>
      <c r="W67" s="990">
        <f t="shared" si="77"/>
        <v>6.5986010130366325E-3</v>
      </c>
      <c r="X67" s="990">
        <f t="shared" si="77"/>
        <v>5.2554065432426685E-3</v>
      </c>
      <c r="Y67" s="990">
        <f t="shared" si="77"/>
        <v>5.6368896351463053E-3</v>
      </c>
      <c r="Z67" s="990">
        <f t="shared" si="77"/>
        <v>4.0986092889162629E-3</v>
      </c>
      <c r="AA67" s="990">
        <f t="shared" si="77"/>
        <v>5.1164698180806685E-3</v>
      </c>
      <c r="AB67" s="990">
        <f t="shared" si="77"/>
        <v>4.6984159088209092E-3</v>
      </c>
      <c r="AC67" s="990">
        <f t="shared" si="77"/>
        <v>4.7127016231066233E-3</v>
      </c>
      <c r="AD67" s="990">
        <f t="shared" si="77"/>
        <v>4.7412730516780514E-3</v>
      </c>
      <c r="AE67" s="990">
        <f t="shared" si="77"/>
        <v>4.7841301945351954E-3</v>
      </c>
      <c r="AF67" s="990">
        <f t="shared" si="77"/>
        <v>4.8412730516780526E-3</v>
      </c>
      <c r="AG67" s="990">
        <f t="shared" si="77"/>
        <v>4.9127016231066238E-3</v>
      </c>
      <c r="AH67" s="990">
        <f t="shared" si="77"/>
        <v>4.9984159088209091E-3</v>
      </c>
    </row>
    <row r="68" spans="2:59" ht="18" customHeight="1" x14ac:dyDescent="0.3">
      <c r="B68" s="965" t="s">
        <v>308</v>
      </c>
      <c r="C68" s="965"/>
      <c r="D68" s="965"/>
      <c r="E68" s="965">
        <v>0</v>
      </c>
      <c r="F68" s="965">
        <v>0</v>
      </c>
      <c r="G68" s="965">
        <v>0</v>
      </c>
      <c r="H68" s="965">
        <v>0</v>
      </c>
      <c r="I68" s="965">
        <v>0</v>
      </c>
      <c r="J68" s="965">
        <v>0</v>
      </c>
      <c r="K68" s="965">
        <v>0</v>
      </c>
      <c r="L68" s="965">
        <v>0</v>
      </c>
      <c r="M68" s="965">
        <v>0</v>
      </c>
      <c r="N68" s="965">
        <v>0</v>
      </c>
      <c r="O68" s="965">
        <v>0</v>
      </c>
      <c r="P68" s="965">
        <v>0</v>
      </c>
      <c r="Q68" s="965">
        <v>0</v>
      </c>
      <c r="R68" s="975"/>
      <c r="S68" s="974"/>
      <c r="U68" s="942"/>
      <c r="V68" s="990"/>
      <c r="W68" s="990"/>
      <c r="X68" s="990"/>
      <c r="Y68" s="990"/>
      <c r="Z68" s="990"/>
      <c r="AA68" s="990"/>
      <c r="AB68" s="990"/>
      <c r="AC68" s="990"/>
      <c r="AD68" s="990"/>
      <c r="AE68" s="990"/>
      <c r="AF68" s="990"/>
      <c r="AG68" s="990"/>
      <c r="AH68" s="990"/>
    </row>
    <row r="69" spans="2:59" s="822" customFormat="1" ht="18" customHeight="1" x14ac:dyDescent="0.3">
      <c r="B69" s="973" t="s">
        <v>309</v>
      </c>
      <c r="C69" s="965"/>
      <c r="D69" s="965"/>
      <c r="E69" s="965">
        <v>23912</v>
      </c>
      <c r="F69" s="965">
        <v>35180</v>
      </c>
      <c r="G69" s="965">
        <v>20212</v>
      </c>
      <c r="H69" s="965">
        <v>28461</v>
      </c>
      <c r="I69" s="965">
        <v>29762</v>
      </c>
      <c r="J69" s="965">
        <v>33557.302137999999</v>
      </c>
      <c r="K69" s="965">
        <v>32927.107475776778</v>
      </c>
      <c r="L69" s="965">
        <f t="shared" ref="L69:Q69" si="78">K69/K$5*L$5</f>
        <v>32611.142847244344</v>
      </c>
      <c r="M69" s="965">
        <f t="shared" si="78"/>
        <v>32299.840735055568</v>
      </c>
      <c r="N69" s="965">
        <f t="shared" si="78"/>
        <v>31993.125268043936</v>
      </c>
      <c r="O69" s="965">
        <f t="shared" si="78"/>
        <v>31724.514772621838</v>
      </c>
      <c r="P69" s="965">
        <f t="shared" si="78"/>
        <v>31515.263625737258</v>
      </c>
      <c r="Q69" s="965">
        <f t="shared" si="78"/>
        <v>31373.57472828016</v>
      </c>
      <c r="R69" s="975"/>
      <c r="S69" s="974"/>
      <c r="T69" s="823"/>
      <c r="U69" s="946"/>
      <c r="V69" s="990">
        <f t="shared" ref="V69:AH69" si="79">E69/E$5</f>
        <v>5.3152018543779714E-3</v>
      </c>
      <c r="W69" s="990">
        <f t="shared" si="79"/>
        <v>7.6760394034332624E-3</v>
      </c>
      <c r="X69" s="990">
        <f t="shared" si="79"/>
        <v>4.3510538259132758E-3</v>
      </c>
      <c r="Y69" s="990">
        <f t="shared" si="79"/>
        <v>6.7870173409721214E-3</v>
      </c>
      <c r="Z69" s="990">
        <f t="shared" si="79"/>
        <v>7.3461493319316963E-3</v>
      </c>
      <c r="AA69" s="990">
        <f t="shared" si="79"/>
        <v>8.8654973607925087E-3</v>
      </c>
      <c r="AB69" s="990">
        <f t="shared" si="79"/>
        <v>8.7394660690247143E-3</v>
      </c>
      <c r="AC69" s="990">
        <f t="shared" si="79"/>
        <v>8.7394660690247143E-3</v>
      </c>
      <c r="AD69" s="990">
        <f t="shared" si="79"/>
        <v>8.7394660690247143E-3</v>
      </c>
      <c r="AE69" s="990">
        <f t="shared" si="79"/>
        <v>8.7394660690247143E-3</v>
      </c>
      <c r="AF69" s="990">
        <f t="shared" si="79"/>
        <v>8.7394660690247143E-3</v>
      </c>
      <c r="AG69" s="990">
        <f t="shared" si="79"/>
        <v>8.7394660690247143E-3</v>
      </c>
      <c r="AH69" s="990">
        <f t="shared" si="79"/>
        <v>8.7394660690247143E-3</v>
      </c>
      <c r="AY69" s="798"/>
      <c r="AZ69" s="798"/>
      <c r="BA69" s="798"/>
      <c r="BB69" s="798"/>
      <c r="BC69" s="798"/>
      <c r="BD69" s="798"/>
      <c r="BE69" s="798"/>
      <c r="BF69" s="798"/>
      <c r="BG69" s="798"/>
    </row>
    <row r="70" spans="2:59" ht="18" customHeight="1" x14ac:dyDescent="0.3">
      <c r="B70" s="980" t="s">
        <v>310</v>
      </c>
      <c r="C70" s="980"/>
      <c r="D70" s="980"/>
      <c r="E70" s="980">
        <f>E72</f>
        <v>13563</v>
      </c>
      <c r="F70" s="980">
        <f t="shared" ref="F70:Q70" si="80">F72</f>
        <v>14638</v>
      </c>
      <c r="G70" s="980">
        <f t="shared" si="80"/>
        <v>15359</v>
      </c>
      <c r="H70" s="980">
        <f t="shared" si="80"/>
        <v>14317</v>
      </c>
      <c r="I70" s="980">
        <f t="shared" si="80"/>
        <v>13830</v>
      </c>
      <c r="J70" s="980">
        <f t="shared" si="80"/>
        <v>14909</v>
      </c>
      <c r="K70" s="980">
        <f t="shared" si="80"/>
        <v>17613.999999599997</v>
      </c>
      <c r="L70" s="980">
        <f t="shared" si="80"/>
        <v>17444.978139087707</v>
      </c>
      <c r="M70" s="980">
        <f t="shared" si="80"/>
        <v>17278.450441262976</v>
      </c>
      <c r="N70" s="980">
        <f t="shared" si="80"/>
        <v>17114.376319665913</v>
      </c>
      <c r="O70" s="980">
        <f t="shared" si="80"/>
        <v>16970.686040471541</v>
      </c>
      <c r="P70" s="980">
        <f t="shared" si="80"/>
        <v>16858.749402737638</v>
      </c>
      <c r="Q70" s="980">
        <f t="shared" si="80"/>
        <v>16782.954459571472</v>
      </c>
      <c r="R70" s="975"/>
      <c r="S70" s="982"/>
      <c r="T70" s="823"/>
      <c r="U70" s="946"/>
      <c r="V70" s="990"/>
      <c r="W70" s="942"/>
      <c r="X70" s="942"/>
      <c r="Y70" s="942"/>
      <c r="Z70" s="942"/>
      <c r="AA70" s="942"/>
      <c r="AB70" s="942"/>
      <c r="AC70" s="942"/>
      <c r="AD70" s="942"/>
      <c r="AE70" s="942"/>
      <c r="AF70" s="942"/>
      <c r="AG70" s="942"/>
      <c r="AH70" s="942"/>
    </row>
    <row r="71" spans="2:59" s="988" customFormat="1" ht="18" customHeight="1" x14ac:dyDescent="0.3">
      <c r="B71" s="971" t="s">
        <v>629</v>
      </c>
      <c r="C71" s="969"/>
      <c r="D71" s="969"/>
      <c r="E71" s="969">
        <f t="shared" ref="E71:Q71" si="81">E70/E5</f>
        <v>3.0148077430130656E-3</v>
      </c>
      <c r="F71" s="969">
        <f t="shared" si="81"/>
        <v>3.1939131548452556E-3</v>
      </c>
      <c r="G71" s="969">
        <f t="shared" si="81"/>
        <v>3.3063445335544234E-3</v>
      </c>
      <c r="H71" s="969">
        <f t="shared" si="81"/>
        <v>3.4141360904640684E-3</v>
      </c>
      <c r="I71" s="969">
        <f t="shared" si="81"/>
        <v>3.4136565170558215E-3</v>
      </c>
      <c r="J71" s="969">
        <f t="shared" si="81"/>
        <v>3.9388059149838778E-3</v>
      </c>
      <c r="K71" s="969">
        <f t="shared" si="81"/>
        <v>4.6750828462400187E-3</v>
      </c>
      <c r="L71" s="969">
        <f t="shared" si="81"/>
        <v>4.6750828462400187E-3</v>
      </c>
      <c r="M71" s="969">
        <f t="shared" si="81"/>
        <v>4.6750828462400187E-3</v>
      </c>
      <c r="N71" s="969">
        <f t="shared" si="81"/>
        <v>4.6750828462400187E-3</v>
      </c>
      <c r="O71" s="969">
        <f t="shared" si="81"/>
        <v>4.6750828462400187E-3</v>
      </c>
      <c r="P71" s="969">
        <f t="shared" si="81"/>
        <v>4.6750828462400178E-3</v>
      </c>
      <c r="Q71" s="969">
        <f t="shared" si="81"/>
        <v>4.675082846240017E-3</v>
      </c>
      <c r="R71" s="806"/>
      <c r="S71" s="970"/>
      <c r="T71" s="806"/>
      <c r="U71" s="942"/>
      <c r="V71" s="942"/>
      <c r="W71" s="942"/>
      <c r="X71" s="942"/>
      <c r="Y71" s="942"/>
      <c r="Z71" s="942"/>
      <c r="AA71" s="942"/>
      <c r="AB71" s="942"/>
      <c r="AC71" s="942"/>
      <c r="AD71" s="942"/>
      <c r="AE71" s="942"/>
      <c r="AF71" s="942"/>
      <c r="AG71" s="942"/>
      <c r="AH71" s="942"/>
      <c r="AY71" s="798"/>
      <c r="AZ71" s="798"/>
      <c r="BA71" s="798"/>
      <c r="BB71" s="798"/>
      <c r="BC71" s="798"/>
      <c r="BD71" s="798"/>
      <c r="BE71" s="798"/>
      <c r="BF71" s="798"/>
      <c r="BG71" s="798"/>
    </row>
    <row r="72" spans="2:59" s="822" customFormat="1" ht="18" customHeight="1" x14ac:dyDescent="0.3">
      <c r="B72" s="965" t="s">
        <v>311</v>
      </c>
      <c r="C72" s="965"/>
      <c r="D72" s="965"/>
      <c r="E72" s="965">
        <v>13563</v>
      </c>
      <c r="F72" s="965">
        <v>14638</v>
      </c>
      <c r="G72" s="965">
        <v>15359</v>
      </c>
      <c r="H72" s="965">
        <v>14317</v>
      </c>
      <c r="I72" s="965">
        <v>13830</v>
      </c>
      <c r="J72" s="965">
        <v>14909</v>
      </c>
      <c r="K72" s="965">
        <v>17613.999999599997</v>
      </c>
      <c r="L72" s="965">
        <f t="shared" ref="L72:Q72" si="82">K72/K$5*L$5</f>
        <v>17444.978139087707</v>
      </c>
      <c r="M72" s="965">
        <f t="shared" si="82"/>
        <v>17278.450441262976</v>
      </c>
      <c r="N72" s="965">
        <f t="shared" si="82"/>
        <v>17114.376319665913</v>
      </c>
      <c r="O72" s="965">
        <f t="shared" si="82"/>
        <v>16970.686040471541</v>
      </c>
      <c r="P72" s="965">
        <f t="shared" si="82"/>
        <v>16858.749402737638</v>
      </c>
      <c r="Q72" s="965">
        <f t="shared" si="82"/>
        <v>16782.954459571472</v>
      </c>
      <c r="R72" s="975"/>
      <c r="S72" s="974"/>
      <c r="T72" s="806"/>
      <c r="U72" s="942"/>
      <c r="V72" s="990">
        <f>E72/(E26+E27)</f>
        <v>1.7873285875056995E-2</v>
      </c>
      <c r="W72" s="938">
        <f t="shared" ref="W72:AH72" si="83">(F72-E72)/E72</f>
        <v>7.9259750792597505E-2</v>
      </c>
      <c r="X72" s="938">
        <f t="shared" si="83"/>
        <v>4.9255362754474653E-2</v>
      </c>
      <c r="Y72" s="938">
        <f t="shared" si="83"/>
        <v>-6.7842958525945699E-2</v>
      </c>
      <c r="Z72" s="938">
        <f t="shared" si="83"/>
        <v>-3.4015506041768527E-2</v>
      </c>
      <c r="AA72" s="938">
        <f t="shared" si="83"/>
        <v>7.8018799710773676E-2</v>
      </c>
      <c r="AB72" s="938">
        <f t="shared" si="83"/>
        <v>0.18143403310751874</v>
      </c>
      <c r="AC72" s="938">
        <f t="shared" si="83"/>
        <v>-9.5958817143254448E-3</v>
      </c>
      <c r="AD72" s="938">
        <f t="shared" si="83"/>
        <v>-9.5458817143258285E-3</v>
      </c>
      <c r="AE72" s="938">
        <f t="shared" si="83"/>
        <v>-9.4958817143251783E-3</v>
      </c>
      <c r="AF72" s="938">
        <f t="shared" si="83"/>
        <v>-8.3958817143257192E-3</v>
      </c>
      <c r="AG72" s="938">
        <f t="shared" si="83"/>
        <v>-6.5958817143253606E-3</v>
      </c>
      <c r="AH72" s="938">
        <f t="shared" si="83"/>
        <v>-4.4958817143255815E-3</v>
      </c>
      <c r="AY72" s="798"/>
      <c r="AZ72" s="798"/>
      <c r="BA72" s="798"/>
      <c r="BB72" s="798"/>
      <c r="BC72" s="798"/>
      <c r="BD72" s="798"/>
      <c r="BE72" s="798"/>
      <c r="BF72" s="798"/>
      <c r="BG72" s="798"/>
    </row>
    <row r="73" spans="2:59" ht="18" customHeight="1" x14ac:dyDescent="0.3">
      <c r="B73" s="980" t="s">
        <v>312</v>
      </c>
      <c r="C73" s="980"/>
      <c r="D73" s="980"/>
      <c r="E73" s="980">
        <f t="shared" ref="E73:Q73" si="84">E75</f>
        <v>1086</v>
      </c>
      <c r="F73" s="980">
        <f t="shared" si="84"/>
        <v>486</v>
      </c>
      <c r="G73" s="980">
        <f t="shared" si="84"/>
        <v>496</v>
      </c>
      <c r="H73" s="980">
        <f t="shared" si="84"/>
        <v>338</v>
      </c>
      <c r="I73" s="980">
        <f t="shared" si="84"/>
        <v>309</v>
      </c>
      <c r="J73" s="980">
        <f t="shared" si="84"/>
        <v>156.80850600000031</v>
      </c>
      <c r="K73" s="980">
        <f t="shared" si="84"/>
        <v>142.05520081200029</v>
      </c>
      <c r="L73" s="980">
        <f t="shared" si="84"/>
        <v>144.89630482824029</v>
      </c>
      <c r="M73" s="980">
        <f t="shared" si="84"/>
        <v>147.79423092480511</v>
      </c>
      <c r="N73" s="980">
        <f t="shared" si="84"/>
        <v>150.75011554330121</v>
      </c>
      <c r="O73" s="980">
        <f t="shared" si="84"/>
        <v>153.76511785416724</v>
      </c>
      <c r="P73" s="980">
        <f t="shared" si="84"/>
        <v>156.8404202112506</v>
      </c>
      <c r="Q73" s="980">
        <f t="shared" si="84"/>
        <v>159.97722861547561</v>
      </c>
      <c r="R73" s="975"/>
      <c r="S73" s="982"/>
      <c r="U73" s="942"/>
      <c r="V73" s="942"/>
      <c r="W73" s="942"/>
      <c r="X73" s="942"/>
      <c r="Y73" s="942"/>
      <c r="Z73" s="942"/>
      <c r="AA73" s="942"/>
      <c r="AB73" s="942"/>
      <c r="AC73" s="942"/>
      <c r="AD73" s="942"/>
      <c r="AE73" s="942"/>
      <c r="AF73" s="942"/>
      <c r="AG73" s="942"/>
      <c r="AH73" s="942"/>
    </row>
    <row r="74" spans="2:59" s="988" customFormat="1" ht="18" customHeight="1" x14ac:dyDescent="0.3">
      <c r="B74" s="971" t="s">
        <v>628</v>
      </c>
      <c r="C74" s="969"/>
      <c r="D74" s="969"/>
      <c r="E74" s="969"/>
      <c r="F74" s="969">
        <f t="shared" ref="F74:Q74" si="85">(F73-E73)/E73</f>
        <v>-0.5524861878453039</v>
      </c>
      <c r="G74" s="969">
        <f t="shared" si="85"/>
        <v>2.0576131687242798E-2</v>
      </c>
      <c r="H74" s="969">
        <f t="shared" si="85"/>
        <v>-0.31854838709677419</v>
      </c>
      <c r="I74" s="969">
        <f t="shared" si="85"/>
        <v>-8.5798816568047331E-2</v>
      </c>
      <c r="J74" s="969">
        <f t="shared" si="85"/>
        <v>-0.4925291067961155</v>
      </c>
      <c r="K74" s="969">
        <f t="shared" si="85"/>
        <v>-9.4084852692876142E-2</v>
      </c>
      <c r="L74" s="969">
        <f t="shared" si="85"/>
        <v>1.9999999999999928E-2</v>
      </c>
      <c r="M74" s="969">
        <f t="shared" si="85"/>
        <v>2.0000000000000073E-2</v>
      </c>
      <c r="N74" s="969">
        <f t="shared" si="85"/>
        <v>1.9999999999999983E-2</v>
      </c>
      <c r="O74" s="969">
        <f t="shared" si="85"/>
        <v>2.0000000000000091E-2</v>
      </c>
      <c r="P74" s="969">
        <f t="shared" si="85"/>
        <v>2.0000000000000094E-2</v>
      </c>
      <c r="Q74" s="969">
        <f t="shared" si="85"/>
        <v>1.9999999999999973E-2</v>
      </c>
      <c r="R74" s="806"/>
      <c r="S74" s="970"/>
      <c r="T74" s="806"/>
      <c r="U74" s="942"/>
      <c r="V74" s="942"/>
      <c r="W74" s="942"/>
      <c r="X74" s="942"/>
      <c r="Y74" s="942"/>
      <c r="Z74" s="942"/>
      <c r="AA74" s="942"/>
      <c r="AB74" s="942"/>
      <c r="AC74" s="942"/>
      <c r="AD74" s="942"/>
      <c r="AE74" s="942"/>
      <c r="AF74" s="942"/>
      <c r="AG74" s="942"/>
      <c r="AH74" s="942"/>
      <c r="AY74" s="798"/>
      <c r="AZ74" s="798"/>
      <c r="BA74" s="798"/>
      <c r="BB74" s="798"/>
      <c r="BC74" s="798"/>
      <c r="BD74" s="798"/>
      <c r="BE74" s="798"/>
      <c r="BF74" s="798"/>
      <c r="BG74" s="798"/>
    </row>
    <row r="75" spans="2:59" ht="18" customHeight="1" x14ac:dyDescent="0.3">
      <c r="B75" s="965" t="s">
        <v>313</v>
      </c>
      <c r="C75" s="965"/>
      <c r="D75" s="965"/>
      <c r="E75" s="965">
        <v>1086</v>
      </c>
      <c r="F75" s="965">
        <v>486</v>
      </c>
      <c r="G75" s="965">
        <v>496</v>
      </c>
      <c r="H75" s="965">
        <v>338</v>
      </c>
      <c r="I75" s="965">
        <v>309</v>
      </c>
      <c r="J75" s="965">
        <v>156.80850600000031</v>
      </c>
      <c r="K75" s="965">
        <v>142.05520081200029</v>
      </c>
      <c r="L75" s="965">
        <f>K75*(1+AC75)</f>
        <v>144.89630482824029</v>
      </c>
      <c r="M75" s="965">
        <f>L75*(1+AD75)</f>
        <v>147.79423092480511</v>
      </c>
      <c r="N75" s="965">
        <f>M75*1.02</f>
        <v>150.75011554330121</v>
      </c>
      <c r="O75" s="965">
        <f>N75*1.02</f>
        <v>153.76511785416724</v>
      </c>
      <c r="P75" s="965">
        <f>O75*1.02</f>
        <v>156.8404202112506</v>
      </c>
      <c r="Q75" s="965">
        <f>P75*1.02</f>
        <v>159.97722861547561</v>
      </c>
      <c r="R75" s="975"/>
      <c r="S75" s="974" t="s">
        <v>8930</v>
      </c>
      <c r="U75" s="942"/>
      <c r="V75" s="942"/>
      <c r="W75" s="938">
        <f>(F75-E75)/E75</f>
        <v>-0.5524861878453039</v>
      </c>
      <c r="X75" s="938">
        <f>(G75-F75)/F75</f>
        <v>2.0576131687242798E-2</v>
      </c>
      <c r="Y75" s="938">
        <f>(H75-G75)/G75</f>
        <v>-0.31854838709677419</v>
      </c>
      <c r="Z75" s="938">
        <f>(I75-H75)/H75</f>
        <v>-8.5798816568047331E-2</v>
      </c>
      <c r="AA75" s="938">
        <f>(J75-I75)/I75</f>
        <v>-0.4925291067961155</v>
      </c>
      <c r="AB75" s="991">
        <v>0.02</v>
      </c>
      <c r="AC75" s="991">
        <f t="shared" ref="AC75:AH75" si="86">AB75</f>
        <v>0.02</v>
      </c>
      <c r="AD75" s="991">
        <f t="shared" si="86"/>
        <v>0.02</v>
      </c>
      <c r="AE75" s="991">
        <f t="shared" si="86"/>
        <v>0.02</v>
      </c>
      <c r="AF75" s="991">
        <f t="shared" si="86"/>
        <v>0.02</v>
      </c>
      <c r="AG75" s="991">
        <f t="shared" si="86"/>
        <v>0.02</v>
      </c>
      <c r="AH75" s="991">
        <f t="shared" si="86"/>
        <v>0.02</v>
      </c>
    </row>
    <row r="76" spans="2:59" ht="18" customHeight="1" x14ac:dyDescent="0.3">
      <c r="B76" s="984" t="s">
        <v>314</v>
      </c>
      <c r="C76" s="980"/>
      <c r="D76" s="980"/>
      <c r="E76" s="980">
        <f t="shared" ref="E76:K76" si="87">SUM(E78:E78)</f>
        <v>77105</v>
      </c>
      <c r="F76" s="980">
        <f t="shared" si="87"/>
        <v>77199</v>
      </c>
      <c r="G76" s="980">
        <f t="shared" si="87"/>
        <v>75259</v>
      </c>
      <c r="H76" s="980">
        <f t="shared" si="87"/>
        <v>68369</v>
      </c>
      <c r="I76" s="980">
        <f t="shared" si="87"/>
        <v>64856</v>
      </c>
      <c r="J76" s="980">
        <f t="shared" si="87"/>
        <v>67342.347114999997</v>
      </c>
      <c r="K76" s="980">
        <f t="shared" si="87"/>
        <v>68885.580539074959</v>
      </c>
      <c r="L76" s="980">
        <f t="shared" ref="L76:Q76" si="88">SUM(L78:L78)</f>
        <v>68224.562656399357</v>
      </c>
      <c r="M76" s="980">
        <f t="shared" si="88"/>
        <v>67573.299051269758</v>
      </c>
      <c r="N76" s="980">
        <f t="shared" si="88"/>
        <v>66931.63099643217</v>
      </c>
      <c r="O76" s="980">
        <f t="shared" si="88"/>
        <v>66369.680939639249</v>
      </c>
      <c r="P76" s="980">
        <f t="shared" si="88"/>
        <v>65931.914374743865</v>
      </c>
      <c r="Q76" s="980">
        <f t="shared" si="88"/>
        <v>65635.49228651599</v>
      </c>
      <c r="R76" s="975"/>
      <c r="S76" s="982"/>
      <c r="U76" s="942"/>
      <c r="V76" s="942"/>
      <c r="W76" s="942"/>
      <c r="X76" s="942"/>
      <c r="Y76" s="942"/>
      <c r="Z76" s="942"/>
      <c r="AA76" s="942"/>
      <c r="AB76" s="942"/>
      <c r="AC76" s="942"/>
      <c r="AD76" s="942"/>
      <c r="AE76" s="942"/>
      <c r="AF76" s="942"/>
      <c r="AG76" s="942"/>
      <c r="AH76" s="942"/>
    </row>
    <row r="77" spans="2:59" s="988" customFormat="1" ht="18" customHeight="1" x14ac:dyDescent="0.3">
      <c r="B77" s="971" t="s">
        <v>629</v>
      </c>
      <c r="C77" s="969"/>
      <c r="D77" s="969"/>
      <c r="E77" s="969">
        <f t="shared" ref="E77:Q77" si="89">E76/E5</f>
        <v>1.7139036424465268E-2</v>
      </c>
      <c r="F77" s="969">
        <f t="shared" si="89"/>
        <v>1.6844302612440149E-2</v>
      </c>
      <c r="G77" s="969">
        <f t="shared" si="89"/>
        <v>1.6201066687334616E-2</v>
      </c>
      <c r="H77" s="969">
        <f t="shared" si="89"/>
        <v>1.6303769670247811E-2</v>
      </c>
      <c r="I77" s="969">
        <f t="shared" si="89"/>
        <v>1.6008395305146229E-2</v>
      </c>
      <c r="J77" s="969">
        <f t="shared" si="89"/>
        <v>1.7791162059525082E-2</v>
      </c>
      <c r="K77" s="969">
        <f t="shared" si="89"/>
        <v>1.8283512884002956E-2</v>
      </c>
      <c r="L77" s="969">
        <f t="shared" si="89"/>
        <v>1.8283512884002956E-2</v>
      </c>
      <c r="M77" s="969">
        <f t="shared" si="89"/>
        <v>1.8283512884002956E-2</v>
      </c>
      <c r="N77" s="969">
        <f t="shared" si="89"/>
        <v>1.8283512884002956E-2</v>
      </c>
      <c r="O77" s="969">
        <f t="shared" si="89"/>
        <v>1.8283512884002956E-2</v>
      </c>
      <c r="P77" s="969">
        <f t="shared" si="89"/>
        <v>1.8283512884002956E-2</v>
      </c>
      <c r="Q77" s="969">
        <f t="shared" si="89"/>
        <v>1.8283512884002956E-2</v>
      </c>
      <c r="R77" s="806"/>
      <c r="S77" s="970"/>
      <c r="T77" s="806"/>
      <c r="U77" s="942"/>
      <c r="V77" s="942"/>
      <c r="W77" s="942"/>
      <c r="X77" s="942"/>
      <c r="Y77" s="942"/>
      <c r="Z77" s="942"/>
      <c r="AA77" s="942"/>
      <c r="AB77" s="942"/>
      <c r="AC77" s="942"/>
      <c r="AD77" s="942"/>
      <c r="AE77" s="942"/>
      <c r="AF77" s="942"/>
      <c r="AG77" s="942"/>
      <c r="AH77" s="942"/>
      <c r="AY77" s="798"/>
      <c r="AZ77" s="798"/>
      <c r="BA77" s="798"/>
      <c r="BB77" s="798"/>
      <c r="BC77" s="798"/>
      <c r="BD77" s="798"/>
      <c r="BE77" s="798"/>
      <c r="BF77" s="798"/>
      <c r="BG77" s="798"/>
    </row>
    <row r="78" spans="2:59" ht="18" customHeight="1" x14ac:dyDescent="0.3">
      <c r="B78" s="985" t="s">
        <v>315</v>
      </c>
      <c r="C78" s="965"/>
      <c r="D78" s="965"/>
      <c r="E78" s="965">
        <v>77105</v>
      </c>
      <c r="F78" s="965">
        <v>77199</v>
      </c>
      <c r="G78" s="965">
        <v>75259</v>
      </c>
      <c r="H78" s="965">
        <v>68369</v>
      </c>
      <c r="I78" s="965">
        <v>64856</v>
      </c>
      <c r="J78" s="965">
        <v>67342.347114999997</v>
      </c>
      <c r="K78" s="965">
        <v>68885.580539074959</v>
      </c>
      <c r="L78" s="965">
        <f t="shared" ref="L78:Q78" si="90">K78/K$5*L$5</f>
        <v>68224.562656399357</v>
      </c>
      <c r="M78" s="965">
        <f t="shared" si="90"/>
        <v>67573.299051269758</v>
      </c>
      <c r="N78" s="965">
        <f t="shared" si="90"/>
        <v>66931.63099643217</v>
      </c>
      <c r="O78" s="965">
        <f t="shared" si="90"/>
        <v>66369.680939639249</v>
      </c>
      <c r="P78" s="965">
        <f t="shared" si="90"/>
        <v>65931.914374743865</v>
      </c>
      <c r="Q78" s="965">
        <f t="shared" si="90"/>
        <v>65635.49228651599</v>
      </c>
      <c r="R78" s="975"/>
      <c r="S78" s="973" t="s">
        <v>8926</v>
      </c>
      <c r="T78" s="823"/>
      <c r="U78" s="942"/>
      <c r="V78" s="990">
        <f>E78/E$5</f>
        <v>1.7139036424465268E-2</v>
      </c>
      <c r="W78" s="990">
        <f t="shared" ref="W78:AH78" si="91">F78/F$5</f>
        <v>1.6844302612440149E-2</v>
      </c>
      <c r="X78" s="990">
        <f t="shared" si="91"/>
        <v>1.6201066687334616E-2</v>
      </c>
      <c r="Y78" s="990">
        <f t="shared" si="91"/>
        <v>1.6303769670247811E-2</v>
      </c>
      <c r="Z78" s="990">
        <f t="shared" si="91"/>
        <v>1.6008395305146229E-2</v>
      </c>
      <c r="AA78" s="990">
        <f t="shared" si="91"/>
        <v>1.7791162059525082E-2</v>
      </c>
      <c r="AB78" s="990">
        <f t="shared" si="91"/>
        <v>1.8283512884002956E-2</v>
      </c>
      <c r="AC78" s="990">
        <f t="shared" si="91"/>
        <v>1.8283512884002956E-2</v>
      </c>
      <c r="AD78" s="990">
        <f t="shared" si="91"/>
        <v>1.8283512884002956E-2</v>
      </c>
      <c r="AE78" s="990">
        <f t="shared" si="91"/>
        <v>1.8283512884002956E-2</v>
      </c>
      <c r="AF78" s="990">
        <f t="shared" si="91"/>
        <v>1.8283512884002956E-2</v>
      </c>
      <c r="AG78" s="990">
        <f t="shared" si="91"/>
        <v>1.8283512884002956E-2</v>
      </c>
      <c r="AH78" s="990">
        <f t="shared" si="91"/>
        <v>1.8283512884002956E-2</v>
      </c>
    </row>
    <row r="79" spans="2:59" ht="18" customHeight="1" x14ac:dyDescent="0.3">
      <c r="B79" s="984" t="s">
        <v>316</v>
      </c>
      <c r="C79" s="980"/>
      <c r="D79" s="980"/>
      <c r="E79" s="980">
        <f t="shared" ref="E79:Q79" si="92">SUM(E81:E82)</f>
        <v>54910</v>
      </c>
      <c r="F79" s="980">
        <f t="shared" si="92"/>
        <v>55667</v>
      </c>
      <c r="G79" s="980">
        <f t="shared" si="92"/>
        <v>98997</v>
      </c>
      <c r="H79" s="980">
        <f t="shared" si="92"/>
        <v>63599</v>
      </c>
      <c r="I79" s="980">
        <f t="shared" si="92"/>
        <v>22071</v>
      </c>
      <c r="J79" s="980">
        <f t="shared" si="92"/>
        <v>17019.2887769999</v>
      </c>
      <c r="K79" s="980">
        <f t="shared" si="92"/>
        <v>19109.607407497129</v>
      </c>
      <c r="L79" s="980">
        <f t="shared" si="92"/>
        <v>20524.360069348841</v>
      </c>
      <c r="M79" s="980">
        <f t="shared" si="92"/>
        <v>16747.325068472564</v>
      </c>
      <c r="N79" s="980">
        <f t="shared" si="92"/>
        <v>13392.402842106894</v>
      </c>
      <c r="O79" s="980">
        <f t="shared" si="92"/>
        <v>9856.4946883177035</v>
      </c>
      <c r="P79" s="980">
        <f t="shared" si="92"/>
        <v>5567.0370551127853</v>
      </c>
      <c r="Q79" s="980">
        <f t="shared" si="92"/>
        <v>1326.5503705652809</v>
      </c>
      <c r="R79" s="975"/>
      <c r="S79" s="982"/>
      <c r="U79" s="942"/>
      <c r="V79" s="942"/>
      <c r="W79" s="942"/>
      <c r="X79" s="942"/>
      <c r="Y79" s="942"/>
      <c r="Z79" s="942"/>
      <c r="AA79" s="942"/>
      <c r="AB79" s="942"/>
      <c r="AC79" s="942"/>
      <c r="AD79" s="942"/>
      <c r="AE79" s="942"/>
      <c r="AF79" s="942"/>
      <c r="AG79" s="942"/>
      <c r="AH79" s="942"/>
    </row>
    <row r="80" spans="2:59" s="988" customFormat="1" ht="18" customHeight="1" x14ac:dyDescent="0.3">
      <c r="B80" s="971" t="s">
        <v>629</v>
      </c>
      <c r="C80" s="969"/>
      <c r="D80" s="969"/>
      <c r="E80" s="969">
        <f t="shared" ref="E80:Q80" si="93">E79/E5</f>
        <v>1.2205492381394045E-2</v>
      </c>
      <c r="F80" s="969">
        <f t="shared" si="93"/>
        <v>1.214616502191357E-2</v>
      </c>
      <c r="G80" s="969">
        <f t="shared" si="93"/>
        <v>2.1311165426674085E-2</v>
      </c>
      <c r="H80" s="969">
        <f t="shared" si="93"/>
        <v>1.5166280730420081E-2</v>
      </c>
      <c r="I80" s="969">
        <f t="shared" si="93"/>
        <v>5.4477811271105596E-3</v>
      </c>
      <c r="J80" s="969">
        <f t="shared" si="93"/>
        <v>4.4963227113599792E-3</v>
      </c>
      <c r="K80" s="969">
        <f t="shared" si="93"/>
        <v>5.0720448388327389E-3</v>
      </c>
      <c r="L80" s="969">
        <f t="shared" si="93"/>
        <v>5.5003269666054318E-3</v>
      </c>
      <c r="M80" s="969">
        <f t="shared" si="93"/>
        <v>4.5313746399991703E-3</v>
      </c>
      <c r="N80" s="969">
        <f t="shared" si="93"/>
        <v>3.658362515093523E-3</v>
      </c>
      <c r="O80" s="969">
        <f t="shared" si="93"/>
        <v>2.7152661437209401E-3</v>
      </c>
      <c r="P80" s="969">
        <f t="shared" si="93"/>
        <v>1.5437894483747408E-3</v>
      </c>
      <c r="Q80" s="969">
        <f t="shared" si="93"/>
        <v>3.6952569328853649E-4</v>
      </c>
      <c r="R80" s="806"/>
      <c r="S80" s="970"/>
      <c r="T80" s="806"/>
      <c r="U80" s="942"/>
      <c r="V80" s="942"/>
      <c r="W80" s="942"/>
      <c r="X80" s="942"/>
      <c r="Y80" s="942"/>
      <c r="Z80" s="942"/>
      <c r="AA80" s="942"/>
      <c r="AB80" s="942"/>
      <c r="AC80" s="942"/>
      <c r="AD80" s="942"/>
      <c r="AE80" s="942"/>
      <c r="AF80" s="942"/>
      <c r="AG80" s="942"/>
      <c r="AH80" s="942"/>
      <c r="AY80" s="798"/>
      <c r="AZ80" s="798"/>
      <c r="BA80" s="798"/>
      <c r="BB80" s="798"/>
      <c r="BC80" s="798"/>
      <c r="BD80" s="798"/>
      <c r="BE80" s="798"/>
      <c r="BF80" s="798"/>
      <c r="BG80" s="798"/>
    </row>
    <row r="81" spans="1:59" ht="18" hidden="1" customHeight="1" outlineLevel="1" x14ac:dyDescent="0.3">
      <c r="A81" s="800"/>
      <c r="B81" s="985" t="s">
        <v>317</v>
      </c>
      <c r="C81" s="965"/>
      <c r="D81" s="965"/>
      <c r="E81" s="965">
        <v>54910</v>
      </c>
      <c r="F81" s="965">
        <f>54667+1000</f>
        <v>55667</v>
      </c>
      <c r="G81" s="965">
        <f>97997+1000</f>
        <v>98997</v>
      </c>
      <c r="H81" s="965">
        <f>62599+1000</f>
        <v>63599</v>
      </c>
      <c r="I81" s="965">
        <v>22071</v>
      </c>
      <c r="J81" s="965">
        <f>15157.8808479999+1861.407929</f>
        <v>17019.2887769999</v>
      </c>
      <c r="K81" s="965">
        <f>17231.8637517124+1877.74365578473</f>
        <v>19109.607407497129</v>
      </c>
      <c r="L81" s="965">
        <f t="shared" ref="L81:Q81" si="94">L48-L50-L52-L60-L64-L70-L73-L76-L82</f>
        <v>20524.360069348841</v>
      </c>
      <c r="M81" s="965">
        <f t="shared" si="94"/>
        <v>16747.325068472564</v>
      </c>
      <c r="N81" s="965">
        <f t="shared" si="94"/>
        <v>13392.402842106894</v>
      </c>
      <c r="O81" s="965">
        <f t="shared" si="94"/>
        <v>9856.4946883177035</v>
      </c>
      <c r="P81" s="965">
        <f t="shared" si="94"/>
        <v>5567.0370551127853</v>
      </c>
      <c r="Q81" s="965">
        <f t="shared" si="94"/>
        <v>1326.5503705652809</v>
      </c>
      <c r="R81" s="975"/>
      <c r="S81" s="974"/>
      <c r="U81" s="942"/>
      <c r="V81" s="938"/>
      <c r="W81" s="938">
        <f t="shared" ref="W81:AH81" si="95">(F81-E81)/E81</f>
        <v>1.3786195592788198E-2</v>
      </c>
      <c r="X81" s="938">
        <f t="shared" si="95"/>
        <v>0.77837857258339771</v>
      </c>
      <c r="Y81" s="938">
        <f t="shared" si="95"/>
        <v>-0.35756639090073439</v>
      </c>
      <c r="Z81" s="938">
        <f t="shared" si="95"/>
        <v>-0.65296624160757244</v>
      </c>
      <c r="AA81" s="938">
        <f t="shared" si="95"/>
        <v>-0.22888456449640254</v>
      </c>
      <c r="AB81" s="938">
        <f t="shared" si="95"/>
        <v>0.12282056306149026</v>
      </c>
      <c r="AC81" s="938">
        <f t="shared" si="95"/>
        <v>7.4033580684481876E-2</v>
      </c>
      <c r="AD81" s="938">
        <f t="shared" si="95"/>
        <v>-0.18402693132035405</v>
      </c>
      <c r="AE81" s="938">
        <f t="shared" si="95"/>
        <v>-0.20032585577988396</v>
      </c>
      <c r="AF81" s="938">
        <f t="shared" si="95"/>
        <v>-0.26402343145413637</v>
      </c>
      <c r="AG81" s="938">
        <f t="shared" si="95"/>
        <v>-0.43519098511653931</v>
      </c>
      <c r="AH81" s="938">
        <f t="shared" si="95"/>
        <v>-0.76171339306122043</v>
      </c>
    </row>
    <row r="82" spans="1:59" ht="18" hidden="1" customHeight="1" outlineLevel="1" x14ac:dyDescent="0.3">
      <c r="A82" s="800"/>
      <c r="B82" s="985" t="s">
        <v>318</v>
      </c>
      <c r="C82" s="965"/>
      <c r="D82" s="965"/>
      <c r="E82" s="965">
        <v>0</v>
      </c>
      <c r="F82" s="965"/>
      <c r="G82" s="965"/>
      <c r="H82" s="965"/>
      <c r="I82" s="965"/>
      <c r="J82" s="965"/>
      <c r="K82" s="965"/>
      <c r="L82" s="965"/>
      <c r="M82" s="965"/>
      <c r="N82" s="965"/>
      <c r="O82" s="965"/>
      <c r="P82" s="965"/>
      <c r="Q82" s="965"/>
      <c r="R82" s="975"/>
      <c r="S82" s="959"/>
      <c r="U82" s="942"/>
      <c r="V82" s="942"/>
      <c r="W82" s="942"/>
      <c r="X82" s="942"/>
      <c r="Y82" s="942"/>
      <c r="Z82" s="942"/>
      <c r="AA82" s="942"/>
      <c r="AB82" s="942"/>
      <c r="AC82" s="942"/>
      <c r="AD82" s="942"/>
      <c r="AE82" s="942"/>
      <c r="AF82" s="942"/>
      <c r="AG82" s="942"/>
      <c r="AH82" s="942"/>
    </row>
    <row r="83" spans="1:59" s="817" customFormat="1" ht="18" customHeight="1" collapsed="1" x14ac:dyDescent="0.3">
      <c r="B83" s="976" t="s">
        <v>630</v>
      </c>
      <c r="C83" s="977"/>
      <c r="D83" s="977"/>
      <c r="E83" s="977">
        <f t="shared" ref="E83:P83" si="96">E46-E48</f>
        <v>157884</v>
      </c>
      <c r="F83" s="977">
        <f>F46-F48</f>
        <v>135914</v>
      </c>
      <c r="G83" s="977">
        <f>G46-G48</f>
        <v>142570</v>
      </c>
      <c r="H83" s="977">
        <f t="shared" si="96"/>
        <v>116908.98286959133</v>
      </c>
      <c r="I83" s="977">
        <f t="shared" si="96"/>
        <v>107093.98205339117</v>
      </c>
      <c r="J83" s="977">
        <f>J46-J48</f>
        <v>93012.618538629264</v>
      </c>
      <c r="K83" s="977">
        <f>K46-K48</f>
        <v>91358.031398123479</v>
      </c>
      <c r="L83" s="977">
        <f>L46-L48</f>
        <v>87024.406147449394</v>
      </c>
      <c r="M83" s="977">
        <f t="shared" si="96"/>
        <v>82880.386807094677</v>
      </c>
      <c r="N83" s="977">
        <f t="shared" si="96"/>
        <v>79692.679622206371</v>
      </c>
      <c r="O83" s="977">
        <f t="shared" si="96"/>
        <v>77371.533613792621</v>
      </c>
      <c r="P83" s="977">
        <f t="shared" si="96"/>
        <v>75854.444719404564</v>
      </c>
      <c r="Q83" s="977">
        <f>Q46-Q48</f>
        <v>75103.410613271757</v>
      </c>
      <c r="R83" s="983"/>
      <c r="S83" s="978"/>
      <c r="T83" s="806"/>
      <c r="U83" s="943"/>
      <c r="V83" s="943"/>
      <c r="W83" s="943"/>
      <c r="X83" s="943"/>
      <c r="Y83" s="945"/>
      <c r="Z83" s="945"/>
      <c r="AA83" s="945"/>
      <c r="AB83" s="945"/>
      <c r="AC83" s="945"/>
      <c r="AD83" s="945"/>
      <c r="AE83" s="945"/>
      <c r="AF83" s="945"/>
      <c r="AG83" s="945"/>
      <c r="AH83" s="945"/>
      <c r="AU83" s="817">
        <f>홈쇼핑!V774*1000</f>
        <v>93012652070.999863</v>
      </c>
      <c r="AV83" s="817">
        <f>ROUND(AU83/1000000,)</f>
        <v>93013</v>
      </c>
      <c r="AW83" s="818">
        <f>J83-AV83</f>
        <v>-0.38146137073636055</v>
      </c>
      <c r="AX83" s="817" t="s">
        <v>8851</v>
      </c>
      <c r="AY83" s="798"/>
      <c r="AZ83" s="798"/>
      <c r="BA83" s="798"/>
      <c r="BB83" s="798"/>
      <c r="BC83" s="798"/>
      <c r="BD83" s="798"/>
      <c r="BE83" s="798"/>
      <c r="BF83" s="798"/>
      <c r="BG83" s="798"/>
    </row>
    <row r="84" spans="1:59" ht="18" customHeight="1" x14ac:dyDescent="0.3">
      <c r="B84" s="970" t="s">
        <v>320</v>
      </c>
      <c r="C84" s="969"/>
      <c r="D84" s="969"/>
      <c r="E84" s="969">
        <f t="shared" ref="E84:Q84" si="97">E83/E5</f>
        <v>3.5094736098051672E-2</v>
      </c>
      <c r="F84" s="969">
        <f t="shared" si="97"/>
        <v>2.9655520735594895E-2</v>
      </c>
      <c r="G84" s="969">
        <f t="shared" si="97"/>
        <v>3.0691160892561638E-2</v>
      </c>
      <c r="H84" s="969">
        <f t="shared" si="97"/>
        <v>2.7878967501188609E-2</v>
      </c>
      <c r="I84" s="969">
        <f t="shared" si="97"/>
        <v>2.6433989137673027E-2</v>
      </c>
      <c r="J84" s="969">
        <f t="shared" si="97"/>
        <v>2.4572986254483335E-2</v>
      </c>
      <c r="K84" s="969">
        <f t="shared" si="97"/>
        <v>2.4248118852351737E-2</v>
      </c>
      <c r="L84" s="969">
        <f>L83/L5</f>
        <v>2.3321686340928904E-2</v>
      </c>
      <c r="M84" s="969">
        <f t="shared" si="97"/>
        <v>2.2425198137343116E-2</v>
      </c>
      <c r="N84" s="969">
        <f t="shared" si="97"/>
        <v>2.176941026150998E-2</v>
      </c>
      <c r="O84" s="969">
        <f t="shared" si="97"/>
        <v>2.1314302127945932E-2</v>
      </c>
      <c r="P84" s="969">
        <f t="shared" si="97"/>
        <v>2.1035119797270577E-2</v>
      </c>
      <c r="Q84" s="969">
        <f t="shared" si="97"/>
        <v>2.0920909217624871E-2</v>
      </c>
      <c r="R84" s="806"/>
      <c r="S84" s="970"/>
      <c r="U84" s="942"/>
      <c r="V84" s="942"/>
      <c r="W84" s="942"/>
      <c r="X84" s="942"/>
      <c r="Y84" s="942"/>
      <c r="Z84" s="942"/>
      <c r="AA84" s="942"/>
      <c r="AB84" s="942"/>
      <c r="AC84" s="942"/>
      <c r="AD84" s="942"/>
      <c r="AE84" s="942"/>
      <c r="AF84" s="942"/>
      <c r="AG84" s="942"/>
      <c r="AH84" s="942"/>
    </row>
    <row r="85" spans="1:59" ht="18" customHeight="1" x14ac:dyDescent="0.3">
      <c r="B85" s="971" t="s">
        <v>879</v>
      </c>
      <c r="C85" s="969"/>
      <c r="D85" s="969"/>
      <c r="E85" s="969"/>
      <c r="F85" s="969"/>
      <c r="G85" s="969">
        <f t="shared" ref="G85:Q85" si="98">G83/F83-1</f>
        <v>4.8972144149977082E-2</v>
      </c>
      <c r="H85" s="969">
        <f t="shared" si="98"/>
        <v>-0.17998889759703074</v>
      </c>
      <c r="I85" s="969">
        <f t="shared" si="98"/>
        <v>-8.3954205872687426E-2</v>
      </c>
      <c r="J85" s="969">
        <f>J83/I83-1</f>
        <v>-0.13148603912908674</v>
      </c>
      <c r="K85" s="969">
        <f>K83/J83-1</f>
        <v>-1.7788845927594332E-2</v>
      </c>
      <c r="L85" s="969">
        <f t="shared" si="98"/>
        <v>-4.7435624261526033E-2</v>
      </c>
      <c r="M85" s="969">
        <f t="shared" si="98"/>
        <v>-4.761904761904745E-2</v>
      </c>
      <c r="N85" s="969">
        <f t="shared" si="98"/>
        <v>-3.8461538461539102E-2</v>
      </c>
      <c r="O85" s="969">
        <f t="shared" si="98"/>
        <v>-2.9126213592232664E-2</v>
      </c>
      <c r="P85" s="969">
        <f t="shared" si="98"/>
        <v>-1.9607843137254499E-2</v>
      </c>
      <c r="Q85" s="969">
        <f t="shared" si="98"/>
        <v>-9.90099009901102E-3</v>
      </c>
      <c r="R85" s="806"/>
      <c r="S85" s="970"/>
      <c r="U85" s="942"/>
      <c r="V85" s="942"/>
      <c r="W85" s="942"/>
      <c r="X85" s="942"/>
      <c r="Y85" s="942"/>
      <c r="Z85" s="942"/>
      <c r="AA85" s="942"/>
      <c r="AB85" s="942"/>
      <c r="AC85" s="942"/>
      <c r="AD85" s="942"/>
      <c r="AE85" s="942"/>
      <c r="AF85" s="942"/>
      <c r="AG85" s="942"/>
      <c r="AH85" s="942"/>
    </row>
    <row r="86" spans="1:59" ht="18" hidden="1" customHeight="1" outlineLevel="1" x14ac:dyDescent="0.3">
      <c r="A86" s="800"/>
      <c r="B86" s="973"/>
      <c r="C86" s="992"/>
      <c r="D86" s="992"/>
      <c r="E86" s="992"/>
      <c r="F86" s="992"/>
      <c r="G86" s="992">
        <f>G83</f>
        <v>142570</v>
      </c>
      <c r="H86" s="992">
        <f>H83</f>
        <v>116908.98286959133</v>
      </c>
      <c r="I86" s="992">
        <f>I83</f>
        <v>107093.98205339117</v>
      </c>
      <c r="J86" s="992">
        <f>IFERROR(I83*(1+(I83/G83)^(1/2)-1),0)</f>
        <v>92818.282052287977</v>
      </c>
      <c r="K86" s="992">
        <f t="shared" ref="K86:Q86" si="99">IFERROR(J83*(1+(J83/H83)^(1/2)-1),0)</f>
        <v>82963.843865263669</v>
      </c>
      <c r="L86" s="992">
        <f t="shared" si="99"/>
        <v>84379.620059039749</v>
      </c>
      <c r="M86" s="992">
        <f t="shared" si="99"/>
        <v>84176.461794763469</v>
      </c>
      <c r="N86" s="992">
        <f t="shared" si="99"/>
        <v>78941.302454505669</v>
      </c>
      <c r="O86" s="992">
        <f t="shared" si="99"/>
        <v>76261.810382812997</v>
      </c>
      <c r="P86" s="992">
        <f t="shared" si="99"/>
        <v>74755.97726476063</v>
      </c>
      <c r="Q86" s="992">
        <f t="shared" si="99"/>
        <v>74005.216807236575</v>
      </c>
      <c r="R86" s="975"/>
      <c r="S86" s="974"/>
      <c r="U86" s="942"/>
      <c r="V86" s="942"/>
      <c r="W86" s="942"/>
      <c r="X86" s="942"/>
      <c r="Y86" s="942"/>
      <c r="Z86" s="942"/>
      <c r="AA86" s="942"/>
      <c r="AB86" s="942"/>
      <c r="AC86" s="942"/>
      <c r="AD86" s="942"/>
      <c r="AE86" s="942"/>
      <c r="AF86" s="942"/>
      <c r="AG86" s="942"/>
      <c r="AH86" s="942"/>
    </row>
    <row r="87" spans="1:59" s="817" customFormat="1" ht="18" customHeight="1" collapsed="1" x14ac:dyDescent="0.3">
      <c r="B87" s="976" t="s">
        <v>631</v>
      </c>
      <c r="C87" s="977"/>
      <c r="D87" s="977"/>
      <c r="E87" s="977">
        <f>E88-E89+E92-E95+E96</f>
        <v>12559</v>
      </c>
      <c r="F87" s="977">
        <f t="shared" ref="F87:Q87" si="100">F88-F89+F92-F95+F96</f>
        <v>141789</v>
      </c>
      <c r="G87" s="977">
        <f t="shared" si="100"/>
        <v>6270</v>
      </c>
      <c r="H87" s="977">
        <f t="shared" si="100"/>
        <v>29551</v>
      </c>
      <c r="I87" s="977">
        <f t="shared" si="100"/>
        <v>19731</v>
      </c>
      <c r="J87" s="977">
        <f t="shared" si="100"/>
        <v>13689.583354000002</v>
      </c>
      <c r="K87" s="977">
        <f t="shared" si="100"/>
        <v>13172.024642709013</v>
      </c>
      <c r="L87" s="977">
        <f t="shared" si="100"/>
        <v>14999.207540903004</v>
      </c>
      <c r="M87" s="977">
        <f t="shared" si="100"/>
        <v>13445.676722537341</v>
      </c>
      <c r="N87" s="977">
        <f t="shared" si="100"/>
        <v>13982.747968716452</v>
      </c>
      <c r="O87" s="977">
        <f t="shared" si="100"/>
        <v>14252.989077385599</v>
      </c>
      <c r="P87" s="977">
        <f t="shared" si="100"/>
        <v>14004.249589546464</v>
      </c>
      <c r="Q87" s="977">
        <f t="shared" si="100"/>
        <v>14190.44054521617</v>
      </c>
      <c r="R87" s="983"/>
      <c r="S87" s="976"/>
      <c r="T87" s="806"/>
      <c r="U87" s="943"/>
      <c r="V87" s="943"/>
      <c r="W87" s="943"/>
      <c r="X87" s="943"/>
      <c r="Y87" s="945"/>
      <c r="Z87" s="945"/>
      <c r="AA87" s="945"/>
      <c r="AB87" s="945"/>
      <c r="AC87" s="945"/>
      <c r="AD87" s="945"/>
      <c r="AE87" s="945"/>
      <c r="AF87" s="945"/>
      <c r="AG87" s="945"/>
      <c r="AH87" s="945"/>
      <c r="AY87" s="798"/>
      <c r="AZ87" s="798"/>
      <c r="BA87" s="798"/>
      <c r="BB87" s="798"/>
      <c r="BC87" s="798"/>
      <c r="BD87" s="798"/>
      <c r="BE87" s="798"/>
      <c r="BF87" s="798"/>
      <c r="BG87" s="798"/>
    </row>
    <row r="88" spans="1:59" ht="18" customHeight="1" x14ac:dyDescent="0.3">
      <c r="B88" s="984" t="s">
        <v>632</v>
      </c>
      <c r="C88" s="980"/>
      <c r="D88" s="980"/>
      <c r="E88" s="980">
        <v>1254</v>
      </c>
      <c r="F88" s="980">
        <v>91734</v>
      </c>
      <c r="G88" s="980">
        <v>2940</v>
      </c>
      <c r="H88" s="980">
        <v>3538</v>
      </c>
      <c r="I88" s="980">
        <v>1571</v>
      </c>
      <c r="J88" s="980">
        <v>1041.737132</v>
      </c>
      <c r="K88" s="980">
        <v>0</v>
      </c>
      <c r="L88" s="980">
        <v>0</v>
      </c>
      <c r="M88" s="980">
        <v>0</v>
      </c>
      <c r="N88" s="980">
        <v>0</v>
      </c>
      <c r="O88" s="980">
        <v>0</v>
      </c>
      <c r="P88" s="980">
        <v>0</v>
      </c>
      <c r="Q88" s="980">
        <v>0</v>
      </c>
      <c r="R88" s="975"/>
      <c r="S88" s="982"/>
      <c r="U88" s="942"/>
      <c r="V88" s="942"/>
      <c r="W88" s="942"/>
      <c r="X88" s="942"/>
      <c r="Y88" s="942"/>
      <c r="Z88" s="942"/>
      <c r="AA88" s="942"/>
      <c r="AB88" s="942"/>
      <c r="AC88" s="942"/>
      <c r="AD88" s="942"/>
      <c r="AE88" s="942"/>
      <c r="AF88" s="942"/>
      <c r="AG88" s="942"/>
      <c r="AH88" s="942"/>
      <c r="AU88" s="798">
        <f>홈쇼핑!V775*1000</f>
        <v>1041737132</v>
      </c>
      <c r="AV88" s="817">
        <f>ROUND(AU88/1000000,)</f>
        <v>1042</v>
      </c>
      <c r="AW88" s="818">
        <f>J88-AV88</f>
        <v>-0.26286800000002586</v>
      </c>
      <c r="AX88" s="798" t="s">
        <v>8852</v>
      </c>
    </row>
    <row r="89" spans="1:59" ht="18" customHeight="1" x14ac:dyDescent="0.3">
      <c r="B89" s="984" t="s">
        <v>633</v>
      </c>
      <c r="C89" s="980"/>
      <c r="D89" s="980"/>
      <c r="E89" s="980">
        <f t="shared" ref="E89:Q89" si="101">SUM(E90:E91)</f>
        <v>8099</v>
      </c>
      <c r="F89" s="980">
        <f t="shared" si="101"/>
        <v>4668</v>
      </c>
      <c r="G89" s="980">
        <f t="shared" si="101"/>
        <v>6232</v>
      </c>
      <c r="H89" s="980">
        <f t="shared" si="101"/>
        <v>6037</v>
      </c>
      <c r="I89" s="980">
        <f t="shared" si="101"/>
        <v>5740</v>
      </c>
      <c r="J89" s="980">
        <f t="shared" si="101"/>
        <v>4267.0984019999996</v>
      </c>
      <c r="K89" s="980">
        <f t="shared" si="101"/>
        <v>3236.2000039999994</v>
      </c>
      <c r="L89" s="980">
        <f t="shared" si="101"/>
        <v>3236.2000039999994</v>
      </c>
      <c r="M89" s="980">
        <f t="shared" si="101"/>
        <v>3236.2000039999994</v>
      </c>
      <c r="N89" s="980">
        <f t="shared" si="101"/>
        <v>3236.2000039999994</v>
      </c>
      <c r="O89" s="980">
        <f t="shared" si="101"/>
        <v>3236.2000039999994</v>
      </c>
      <c r="P89" s="980">
        <f t="shared" si="101"/>
        <v>3236.2000039999994</v>
      </c>
      <c r="Q89" s="980">
        <f t="shared" si="101"/>
        <v>3236.2000039999994</v>
      </c>
      <c r="R89" s="975"/>
      <c r="S89" s="982"/>
      <c r="U89" s="942"/>
      <c r="V89" s="942"/>
      <c r="W89" s="942"/>
      <c r="X89" s="942"/>
      <c r="Y89" s="942"/>
      <c r="Z89" s="942"/>
      <c r="AA89" s="942"/>
      <c r="AB89" s="942"/>
      <c r="AC89" s="942"/>
      <c r="AD89" s="942"/>
      <c r="AE89" s="942"/>
      <c r="AF89" s="942"/>
      <c r="AG89" s="942"/>
      <c r="AH89" s="942"/>
      <c r="AU89" s="798">
        <f>홈쇼핑!V911*1000</f>
        <v>4266198402</v>
      </c>
      <c r="AV89" s="817">
        <f>ROUND(AU89/1000000,)</f>
        <v>4266</v>
      </c>
      <c r="AW89" s="818">
        <f>J89-AV89</f>
        <v>1.0984019999996235</v>
      </c>
    </row>
    <row r="90" spans="1:59" ht="18" customHeight="1" x14ac:dyDescent="0.3">
      <c r="B90" s="985" t="s">
        <v>634</v>
      </c>
      <c r="C90" s="965"/>
      <c r="D90" s="965"/>
      <c r="E90" s="965">
        <v>7660</v>
      </c>
      <c r="F90" s="965">
        <v>4575</v>
      </c>
      <c r="G90" s="965">
        <v>3219</v>
      </c>
      <c r="H90" s="965">
        <v>3152</v>
      </c>
      <c r="I90" s="965">
        <v>3385</v>
      </c>
      <c r="J90" s="965">
        <v>4205.9820499999996</v>
      </c>
      <c r="K90" s="965">
        <v>3236.2000039999994</v>
      </c>
      <c r="L90" s="965">
        <f t="shared" ref="L90:Q90" si="102">K90</f>
        <v>3236.2000039999994</v>
      </c>
      <c r="M90" s="965">
        <f t="shared" si="102"/>
        <v>3236.2000039999994</v>
      </c>
      <c r="N90" s="965">
        <f t="shared" si="102"/>
        <v>3236.2000039999994</v>
      </c>
      <c r="O90" s="965">
        <f t="shared" si="102"/>
        <v>3236.2000039999994</v>
      </c>
      <c r="P90" s="965">
        <f t="shared" si="102"/>
        <v>3236.2000039999994</v>
      </c>
      <c r="Q90" s="965">
        <f t="shared" si="102"/>
        <v>3236.2000039999994</v>
      </c>
      <c r="R90" s="975"/>
      <c r="S90" s="959"/>
      <c r="U90" s="942"/>
      <c r="V90" s="942"/>
      <c r="W90" s="942"/>
      <c r="X90" s="942"/>
      <c r="Y90" s="942"/>
      <c r="Z90" s="942"/>
      <c r="AA90" s="942"/>
      <c r="AB90" s="942"/>
      <c r="AC90" s="942"/>
      <c r="AD90" s="942"/>
      <c r="AE90" s="942"/>
      <c r="AF90" s="942"/>
      <c r="AG90" s="942"/>
      <c r="AH90" s="942"/>
    </row>
    <row r="91" spans="1:59" ht="18" customHeight="1" x14ac:dyDescent="0.3">
      <c r="B91" s="985" t="s">
        <v>14</v>
      </c>
      <c r="C91" s="965"/>
      <c r="D91" s="965"/>
      <c r="E91" s="965">
        <v>439</v>
      </c>
      <c r="F91" s="965">
        <v>93</v>
      </c>
      <c r="G91" s="965">
        <v>3013</v>
      </c>
      <c r="H91" s="965">
        <v>2885</v>
      </c>
      <c r="I91" s="965">
        <v>2355</v>
      </c>
      <c r="J91" s="965">
        <f>60.2163520000004+1363.69648099993-1363.69648099993+0.9</f>
        <v>61.116352000000369</v>
      </c>
      <c r="K91" s="965">
        <v>0</v>
      </c>
      <c r="L91" s="965">
        <v>0</v>
      </c>
      <c r="M91" s="965">
        <v>0</v>
      </c>
      <c r="N91" s="965">
        <v>0</v>
      </c>
      <c r="O91" s="965">
        <v>0</v>
      </c>
      <c r="P91" s="965">
        <v>0</v>
      </c>
      <c r="Q91" s="965">
        <v>0</v>
      </c>
      <c r="R91" s="975"/>
      <c r="S91" s="959"/>
      <c r="U91" s="942"/>
      <c r="V91" s="942"/>
      <c r="W91" s="942"/>
      <c r="X91" s="942"/>
      <c r="Y91" s="942"/>
      <c r="Z91" s="942"/>
      <c r="AA91" s="942"/>
      <c r="AB91" s="942"/>
      <c r="AC91" s="942"/>
      <c r="AD91" s="942"/>
      <c r="AE91" s="942"/>
      <c r="AF91" s="942"/>
      <c r="AG91" s="942"/>
      <c r="AH91" s="942"/>
    </row>
    <row r="92" spans="1:59" ht="18" customHeight="1" x14ac:dyDescent="0.3">
      <c r="B92" s="984" t="s">
        <v>635</v>
      </c>
      <c r="C92" s="980"/>
      <c r="D92" s="980"/>
      <c r="E92" s="980">
        <f t="shared" ref="E92:Q92" si="103">SUM(E93:E94)</f>
        <v>34468</v>
      </c>
      <c r="F92" s="980">
        <f t="shared" si="103"/>
        <v>55905</v>
      </c>
      <c r="G92" s="980">
        <f t="shared" si="103"/>
        <v>11427</v>
      </c>
      <c r="H92" s="980">
        <f t="shared" si="103"/>
        <v>32199</v>
      </c>
      <c r="I92" s="980">
        <f t="shared" si="103"/>
        <v>23986</v>
      </c>
      <c r="J92" s="980">
        <f t="shared" si="103"/>
        <v>16992.360786000001</v>
      </c>
      <c r="K92" s="980">
        <f t="shared" si="103"/>
        <v>16408.224646709012</v>
      </c>
      <c r="L92" s="980">
        <f t="shared" si="103"/>
        <v>18235.407544903002</v>
      </c>
      <c r="M92" s="980">
        <f t="shared" si="103"/>
        <v>16681.876726537339</v>
      </c>
      <c r="N92" s="980">
        <f t="shared" si="103"/>
        <v>17218.947972716451</v>
      </c>
      <c r="O92" s="980">
        <f t="shared" si="103"/>
        <v>17489.189081385597</v>
      </c>
      <c r="P92" s="980">
        <f t="shared" si="103"/>
        <v>17240.449593546462</v>
      </c>
      <c r="Q92" s="980">
        <f t="shared" si="103"/>
        <v>17426.640549216168</v>
      </c>
      <c r="R92" s="975"/>
      <c r="S92" s="982"/>
      <c r="U92" s="942"/>
      <c r="V92" s="942"/>
      <c r="W92" s="942"/>
      <c r="X92" s="942"/>
      <c r="Y92" s="942"/>
      <c r="Z92" s="942"/>
      <c r="AA92" s="942"/>
      <c r="AB92" s="942"/>
      <c r="AC92" s="942"/>
      <c r="AD92" s="942"/>
      <c r="AE92" s="942"/>
      <c r="AF92" s="942"/>
      <c r="AG92" s="942"/>
      <c r="AH92" s="942"/>
      <c r="AU92" s="798">
        <f>홈쇼핑!V1053*1000</f>
        <v>1928155513.0000002</v>
      </c>
      <c r="AV92" s="817">
        <f>ROUND(AU92/1000000,)</f>
        <v>1928</v>
      </c>
      <c r="AW92" s="818">
        <f>J92-AV92</f>
        <v>15064.360786000001</v>
      </c>
      <c r="AX92" s="798" t="s">
        <v>8853</v>
      </c>
    </row>
    <row r="93" spans="1:59" ht="18" customHeight="1" x14ac:dyDescent="0.3">
      <c r="B93" s="985" t="s">
        <v>321</v>
      </c>
      <c r="C93" s="965"/>
      <c r="D93" s="965"/>
      <c r="E93" s="965">
        <v>6470</v>
      </c>
      <c r="F93" s="965">
        <v>5593</v>
      </c>
      <c r="G93" s="965">
        <v>9789</v>
      </c>
      <c r="H93" s="965">
        <v>26830</v>
      </c>
      <c r="I93" s="965">
        <v>22896</v>
      </c>
      <c r="J93" s="965">
        <v>15070.662988</v>
      </c>
      <c r="K93" s="965">
        <v>16408.224646709012</v>
      </c>
      <c r="L93" s="965">
        <f t="shared" ref="L93:Q93" si="104">AVERAGE(I93:K93)+L155</f>
        <v>18235.407544903002</v>
      </c>
      <c r="M93" s="965">
        <f t="shared" si="104"/>
        <v>16681.876726537339</v>
      </c>
      <c r="N93" s="965">
        <f t="shared" si="104"/>
        <v>17218.947972716451</v>
      </c>
      <c r="O93" s="965">
        <f t="shared" si="104"/>
        <v>17489.189081385597</v>
      </c>
      <c r="P93" s="965">
        <f t="shared" si="104"/>
        <v>17240.449593546462</v>
      </c>
      <c r="Q93" s="965">
        <f t="shared" si="104"/>
        <v>17426.640549216168</v>
      </c>
      <c r="R93" s="975"/>
      <c r="S93" s="974"/>
      <c r="U93" s="942"/>
      <c r="V93" s="942"/>
      <c r="W93" s="942"/>
      <c r="X93" s="942"/>
      <c r="Y93" s="942"/>
      <c r="Z93" s="942"/>
      <c r="AA93" s="942"/>
      <c r="AB93" s="942"/>
      <c r="AC93" s="942"/>
      <c r="AD93" s="942"/>
      <c r="AE93" s="942"/>
      <c r="AF93" s="942"/>
      <c r="AG93" s="942"/>
      <c r="AH93" s="942"/>
    </row>
    <row r="94" spans="1:59" ht="18" customHeight="1" x14ac:dyDescent="0.3">
      <c r="B94" s="985" t="s">
        <v>14</v>
      </c>
      <c r="C94" s="965"/>
      <c r="D94" s="965"/>
      <c r="E94" s="965">
        <v>27998</v>
      </c>
      <c r="F94" s="965">
        <v>50312</v>
      </c>
      <c r="G94" s="965">
        <v>1638</v>
      </c>
      <c r="H94" s="965">
        <v>5369</v>
      </c>
      <c r="I94" s="965">
        <v>1090</v>
      </c>
      <c r="J94" s="965">
        <v>1921.6977980000011</v>
      </c>
      <c r="K94" s="965">
        <v>0</v>
      </c>
      <c r="L94" s="965">
        <v>0</v>
      </c>
      <c r="M94" s="965">
        <v>0</v>
      </c>
      <c r="N94" s="965">
        <v>0</v>
      </c>
      <c r="O94" s="965">
        <v>0</v>
      </c>
      <c r="P94" s="965">
        <v>0</v>
      </c>
      <c r="Q94" s="965">
        <v>0</v>
      </c>
      <c r="R94" s="975"/>
      <c r="S94" s="974"/>
      <c r="U94" s="942"/>
      <c r="V94" s="942"/>
      <c r="W94" s="942"/>
      <c r="X94" s="942"/>
      <c r="Y94" s="942"/>
      <c r="Z94" s="942"/>
      <c r="AA94" s="942"/>
      <c r="AB94" s="942"/>
      <c r="AC94" s="942"/>
      <c r="AD94" s="942"/>
      <c r="AE94" s="942"/>
      <c r="AF94" s="942"/>
      <c r="AG94" s="942"/>
      <c r="AH94" s="942"/>
    </row>
    <row r="95" spans="1:59" ht="18" customHeight="1" x14ac:dyDescent="0.3">
      <c r="B95" s="984" t="s">
        <v>636</v>
      </c>
      <c r="C95" s="980"/>
      <c r="D95" s="980"/>
      <c r="E95" s="980">
        <v>15064</v>
      </c>
      <c r="F95" s="980">
        <v>1182</v>
      </c>
      <c r="G95" s="980">
        <v>1865</v>
      </c>
      <c r="H95" s="980">
        <v>149</v>
      </c>
      <c r="I95" s="980">
        <v>86</v>
      </c>
      <c r="J95" s="980">
        <v>77.416161999999531</v>
      </c>
      <c r="K95" s="980">
        <v>0</v>
      </c>
      <c r="L95" s="980">
        <v>0</v>
      </c>
      <c r="M95" s="980">
        <v>0</v>
      </c>
      <c r="N95" s="980">
        <v>0</v>
      </c>
      <c r="O95" s="980">
        <v>0</v>
      </c>
      <c r="P95" s="980">
        <v>0</v>
      </c>
      <c r="Q95" s="980">
        <v>0</v>
      </c>
      <c r="R95" s="975"/>
      <c r="S95" s="982"/>
      <c r="U95" s="942"/>
      <c r="V95" s="942"/>
      <c r="W95" s="942"/>
      <c r="X95" s="942"/>
      <c r="Y95" s="942"/>
      <c r="Z95" s="942"/>
      <c r="AA95" s="942"/>
      <c r="AB95" s="942"/>
      <c r="AC95" s="942"/>
      <c r="AD95" s="942"/>
      <c r="AE95" s="942"/>
      <c r="AF95" s="942"/>
      <c r="AG95" s="942"/>
      <c r="AH95" s="942"/>
      <c r="AU95" s="798">
        <f>홈쇼핑!V1138*1000</f>
        <v>-14986789111.000002</v>
      </c>
      <c r="AV95" s="817">
        <f>ROUND(AU95/1000000,)</f>
        <v>-14987</v>
      </c>
      <c r="AW95" s="818">
        <f>J95-AV95</f>
        <v>15064.416162</v>
      </c>
    </row>
    <row r="96" spans="1:59" ht="18" customHeight="1" x14ac:dyDescent="0.3">
      <c r="B96" s="979" t="s">
        <v>637</v>
      </c>
      <c r="C96" s="980"/>
      <c r="D96" s="980"/>
      <c r="E96" s="980"/>
      <c r="F96" s="980">
        <v>0</v>
      </c>
      <c r="G96" s="980">
        <v>0</v>
      </c>
      <c r="H96" s="980">
        <v>0</v>
      </c>
      <c r="I96" s="980">
        <v>0</v>
      </c>
      <c r="J96" s="980">
        <v>0</v>
      </c>
      <c r="K96" s="980">
        <v>0</v>
      </c>
      <c r="L96" s="980">
        <v>0</v>
      </c>
      <c r="M96" s="980">
        <v>0</v>
      </c>
      <c r="N96" s="980">
        <v>0</v>
      </c>
      <c r="O96" s="980">
        <v>0</v>
      </c>
      <c r="P96" s="980">
        <v>0</v>
      </c>
      <c r="Q96" s="980">
        <v>0</v>
      </c>
      <c r="R96" s="975"/>
      <c r="S96" s="982"/>
      <c r="U96" s="942"/>
      <c r="V96" s="942"/>
      <c r="W96" s="942"/>
      <c r="X96" s="942"/>
      <c r="Y96" s="942"/>
      <c r="Z96" s="942"/>
      <c r="AA96" s="942"/>
      <c r="AB96" s="942"/>
      <c r="AC96" s="942"/>
      <c r="AD96" s="942"/>
      <c r="AE96" s="942"/>
      <c r="AF96" s="942"/>
      <c r="AG96" s="942"/>
      <c r="AH96" s="942"/>
      <c r="AU96" s="824">
        <f>홈쇼핑!V1214*1000</f>
        <v>0</v>
      </c>
      <c r="AV96" s="825">
        <f>ROUND(AU96/1000000,)</f>
        <v>0</v>
      </c>
      <c r="AW96" s="826">
        <f>J96-AV96</f>
        <v>0</v>
      </c>
      <c r="AX96" s="824" t="s">
        <v>8854</v>
      </c>
    </row>
    <row r="97" spans="1:59" s="817" customFormat="1" ht="18" customHeight="1" x14ac:dyDescent="0.3">
      <c r="B97" s="976" t="s">
        <v>638</v>
      </c>
      <c r="C97" s="977"/>
      <c r="D97" s="977"/>
      <c r="E97" s="977">
        <f t="shared" ref="E97:Q97" si="105">E83+E87</f>
        <v>170443</v>
      </c>
      <c r="F97" s="977">
        <f t="shared" si="105"/>
        <v>277703</v>
      </c>
      <c r="G97" s="977">
        <f t="shared" si="105"/>
        <v>148840</v>
      </c>
      <c r="H97" s="977">
        <f t="shared" si="105"/>
        <v>146459.98286959133</v>
      </c>
      <c r="I97" s="977">
        <f t="shared" si="105"/>
        <v>126824.98205339117</v>
      </c>
      <c r="J97" s="977">
        <f t="shared" si="105"/>
        <v>106702.20189262927</v>
      </c>
      <c r="K97" s="977">
        <f t="shared" si="105"/>
        <v>104530.0560408325</v>
      </c>
      <c r="L97" s="977">
        <f t="shared" si="105"/>
        <v>102023.6136883524</v>
      </c>
      <c r="M97" s="977">
        <f t="shared" si="105"/>
        <v>96326.063529632025</v>
      </c>
      <c r="N97" s="977">
        <f t="shared" si="105"/>
        <v>93675.427590922831</v>
      </c>
      <c r="O97" s="977">
        <f t="shared" si="105"/>
        <v>91624.522691178223</v>
      </c>
      <c r="P97" s="977">
        <f t="shared" si="105"/>
        <v>89858.694308951031</v>
      </c>
      <c r="Q97" s="977">
        <f t="shared" si="105"/>
        <v>89293.851158487931</v>
      </c>
      <c r="R97" s="983"/>
      <c r="S97" s="976"/>
      <c r="T97" s="806"/>
      <c r="U97" s="943"/>
      <c r="V97" s="943"/>
      <c r="W97" s="943"/>
      <c r="X97" s="943"/>
      <c r="Y97" s="945"/>
      <c r="Z97" s="945"/>
      <c r="AA97" s="945"/>
      <c r="AB97" s="945"/>
      <c r="AC97" s="945"/>
      <c r="AD97" s="945"/>
      <c r="AE97" s="945"/>
      <c r="AF97" s="945"/>
      <c r="AG97" s="945"/>
      <c r="AH97" s="945"/>
      <c r="AU97" s="817">
        <f>홈쇼핑!V1225*1000</f>
        <v>106703135424.99986</v>
      </c>
      <c r="AV97" s="817">
        <f>ROUND(AU97/1000000,)</f>
        <v>106703</v>
      </c>
      <c r="AW97" s="818">
        <f>J97-AV97</f>
        <v>-0.79810737073421478</v>
      </c>
      <c r="AY97" s="798"/>
      <c r="AZ97" s="798"/>
      <c r="BA97" s="798"/>
      <c r="BB97" s="798"/>
      <c r="BC97" s="798"/>
      <c r="BD97" s="798"/>
      <c r="BE97" s="798"/>
      <c r="BF97" s="798"/>
      <c r="BG97" s="798"/>
    </row>
    <row r="98" spans="1:59" ht="18" customHeight="1" x14ac:dyDescent="0.3">
      <c r="B98" s="973" t="s">
        <v>322</v>
      </c>
      <c r="C98" s="965"/>
      <c r="D98" s="965"/>
      <c r="E98" s="965">
        <v>41545</v>
      </c>
      <c r="F98" s="965">
        <v>47772</v>
      </c>
      <c r="G98" s="965">
        <v>20404</v>
      </c>
      <c r="H98" s="965">
        <v>28374</v>
      </c>
      <c r="I98" s="965">
        <v>29297</v>
      </c>
      <c r="J98" s="965">
        <v>24648.424283</v>
      </c>
      <c r="K98" s="965">
        <f t="shared" ref="K98:Q98" si="106">(K97-$B$161)*$C$162+$D$161</f>
        <v>24834.273561881466</v>
      </c>
      <c r="L98" s="965">
        <f t="shared" si="106"/>
        <v>24227.714512581282</v>
      </c>
      <c r="M98" s="965">
        <f t="shared" si="106"/>
        <v>22848.907374170951</v>
      </c>
      <c r="N98" s="965">
        <f t="shared" si="106"/>
        <v>22207.453477003328</v>
      </c>
      <c r="O98" s="965">
        <f t="shared" si="106"/>
        <v>21711.134491265133</v>
      </c>
      <c r="P98" s="965">
        <f t="shared" si="106"/>
        <v>21283.804022766151</v>
      </c>
      <c r="Q98" s="965">
        <f t="shared" si="106"/>
        <v>21147.111980354082</v>
      </c>
      <c r="R98" s="975"/>
      <c r="S98" s="974"/>
      <c r="U98" s="942"/>
      <c r="V98" s="942"/>
      <c r="W98" s="942"/>
      <c r="X98" s="942"/>
      <c r="Y98" s="942"/>
      <c r="Z98" s="942"/>
      <c r="AA98" s="942"/>
      <c r="AB98" s="942"/>
      <c r="AC98" s="942"/>
      <c r="AD98" s="942"/>
      <c r="AE98" s="942"/>
      <c r="AF98" s="942"/>
      <c r="AG98" s="942"/>
      <c r="AH98" s="942"/>
    </row>
    <row r="99" spans="1:59" ht="18" customHeight="1" x14ac:dyDescent="0.3">
      <c r="B99" s="971" t="s">
        <v>639</v>
      </c>
      <c r="C99" s="989"/>
      <c r="D99" s="989"/>
      <c r="E99" s="989">
        <f t="shared" ref="E99:Q99" si="107">E98/E97</f>
        <v>0.24374717647541994</v>
      </c>
      <c r="F99" s="989">
        <f t="shared" si="107"/>
        <v>0.1720255092670947</v>
      </c>
      <c r="G99" s="989">
        <f t="shared" si="107"/>
        <v>0.13708680462241332</v>
      </c>
      <c r="H99" s="989">
        <f t="shared" si="107"/>
        <v>0.19373209967711347</v>
      </c>
      <c r="I99" s="989">
        <f t="shared" si="107"/>
        <v>0.23100338376288088</v>
      </c>
      <c r="J99" s="989">
        <f t="shared" si="107"/>
        <v>0.23100202100611622</v>
      </c>
      <c r="K99" s="989">
        <f t="shared" si="107"/>
        <v>0.23758021857541597</v>
      </c>
      <c r="L99" s="989">
        <f t="shared" si="107"/>
        <v>0.23747163658198531</v>
      </c>
      <c r="M99" s="989">
        <f t="shared" si="107"/>
        <v>0.23720379030273694</v>
      </c>
      <c r="N99" s="989">
        <f t="shared" si="107"/>
        <v>0.23706807695591703</v>
      </c>
      <c r="O99" s="989">
        <f t="shared" si="107"/>
        <v>0.23695768178179574</v>
      </c>
      <c r="P99" s="989">
        <f t="shared" si="107"/>
        <v>0.23685859433466108</v>
      </c>
      <c r="Q99" s="989">
        <f t="shared" si="107"/>
        <v>0.23682607151549559</v>
      </c>
      <c r="R99" s="806"/>
      <c r="S99" s="1001" t="s">
        <v>8884</v>
      </c>
      <c r="U99" s="942"/>
      <c r="V99" s="942"/>
      <c r="W99" s="942"/>
      <c r="X99" s="942"/>
      <c r="Y99" s="942"/>
      <c r="Z99" s="942"/>
      <c r="AA99" s="942"/>
      <c r="AB99" s="942"/>
      <c r="AC99" s="942"/>
      <c r="AD99" s="942"/>
      <c r="AE99" s="942"/>
      <c r="AF99" s="942"/>
      <c r="AG99" s="942"/>
      <c r="AH99" s="942"/>
    </row>
    <row r="100" spans="1:59" s="817" customFormat="1" ht="18" customHeight="1" x14ac:dyDescent="0.3">
      <c r="B100" s="976" t="s">
        <v>425</v>
      </c>
      <c r="C100" s="976"/>
      <c r="D100" s="977"/>
      <c r="E100" s="977">
        <f>E97-E98</f>
        <v>128898</v>
      </c>
      <c r="F100" s="977">
        <f t="shared" ref="F100:Q100" si="108">F97-F98</f>
        <v>229931</v>
      </c>
      <c r="G100" s="977">
        <f t="shared" si="108"/>
        <v>128436</v>
      </c>
      <c r="H100" s="977">
        <f t="shared" si="108"/>
        <v>118085.98286959133</v>
      </c>
      <c r="I100" s="977">
        <f t="shared" si="108"/>
        <v>97527.98205339117</v>
      </c>
      <c r="J100" s="977">
        <f t="shared" si="108"/>
        <v>82053.777609629265</v>
      </c>
      <c r="K100" s="977">
        <f t="shared" si="108"/>
        <v>79695.782478951034</v>
      </c>
      <c r="L100" s="977">
        <f t="shared" si="108"/>
        <v>77795.899175771119</v>
      </c>
      <c r="M100" s="977">
        <f t="shared" si="108"/>
        <v>73477.156155461067</v>
      </c>
      <c r="N100" s="977">
        <f t="shared" si="108"/>
        <v>71467.97411391951</v>
      </c>
      <c r="O100" s="977">
        <f t="shared" si="108"/>
        <v>69913.388199913083</v>
      </c>
      <c r="P100" s="977">
        <f t="shared" si="108"/>
        <v>68574.890286184876</v>
      </c>
      <c r="Q100" s="977">
        <f t="shared" si="108"/>
        <v>68146.739178133852</v>
      </c>
      <c r="R100" s="983"/>
      <c r="S100" s="976"/>
      <c r="T100" s="806"/>
      <c r="U100" s="943"/>
      <c r="V100" s="943"/>
      <c r="W100" s="943"/>
      <c r="X100" s="943"/>
      <c r="Y100" s="945"/>
      <c r="Z100" s="945"/>
      <c r="AA100" s="945"/>
      <c r="AB100" s="945"/>
      <c r="AC100" s="945"/>
      <c r="AD100" s="945"/>
      <c r="AE100" s="945"/>
      <c r="AF100" s="945"/>
      <c r="AG100" s="945"/>
      <c r="AH100" s="945"/>
      <c r="AU100" s="817">
        <f>홈쇼핑!V1239*1000</f>
        <v>82054711141.999878</v>
      </c>
      <c r="AV100" s="817">
        <f>ROUND(AU100/1000000,)</f>
        <v>82055</v>
      </c>
      <c r="AW100" s="818">
        <f>J100-AV100</f>
        <v>-1.2223903707345016</v>
      </c>
    </row>
    <row r="101" spans="1:59" ht="18" customHeight="1" x14ac:dyDescent="0.3">
      <c r="E101" s="827"/>
      <c r="F101" s="827"/>
      <c r="G101" s="827"/>
      <c r="H101" s="827"/>
      <c r="I101" s="827"/>
      <c r="J101" s="827"/>
      <c r="K101" s="827"/>
      <c r="L101" s="827"/>
      <c r="M101" s="827"/>
      <c r="N101" s="827"/>
      <c r="O101" s="827"/>
      <c r="P101" s="827"/>
      <c r="Q101" s="827"/>
      <c r="S101" s="705"/>
    </row>
    <row r="102" spans="1:59" ht="18" hidden="1" customHeight="1" outlineLevel="1" x14ac:dyDescent="0.3">
      <c r="A102" s="800"/>
      <c r="B102" s="828" t="s">
        <v>640</v>
      </c>
      <c r="C102" s="828"/>
      <c r="E102" s="827"/>
      <c r="F102" s="827"/>
      <c r="G102" s="827"/>
      <c r="H102" s="827"/>
      <c r="I102" s="827"/>
      <c r="J102" s="827"/>
      <c r="K102" s="827"/>
      <c r="L102" s="827"/>
      <c r="M102" s="827"/>
      <c r="N102" s="827"/>
      <c r="O102" s="827"/>
      <c r="P102" s="827"/>
      <c r="Q102" s="827"/>
      <c r="S102" s="705"/>
    </row>
    <row r="103" spans="1:59" ht="18" hidden="1" customHeight="1" outlineLevel="1" x14ac:dyDescent="0.3">
      <c r="A103" s="800"/>
      <c r="E103" s="798"/>
      <c r="F103" s="827"/>
      <c r="G103" s="827"/>
      <c r="H103" s="827"/>
      <c r="I103" s="827"/>
      <c r="J103" s="827"/>
      <c r="K103" s="827"/>
      <c r="L103" s="827"/>
      <c r="M103" s="827"/>
      <c r="N103" s="827"/>
      <c r="O103" s="827"/>
      <c r="P103" s="827"/>
      <c r="Q103" s="827"/>
      <c r="S103" s="705"/>
    </row>
    <row r="104" spans="1:59" ht="18" hidden="1" customHeight="1" outlineLevel="1" x14ac:dyDescent="0.3">
      <c r="A104" s="800"/>
      <c r="B104" s="706"/>
      <c r="C104" s="706"/>
      <c r="D104" s="706"/>
      <c r="E104" s="706">
        <v>2020</v>
      </c>
      <c r="F104" s="706">
        <f t="shared" ref="F104:M104" si="109">E104+1</f>
        <v>2021</v>
      </c>
      <c r="G104" s="706">
        <f t="shared" si="109"/>
        <v>2022</v>
      </c>
      <c r="H104" s="706">
        <f t="shared" si="109"/>
        <v>2023</v>
      </c>
      <c r="I104" s="706">
        <f t="shared" si="109"/>
        <v>2024</v>
      </c>
      <c r="J104" s="706">
        <f t="shared" si="109"/>
        <v>2025</v>
      </c>
      <c r="K104" s="706">
        <f t="shared" si="109"/>
        <v>2026</v>
      </c>
      <c r="L104" s="706">
        <f t="shared" si="109"/>
        <v>2027</v>
      </c>
      <c r="M104" s="706">
        <f t="shared" si="109"/>
        <v>2028</v>
      </c>
      <c r="N104" s="706">
        <f>M104+1</f>
        <v>2029</v>
      </c>
      <c r="O104" s="706">
        <f>N104+1</f>
        <v>2030</v>
      </c>
      <c r="P104" s="706">
        <f>O104+1</f>
        <v>2031</v>
      </c>
      <c r="Q104" s="706">
        <f>P104+1</f>
        <v>2032</v>
      </c>
      <c r="S104" s="705"/>
    </row>
    <row r="105" spans="1:59" ht="18" hidden="1" customHeight="1" outlineLevel="1" x14ac:dyDescent="0.3">
      <c r="A105" s="800"/>
      <c r="B105" s="116" t="s">
        <v>641</v>
      </c>
      <c r="C105" s="116"/>
      <c r="D105" s="816"/>
      <c r="E105" s="81"/>
      <c r="F105" s="81"/>
      <c r="G105" s="81"/>
      <c r="H105" s="81"/>
      <c r="I105" s="81"/>
      <c r="J105" s="81"/>
      <c r="K105" s="81"/>
      <c r="L105" s="81"/>
      <c r="M105" s="81"/>
      <c r="N105" s="59"/>
      <c r="O105" s="59"/>
      <c r="P105" s="59"/>
      <c r="Q105" s="59"/>
      <c r="S105" s="705"/>
    </row>
    <row r="106" spans="1:59" ht="18" hidden="1" customHeight="1" outlineLevel="1" x14ac:dyDescent="0.3">
      <c r="A106" s="800"/>
      <c r="B106" s="116" t="s">
        <v>642</v>
      </c>
      <c r="C106" s="116"/>
      <c r="D106" s="816"/>
      <c r="E106" s="829"/>
      <c r="F106" s="829"/>
      <c r="G106" s="829"/>
      <c r="H106" s="829"/>
      <c r="I106" s="829"/>
      <c r="J106" s="829"/>
      <c r="K106" s="829"/>
      <c r="L106" s="829"/>
      <c r="M106" s="829"/>
      <c r="N106" s="115"/>
      <c r="O106" s="115"/>
      <c r="P106" s="115"/>
      <c r="Q106" s="115"/>
      <c r="S106" s="705"/>
    </row>
    <row r="107" spans="1:59" ht="18" hidden="1" customHeight="1" outlineLevel="1" x14ac:dyDescent="0.3">
      <c r="A107" s="800"/>
      <c r="B107" s="116" t="s">
        <v>643</v>
      </c>
      <c r="C107" s="116"/>
      <c r="D107" s="816"/>
      <c r="E107" s="829"/>
      <c r="F107" s="829"/>
      <c r="G107" s="829"/>
      <c r="H107" s="829"/>
      <c r="I107" s="829"/>
      <c r="J107" s="829"/>
      <c r="K107" s="829"/>
      <c r="L107" s="829"/>
      <c r="M107" s="829"/>
      <c r="N107" s="115"/>
      <c r="O107" s="115"/>
      <c r="P107" s="115"/>
      <c r="Q107" s="115"/>
      <c r="S107" s="705"/>
    </row>
    <row r="108" spans="1:59" ht="18" hidden="1" customHeight="1" outlineLevel="1" x14ac:dyDescent="0.3">
      <c r="A108" s="800"/>
      <c r="B108" s="116" t="s">
        <v>644</v>
      </c>
      <c r="C108" s="116"/>
      <c r="D108" s="816"/>
      <c r="E108" s="829"/>
      <c r="F108" s="829"/>
      <c r="G108" s="829"/>
      <c r="H108" s="829"/>
      <c r="I108" s="829"/>
      <c r="J108" s="829"/>
      <c r="K108" s="829"/>
      <c r="L108" s="829"/>
      <c r="M108" s="829"/>
      <c r="N108" s="115"/>
      <c r="O108" s="115"/>
      <c r="P108" s="115"/>
      <c r="Q108" s="115"/>
      <c r="S108" s="705"/>
    </row>
    <row r="109" spans="1:59" ht="18" hidden="1" customHeight="1" outlineLevel="1" x14ac:dyDescent="0.3">
      <c r="A109" s="800"/>
      <c r="B109" s="116" t="s">
        <v>645</v>
      </c>
      <c r="C109" s="116"/>
      <c r="D109" s="816"/>
      <c r="E109" s="118">
        <f>E50</f>
        <v>104642</v>
      </c>
      <c r="F109" s="118">
        <f>F50</f>
        <v>108194</v>
      </c>
      <c r="G109" s="118">
        <f t="shared" ref="G109:M109" si="110">G50</f>
        <v>74094</v>
      </c>
      <c r="H109" s="118">
        <f t="shared" si="110"/>
        <v>82590</v>
      </c>
      <c r="I109" s="118">
        <f t="shared" si="110"/>
        <v>84194</v>
      </c>
      <c r="J109" s="118">
        <f>J50</f>
        <v>85905.775024999995</v>
      </c>
      <c r="K109" s="118">
        <f t="shared" si="110"/>
        <v>91464.316522574009</v>
      </c>
      <c r="L109" s="118">
        <f t="shared" si="110"/>
        <v>94208.24601825123</v>
      </c>
      <c r="M109" s="118">
        <f t="shared" si="110"/>
        <v>97034.493398798775</v>
      </c>
      <c r="N109" s="118">
        <f>N50</f>
        <v>99945.528200762739</v>
      </c>
      <c r="O109" s="118">
        <f>O50</f>
        <v>102943.89404678563</v>
      </c>
      <c r="P109" s="118">
        <f>P50</f>
        <v>106032.2108681892</v>
      </c>
      <c r="Q109" s="118">
        <f>Q50</f>
        <v>109213.17719423487</v>
      </c>
      <c r="S109" s="707"/>
    </row>
    <row r="110" spans="1:59" ht="18" hidden="1" customHeight="1" outlineLevel="1" x14ac:dyDescent="0.3">
      <c r="A110" s="800"/>
      <c r="B110" s="116" t="s">
        <v>646</v>
      </c>
      <c r="C110" s="116"/>
      <c r="D110" s="816"/>
      <c r="E110" s="830"/>
      <c r="F110" s="830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S110" s="705"/>
    </row>
    <row r="111" spans="1:59" ht="18" hidden="1" customHeight="1" outlineLevel="1" x14ac:dyDescent="0.3">
      <c r="A111" s="800"/>
      <c r="B111" s="116" t="s">
        <v>647</v>
      </c>
      <c r="C111" s="116"/>
      <c r="D111" s="816"/>
      <c r="E111" s="81"/>
      <c r="F111" s="794">
        <f>F109/E109-1</f>
        <v>3.3944305345845915E-2</v>
      </c>
      <c r="G111" s="794">
        <f t="shared" ref="G111:M111" si="111">G109/F109-1</f>
        <v>-0.3151745937852376</v>
      </c>
      <c r="H111" s="794">
        <f t="shared" si="111"/>
        <v>0.11466515507328534</v>
      </c>
      <c r="I111" s="794">
        <f t="shared" si="111"/>
        <v>1.9421237437946548E-2</v>
      </c>
      <c r="J111" s="794">
        <f t="shared" si="111"/>
        <v>2.0331318443119306E-2</v>
      </c>
      <c r="K111" s="794">
        <f t="shared" si="111"/>
        <v>6.4705096903629356E-2</v>
      </c>
      <c r="L111" s="794">
        <f t="shared" si="111"/>
        <v>3.0000000000000027E-2</v>
      </c>
      <c r="M111" s="794">
        <f t="shared" si="111"/>
        <v>3.0000000000000027E-2</v>
      </c>
      <c r="N111" s="794">
        <f>N109/M109-1</f>
        <v>3.0000000000000027E-2</v>
      </c>
      <c r="O111" s="794">
        <f>O109/N109-1</f>
        <v>3.0000000000000027E-2</v>
      </c>
      <c r="P111" s="794">
        <f>P109/O109-1</f>
        <v>3.0000000000000027E-2</v>
      </c>
      <c r="Q111" s="794">
        <f>Q109/P109-1</f>
        <v>3.0000000000000027E-2</v>
      </c>
      <c r="S111" s="705"/>
    </row>
    <row r="112" spans="1:59" ht="18" hidden="1" customHeight="1" outlineLevel="1" x14ac:dyDescent="0.3">
      <c r="A112" s="800"/>
      <c r="B112" s="116" t="s">
        <v>648</v>
      </c>
      <c r="C112" s="116"/>
      <c r="D112" s="816"/>
      <c r="E112" s="81"/>
      <c r="F112" s="829"/>
      <c r="G112" s="829"/>
      <c r="H112" s="829"/>
      <c r="I112" s="829"/>
      <c r="J112" s="829"/>
      <c r="K112" s="829"/>
      <c r="L112" s="829"/>
      <c r="M112" s="829"/>
      <c r="N112" s="115"/>
      <c r="O112" s="115"/>
      <c r="P112" s="115"/>
      <c r="Q112" s="115"/>
      <c r="S112" s="705"/>
    </row>
    <row r="113" spans="1:19" ht="18" hidden="1" customHeight="1" outlineLevel="1" x14ac:dyDescent="0.3">
      <c r="A113" s="800"/>
      <c r="B113" s="116" t="s">
        <v>649</v>
      </c>
      <c r="C113" s="116"/>
      <c r="D113" s="816"/>
      <c r="E113" s="81"/>
      <c r="F113" s="829"/>
      <c r="G113" s="829"/>
      <c r="H113" s="829"/>
      <c r="I113" s="829"/>
      <c r="J113" s="829"/>
      <c r="K113" s="829"/>
      <c r="L113" s="829"/>
      <c r="M113" s="829"/>
      <c r="N113" s="115"/>
      <c r="O113" s="115"/>
      <c r="P113" s="115"/>
      <c r="Q113" s="115"/>
      <c r="S113" s="705"/>
    </row>
    <row r="114" spans="1:19" ht="18" hidden="1" customHeight="1" outlineLevel="1" x14ac:dyDescent="0.3">
      <c r="A114" s="800"/>
      <c r="E114" s="827"/>
      <c r="F114" s="827"/>
      <c r="G114" s="827"/>
      <c r="H114" s="827"/>
      <c r="I114" s="827"/>
      <c r="J114" s="827"/>
      <c r="K114" s="827"/>
      <c r="L114" s="827"/>
      <c r="M114" s="827"/>
      <c r="N114" s="827"/>
      <c r="O114" s="827"/>
      <c r="P114" s="827"/>
      <c r="Q114" s="827"/>
      <c r="S114" s="705"/>
    </row>
    <row r="115" spans="1:19" ht="18" hidden="1" customHeight="1" outlineLevel="1" x14ac:dyDescent="0.3">
      <c r="A115" s="800"/>
      <c r="E115" s="827"/>
      <c r="F115" s="827"/>
      <c r="G115" s="827"/>
      <c r="H115" s="827"/>
      <c r="I115" s="827"/>
      <c r="J115" s="827"/>
      <c r="K115" s="827"/>
      <c r="L115" s="827"/>
      <c r="M115" s="827"/>
      <c r="N115" s="827"/>
      <c r="O115" s="827"/>
      <c r="P115" s="827"/>
      <c r="Q115" s="827"/>
      <c r="S115" s="705"/>
    </row>
    <row r="116" spans="1:19" ht="18" hidden="1" customHeight="1" outlineLevel="1" x14ac:dyDescent="0.3">
      <c r="A116" s="800"/>
      <c r="B116" s="69" t="s">
        <v>702</v>
      </c>
      <c r="C116" s="121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827"/>
      <c r="P116" s="827"/>
      <c r="Q116" s="827"/>
      <c r="S116" s="705"/>
    </row>
    <row r="117" spans="1:19" ht="18" hidden="1" customHeight="1" outlineLevel="1" x14ac:dyDescent="0.3">
      <c r="A117" s="800"/>
      <c r="B117" s="121"/>
      <c r="C117" s="121" t="s">
        <v>436</v>
      </c>
      <c r="D117" s="121" t="s">
        <v>436</v>
      </c>
      <c r="E117" s="121" t="s">
        <v>436</v>
      </c>
      <c r="F117" s="798"/>
      <c r="G117" s="798"/>
      <c r="H117" s="798"/>
      <c r="I117" s="121" t="s">
        <v>436</v>
      </c>
      <c r="J117" s="121" t="s">
        <v>703</v>
      </c>
      <c r="K117" s="121" t="s">
        <v>703</v>
      </c>
      <c r="L117" s="121" t="s">
        <v>703</v>
      </c>
      <c r="M117" s="121" t="s">
        <v>703</v>
      </c>
      <c r="N117" s="121" t="s">
        <v>703</v>
      </c>
      <c r="O117" s="121" t="s">
        <v>703</v>
      </c>
      <c r="P117" s="121" t="s">
        <v>703</v>
      </c>
      <c r="Q117" s="121" t="s">
        <v>703</v>
      </c>
      <c r="S117" s="705"/>
    </row>
    <row r="118" spans="1:19" ht="18" hidden="1" customHeight="1" outlineLevel="1" x14ac:dyDescent="0.3">
      <c r="A118" s="800"/>
      <c r="B118" s="697" t="s">
        <v>437</v>
      </c>
      <c r="C118" s="698">
        <v>2021</v>
      </c>
      <c r="D118" s="698">
        <v>2022</v>
      </c>
      <c r="E118" s="698">
        <v>2023</v>
      </c>
      <c r="F118" s="698">
        <v>2021</v>
      </c>
      <c r="G118" s="698">
        <v>2022</v>
      </c>
      <c r="H118" s="698">
        <v>2023</v>
      </c>
      <c r="I118" s="698">
        <v>2024</v>
      </c>
      <c r="J118" s="698" t="s">
        <v>704</v>
      </c>
      <c r="K118" s="699">
        <v>2026</v>
      </c>
      <c r="L118" s="700">
        <v>2027</v>
      </c>
      <c r="M118" s="700">
        <v>2028</v>
      </c>
      <c r="N118" s="700">
        <v>2029</v>
      </c>
      <c r="O118" s="700">
        <v>2030</v>
      </c>
      <c r="P118" s="700">
        <v>2031</v>
      </c>
      <c r="Q118" s="700">
        <v>2032</v>
      </c>
      <c r="S118" s="705"/>
    </row>
    <row r="119" spans="1:19" ht="18" hidden="1" customHeight="1" outlineLevel="1" x14ac:dyDescent="0.3">
      <c r="A119" s="800"/>
      <c r="B119" s="701" t="s">
        <v>438</v>
      </c>
      <c r="C119" s="702">
        <v>840</v>
      </c>
      <c r="D119" s="702">
        <v>827</v>
      </c>
      <c r="E119" s="702">
        <v>823</v>
      </c>
      <c r="F119" s="702"/>
      <c r="G119" s="702"/>
      <c r="H119" s="702"/>
      <c r="I119" s="702">
        <v>813</v>
      </c>
      <c r="J119" s="702">
        <v>810</v>
      </c>
      <c r="K119" s="703">
        <v>810</v>
      </c>
      <c r="L119" s="703">
        <v>810</v>
      </c>
      <c r="M119" s="703">
        <f>812-2</f>
        <v>810</v>
      </c>
      <c r="N119" s="703">
        <f>812-2</f>
        <v>810</v>
      </c>
      <c r="O119" s="703">
        <f>815-5</f>
        <v>810</v>
      </c>
      <c r="P119" s="703">
        <f>815-5</f>
        <v>810</v>
      </c>
      <c r="Q119" s="703">
        <f>815-5</f>
        <v>810</v>
      </c>
      <c r="S119" s="705"/>
    </row>
    <row r="120" spans="1:19" ht="18" hidden="1" customHeight="1" outlineLevel="1" x14ac:dyDescent="0.3">
      <c r="A120" s="800"/>
      <c r="B120" s="121" t="s">
        <v>705</v>
      </c>
      <c r="C120" s="59"/>
      <c r="D120" s="76">
        <f>D119/C119-1</f>
        <v>-1.5476190476190421E-2</v>
      </c>
      <c r="E120" s="76">
        <f>E119/D119-1</f>
        <v>-4.8367593712212997E-3</v>
      </c>
      <c r="F120" s="798"/>
      <c r="G120" s="798"/>
      <c r="H120" s="798"/>
      <c r="I120" s="76">
        <f>I119/E119-1</f>
        <v>-1.2150668286755817E-2</v>
      </c>
      <c r="J120" s="76">
        <f t="shared" ref="J120:Q120" si="112">J119/I119-1</f>
        <v>-3.6900369003689537E-3</v>
      </c>
      <c r="K120" s="76">
        <f t="shared" si="112"/>
        <v>0</v>
      </c>
      <c r="L120" s="76">
        <f t="shared" si="112"/>
        <v>0</v>
      </c>
      <c r="M120" s="76">
        <f t="shared" si="112"/>
        <v>0</v>
      </c>
      <c r="N120" s="76">
        <f t="shared" si="112"/>
        <v>0</v>
      </c>
      <c r="O120" s="76">
        <f t="shared" si="112"/>
        <v>0</v>
      </c>
      <c r="P120" s="76">
        <f t="shared" si="112"/>
        <v>0</v>
      </c>
      <c r="Q120" s="76">
        <f t="shared" si="112"/>
        <v>0</v>
      </c>
      <c r="S120" s="705"/>
    </row>
    <row r="121" spans="1:19" ht="18" hidden="1" customHeight="1" outlineLevel="1" x14ac:dyDescent="0.3">
      <c r="A121" s="800"/>
      <c r="B121" s="121" t="s">
        <v>706</v>
      </c>
      <c r="C121" s="831"/>
      <c r="D121" s="831"/>
      <c r="E121" s="831"/>
      <c r="F121" s="798"/>
      <c r="G121" s="798"/>
      <c r="H121" s="798"/>
      <c r="I121" s="831"/>
      <c r="J121" s="76">
        <v>3.2000000000000001E-2</v>
      </c>
      <c r="K121" s="76">
        <v>0.03</v>
      </c>
      <c r="L121" s="76">
        <v>0.03</v>
      </c>
      <c r="M121" s="76">
        <v>0.03</v>
      </c>
      <c r="N121" s="76">
        <v>0.03</v>
      </c>
      <c r="O121" s="76">
        <v>0.03</v>
      </c>
      <c r="P121" s="76">
        <v>0.03</v>
      </c>
      <c r="Q121" s="76">
        <v>0.03</v>
      </c>
      <c r="S121" s="705"/>
    </row>
    <row r="122" spans="1:19" ht="18" hidden="1" customHeight="1" outlineLevel="1" x14ac:dyDescent="0.3">
      <c r="A122" s="800"/>
      <c r="B122" s="121" t="s">
        <v>707</v>
      </c>
      <c r="C122" s="59"/>
      <c r="D122" s="59"/>
      <c r="E122" s="832"/>
      <c r="F122" s="798"/>
      <c r="G122" s="798"/>
      <c r="H122" s="798"/>
      <c r="I122" s="832"/>
      <c r="J122" s="832">
        <f t="shared" ref="J122:Q122" si="113">(1+J120)*(1+J121)</f>
        <v>1.0281918819188192</v>
      </c>
      <c r="K122" s="832">
        <f t="shared" si="113"/>
        <v>1.03</v>
      </c>
      <c r="L122" s="832">
        <f t="shared" si="113"/>
        <v>1.03</v>
      </c>
      <c r="M122" s="832">
        <f t="shared" si="113"/>
        <v>1.03</v>
      </c>
      <c r="N122" s="832">
        <f t="shared" si="113"/>
        <v>1.03</v>
      </c>
      <c r="O122" s="832">
        <f t="shared" si="113"/>
        <v>1.03</v>
      </c>
      <c r="P122" s="832">
        <f t="shared" si="113"/>
        <v>1.03</v>
      </c>
      <c r="Q122" s="832">
        <f t="shared" si="113"/>
        <v>1.03</v>
      </c>
      <c r="S122" s="705"/>
    </row>
    <row r="123" spans="1:19" ht="18" hidden="1" customHeight="1" outlineLevel="1" x14ac:dyDescent="0.3">
      <c r="A123" s="800"/>
      <c r="E123" s="827"/>
      <c r="F123" s="827"/>
      <c r="G123" s="827"/>
      <c r="H123" s="827"/>
      <c r="I123" s="827"/>
      <c r="J123" s="827"/>
      <c r="K123" s="827"/>
      <c r="L123" s="827"/>
      <c r="M123" s="827"/>
      <c r="N123" s="827"/>
      <c r="O123" s="827"/>
      <c r="P123" s="827"/>
      <c r="Q123" s="827"/>
      <c r="S123" s="705"/>
    </row>
    <row r="124" spans="1:19" ht="18" hidden="1" customHeight="1" outlineLevel="1" x14ac:dyDescent="0.3">
      <c r="A124" s="800"/>
      <c r="E124" s="827"/>
      <c r="F124" s="827"/>
      <c r="G124" s="827"/>
      <c r="H124" s="827"/>
      <c r="I124" s="827"/>
      <c r="J124" s="827"/>
      <c r="K124" s="827"/>
      <c r="L124" s="827"/>
      <c r="M124" s="827"/>
      <c r="N124" s="827"/>
      <c r="O124" s="827"/>
      <c r="P124" s="827"/>
      <c r="Q124" s="827"/>
      <c r="S124" s="705"/>
    </row>
    <row r="125" spans="1:19" ht="18" hidden="1" customHeight="1" outlineLevel="1" x14ac:dyDescent="0.3">
      <c r="A125" s="800"/>
      <c r="E125" s="827"/>
      <c r="F125" s="827"/>
      <c r="G125" s="827"/>
      <c r="H125" s="827"/>
      <c r="I125" s="827"/>
      <c r="J125" s="827"/>
      <c r="K125" s="827"/>
      <c r="L125" s="827"/>
      <c r="M125" s="827"/>
      <c r="N125" s="827"/>
      <c r="O125" s="827"/>
      <c r="P125" s="827"/>
      <c r="Q125" s="827"/>
      <c r="S125" s="705"/>
    </row>
    <row r="126" spans="1:19" ht="18" hidden="1" customHeight="1" outlineLevel="1" x14ac:dyDescent="0.3">
      <c r="A126" s="800"/>
      <c r="E126" s="827"/>
      <c r="F126" s="827"/>
      <c r="G126" s="827"/>
      <c r="H126" s="827"/>
      <c r="I126" s="827"/>
      <c r="J126" s="827"/>
      <c r="K126" s="827"/>
      <c r="L126" s="827"/>
      <c r="M126" s="827"/>
      <c r="N126" s="827"/>
      <c r="O126" s="827"/>
      <c r="P126" s="827"/>
      <c r="Q126" s="827"/>
      <c r="S126" s="705"/>
    </row>
    <row r="127" spans="1:19" ht="18" hidden="1" customHeight="1" outlineLevel="1" x14ac:dyDescent="0.3">
      <c r="A127" s="800"/>
      <c r="B127" s="828" t="s">
        <v>650</v>
      </c>
      <c r="C127" s="828"/>
      <c r="E127" s="827"/>
      <c r="F127" s="827"/>
      <c r="G127" s="827"/>
      <c r="H127" s="827"/>
      <c r="I127" s="827"/>
      <c r="J127" s="827"/>
      <c r="K127" s="827"/>
      <c r="L127" s="827"/>
      <c r="M127" s="827"/>
      <c r="N127" s="827"/>
      <c r="O127" s="827"/>
      <c r="P127" s="827"/>
      <c r="Q127" s="827"/>
      <c r="S127" s="705"/>
    </row>
    <row r="128" spans="1:19" ht="18" hidden="1" customHeight="1" outlineLevel="1" x14ac:dyDescent="0.3">
      <c r="A128" s="800"/>
      <c r="E128" s="827"/>
      <c r="F128" s="827"/>
      <c r="G128" s="827"/>
      <c r="H128" s="827"/>
      <c r="I128" s="827"/>
      <c r="J128" s="827"/>
      <c r="K128" s="827"/>
      <c r="L128" s="827"/>
      <c r="M128" s="827"/>
      <c r="N128" s="827"/>
      <c r="O128" s="827"/>
      <c r="P128" s="827"/>
      <c r="Q128" s="827"/>
      <c r="S128" s="705"/>
    </row>
    <row r="129" spans="1:21" ht="18" hidden="1" customHeight="1" outlineLevel="1" x14ac:dyDescent="0.3">
      <c r="A129" s="800"/>
      <c r="B129" s="706"/>
      <c r="C129" s="706"/>
      <c r="D129" s="706"/>
      <c r="E129" s="706">
        <v>2020</v>
      </c>
      <c r="F129" s="706">
        <f t="shared" ref="F129:Q129" si="114">E129+1</f>
        <v>2021</v>
      </c>
      <c r="G129" s="706">
        <f t="shared" si="114"/>
        <v>2022</v>
      </c>
      <c r="H129" s="706">
        <f t="shared" si="114"/>
        <v>2023</v>
      </c>
      <c r="I129" s="706">
        <f t="shared" si="114"/>
        <v>2024</v>
      </c>
      <c r="J129" s="706">
        <f t="shared" si="114"/>
        <v>2025</v>
      </c>
      <c r="K129" s="706">
        <f t="shared" si="114"/>
        <v>2026</v>
      </c>
      <c r="L129" s="706">
        <f t="shared" si="114"/>
        <v>2027</v>
      </c>
      <c r="M129" s="706">
        <f t="shared" si="114"/>
        <v>2028</v>
      </c>
      <c r="N129" s="706">
        <f t="shared" si="114"/>
        <v>2029</v>
      </c>
      <c r="O129" s="706">
        <f t="shared" si="114"/>
        <v>2030</v>
      </c>
      <c r="P129" s="706">
        <f t="shared" si="114"/>
        <v>2031</v>
      </c>
      <c r="Q129" s="706">
        <f t="shared" si="114"/>
        <v>2032</v>
      </c>
      <c r="S129" s="705"/>
    </row>
    <row r="130" spans="1:21" ht="18" hidden="1" customHeight="1" outlineLevel="1" x14ac:dyDescent="0.3">
      <c r="A130" s="800"/>
      <c r="B130" s="118" t="s">
        <v>651</v>
      </c>
      <c r="C130" s="118"/>
      <c r="D130" s="816"/>
      <c r="E130" s="816"/>
      <c r="F130" s="118"/>
      <c r="G130" s="118"/>
      <c r="H130" s="118"/>
      <c r="I130" s="118"/>
      <c r="J130" s="118"/>
      <c r="K130" s="833"/>
      <c r="L130" s="833"/>
      <c r="M130" s="833"/>
      <c r="N130" s="834"/>
      <c r="O130" s="834"/>
      <c r="P130" s="834"/>
      <c r="Q130" s="834"/>
      <c r="S130" s="705"/>
    </row>
    <row r="131" spans="1:21" ht="18" hidden="1" customHeight="1" outlineLevel="1" x14ac:dyDescent="0.3">
      <c r="A131" s="800"/>
      <c r="B131" s="783" t="s">
        <v>652</v>
      </c>
      <c r="C131" s="783"/>
      <c r="D131" s="816"/>
      <c r="E131" s="816"/>
      <c r="F131" s="118">
        <v>5526</v>
      </c>
      <c r="G131" s="118">
        <v>3759</v>
      </c>
      <c r="H131" s="118">
        <v>3504</v>
      </c>
      <c r="I131" s="118">
        <f>'9. 추정 IS'!I142</f>
        <v>3533</v>
      </c>
      <c r="J131" s="118">
        <f>'9. 추정 IS'!J142</f>
        <v>3474</v>
      </c>
      <c r="K131" s="118">
        <f>'9. 추정 IS'!K142</f>
        <v>3411</v>
      </c>
      <c r="L131" s="118">
        <f>'9. 추정 IS'!L142</f>
        <v>3349.1424870466321</v>
      </c>
      <c r="M131" s="118">
        <f>'9. 추정 IS'!M142</f>
        <v>3288.4067424628852</v>
      </c>
      <c r="N131" s="118">
        <f>'9. 추정 IS'!N142</f>
        <v>3228.7724232990508</v>
      </c>
      <c r="O131" s="118">
        <f>'9. 추정 IS'!O142</f>
        <v>3170.2195555190169</v>
      </c>
      <c r="P131" s="118">
        <f>'9. 추정 IS'!P142</f>
        <v>3112.7285273101234</v>
      </c>
      <c r="Q131" s="118">
        <f>'9. 추정 IS'!Q142</f>
        <v>3056.2800825143445</v>
      </c>
      <c r="S131" s="705"/>
    </row>
    <row r="132" spans="1:21" ht="18" hidden="1" customHeight="1" outlineLevel="1" x14ac:dyDescent="0.3">
      <c r="A132" s="800"/>
      <c r="B132" s="783" t="s">
        <v>233</v>
      </c>
      <c r="C132" s="783"/>
      <c r="D132" s="816"/>
      <c r="E132" s="816"/>
      <c r="F132" s="118">
        <f>SUM($E$131:E131)/5+F131/5/2</f>
        <v>552.6</v>
      </c>
      <c r="G132" s="118">
        <f>SUM($E$131:F131)/5+G131/5/2</f>
        <v>1481.1</v>
      </c>
      <c r="H132" s="118">
        <f t="shared" ref="H132:Q132" si="115">SUM(D131:G131)/5+H131/10+C131/10</f>
        <v>2207.4</v>
      </c>
      <c r="I132" s="118">
        <f t="shared" si="115"/>
        <v>2911.1000000000004</v>
      </c>
      <c r="J132" s="118">
        <f t="shared" si="115"/>
        <v>3611.8</v>
      </c>
      <c r="K132" s="118">
        <f t="shared" si="115"/>
        <v>3747.7</v>
      </c>
      <c r="L132" s="118">
        <f t="shared" si="115"/>
        <v>3495.2142487046635</v>
      </c>
      <c r="M132" s="118">
        <f t="shared" si="115"/>
        <v>3432.6691716556152</v>
      </c>
      <c r="N132" s="118">
        <f t="shared" si="115"/>
        <v>3380.687088231809</v>
      </c>
      <c r="O132" s="118">
        <f t="shared" si="115"/>
        <v>3319.8862861136154</v>
      </c>
      <c r="P132" s="118">
        <f t="shared" si="115"/>
        <v>3259.6810943965293</v>
      </c>
      <c r="Q132" s="118">
        <f t="shared" si="115"/>
        <v>3200.5677066743133</v>
      </c>
      <c r="S132" s="705"/>
    </row>
    <row r="133" spans="1:21" ht="18" hidden="1" customHeight="1" outlineLevel="1" x14ac:dyDescent="0.3">
      <c r="A133" s="800"/>
      <c r="B133" s="783" t="s">
        <v>280</v>
      </c>
      <c r="C133" s="783"/>
      <c r="D133" s="816"/>
      <c r="E133" s="816"/>
      <c r="F133" s="118">
        <f>SUM($F$131:F131)-SUM($F$132:F132)</f>
        <v>4973.3999999999996</v>
      </c>
      <c r="G133" s="118">
        <f>SUM($F$131:G131)-SUM($F$132:G132)</f>
        <v>7251.3</v>
      </c>
      <c r="H133" s="118">
        <f>SUM($F$131:H131)-SUM($F$132:H132)</f>
        <v>8547.9</v>
      </c>
      <c r="I133" s="118">
        <f>SUM($F$131:I131)-SUM($F$132:I132)</f>
        <v>9169.7999999999993</v>
      </c>
      <c r="J133" s="118">
        <f>SUM($F$131:J131)-SUM($F$132:J132)</f>
        <v>9032</v>
      </c>
      <c r="K133" s="118">
        <f>SUM($F$131:K131)-SUM($F$132:K132)</f>
        <v>8695.2999999999993</v>
      </c>
      <c r="L133" s="118">
        <f>SUM($F$131:L131)-SUM($F$132:L132)</f>
        <v>8549.2282383419697</v>
      </c>
      <c r="M133" s="118">
        <f>SUM($F$131:M131)-SUM($F$132:M132)</f>
        <v>8404.9658091492383</v>
      </c>
      <c r="N133" s="118">
        <f>SUM($F$131:N131)-SUM($F$132:N132)</f>
        <v>8253.0511442164789</v>
      </c>
      <c r="O133" s="118">
        <f>SUM($F$131:O131)-SUM($F$132:O132)</f>
        <v>8103.3844136218831</v>
      </c>
      <c r="P133" s="118">
        <f>SUM($F$131:P131)-SUM($F$132:P132)</f>
        <v>7956.4318465354772</v>
      </c>
      <c r="Q133" s="118">
        <f>SUM($F$131:Q131)-SUM($F$132:Q132)</f>
        <v>7812.1442223755075</v>
      </c>
      <c r="S133" s="705"/>
    </row>
    <row r="134" spans="1:21" ht="18" hidden="1" customHeight="1" outlineLevel="1" x14ac:dyDescent="0.3">
      <c r="A134" s="800"/>
      <c r="B134" s="118" t="s">
        <v>653</v>
      </c>
      <c r="C134" s="118"/>
      <c r="D134" s="816"/>
      <c r="E134" s="816"/>
      <c r="F134" s="118"/>
      <c r="G134" s="118"/>
      <c r="H134" s="118"/>
      <c r="I134" s="118"/>
      <c r="J134" s="118"/>
      <c r="K134" s="833"/>
      <c r="L134" s="833"/>
      <c r="M134" s="833"/>
      <c r="N134" s="834"/>
      <c r="O134" s="834"/>
      <c r="P134" s="834"/>
      <c r="Q134" s="834"/>
      <c r="S134" s="705"/>
    </row>
    <row r="135" spans="1:21" ht="18" hidden="1" customHeight="1" outlineLevel="1" x14ac:dyDescent="0.3">
      <c r="A135" s="800"/>
      <c r="B135" s="783" t="s">
        <v>654</v>
      </c>
      <c r="C135" s="783"/>
      <c r="D135" s="816"/>
      <c r="E135" s="816"/>
      <c r="F135" s="118"/>
      <c r="G135" s="118"/>
      <c r="H135" s="118"/>
      <c r="I135" s="118"/>
      <c r="J135" s="118"/>
      <c r="K135" s="118"/>
      <c r="L135" s="118"/>
      <c r="M135" s="118"/>
      <c r="N135" s="62"/>
      <c r="O135" s="62"/>
      <c r="P135" s="62"/>
      <c r="Q135" s="62"/>
      <c r="S135" s="705"/>
    </row>
    <row r="136" spans="1:21" ht="18" hidden="1" customHeight="1" outlineLevel="1" x14ac:dyDescent="0.3">
      <c r="A136" s="800"/>
      <c r="B136" s="783" t="s">
        <v>233</v>
      </c>
      <c r="C136" s="783"/>
      <c r="D136" s="816"/>
      <c r="E136" s="816"/>
      <c r="F136" s="118"/>
      <c r="G136" s="118"/>
      <c r="H136" s="118"/>
      <c r="I136" s="118"/>
      <c r="J136" s="118"/>
      <c r="K136" s="118"/>
      <c r="L136" s="118"/>
      <c r="M136" s="118"/>
      <c r="N136" s="62"/>
      <c r="O136" s="62"/>
      <c r="P136" s="62"/>
      <c r="Q136" s="62"/>
      <c r="S136" s="705"/>
    </row>
    <row r="137" spans="1:21" ht="18" hidden="1" customHeight="1" outlineLevel="1" x14ac:dyDescent="0.3">
      <c r="A137" s="800"/>
      <c r="B137" s="783" t="s">
        <v>280</v>
      </c>
      <c r="C137" s="783"/>
      <c r="D137" s="816"/>
      <c r="E137" s="816"/>
      <c r="F137" s="118"/>
      <c r="G137" s="118"/>
      <c r="H137" s="118"/>
      <c r="I137" s="118"/>
      <c r="J137" s="118"/>
      <c r="K137" s="118"/>
      <c r="L137" s="118"/>
      <c r="M137" s="118"/>
      <c r="N137" s="62"/>
      <c r="O137" s="62"/>
      <c r="P137" s="62"/>
      <c r="Q137" s="62"/>
      <c r="S137" s="705"/>
    </row>
    <row r="138" spans="1:21" ht="18" hidden="1" customHeight="1" outlineLevel="1" x14ac:dyDescent="0.3">
      <c r="A138" s="800"/>
      <c r="E138" s="827"/>
      <c r="F138" s="827"/>
      <c r="G138" s="827"/>
      <c r="H138" s="827"/>
      <c r="I138" s="827"/>
      <c r="J138" s="827"/>
      <c r="K138" s="827"/>
      <c r="L138" s="827"/>
      <c r="M138" s="827"/>
      <c r="N138" s="827"/>
      <c r="O138" s="827"/>
      <c r="P138" s="827"/>
      <c r="Q138" s="827"/>
      <c r="S138" s="705"/>
    </row>
    <row r="139" spans="1:21" ht="18" hidden="1" customHeight="1" outlineLevel="1" x14ac:dyDescent="0.3">
      <c r="A139" s="800"/>
      <c r="B139" s="155" t="s">
        <v>673</v>
      </c>
      <c r="C139" s="155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</row>
    <row r="140" spans="1:21" ht="18" hidden="1" customHeight="1" outlineLevel="1" x14ac:dyDescent="0.3">
      <c r="A140" s="800"/>
      <c r="B140" s="59"/>
      <c r="C140" s="59"/>
      <c r="D140" s="59"/>
      <c r="E140" s="601"/>
      <c r="F140" s="798"/>
      <c r="G140" s="59"/>
      <c r="H140" s="59"/>
      <c r="I140" s="59"/>
      <c r="J140" s="59"/>
      <c r="K140" s="68"/>
      <c r="L140" s="68"/>
      <c r="M140" s="68"/>
      <c r="N140" s="68"/>
      <c r="O140" s="59"/>
      <c r="P140" s="59"/>
      <c r="Q140" s="68"/>
      <c r="R140" s="59"/>
      <c r="S140" s="59"/>
      <c r="T140" s="68" t="s">
        <v>429</v>
      </c>
      <c r="U140" s="59"/>
    </row>
    <row r="141" spans="1:21" ht="18" hidden="1" customHeight="1" outlineLevel="1" x14ac:dyDescent="0.3">
      <c r="A141" s="800"/>
      <c r="B141" s="1006" t="s">
        <v>323</v>
      </c>
      <c r="C141" s="1007"/>
      <c r="D141" s="1008"/>
      <c r="E141" s="107" t="s">
        <v>387</v>
      </c>
      <c r="F141" s="798"/>
      <c r="G141" s="107" t="s">
        <v>360</v>
      </c>
      <c r="H141" s="107" t="s">
        <v>361</v>
      </c>
      <c r="I141" s="107" t="s">
        <v>362</v>
      </c>
      <c r="J141" s="107" t="s">
        <v>363</v>
      </c>
      <c r="K141" s="107" t="s">
        <v>398</v>
      </c>
      <c r="L141" s="107" t="s">
        <v>426</v>
      </c>
      <c r="M141" s="107" t="s">
        <v>427</v>
      </c>
      <c r="N141" s="107" t="s">
        <v>430</v>
      </c>
      <c r="O141" s="107" t="s">
        <v>431</v>
      </c>
      <c r="P141" s="107" t="s">
        <v>432</v>
      </c>
      <c r="Q141" s="107" t="s">
        <v>433</v>
      </c>
      <c r="R141" s="109" t="s">
        <v>527</v>
      </c>
      <c r="S141" s="107" t="s">
        <v>566</v>
      </c>
      <c r="T141" s="107"/>
      <c r="U141" s="59"/>
    </row>
    <row r="142" spans="1:21" ht="18" hidden="1" customHeight="1" outlineLevel="1" x14ac:dyDescent="0.3">
      <c r="A142" s="800"/>
      <c r="B142" s="109" t="s">
        <v>562</v>
      </c>
      <c r="C142" s="113" t="s">
        <v>281</v>
      </c>
      <c r="D142" s="81" t="s">
        <v>674</v>
      </c>
      <c r="E142" s="709">
        <v>5526</v>
      </c>
      <c r="F142" s="798"/>
      <c r="G142" s="709">
        <v>3759</v>
      </c>
      <c r="H142" s="709">
        <v>3504</v>
      </c>
      <c r="I142" s="709">
        <v>3533</v>
      </c>
      <c r="J142" s="710">
        <v>3474</v>
      </c>
      <c r="K142" s="710">
        <v>3411</v>
      </c>
      <c r="L142" s="710">
        <f t="shared" ref="L142:Q142" si="116">K142*(1+J144)</f>
        <v>3349.1424870466321</v>
      </c>
      <c r="M142" s="710">
        <f t="shared" si="116"/>
        <v>3288.4067424628852</v>
      </c>
      <c r="N142" s="710">
        <f t="shared" si="116"/>
        <v>3228.7724232990508</v>
      </c>
      <c r="O142" s="710">
        <f t="shared" si="116"/>
        <v>3170.2195555190169</v>
      </c>
      <c r="P142" s="710">
        <f t="shared" si="116"/>
        <v>3112.7285273101234</v>
      </c>
      <c r="Q142" s="710">
        <f t="shared" si="116"/>
        <v>3056.2800825143445</v>
      </c>
      <c r="R142" s="711">
        <f>SUM(K142:Q142)</f>
        <v>22616.549818152052</v>
      </c>
      <c r="S142" s="109" t="s">
        <v>675</v>
      </c>
      <c r="T142" s="109"/>
      <c r="U142" s="59" t="s">
        <v>676</v>
      </c>
    </row>
    <row r="143" spans="1:21" ht="18" hidden="1" customHeight="1" outlineLevel="1" x14ac:dyDescent="0.3">
      <c r="A143" s="800"/>
      <c r="B143" s="1009" t="s">
        <v>527</v>
      </c>
      <c r="C143" s="1010"/>
      <c r="D143" s="1011"/>
      <c r="E143" s="711">
        <f>SUM(E142:E142)</f>
        <v>5526</v>
      </c>
      <c r="F143" s="798"/>
      <c r="G143" s="711">
        <f t="shared" ref="G143:Q143" si="117">SUM(G142:G142)</f>
        <v>3759</v>
      </c>
      <c r="H143" s="711">
        <f t="shared" si="117"/>
        <v>3504</v>
      </c>
      <c r="I143" s="711">
        <f t="shared" si="117"/>
        <v>3533</v>
      </c>
      <c r="J143" s="711">
        <f t="shared" si="117"/>
        <v>3474</v>
      </c>
      <c r="K143" s="711">
        <f t="shared" si="117"/>
        <v>3411</v>
      </c>
      <c r="L143" s="711">
        <f t="shared" si="117"/>
        <v>3349.1424870466321</v>
      </c>
      <c r="M143" s="711">
        <f t="shared" si="117"/>
        <v>3288.4067424628852</v>
      </c>
      <c r="N143" s="711">
        <f t="shared" si="117"/>
        <v>3228.7724232990508</v>
      </c>
      <c r="O143" s="711">
        <f t="shared" si="117"/>
        <v>3170.2195555190169</v>
      </c>
      <c r="P143" s="711">
        <f t="shared" si="117"/>
        <v>3112.7285273101234</v>
      </c>
      <c r="Q143" s="711">
        <f t="shared" si="117"/>
        <v>3056.2800825143445</v>
      </c>
      <c r="R143" s="711">
        <f>SUM(K143:Q143)</f>
        <v>22616.549818152052</v>
      </c>
      <c r="S143" s="109"/>
      <c r="T143" s="109"/>
      <c r="U143" s="59" t="s">
        <v>677</v>
      </c>
    </row>
    <row r="144" spans="1:21" ht="18" hidden="1" customHeight="1" outlineLevel="1" x14ac:dyDescent="0.3">
      <c r="A144" s="800"/>
      <c r="B144" s="59" t="s">
        <v>402</v>
      </c>
      <c r="C144" s="59"/>
      <c r="D144" s="59"/>
      <c r="E144" s="59"/>
      <c r="F144" s="59"/>
      <c r="G144" s="59"/>
      <c r="H144" s="835">
        <f t="shared" ref="H144:P144" si="118">I142/H142-1</f>
        <v>8.2762557077624699E-3</v>
      </c>
      <c r="I144" s="835">
        <f t="shared" si="118"/>
        <v>-1.669968864987259E-2</v>
      </c>
      <c r="J144" s="835">
        <f t="shared" si="118"/>
        <v>-1.8134715025906689E-2</v>
      </c>
      <c r="K144" s="835">
        <f t="shared" si="118"/>
        <v>-1.8134715025906689E-2</v>
      </c>
      <c r="L144" s="836">
        <f t="shared" si="118"/>
        <v>-1.8134715025906689E-2</v>
      </c>
      <c r="M144" s="836">
        <f t="shared" si="118"/>
        <v>-1.8134715025906578E-2</v>
      </c>
      <c r="N144" s="836">
        <f t="shared" si="118"/>
        <v>-1.8134715025906578E-2</v>
      </c>
      <c r="O144" s="836">
        <f t="shared" si="118"/>
        <v>-1.8134715025906578E-2</v>
      </c>
      <c r="P144" s="836">
        <f t="shared" si="118"/>
        <v>-1.8134715025906578E-2</v>
      </c>
      <c r="Q144" s="59"/>
      <c r="R144" s="59"/>
      <c r="S144" s="59"/>
      <c r="T144" s="59"/>
    </row>
    <row r="145" spans="1:20" ht="18" hidden="1" customHeight="1" outlineLevel="1" x14ac:dyDescent="0.3">
      <c r="A145" s="800"/>
      <c r="B145" s="59" t="s">
        <v>403</v>
      </c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</row>
    <row r="146" spans="1:20" ht="18" hidden="1" customHeight="1" outlineLevel="1" x14ac:dyDescent="0.3">
      <c r="A146" s="800"/>
      <c r="E146" s="827"/>
      <c r="F146" s="827"/>
      <c r="G146" s="827"/>
      <c r="H146" s="827"/>
      <c r="I146" s="827"/>
      <c r="J146" s="827"/>
      <c r="K146" s="827"/>
      <c r="L146" s="827"/>
      <c r="M146" s="827"/>
      <c r="N146" s="827"/>
      <c r="O146" s="827"/>
      <c r="P146" s="827"/>
      <c r="Q146" s="827"/>
      <c r="S146" s="705"/>
    </row>
    <row r="147" spans="1:20" ht="18" hidden="1" customHeight="1" outlineLevel="1" x14ac:dyDescent="0.3">
      <c r="A147" s="800"/>
      <c r="E147" s="827"/>
      <c r="F147" s="827"/>
      <c r="G147" s="827"/>
      <c r="H147" s="827"/>
      <c r="I147" s="827"/>
      <c r="J147" s="827"/>
      <c r="K147" s="827"/>
      <c r="L147" s="827"/>
      <c r="M147" s="827"/>
      <c r="N147" s="827"/>
      <c r="O147" s="827"/>
      <c r="P147" s="827"/>
      <c r="Q147" s="827"/>
      <c r="S147" s="705"/>
    </row>
    <row r="148" spans="1:20" ht="18" hidden="1" customHeight="1" outlineLevel="1" x14ac:dyDescent="0.3">
      <c r="A148" s="800"/>
      <c r="B148" s="828" t="s">
        <v>655</v>
      </c>
      <c r="C148" s="828"/>
      <c r="E148" s="827"/>
      <c r="F148" s="827"/>
      <c r="G148" s="827"/>
      <c r="H148" s="827"/>
      <c r="I148" s="827"/>
      <c r="J148" s="827"/>
      <c r="K148" s="827"/>
      <c r="L148" s="827"/>
      <c r="M148" s="827"/>
      <c r="N148" s="827"/>
      <c r="O148" s="827"/>
      <c r="P148" s="827"/>
      <c r="Q148" s="827"/>
      <c r="S148" s="705"/>
    </row>
    <row r="149" spans="1:20" ht="18" hidden="1" customHeight="1" outlineLevel="1" x14ac:dyDescent="0.3">
      <c r="A149" s="800"/>
      <c r="E149" s="827"/>
      <c r="F149" s="827"/>
      <c r="G149" s="827"/>
      <c r="H149" s="827"/>
      <c r="I149" s="827"/>
      <c r="J149" s="827"/>
      <c r="K149" s="827"/>
      <c r="L149" s="827"/>
      <c r="M149" s="827"/>
      <c r="N149" s="827"/>
      <c r="O149" s="827"/>
      <c r="P149" s="827"/>
      <c r="Q149" s="827"/>
      <c r="S149" s="705"/>
    </row>
    <row r="150" spans="1:20" ht="18" hidden="1" customHeight="1" outlineLevel="1" x14ac:dyDescent="0.3">
      <c r="A150" s="800"/>
      <c r="B150" s="706"/>
      <c r="C150" s="706"/>
      <c r="D150" s="706">
        <v>2019</v>
      </c>
      <c r="E150" s="706">
        <v>2020</v>
      </c>
      <c r="F150" s="706">
        <f t="shared" ref="F150:Q150" si="119">E150+1</f>
        <v>2021</v>
      </c>
      <c r="G150" s="706">
        <f t="shared" si="119"/>
        <v>2022</v>
      </c>
      <c r="H150" s="706">
        <f t="shared" si="119"/>
        <v>2023</v>
      </c>
      <c r="I150" s="706">
        <f t="shared" si="119"/>
        <v>2024</v>
      </c>
      <c r="J150" s="706">
        <f t="shared" si="119"/>
        <v>2025</v>
      </c>
      <c r="K150" s="706">
        <f t="shared" si="119"/>
        <v>2026</v>
      </c>
      <c r="L150" s="706">
        <f t="shared" si="119"/>
        <v>2027</v>
      </c>
      <c r="M150" s="706">
        <f t="shared" si="119"/>
        <v>2028</v>
      </c>
      <c r="N150" s="706">
        <f t="shared" si="119"/>
        <v>2029</v>
      </c>
      <c r="O150" s="706">
        <f t="shared" si="119"/>
        <v>2030</v>
      </c>
      <c r="P150" s="706">
        <f t="shared" si="119"/>
        <v>2031</v>
      </c>
      <c r="Q150" s="706">
        <f t="shared" si="119"/>
        <v>2032</v>
      </c>
      <c r="S150" s="705"/>
    </row>
    <row r="151" spans="1:20" ht="18" hidden="1" customHeight="1" outlineLevel="1" x14ac:dyDescent="0.3">
      <c r="A151" s="800"/>
      <c r="B151" s="837" t="s">
        <v>656</v>
      </c>
      <c r="C151" s="837"/>
      <c r="D151" s="837"/>
      <c r="E151" s="837">
        <f>'8. 추정 BS'!E5</f>
        <v>40698</v>
      </c>
      <c r="F151" s="837">
        <f>'8. 추정 BS'!F5</f>
        <v>3212</v>
      </c>
      <c r="G151" s="837">
        <f>'8. 추정 BS'!G5</f>
        <v>2979</v>
      </c>
      <c r="H151" s="837">
        <f>'8. 추정 BS'!H5</f>
        <v>6335</v>
      </c>
      <c r="I151" s="837">
        <f>'8. 추정 BS'!I5</f>
        <v>3360</v>
      </c>
      <c r="J151" s="837">
        <f>'8. 추정 BS'!J5</f>
        <v>7363</v>
      </c>
      <c r="K151" s="837">
        <f>'8. 추정 BS'!K5</f>
        <v>7363</v>
      </c>
      <c r="L151" s="837">
        <f>'8. 추정 BS'!L5</f>
        <v>7363</v>
      </c>
      <c r="M151" s="837">
        <f>'8. 추정 BS'!M5</f>
        <v>7363</v>
      </c>
      <c r="N151" s="837">
        <f>'8. 추정 BS'!N5</f>
        <v>7363</v>
      </c>
      <c r="O151" s="837">
        <f>'8. 추정 BS'!O5</f>
        <v>7363</v>
      </c>
      <c r="P151" s="837">
        <f>'8. 추정 BS'!P5</f>
        <v>7363</v>
      </c>
      <c r="Q151" s="837">
        <f>'8. 추정 BS'!Q5</f>
        <v>7363</v>
      </c>
      <c r="S151" s="705"/>
    </row>
    <row r="152" spans="1:20" ht="18" hidden="1" customHeight="1" outlineLevel="1" x14ac:dyDescent="0.3">
      <c r="A152" s="800"/>
      <c r="B152" s="837" t="s">
        <v>657</v>
      </c>
      <c r="C152" s="837"/>
      <c r="D152" s="837"/>
      <c r="E152" s="837">
        <f>'8. 추정 BS'!E8</f>
        <v>606764</v>
      </c>
      <c r="F152" s="837">
        <f>'8. 추정 BS'!F8</f>
        <v>0</v>
      </c>
      <c r="G152" s="837">
        <f>'8. 추정 BS'!G8</f>
        <v>0</v>
      </c>
      <c r="H152" s="837">
        <f>'8. 추정 BS'!H8</f>
        <v>0</v>
      </c>
      <c r="I152" s="837">
        <f>'8. 추정 BS'!I8</f>
        <v>0</v>
      </c>
      <c r="J152" s="837">
        <f>'8. 추정 BS'!J8</f>
        <v>0</v>
      </c>
      <c r="K152" s="837">
        <f>'8. 추정 BS'!K8</f>
        <v>0</v>
      </c>
      <c r="L152" s="837">
        <f>'8. 추정 BS'!L8</f>
        <v>0</v>
      </c>
      <c r="M152" s="837">
        <f>'8. 추정 BS'!M8</f>
        <v>0</v>
      </c>
      <c r="N152" s="837">
        <f>'8. 추정 BS'!N8</f>
        <v>0</v>
      </c>
      <c r="O152" s="837">
        <f>'8. 추정 BS'!O8</f>
        <v>0</v>
      </c>
      <c r="P152" s="837">
        <f>'8. 추정 BS'!P8</f>
        <v>0</v>
      </c>
      <c r="Q152" s="837">
        <f>'8. 추정 BS'!Q8</f>
        <v>0</v>
      </c>
      <c r="S152" s="705"/>
    </row>
    <row r="153" spans="1:20" ht="18" hidden="1" customHeight="1" outlineLevel="1" x14ac:dyDescent="0.3">
      <c r="A153" s="800"/>
      <c r="B153" s="837" t="s">
        <v>527</v>
      </c>
      <c r="C153" s="837"/>
      <c r="D153" s="837"/>
      <c r="E153" s="837">
        <f t="shared" ref="E153:Q153" si="120">SUM(E151:E152)</f>
        <v>647462</v>
      </c>
      <c r="F153" s="837">
        <f t="shared" si="120"/>
        <v>3212</v>
      </c>
      <c r="G153" s="837">
        <f t="shared" si="120"/>
        <v>2979</v>
      </c>
      <c r="H153" s="837">
        <f t="shared" si="120"/>
        <v>6335</v>
      </c>
      <c r="I153" s="837">
        <f t="shared" si="120"/>
        <v>3360</v>
      </c>
      <c r="J153" s="837">
        <f t="shared" si="120"/>
        <v>7363</v>
      </c>
      <c r="K153" s="837">
        <f t="shared" si="120"/>
        <v>7363</v>
      </c>
      <c r="L153" s="837">
        <f t="shared" si="120"/>
        <v>7363</v>
      </c>
      <c r="M153" s="837">
        <f t="shared" si="120"/>
        <v>7363</v>
      </c>
      <c r="N153" s="837">
        <f t="shared" si="120"/>
        <v>7363</v>
      </c>
      <c r="O153" s="837">
        <f t="shared" si="120"/>
        <v>7363</v>
      </c>
      <c r="P153" s="837">
        <f t="shared" si="120"/>
        <v>7363</v>
      </c>
      <c r="Q153" s="837">
        <f t="shared" si="120"/>
        <v>7363</v>
      </c>
      <c r="S153" s="705"/>
    </row>
    <row r="154" spans="1:20" ht="18" hidden="1" customHeight="1" outlineLevel="1" x14ac:dyDescent="0.3">
      <c r="A154" s="800"/>
      <c r="B154" s="837" t="s">
        <v>658</v>
      </c>
      <c r="C154" s="837"/>
      <c r="D154" s="838"/>
      <c r="E154" s="838"/>
      <c r="F154" s="995">
        <v>1.4999999999999999E-2</v>
      </c>
      <c r="G154" s="995">
        <f>F154</f>
        <v>1.4999999999999999E-2</v>
      </c>
      <c r="H154" s="995">
        <f t="shared" ref="H154:Q154" si="121">G154</f>
        <v>1.4999999999999999E-2</v>
      </c>
      <c r="I154" s="995">
        <f t="shared" si="121"/>
        <v>1.4999999999999999E-2</v>
      </c>
      <c r="J154" s="995">
        <f t="shared" si="121"/>
        <v>1.4999999999999999E-2</v>
      </c>
      <c r="K154" s="995">
        <f t="shared" si="121"/>
        <v>1.4999999999999999E-2</v>
      </c>
      <c r="L154" s="995">
        <f t="shared" si="121"/>
        <v>1.4999999999999999E-2</v>
      </c>
      <c r="M154" s="995">
        <f t="shared" si="121"/>
        <v>1.4999999999999999E-2</v>
      </c>
      <c r="N154" s="995">
        <f t="shared" si="121"/>
        <v>1.4999999999999999E-2</v>
      </c>
      <c r="O154" s="995">
        <f t="shared" si="121"/>
        <v>1.4999999999999999E-2</v>
      </c>
      <c r="P154" s="995">
        <f t="shared" si="121"/>
        <v>1.4999999999999999E-2</v>
      </c>
      <c r="Q154" s="995">
        <f t="shared" si="121"/>
        <v>1.4999999999999999E-2</v>
      </c>
      <c r="S154" s="705"/>
    </row>
    <row r="155" spans="1:20" ht="18" hidden="1" customHeight="1" outlineLevel="1" x14ac:dyDescent="0.3">
      <c r="A155" s="800"/>
      <c r="B155" s="837" t="s">
        <v>321</v>
      </c>
      <c r="C155" s="837"/>
      <c r="D155" s="837"/>
      <c r="E155" s="837"/>
      <c r="F155" s="837">
        <f t="shared" ref="F155:Q155" si="122">E153*F154</f>
        <v>9711.93</v>
      </c>
      <c r="G155" s="837">
        <f t="shared" si="122"/>
        <v>48.18</v>
      </c>
      <c r="H155" s="837">
        <f t="shared" si="122"/>
        <v>44.684999999999995</v>
      </c>
      <c r="I155" s="837">
        <f t="shared" si="122"/>
        <v>95.024999999999991</v>
      </c>
      <c r="J155" s="837">
        <f t="shared" si="122"/>
        <v>50.4</v>
      </c>
      <c r="K155" s="837">
        <f t="shared" si="122"/>
        <v>110.44499999999999</v>
      </c>
      <c r="L155" s="837">
        <f t="shared" si="122"/>
        <v>110.44499999999999</v>
      </c>
      <c r="M155" s="837">
        <f t="shared" si="122"/>
        <v>110.44499999999999</v>
      </c>
      <c r="N155" s="837">
        <f t="shared" si="122"/>
        <v>110.44499999999999</v>
      </c>
      <c r="O155" s="837">
        <f t="shared" si="122"/>
        <v>110.44499999999999</v>
      </c>
      <c r="P155" s="837">
        <f t="shared" si="122"/>
        <v>110.44499999999999</v>
      </c>
      <c r="Q155" s="837">
        <f t="shared" si="122"/>
        <v>110.44499999999999</v>
      </c>
      <c r="S155" s="705"/>
    </row>
    <row r="156" spans="1:20" ht="18" hidden="1" customHeight="1" outlineLevel="1" x14ac:dyDescent="0.3">
      <c r="A156" s="800"/>
      <c r="E156" s="827"/>
      <c r="F156" s="827"/>
      <c r="G156" s="827"/>
      <c r="H156" s="827"/>
      <c r="I156" s="827"/>
      <c r="J156" s="827"/>
      <c r="K156" s="827"/>
      <c r="L156" s="827"/>
      <c r="M156" s="827"/>
      <c r="N156" s="827"/>
      <c r="O156" s="827"/>
      <c r="P156" s="827"/>
      <c r="Q156" s="827"/>
      <c r="S156" s="705"/>
    </row>
    <row r="157" spans="1:20" ht="18" hidden="1" customHeight="1" outlineLevel="1" x14ac:dyDescent="0.3">
      <c r="A157" s="800"/>
      <c r="B157" s="828" t="s">
        <v>659</v>
      </c>
      <c r="C157" s="828" t="s">
        <v>660</v>
      </c>
      <c r="E157" s="839" t="s">
        <v>661</v>
      </c>
      <c r="F157" s="839">
        <f>SUM($F$131:F131)</f>
        <v>5526</v>
      </c>
      <c r="G157" s="839">
        <f>SUM($F$131:G131)</f>
        <v>9285</v>
      </c>
      <c r="H157" s="839">
        <f>SUM($F$131:H131)</f>
        <v>12789</v>
      </c>
      <c r="I157" s="839">
        <f>SUM($F$131:I131)</f>
        <v>16322</v>
      </c>
      <c r="J157" s="839">
        <f>SUM($F$131:J131)</f>
        <v>19796</v>
      </c>
      <c r="K157" s="839">
        <f>SUM($F$131:K131)</f>
        <v>23207</v>
      </c>
      <c r="L157" s="839">
        <f>SUM($F$131:L131)</f>
        <v>26556.142487046633</v>
      </c>
      <c r="M157" s="839">
        <f>SUM($F$131:M131)</f>
        <v>29844.549229509517</v>
      </c>
      <c r="N157" s="839"/>
      <c r="O157" s="839"/>
      <c r="P157" s="839"/>
      <c r="Q157" s="839"/>
      <c r="S157" s="705"/>
    </row>
    <row r="158" spans="1:20" ht="18" hidden="1" customHeight="1" outlineLevel="1" x14ac:dyDescent="0.3">
      <c r="A158" s="800"/>
      <c r="C158" s="828" t="s">
        <v>435</v>
      </c>
      <c r="E158" s="839" t="s">
        <v>489</v>
      </c>
      <c r="F158" s="839">
        <f>F157/10</f>
        <v>552.6</v>
      </c>
      <c r="G158" s="839">
        <f t="shared" ref="G158:M158" si="123">G132</f>
        <v>1481.1</v>
      </c>
      <c r="H158" s="839">
        <f t="shared" si="123"/>
        <v>2207.4</v>
      </c>
      <c r="I158" s="839">
        <f t="shared" si="123"/>
        <v>2911.1000000000004</v>
      </c>
      <c r="J158" s="839">
        <f t="shared" si="123"/>
        <v>3611.8</v>
      </c>
      <c r="K158" s="839">
        <f t="shared" si="123"/>
        <v>3747.7</v>
      </c>
      <c r="L158" s="839">
        <f t="shared" si="123"/>
        <v>3495.2142487046635</v>
      </c>
      <c r="M158" s="839">
        <f t="shared" si="123"/>
        <v>3432.6691716556152</v>
      </c>
      <c r="N158" s="839"/>
      <c r="O158" s="839"/>
      <c r="P158" s="839"/>
      <c r="Q158" s="839"/>
      <c r="S158" s="705"/>
    </row>
    <row r="159" spans="1:20" ht="18" hidden="1" customHeight="1" outlineLevel="1" x14ac:dyDescent="0.3">
      <c r="A159" s="800"/>
      <c r="B159" s="706" t="s">
        <v>662</v>
      </c>
      <c r="C159" s="706" t="s">
        <v>663</v>
      </c>
      <c r="D159" s="706" t="s">
        <v>664</v>
      </c>
      <c r="E159" s="839" t="s">
        <v>280</v>
      </c>
      <c r="F159" s="839">
        <f>F157-F158</f>
        <v>4973.3999999999996</v>
      </c>
      <c r="G159" s="839">
        <f>G157-SUM($F$158:G158)</f>
        <v>7251.3</v>
      </c>
      <c r="H159" s="839">
        <f>H157-SUM($F$158:H158)</f>
        <v>8547.9</v>
      </c>
      <c r="I159" s="839">
        <f>I157-SUM($F$158:I158)</f>
        <v>9169.7999999999993</v>
      </c>
      <c r="J159" s="839">
        <f>J157-SUM($F$158:J158)</f>
        <v>9032</v>
      </c>
      <c r="K159" s="839">
        <f>K157-SUM($F$158:K158)</f>
        <v>8695.2999999999993</v>
      </c>
      <c r="L159" s="839">
        <f>L157-SUM($F$158:L158)</f>
        <v>8549.2282383419697</v>
      </c>
      <c r="M159" s="839">
        <f>M157-SUM($F$158:M158)</f>
        <v>8404.9658091492383</v>
      </c>
      <c r="N159" s="839"/>
      <c r="O159" s="839"/>
      <c r="P159" s="839"/>
      <c r="Q159" s="839"/>
      <c r="S159" s="705"/>
    </row>
    <row r="160" spans="1:20" ht="18" hidden="1" customHeight="1" outlineLevel="1" x14ac:dyDescent="0.3">
      <c r="A160" s="800"/>
      <c r="B160" s="840">
        <v>200</v>
      </c>
      <c r="C160" s="841">
        <f>10%*1.1</f>
        <v>0.11000000000000001</v>
      </c>
      <c r="D160" s="842">
        <f>B160*C160</f>
        <v>22.000000000000004</v>
      </c>
      <c r="E160" s="843" t="s">
        <v>665</v>
      </c>
      <c r="F160" s="843">
        <f>SUM($F$158:F158)</f>
        <v>552.6</v>
      </c>
      <c r="G160" s="843">
        <f>SUM($F$158:G158)</f>
        <v>2033.6999999999998</v>
      </c>
      <c r="H160" s="843">
        <f>SUM($F$158:H158)</f>
        <v>4241.1000000000004</v>
      </c>
      <c r="I160" s="843">
        <f>SUM($F$158:I158)</f>
        <v>7152.2000000000007</v>
      </c>
      <c r="J160" s="843">
        <f>SUM($F$158:J158)</f>
        <v>10764</v>
      </c>
      <c r="K160" s="843">
        <f>SUM($F$158:K158)</f>
        <v>14511.7</v>
      </c>
      <c r="L160" s="843">
        <f>SUM($F$158:L158)</f>
        <v>18006.914248704663</v>
      </c>
      <c r="M160" s="843">
        <f>SUM($F$158:M158)</f>
        <v>21439.583420360279</v>
      </c>
      <c r="N160" s="843"/>
      <c r="O160" s="843"/>
      <c r="P160" s="843"/>
      <c r="Q160" s="843"/>
      <c r="S160" s="705"/>
    </row>
    <row r="161" spans="1:29" ht="18" hidden="1" customHeight="1" outlineLevel="1" x14ac:dyDescent="0.3">
      <c r="A161" s="800"/>
      <c r="B161" s="840">
        <v>20000</v>
      </c>
      <c r="C161" s="841">
        <f>20%*1.1</f>
        <v>0.22000000000000003</v>
      </c>
      <c r="D161" s="842">
        <f>(B161-B160)*C161+D160</f>
        <v>4378.0000000000009</v>
      </c>
      <c r="E161" s="844" t="s">
        <v>666</v>
      </c>
      <c r="F161" s="845">
        <f t="shared" ref="F161:M161" si="124">F158/F157</f>
        <v>0.1</v>
      </c>
      <c r="G161" s="845">
        <f t="shared" si="124"/>
        <v>0.15951534733441033</v>
      </c>
      <c r="H161" s="845">
        <f t="shared" si="124"/>
        <v>0.17260145437485339</v>
      </c>
      <c r="I161" s="845">
        <f t="shared" si="124"/>
        <v>0.1783543683372136</v>
      </c>
      <c r="J161" s="845">
        <f t="shared" si="124"/>
        <v>0.18245100020206104</v>
      </c>
      <c r="K161" s="845">
        <f t="shared" si="124"/>
        <v>0.16149006765200155</v>
      </c>
      <c r="L161" s="845">
        <f t="shared" si="124"/>
        <v>0.13161603762329316</v>
      </c>
      <c r="M161" s="845">
        <f t="shared" si="124"/>
        <v>0.11501829514186399</v>
      </c>
      <c r="N161" s="845"/>
      <c r="O161" s="845"/>
      <c r="P161" s="845"/>
      <c r="Q161" s="845"/>
      <c r="S161" s="705"/>
    </row>
    <row r="162" spans="1:29" ht="18" hidden="1" customHeight="1" outlineLevel="1" x14ac:dyDescent="0.3">
      <c r="A162" s="800"/>
      <c r="B162" s="840">
        <v>300000</v>
      </c>
      <c r="C162" s="841">
        <f>22%*1.1</f>
        <v>0.24200000000000002</v>
      </c>
      <c r="D162" s="842">
        <f>(B162-B161)*C162+D161</f>
        <v>72138</v>
      </c>
      <c r="E162" s="798"/>
      <c r="F162" s="827"/>
      <c r="G162" s="827"/>
      <c r="H162" s="827"/>
      <c r="I162" s="827"/>
      <c r="J162" s="827"/>
      <c r="K162" s="827"/>
      <c r="L162" s="827"/>
      <c r="M162" s="827"/>
      <c r="N162" s="827"/>
      <c r="O162" s="827"/>
      <c r="P162" s="827"/>
      <c r="Q162" s="827"/>
      <c r="S162" s="705"/>
    </row>
    <row r="163" spans="1:29" ht="18" hidden="1" customHeight="1" outlineLevel="1" x14ac:dyDescent="0.3">
      <c r="A163" s="846"/>
      <c r="B163" s="840"/>
      <c r="C163" s="841">
        <v>0.26400000000000001</v>
      </c>
      <c r="D163" s="842"/>
      <c r="E163" s="798"/>
      <c r="F163" s="798"/>
      <c r="G163" s="827"/>
      <c r="H163" s="827"/>
      <c r="I163" s="798"/>
      <c r="J163" s="798"/>
      <c r="K163" s="798"/>
      <c r="L163" s="798"/>
      <c r="M163" s="798"/>
      <c r="N163" s="798"/>
      <c r="O163" s="798"/>
      <c r="P163" s="798"/>
      <c r="Q163" s="798"/>
      <c r="S163" s="705"/>
    </row>
    <row r="164" spans="1:29" ht="18" hidden="1" customHeight="1" outlineLevel="1" x14ac:dyDescent="0.3">
      <c r="A164" s="846"/>
      <c r="D164" s="798"/>
      <c r="E164" s="798"/>
      <c r="F164" s="798"/>
      <c r="G164" s="847"/>
      <c r="H164" s="847"/>
      <c r="I164" s="798"/>
      <c r="J164" s="798"/>
      <c r="K164" s="798"/>
      <c r="L164" s="798"/>
      <c r="M164" s="798"/>
      <c r="N164" s="798"/>
      <c r="O164" s="798"/>
      <c r="P164" s="798"/>
      <c r="Q164" s="798"/>
    </row>
    <row r="165" spans="1:29" ht="18" hidden="1" customHeight="1" outlineLevel="1" x14ac:dyDescent="0.3">
      <c r="A165" s="846"/>
      <c r="B165" s="848" t="s">
        <v>667</v>
      </c>
      <c r="C165" s="849" t="s">
        <v>668</v>
      </c>
      <c r="D165" s="798"/>
      <c r="E165" s="798"/>
      <c r="F165" s="798"/>
      <c r="G165" s="827"/>
      <c r="H165" s="827"/>
      <c r="I165" s="798"/>
      <c r="J165" s="798"/>
      <c r="K165" s="798"/>
      <c r="L165" s="798"/>
      <c r="M165" s="798"/>
      <c r="N165" s="798"/>
      <c r="O165" s="798"/>
      <c r="P165" s="798"/>
      <c r="Q165" s="798"/>
      <c r="AC165" s="850"/>
    </row>
    <row r="166" spans="1:29" ht="18" hidden="1" customHeight="1" outlineLevel="1" x14ac:dyDescent="0.3">
      <c r="A166" s="846"/>
      <c r="D166" s="798"/>
      <c r="E166" s="798"/>
      <c r="F166" s="798"/>
      <c r="G166" s="847"/>
      <c r="H166" s="847"/>
      <c r="I166" s="798"/>
      <c r="J166" s="798"/>
      <c r="K166" s="798"/>
      <c r="L166" s="798"/>
      <c r="M166" s="798"/>
      <c r="N166" s="798"/>
      <c r="O166" s="798"/>
      <c r="P166" s="798"/>
      <c r="Q166" s="798"/>
    </row>
    <row r="167" spans="1:29" ht="18" hidden="1" customHeight="1" outlineLevel="1" x14ac:dyDescent="0.3">
      <c r="A167" s="846"/>
      <c r="B167" s="802" t="s">
        <v>319</v>
      </c>
      <c r="D167" s="798"/>
      <c r="E167" s="798"/>
      <c r="F167" s="798">
        <f>F83</f>
        <v>135914</v>
      </c>
      <c r="G167" s="798">
        <f>G83</f>
        <v>142570</v>
      </c>
      <c r="H167" s="798">
        <f>H83</f>
        <v>116908.98286959133</v>
      </c>
      <c r="I167" s="798">
        <f>I83</f>
        <v>107093.98205339117</v>
      </c>
      <c r="J167" s="798">
        <v>98703.081452437094</v>
      </c>
      <c r="K167" s="798">
        <v>91358.031398123479</v>
      </c>
      <c r="L167" s="798">
        <v>87024.406147449379</v>
      </c>
      <c r="M167" s="798">
        <v>82880.386807094648</v>
      </c>
      <c r="N167" s="798">
        <v>79692.679622206386</v>
      </c>
      <c r="O167" s="798">
        <v>77371.533613792606</v>
      </c>
      <c r="P167" s="798">
        <v>75854.444719404521</v>
      </c>
      <c r="Q167" s="798">
        <v>75103.410613271801</v>
      </c>
    </row>
    <row r="168" spans="1:29" ht="18" hidden="1" customHeight="1" outlineLevel="1" x14ac:dyDescent="0.3">
      <c r="A168" s="800"/>
      <c r="B168" s="802" t="s">
        <v>669</v>
      </c>
      <c r="D168" s="798"/>
      <c r="E168" s="798"/>
      <c r="F168" s="847"/>
      <c r="G168" s="851">
        <f>G167/F167-1</f>
        <v>4.8972144149977082E-2</v>
      </c>
      <c r="H168" s="851">
        <f t="shared" ref="H168:Q168" si="125">H167/G167-1</f>
        <v>-0.17998889759703074</v>
      </c>
      <c r="I168" s="851">
        <f t="shared" si="125"/>
        <v>-8.3954205872687426E-2</v>
      </c>
      <c r="J168" s="851">
        <f t="shared" si="125"/>
        <v>-7.8350813370361316E-2</v>
      </c>
      <c r="K168" s="851">
        <f t="shared" si="125"/>
        <v>-7.4415610396652454E-2</v>
      </c>
      <c r="L168" s="851">
        <f t="shared" si="125"/>
        <v>-4.7435624261526255E-2</v>
      </c>
      <c r="M168" s="851">
        <f t="shared" si="125"/>
        <v>-4.7619047619047561E-2</v>
      </c>
      <c r="N168" s="851">
        <f t="shared" si="125"/>
        <v>-3.8461538461538547E-2</v>
      </c>
      <c r="O168" s="851">
        <f t="shared" si="125"/>
        <v>-2.9126213592232997E-2</v>
      </c>
      <c r="P168" s="851">
        <f t="shared" si="125"/>
        <v>-1.9607843137254832E-2</v>
      </c>
      <c r="Q168" s="851">
        <f t="shared" si="125"/>
        <v>-9.9009900990099098E-3</v>
      </c>
    </row>
    <row r="169" spans="1:29" s="806" customFormat="1" ht="18" hidden="1" customHeight="1" outlineLevel="1" x14ac:dyDescent="0.3">
      <c r="A169" s="852"/>
      <c r="B169" s="853" t="s">
        <v>670</v>
      </c>
      <c r="C169" s="853"/>
      <c r="F169" s="853">
        <f t="shared" ref="F169:Q169" si="126">F46-F167</f>
        <v>898893</v>
      </c>
      <c r="G169" s="853">
        <f t="shared" si="126"/>
        <v>908849</v>
      </c>
      <c r="H169" s="853">
        <f t="shared" si="126"/>
        <v>864887.01713040867</v>
      </c>
      <c r="I169" s="853">
        <f t="shared" si="126"/>
        <v>825389.01794660883</v>
      </c>
      <c r="J169" s="853">
        <f t="shared" si="126"/>
        <v>810926.75889356283</v>
      </c>
      <c r="K169" s="853">
        <f t="shared" si="126"/>
        <v>829142.22184761881</v>
      </c>
      <c r="L169" s="853">
        <f t="shared" si="126"/>
        <v>824539.06728648499</v>
      </c>
      <c r="M169" s="853">
        <f t="shared" si="126"/>
        <v>818965.04741669132</v>
      </c>
      <c r="N169" s="853">
        <f t="shared" si="126"/>
        <v>813832.08351325837</v>
      </c>
      <c r="O169" s="853">
        <f t="shared" si="126"/>
        <v>808553.09638735279</v>
      </c>
      <c r="P169" s="853">
        <f t="shared" si="126"/>
        <v>803616.37231238245</v>
      </c>
      <c r="Q169" s="853">
        <f t="shared" si="126"/>
        <v>799304.0619727294</v>
      </c>
      <c r="AC169" s="854"/>
    </row>
    <row r="170" spans="1:29" s="806" customFormat="1" ht="18" hidden="1" customHeight="1" outlineLevel="1" x14ac:dyDescent="0.3">
      <c r="A170" s="852"/>
      <c r="Q170" s="855">
        <f>Q167/J167-1</f>
        <v>-0.23909760963782545</v>
      </c>
      <c r="AC170" s="854"/>
    </row>
    <row r="171" spans="1:29" s="806" customFormat="1" ht="18" hidden="1" customHeight="1" outlineLevel="1" x14ac:dyDescent="0.3">
      <c r="A171" s="852"/>
      <c r="Q171" s="856">
        <f>Q170/7</f>
        <v>-3.4156801376832205E-2</v>
      </c>
      <c r="AC171" s="854"/>
    </row>
    <row r="172" spans="1:29" s="806" customFormat="1" ht="18" hidden="1" customHeight="1" outlineLevel="1" x14ac:dyDescent="0.3">
      <c r="A172" s="852"/>
      <c r="K172" s="806">
        <v>7</v>
      </c>
      <c r="L172" s="806">
        <v>6</v>
      </c>
      <c r="M172" s="806">
        <v>5</v>
      </c>
      <c r="N172" s="806">
        <v>4</v>
      </c>
      <c r="O172" s="806">
        <v>3</v>
      </c>
      <c r="P172" s="806">
        <v>2</v>
      </c>
      <c r="Q172" s="806">
        <v>1</v>
      </c>
      <c r="AC172" s="854"/>
    </row>
    <row r="173" spans="1:29" s="806" customFormat="1" ht="18" customHeight="1" collapsed="1" x14ac:dyDescent="0.3">
      <c r="AC173" s="854"/>
    </row>
    <row r="174" spans="1:29" s="806" customFormat="1" ht="18" customHeight="1" x14ac:dyDescent="0.3">
      <c r="AC174" s="854"/>
    </row>
    <row r="175" spans="1:29" s="806" customFormat="1" ht="18" customHeight="1" x14ac:dyDescent="0.3">
      <c r="AC175" s="854"/>
    </row>
    <row r="176" spans="1:29" s="806" customFormat="1" ht="18" customHeight="1" x14ac:dyDescent="0.3">
      <c r="B176" s="853"/>
      <c r="C176" s="853"/>
      <c r="D176" s="853"/>
      <c r="E176" s="853"/>
      <c r="F176" s="853"/>
      <c r="G176" s="853"/>
      <c r="H176" s="853"/>
      <c r="I176" s="853"/>
      <c r="J176" s="853"/>
      <c r="K176" s="853"/>
      <c r="L176" s="853"/>
      <c r="M176" s="853"/>
      <c r="N176" s="853"/>
      <c r="O176" s="853"/>
      <c r="P176" s="853"/>
      <c r="Q176" s="853"/>
      <c r="AC176" s="854"/>
    </row>
  </sheetData>
  <mergeCells count="3">
    <mergeCell ref="B1:S1"/>
    <mergeCell ref="B141:D141"/>
    <mergeCell ref="B143:D143"/>
  </mergeCells>
  <phoneticPr fontId="2" type="noConversion"/>
  <pageMargins left="0.7" right="0.7" top="0.75" bottom="0.75" header="0.3" footer="0.3"/>
  <pageSetup paperSize="9" scale="48" orientation="portrait" r:id="rId1"/>
  <ignoredErrors>
    <ignoredError sqref="F92:M94 E92" formulaRange="1"/>
    <ignoredError sqref="K7:Q12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B6A5-CF21-4887-9BFB-5FD6601F7CB5}">
  <sheetPr codeName="Sheet14">
    <tabColor theme="0" tint="-0.499984740745262"/>
  </sheetPr>
  <dimension ref="B1:AI49"/>
  <sheetViews>
    <sheetView zoomScale="70" zoomScaleNormal="70" workbookViewId="0"/>
  </sheetViews>
  <sheetFormatPr defaultColWidth="24.625" defaultRowHeight="13.5" x14ac:dyDescent="0.3"/>
  <cols>
    <col min="1" max="1" width="2.125" style="59" customWidth="1"/>
    <col min="2" max="2" width="3.75" style="59" customWidth="1"/>
    <col min="3" max="3" width="23.375" style="121" customWidth="1"/>
    <col min="4" max="4" width="18.875" style="121" bestFit="1" customWidth="1"/>
    <col min="5" max="9" width="6.5" style="59" customWidth="1"/>
    <col min="10" max="17" width="10.625" style="59" customWidth="1"/>
    <col min="18" max="18" width="10.625" style="121" customWidth="1"/>
    <col min="19" max="26" width="10.625" style="59" customWidth="1"/>
    <col min="27" max="27" width="10.625" style="712" customWidth="1"/>
    <col min="28" max="83" width="10.625" style="59" customWidth="1"/>
    <col min="84" max="16384" width="24.625" style="59"/>
  </cols>
  <sheetData>
    <row r="1" spans="2:35" ht="16.5" customHeight="1" x14ac:dyDescent="0.3">
      <c r="R1" s="59"/>
      <c r="T1" s="121"/>
      <c r="U1" s="121"/>
      <c r="AA1" s="59"/>
      <c r="AC1" s="712"/>
    </row>
    <row r="2" spans="2:35" ht="16.5" customHeight="1" x14ac:dyDescent="0.3">
      <c r="B2" s="69" t="s">
        <v>671</v>
      </c>
      <c r="R2" s="59"/>
      <c r="T2" s="121"/>
      <c r="U2" s="121"/>
      <c r="AA2" s="59"/>
      <c r="AC2" s="712"/>
    </row>
    <row r="3" spans="2:35" ht="16.5" customHeight="1" x14ac:dyDescent="0.3">
      <c r="B3" s="69"/>
      <c r="R3" s="59"/>
      <c r="T3" s="121"/>
      <c r="U3" s="121"/>
      <c r="AA3" s="59"/>
      <c r="AC3" s="712"/>
    </row>
    <row r="4" spans="2:35" ht="16.5" customHeight="1" x14ac:dyDescent="0.3">
      <c r="B4" s="69" t="s">
        <v>672</v>
      </c>
      <c r="C4" s="59"/>
      <c r="D4" s="601"/>
      <c r="R4" s="59"/>
      <c r="T4" s="121"/>
      <c r="U4" s="121"/>
      <c r="AA4" s="59"/>
      <c r="AC4" s="712"/>
    </row>
    <row r="5" spans="2:35" ht="16.5" customHeight="1" x14ac:dyDescent="0.3">
      <c r="C5" s="59"/>
      <c r="D5" s="59"/>
      <c r="R5" s="59"/>
      <c r="V5" s="121"/>
      <c r="AA5" s="59"/>
      <c r="AD5" s="712"/>
    </row>
    <row r="6" spans="2:35" ht="16.5" customHeight="1" x14ac:dyDescent="0.3">
      <c r="V6" s="121"/>
      <c r="AA6" s="59"/>
      <c r="AD6" s="712"/>
    </row>
    <row r="7" spans="2:35" ht="16.5" customHeight="1" x14ac:dyDescent="0.3">
      <c r="Y7" s="121"/>
      <c r="AA7" s="59"/>
      <c r="AG7" s="712"/>
    </row>
    <row r="8" spans="2:35" ht="16.5" customHeight="1" x14ac:dyDescent="0.3">
      <c r="Y8" s="121"/>
      <c r="AA8" s="59"/>
      <c r="AG8" s="712"/>
    </row>
    <row r="9" spans="2:35" ht="16.5" customHeight="1" x14ac:dyDescent="0.3">
      <c r="Y9" s="121"/>
      <c r="AA9" s="59"/>
      <c r="AG9" s="712"/>
    </row>
    <row r="10" spans="2:35" ht="16.5" customHeight="1" x14ac:dyDescent="0.3">
      <c r="Y10" s="121"/>
      <c r="AA10" s="59"/>
      <c r="AG10" s="712"/>
    </row>
    <row r="11" spans="2:35" ht="16.5" customHeight="1" x14ac:dyDescent="0.3">
      <c r="V11" s="121"/>
      <c r="AA11" s="59"/>
      <c r="AD11" s="712"/>
    </row>
    <row r="12" spans="2:35" ht="16.5" customHeight="1" x14ac:dyDescent="0.3">
      <c r="V12" s="121"/>
      <c r="AA12" s="59"/>
      <c r="AD12" s="712"/>
    </row>
    <row r="13" spans="2:35" ht="16.5" customHeight="1" x14ac:dyDescent="0.3">
      <c r="C13" s="59"/>
      <c r="D13" s="59"/>
      <c r="R13" s="59"/>
      <c r="V13" s="121"/>
      <c r="AA13" s="59"/>
      <c r="AD13" s="712"/>
    </row>
    <row r="14" spans="2:35" ht="16.5" customHeight="1" x14ac:dyDescent="0.3">
      <c r="C14" s="69" t="s">
        <v>678</v>
      </c>
      <c r="D14" s="69"/>
      <c r="O14" s="68"/>
      <c r="P14" s="68"/>
      <c r="Q14" s="68"/>
      <c r="R14" s="59"/>
      <c r="S14" s="712"/>
      <c r="Z14" s="121"/>
      <c r="AA14" s="59"/>
      <c r="AH14" s="712"/>
    </row>
    <row r="15" spans="2:35" ht="16.5" customHeight="1" x14ac:dyDescent="0.3">
      <c r="C15" s="69"/>
      <c r="D15" s="69"/>
      <c r="J15" s="601"/>
      <c r="T15" s="712"/>
      <c r="V15" s="792" t="s">
        <v>429</v>
      </c>
      <c r="AA15" s="121"/>
      <c r="AI15" s="712"/>
    </row>
    <row r="16" spans="2:35" ht="16.5" customHeight="1" x14ac:dyDescent="0.3">
      <c r="C16" s="1006" t="s">
        <v>323</v>
      </c>
      <c r="D16" s="1007"/>
      <c r="E16" s="1007"/>
      <c r="F16" s="1007"/>
      <c r="G16" s="1007"/>
      <c r="H16" s="1007"/>
      <c r="I16" s="1008"/>
      <c r="J16" s="107" t="s">
        <v>387</v>
      </c>
      <c r="K16" s="107" t="s">
        <v>360</v>
      </c>
      <c r="L16" s="107" t="s">
        <v>361</v>
      </c>
      <c r="M16" s="107" t="s">
        <v>362</v>
      </c>
      <c r="N16" s="107" t="s">
        <v>363</v>
      </c>
      <c r="O16" s="107" t="s">
        <v>398</v>
      </c>
      <c r="P16" s="107" t="s">
        <v>426</v>
      </c>
      <c r="Q16" s="107" t="s">
        <v>427</v>
      </c>
      <c r="R16" s="107" t="s">
        <v>430</v>
      </c>
      <c r="S16" s="107" t="s">
        <v>431</v>
      </c>
      <c r="T16" s="107" t="s">
        <v>432</v>
      </c>
      <c r="U16" s="107" t="s">
        <v>433</v>
      </c>
      <c r="V16" s="107" t="s">
        <v>527</v>
      </c>
      <c r="AA16" s="121"/>
      <c r="AI16" s="712"/>
    </row>
    <row r="17" spans="3:35" ht="16.5" customHeight="1" x14ac:dyDescent="0.3">
      <c r="C17" s="1153" t="s">
        <v>679</v>
      </c>
      <c r="D17" s="1154"/>
      <c r="E17" s="1155" t="s">
        <v>680</v>
      </c>
      <c r="F17" s="1156"/>
      <c r="G17" s="1156"/>
      <c r="H17" s="1156"/>
      <c r="I17" s="1157"/>
      <c r="J17" s="713">
        <v>6276</v>
      </c>
      <c r="K17" s="713">
        <v>2753</v>
      </c>
      <c r="L17" s="713">
        <v>2777</v>
      </c>
      <c r="M17" s="713">
        <v>2803</v>
      </c>
      <c r="N17" s="713">
        <v>2830</v>
      </c>
      <c r="O17" s="713">
        <v>2591</v>
      </c>
      <c r="P17" s="713">
        <v>2000</v>
      </c>
      <c r="Q17" s="713">
        <v>2000</v>
      </c>
      <c r="R17" s="713">
        <v>2000</v>
      </c>
      <c r="S17" s="713">
        <v>2000</v>
      </c>
      <c r="T17" s="713">
        <v>2000</v>
      </c>
      <c r="U17" s="713">
        <v>2000</v>
      </c>
      <c r="V17" s="714">
        <f t="shared" ref="V17:V26" si="0">SUM(M17:Q17)</f>
        <v>12224</v>
      </c>
      <c r="W17" s="59" t="s">
        <v>681</v>
      </c>
      <c r="AA17" s="121"/>
      <c r="AI17" s="712"/>
    </row>
    <row r="18" spans="3:35" ht="16.5" customHeight="1" x14ac:dyDescent="0.3">
      <c r="C18" s="1158" t="s">
        <v>682</v>
      </c>
      <c r="D18" s="1158"/>
      <c r="E18" s="1155" t="s">
        <v>683</v>
      </c>
      <c r="F18" s="1156"/>
      <c r="G18" s="1156"/>
      <c r="H18" s="1156"/>
      <c r="I18" s="1157"/>
      <c r="J18" s="713">
        <f>J34</f>
        <v>14638</v>
      </c>
      <c r="K18" s="713">
        <f t="shared" ref="K18:P18" si="1">K34</f>
        <v>15359</v>
      </c>
      <c r="L18" s="713">
        <f t="shared" si="1"/>
        <v>14317</v>
      </c>
      <c r="M18" s="713">
        <f t="shared" si="1"/>
        <v>13830</v>
      </c>
      <c r="N18" s="713">
        <f t="shared" si="1"/>
        <v>14909</v>
      </c>
      <c r="O18" s="713">
        <f t="shared" si="1"/>
        <v>17613.999999599997</v>
      </c>
      <c r="P18" s="713">
        <f t="shared" si="1"/>
        <v>17444.978139087707</v>
      </c>
      <c r="Q18" s="713">
        <f>Q34</f>
        <v>17278.450441262976</v>
      </c>
      <c r="R18" s="713">
        <f>R34</f>
        <v>17114.376319665913</v>
      </c>
      <c r="S18" s="713">
        <f>S34</f>
        <v>16970.686040471541</v>
      </c>
      <c r="T18" s="713">
        <f>T34</f>
        <v>16858.749402737638</v>
      </c>
      <c r="U18" s="713">
        <f>U34</f>
        <v>16782.954459571472</v>
      </c>
      <c r="V18" s="714">
        <f t="shared" si="0"/>
        <v>81076.428579950676</v>
      </c>
      <c r="W18" s="59" t="s">
        <v>684</v>
      </c>
      <c r="AA18" s="121"/>
      <c r="AI18" s="712"/>
    </row>
    <row r="19" spans="3:35" ht="16.5" customHeight="1" x14ac:dyDescent="0.3">
      <c r="C19" s="1153" t="s">
        <v>685</v>
      </c>
      <c r="D19" s="1154"/>
      <c r="E19" s="1155" t="s">
        <v>686</v>
      </c>
      <c r="F19" s="1156"/>
      <c r="G19" s="1156"/>
      <c r="H19" s="1156"/>
      <c r="I19" s="1157"/>
      <c r="J19" s="713">
        <v>900</v>
      </c>
      <c r="K19" s="713">
        <v>600</v>
      </c>
      <c r="L19" s="713">
        <v>600</v>
      </c>
      <c r="M19" s="713">
        <v>600</v>
      </c>
      <c r="N19" s="713">
        <v>600</v>
      </c>
      <c r="O19" s="713">
        <v>600</v>
      </c>
      <c r="P19" s="713">
        <v>600</v>
      </c>
      <c r="Q19" s="713">
        <v>600</v>
      </c>
      <c r="R19" s="713">
        <v>600</v>
      </c>
      <c r="S19" s="713">
        <v>600</v>
      </c>
      <c r="T19" s="713">
        <v>600</v>
      </c>
      <c r="U19" s="713">
        <v>600</v>
      </c>
      <c r="V19" s="714">
        <f t="shared" si="0"/>
        <v>3000</v>
      </c>
      <c r="W19" s="59" t="s">
        <v>687</v>
      </c>
      <c r="AA19" s="121"/>
      <c r="AI19" s="712"/>
    </row>
    <row r="20" spans="3:35" ht="16.5" customHeight="1" x14ac:dyDescent="0.3">
      <c r="C20" s="1153" t="s">
        <v>688</v>
      </c>
      <c r="D20" s="1154"/>
      <c r="E20" s="1159" t="s">
        <v>689</v>
      </c>
      <c r="F20" s="1160"/>
      <c r="G20" s="1160"/>
      <c r="H20" s="1160"/>
      <c r="I20" s="1161"/>
      <c r="J20" s="713">
        <v>55</v>
      </c>
      <c r="K20" s="713">
        <v>60</v>
      </c>
      <c r="L20" s="713">
        <v>60</v>
      </c>
      <c r="M20" s="713">
        <v>60</v>
      </c>
      <c r="N20" s="713">
        <v>60</v>
      </c>
      <c r="O20" s="713">
        <v>60</v>
      </c>
      <c r="P20" s="713">
        <v>60</v>
      </c>
      <c r="Q20" s="713">
        <v>60</v>
      </c>
      <c r="R20" s="713">
        <v>60</v>
      </c>
      <c r="S20" s="713">
        <v>60</v>
      </c>
      <c r="T20" s="713">
        <v>60</v>
      </c>
      <c r="U20" s="713">
        <v>60</v>
      </c>
      <c r="V20" s="714">
        <f t="shared" si="0"/>
        <v>300</v>
      </c>
      <c r="W20" s="59" t="s">
        <v>687</v>
      </c>
      <c r="AA20" s="121"/>
      <c r="AI20" s="712"/>
    </row>
    <row r="21" spans="3:35" ht="16.5" customHeight="1" x14ac:dyDescent="0.3">
      <c r="C21" s="1153" t="s">
        <v>690</v>
      </c>
      <c r="D21" s="1154"/>
      <c r="E21" s="1155" t="s">
        <v>691</v>
      </c>
      <c r="F21" s="1156"/>
      <c r="G21" s="1156"/>
      <c r="H21" s="1156"/>
      <c r="I21" s="1157"/>
      <c r="J21" s="713">
        <v>300</v>
      </c>
      <c r="K21" s="713">
        <v>300</v>
      </c>
      <c r="L21" s="713">
        <v>300</v>
      </c>
      <c r="M21" s="713">
        <v>300</v>
      </c>
      <c r="N21" s="713">
        <v>300</v>
      </c>
      <c r="O21" s="713">
        <v>300</v>
      </c>
      <c r="P21" s="713">
        <v>300</v>
      </c>
      <c r="Q21" s="713">
        <v>300</v>
      </c>
      <c r="R21" s="713">
        <v>300</v>
      </c>
      <c r="S21" s="713">
        <v>300</v>
      </c>
      <c r="T21" s="713">
        <v>300</v>
      </c>
      <c r="U21" s="713">
        <v>300</v>
      </c>
      <c r="V21" s="714">
        <f t="shared" si="0"/>
        <v>1500</v>
      </c>
      <c r="W21" s="59" t="s">
        <v>687</v>
      </c>
      <c r="AA21" s="121"/>
      <c r="AI21" s="712"/>
    </row>
    <row r="22" spans="3:35" ht="16.5" customHeight="1" x14ac:dyDescent="0.3">
      <c r="C22" s="1153" t="s">
        <v>688</v>
      </c>
      <c r="D22" s="1154"/>
      <c r="E22" s="1155" t="s">
        <v>692</v>
      </c>
      <c r="F22" s="1156"/>
      <c r="G22" s="1156"/>
      <c r="H22" s="1156"/>
      <c r="I22" s="1157"/>
      <c r="J22" s="713">
        <v>120</v>
      </c>
      <c r="K22" s="713">
        <v>120</v>
      </c>
      <c r="L22" s="713">
        <v>120</v>
      </c>
      <c r="M22" s="713">
        <v>120</v>
      </c>
      <c r="N22" s="713">
        <v>120</v>
      </c>
      <c r="O22" s="713">
        <v>120</v>
      </c>
      <c r="P22" s="713">
        <v>100</v>
      </c>
      <c r="Q22" s="713">
        <v>100</v>
      </c>
      <c r="R22" s="713">
        <v>100</v>
      </c>
      <c r="S22" s="713">
        <v>100</v>
      </c>
      <c r="T22" s="713">
        <v>100</v>
      </c>
      <c r="U22" s="713">
        <v>100</v>
      </c>
      <c r="V22" s="714">
        <f t="shared" si="0"/>
        <v>560</v>
      </c>
      <c r="W22" s="59" t="s">
        <v>687</v>
      </c>
      <c r="AA22" s="121"/>
      <c r="AI22" s="712"/>
    </row>
    <row r="23" spans="3:35" ht="16.5" customHeight="1" x14ac:dyDescent="0.3">
      <c r="C23" s="1153" t="s">
        <v>693</v>
      </c>
      <c r="D23" s="1154"/>
      <c r="E23" s="1155" t="s">
        <v>694</v>
      </c>
      <c r="F23" s="1156"/>
      <c r="G23" s="1156"/>
      <c r="H23" s="1156"/>
      <c r="I23" s="1157"/>
      <c r="J23" s="713">
        <v>159</v>
      </c>
      <c r="K23" s="713">
        <v>160</v>
      </c>
      <c r="L23" s="713">
        <v>160</v>
      </c>
      <c r="M23" s="713">
        <v>160</v>
      </c>
      <c r="N23" s="713">
        <v>160</v>
      </c>
      <c r="O23" s="713">
        <v>160</v>
      </c>
      <c r="P23" s="713">
        <v>160</v>
      </c>
      <c r="Q23" s="713">
        <v>160</v>
      </c>
      <c r="R23" s="713">
        <v>160</v>
      </c>
      <c r="S23" s="713">
        <v>160</v>
      </c>
      <c r="T23" s="713">
        <v>160</v>
      </c>
      <c r="U23" s="713">
        <v>160</v>
      </c>
      <c r="V23" s="714">
        <f t="shared" si="0"/>
        <v>800</v>
      </c>
      <c r="W23" s="59" t="s">
        <v>695</v>
      </c>
      <c r="AA23" s="121"/>
      <c r="AI23" s="712"/>
    </row>
    <row r="24" spans="3:35" ht="16.5" customHeight="1" x14ac:dyDescent="0.3">
      <c r="C24" s="1153" t="s">
        <v>696</v>
      </c>
      <c r="D24" s="1154"/>
      <c r="E24" s="1155" t="s">
        <v>697</v>
      </c>
      <c r="F24" s="1156"/>
      <c r="G24" s="1156"/>
      <c r="H24" s="1156"/>
      <c r="I24" s="1157"/>
      <c r="J24" s="713">
        <v>3214</v>
      </c>
      <c r="K24" s="713">
        <v>3250</v>
      </c>
      <c r="L24" s="713">
        <v>3300</v>
      </c>
      <c r="M24" s="713">
        <v>3350</v>
      </c>
      <c r="N24" s="713">
        <v>3390</v>
      </c>
      <c r="O24" s="713">
        <v>3390</v>
      </c>
      <c r="P24" s="713">
        <v>2500</v>
      </c>
      <c r="Q24" s="713">
        <v>2500</v>
      </c>
      <c r="R24" s="713">
        <v>2500</v>
      </c>
      <c r="S24" s="713">
        <v>2500</v>
      </c>
      <c r="T24" s="713">
        <v>2500</v>
      </c>
      <c r="U24" s="713">
        <v>2500</v>
      </c>
      <c r="V24" s="714">
        <f t="shared" si="0"/>
        <v>15130</v>
      </c>
      <c r="W24" s="59" t="s">
        <v>687</v>
      </c>
      <c r="AA24" s="121"/>
      <c r="AI24" s="712"/>
    </row>
    <row r="25" spans="3:35" ht="16.5" customHeight="1" x14ac:dyDescent="0.3">
      <c r="C25" s="1153" t="s">
        <v>698</v>
      </c>
      <c r="D25" s="1154"/>
      <c r="E25" s="1155" t="s">
        <v>699</v>
      </c>
      <c r="F25" s="1156"/>
      <c r="G25" s="1156"/>
      <c r="H25" s="1156"/>
      <c r="I25" s="1157"/>
      <c r="J25" s="715">
        <f>J35</f>
        <v>0</v>
      </c>
      <c r="K25" s="715">
        <f t="shared" ref="K25:Q25" si="2">K35</f>
        <v>0</v>
      </c>
      <c r="L25" s="715">
        <f t="shared" si="2"/>
        <v>0</v>
      </c>
      <c r="M25" s="715">
        <f t="shared" si="2"/>
        <v>0</v>
      </c>
      <c r="N25" s="715">
        <f t="shared" si="2"/>
        <v>0</v>
      </c>
      <c r="O25" s="715">
        <f t="shared" si="2"/>
        <v>0</v>
      </c>
      <c r="P25" s="715">
        <f t="shared" si="2"/>
        <v>0</v>
      </c>
      <c r="Q25" s="715">
        <f t="shared" si="2"/>
        <v>0</v>
      </c>
      <c r="R25" s="715">
        <f>R35</f>
        <v>0</v>
      </c>
      <c r="S25" s="715">
        <f>S35</f>
        <v>0</v>
      </c>
      <c r="T25" s="715">
        <f>T35</f>
        <v>0</v>
      </c>
      <c r="U25" s="715">
        <f>U35</f>
        <v>0</v>
      </c>
      <c r="V25" s="714">
        <f t="shared" si="0"/>
        <v>0</v>
      </c>
      <c r="W25" s="59" t="s">
        <v>700</v>
      </c>
      <c r="AA25" s="121"/>
      <c r="AI25" s="712"/>
    </row>
    <row r="26" spans="3:35" ht="16.5" customHeight="1" x14ac:dyDescent="0.3">
      <c r="C26" s="1009" t="s">
        <v>527</v>
      </c>
      <c r="D26" s="1010"/>
      <c r="E26" s="1010"/>
      <c r="F26" s="1010"/>
      <c r="G26" s="1010"/>
      <c r="H26" s="1010"/>
      <c r="I26" s="1011"/>
      <c r="J26" s="716">
        <f t="shared" ref="J26:Q26" si="3">SUM(J17:J25)</f>
        <v>25662</v>
      </c>
      <c r="K26" s="716">
        <f t="shared" si="3"/>
        <v>22602</v>
      </c>
      <c r="L26" s="716">
        <f t="shared" si="3"/>
        <v>21634</v>
      </c>
      <c r="M26" s="716">
        <f t="shared" si="3"/>
        <v>21223</v>
      </c>
      <c r="N26" s="716">
        <f t="shared" si="3"/>
        <v>22369</v>
      </c>
      <c r="O26" s="716">
        <f t="shared" si="3"/>
        <v>24834.999999599997</v>
      </c>
      <c r="P26" s="716">
        <f t="shared" si="3"/>
        <v>23164.978139087707</v>
      </c>
      <c r="Q26" s="716">
        <f t="shared" si="3"/>
        <v>22998.450441262976</v>
      </c>
      <c r="R26" s="716">
        <f>SUM(R17:R25)</f>
        <v>22834.376319665913</v>
      </c>
      <c r="S26" s="716">
        <f>SUM(S17:S25)</f>
        <v>22690.686040471541</v>
      </c>
      <c r="T26" s="716">
        <f>SUM(T17:T25)</f>
        <v>22578.749402737638</v>
      </c>
      <c r="U26" s="716">
        <f>SUM(U17:U25)</f>
        <v>22502.954459571472</v>
      </c>
      <c r="V26" s="714">
        <f t="shared" si="0"/>
        <v>114590.42857995068</v>
      </c>
      <c r="AA26" s="121"/>
      <c r="AI26" s="712"/>
    </row>
    <row r="27" spans="3:35" ht="16.5" customHeight="1" x14ac:dyDescent="0.3">
      <c r="C27" s="712" t="s">
        <v>402</v>
      </c>
      <c r="E27" s="121"/>
      <c r="F27" s="121"/>
      <c r="G27" s="121"/>
      <c r="H27" s="121"/>
      <c r="I27" s="121"/>
      <c r="R27" s="59"/>
      <c r="T27" s="712"/>
      <c r="AA27" s="121"/>
      <c r="AI27" s="712"/>
    </row>
    <row r="28" spans="3:35" ht="16.5" customHeight="1" x14ac:dyDescent="0.3">
      <c r="C28" s="712" t="s">
        <v>403</v>
      </c>
      <c r="E28" s="121"/>
      <c r="F28" s="121"/>
      <c r="G28" s="121"/>
      <c r="H28" s="121"/>
      <c r="I28" s="121"/>
      <c r="R28" s="59"/>
      <c r="T28" s="712"/>
      <c r="AA28" s="121"/>
      <c r="AI28" s="712"/>
    </row>
    <row r="29" spans="3:35" ht="16.5" customHeight="1" x14ac:dyDescent="0.3">
      <c r="E29" s="121"/>
      <c r="F29" s="121"/>
      <c r="G29" s="121"/>
      <c r="H29" s="121"/>
      <c r="I29" s="121"/>
      <c r="R29" s="59"/>
      <c r="T29" s="712"/>
      <c r="AA29" s="121"/>
      <c r="AI29" s="712"/>
    </row>
    <row r="30" spans="3:35" ht="16.5" customHeight="1" x14ac:dyDescent="0.3">
      <c r="E30" s="121"/>
      <c r="F30" s="121"/>
      <c r="G30" s="121"/>
      <c r="H30" s="121"/>
      <c r="I30" s="717" t="s">
        <v>634</v>
      </c>
      <c r="J30" s="718">
        <f>SUM(J19:J22,J24)</f>
        <v>4589</v>
      </c>
      <c r="K30" s="718">
        <f t="shared" ref="K30:U30" si="4">SUM(K19:K22,K24)</f>
        <v>4330</v>
      </c>
      <c r="L30" s="718">
        <f t="shared" si="4"/>
        <v>4380</v>
      </c>
      <c r="M30" s="718">
        <f t="shared" si="4"/>
        <v>4430</v>
      </c>
      <c r="N30" s="718">
        <f t="shared" si="4"/>
        <v>4470</v>
      </c>
      <c r="O30" s="718">
        <f t="shared" si="4"/>
        <v>4470</v>
      </c>
      <c r="P30" s="718">
        <f t="shared" si="4"/>
        <v>3560</v>
      </c>
      <c r="Q30" s="718">
        <f t="shared" si="4"/>
        <v>3560</v>
      </c>
      <c r="R30" s="718">
        <f t="shared" si="4"/>
        <v>3560</v>
      </c>
      <c r="S30" s="718">
        <f t="shared" si="4"/>
        <v>3560</v>
      </c>
      <c r="T30" s="718">
        <f t="shared" si="4"/>
        <v>3560</v>
      </c>
      <c r="U30" s="718">
        <f t="shared" si="4"/>
        <v>3560</v>
      </c>
      <c r="V30" s="718">
        <f>SUM(Q30:U30)</f>
        <v>17800</v>
      </c>
      <c r="AA30" s="121"/>
      <c r="AI30" s="712"/>
    </row>
    <row r="31" spans="3:35" ht="16.5" customHeight="1" x14ac:dyDescent="0.3">
      <c r="R31" s="59"/>
      <c r="S31" s="712"/>
      <c r="W31" s="121"/>
      <c r="AA31" s="59"/>
      <c r="AE31" s="712"/>
    </row>
    <row r="32" spans="3:35" ht="16.5" customHeight="1" x14ac:dyDescent="0.3">
      <c r="J32" s="62"/>
      <c r="K32" s="62"/>
      <c r="L32" s="62"/>
      <c r="M32" s="62"/>
      <c r="N32" s="62"/>
      <c r="O32" s="62"/>
      <c r="P32" s="62"/>
      <c r="Q32" s="62"/>
    </row>
    <row r="33" spans="4:21" ht="16.5" customHeight="1" x14ac:dyDescent="0.3">
      <c r="I33" s="719" t="s">
        <v>701</v>
      </c>
      <c r="J33" s="720"/>
      <c r="K33" s="720"/>
      <c r="L33" s="720"/>
      <c r="M33" s="720"/>
      <c r="N33" s="720"/>
      <c r="O33" s="720"/>
      <c r="P33" s="720"/>
      <c r="Q33" s="720"/>
      <c r="R33" s="721"/>
      <c r="S33" s="5"/>
      <c r="T33" s="5"/>
      <c r="U33" s="5"/>
    </row>
    <row r="34" spans="4:21" ht="16.5" customHeight="1" x14ac:dyDescent="0.3">
      <c r="I34" s="719" t="s">
        <v>311</v>
      </c>
      <c r="J34" s="722">
        <f>'9. 추정 IS'!F70</f>
        <v>14638</v>
      </c>
      <c r="K34" s="722">
        <f>'9. 추정 IS'!G70</f>
        <v>15359</v>
      </c>
      <c r="L34" s="722">
        <f>'9. 추정 IS'!H70</f>
        <v>14317</v>
      </c>
      <c r="M34" s="722">
        <f>'9. 추정 IS'!I70</f>
        <v>13830</v>
      </c>
      <c r="N34" s="722">
        <f>'9. 추정 IS'!J70</f>
        <v>14909</v>
      </c>
      <c r="O34" s="722">
        <f>'9. 추정 IS'!K70</f>
        <v>17613.999999599997</v>
      </c>
      <c r="P34" s="722">
        <f>'9. 추정 IS'!L70</f>
        <v>17444.978139087707</v>
      </c>
      <c r="Q34" s="722">
        <f>'9. 추정 IS'!M70</f>
        <v>17278.450441262976</v>
      </c>
      <c r="R34" s="722">
        <f>'9. 추정 IS'!N70</f>
        <v>17114.376319665913</v>
      </c>
      <c r="S34" s="722">
        <f>'9. 추정 IS'!O70</f>
        <v>16970.686040471541</v>
      </c>
      <c r="T34" s="722">
        <f>'9. 추정 IS'!P70</f>
        <v>16858.749402737638</v>
      </c>
      <c r="U34" s="722">
        <f>'9. 추정 IS'!Q70</f>
        <v>16782.954459571472</v>
      </c>
    </row>
    <row r="35" spans="4:21" ht="16.5" customHeight="1" x14ac:dyDescent="0.3">
      <c r="I35" s="719" t="s">
        <v>698</v>
      </c>
      <c r="J35" s="722">
        <f>'9. 추정 IS'!F82</f>
        <v>0</v>
      </c>
      <c r="K35" s="722">
        <f>'9. 추정 IS'!G82</f>
        <v>0</v>
      </c>
      <c r="L35" s="722">
        <f>'9. 추정 IS'!H82</f>
        <v>0</v>
      </c>
      <c r="M35" s="722">
        <f>'9. 추정 IS'!I82</f>
        <v>0</v>
      </c>
      <c r="N35" s="722">
        <f>'9. 추정 IS'!J82</f>
        <v>0</v>
      </c>
      <c r="O35" s="722">
        <f>'9. 추정 IS'!K82</f>
        <v>0</v>
      </c>
      <c r="P35" s="722">
        <f>'9. 추정 IS'!L82</f>
        <v>0</v>
      </c>
      <c r="Q35" s="722">
        <f>'9. 추정 IS'!M82</f>
        <v>0</v>
      </c>
      <c r="R35" s="722">
        <f>'9. 추정 IS'!N82</f>
        <v>0</v>
      </c>
      <c r="S35" s="722">
        <f>'9. 추정 IS'!O82</f>
        <v>0</v>
      </c>
      <c r="T35" s="722">
        <f>'9. 추정 IS'!P82</f>
        <v>0</v>
      </c>
      <c r="U35" s="722">
        <f>'9. 추정 IS'!Q82</f>
        <v>0</v>
      </c>
    </row>
    <row r="36" spans="4:21" ht="16.5" customHeight="1" x14ac:dyDescent="0.3">
      <c r="I36" s="5"/>
      <c r="J36" s="5"/>
      <c r="K36" s="5"/>
      <c r="L36" s="5"/>
      <c r="M36" s="5"/>
      <c r="N36" s="5"/>
      <c r="O36" s="5"/>
      <c r="P36" s="5"/>
      <c r="Q36" s="5"/>
      <c r="R36" s="723"/>
      <c r="S36" s="5"/>
      <c r="T36" s="5"/>
      <c r="U36" s="5"/>
    </row>
    <row r="37" spans="4:21" ht="16.5" customHeight="1" x14ac:dyDescent="0.3">
      <c r="I37" s="5"/>
      <c r="J37" s="5"/>
      <c r="K37" s="5"/>
      <c r="L37" s="5"/>
      <c r="M37" s="5"/>
      <c r="N37" s="5"/>
      <c r="O37" s="5"/>
      <c r="P37" s="5"/>
      <c r="Q37" s="5"/>
      <c r="R37" s="723"/>
      <c r="S37" s="5"/>
      <c r="T37" s="5"/>
      <c r="U37" s="5"/>
    </row>
    <row r="38" spans="4:21" ht="16.5" customHeight="1" x14ac:dyDescent="0.3"/>
    <row r="39" spans="4:21" ht="16.5" customHeight="1" x14ac:dyDescent="0.3"/>
    <row r="40" spans="4:21" ht="16.5" customHeight="1" x14ac:dyDescent="0.3"/>
    <row r="41" spans="4:21" ht="16.5" customHeight="1" x14ac:dyDescent="0.3"/>
    <row r="42" spans="4:21" ht="16.5" customHeight="1" x14ac:dyDescent="0.3"/>
    <row r="43" spans="4:21" ht="16.5" customHeight="1" x14ac:dyDescent="0.3"/>
    <row r="44" spans="4:21" ht="16.5" customHeight="1" x14ac:dyDescent="0.3"/>
    <row r="45" spans="4:21" ht="16.5" customHeight="1" x14ac:dyDescent="0.3"/>
    <row r="46" spans="4:21" ht="16.5" customHeight="1" x14ac:dyDescent="0.3"/>
    <row r="47" spans="4:21" ht="16.5" customHeight="1" x14ac:dyDescent="0.3">
      <c r="D47" s="59"/>
    </row>
    <row r="48" spans="4:21" ht="16.5" customHeight="1" x14ac:dyDescent="0.3">
      <c r="D48" s="59"/>
    </row>
    <row r="49" ht="16.5" customHeight="1" x14ac:dyDescent="0.3"/>
  </sheetData>
  <mergeCells count="20">
    <mergeCell ref="C25:D25"/>
    <mergeCell ref="E25:I25"/>
    <mergeCell ref="C26:I26"/>
    <mergeCell ref="C22:D22"/>
    <mergeCell ref="E22:I22"/>
    <mergeCell ref="C23:D23"/>
    <mergeCell ref="E23:I23"/>
    <mergeCell ref="C24:D24"/>
    <mergeCell ref="E24:I24"/>
    <mergeCell ref="C19:D19"/>
    <mergeCell ref="E19:I19"/>
    <mergeCell ref="C20:D20"/>
    <mergeCell ref="E20:I20"/>
    <mergeCell ref="C21:D21"/>
    <mergeCell ref="E21:I21"/>
    <mergeCell ref="C16:I16"/>
    <mergeCell ref="C17:D17"/>
    <mergeCell ref="E17:I17"/>
    <mergeCell ref="C18:D18"/>
    <mergeCell ref="E18:I18"/>
  </mergeCells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2BAB-E4CC-467B-8B17-C61CB0E82342}">
  <sheetPr codeName="Sheet15"/>
  <dimension ref="A1:Q46"/>
  <sheetViews>
    <sheetView showGridLines="0" zoomScale="85" zoomScaleNormal="85" workbookViewId="0">
      <selection sqref="A1:N1"/>
    </sheetView>
  </sheetViews>
  <sheetFormatPr defaultColWidth="9" defaultRowHeight="18" customHeight="1" outlineLevelRow="1" outlineLevelCol="1" x14ac:dyDescent="0.3"/>
  <cols>
    <col min="1" max="1" width="21.375" style="6" bestFit="1" customWidth="1"/>
    <col min="2" max="4" width="8.625" style="6" hidden="1" customWidth="1" outlineLevel="1"/>
    <col min="5" max="5" width="8.625" style="6" customWidth="1" collapsed="1"/>
    <col min="6" max="14" width="8.625" style="6" customWidth="1"/>
    <col min="15" max="15" width="9" style="6"/>
    <col min="16" max="16" width="0" style="6" hidden="1" customWidth="1" outlineLevel="1"/>
    <col min="17" max="17" width="9" style="6" collapsed="1"/>
    <col min="18" max="16384" width="9" style="6"/>
  </cols>
  <sheetData>
    <row r="1" spans="1:16" ht="31.5" x14ac:dyDescent="0.3">
      <c r="A1" s="1152" t="s">
        <v>708</v>
      </c>
      <c r="B1" s="1005"/>
      <c r="C1" s="1005"/>
      <c r="D1" s="1005"/>
      <c r="E1" s="1005"/>
      <c r="F1" s="1005"/>
      <c r="G1" s="1005"/>
      <c r="H1" s="1005"/>
      <c r="I1" s="1005"/>
      <c r="J1" s="1005"/>
      <c r="K1" s="1005"/>
      <c r="L1" s="1005"/>
      <c r="M1" s="1005"/>
      <c r="N1" s="1005"/>
    </row>
    <row r="2" spans="1:16" ht="18" customHeight="1" x14ac:dyDescent="0.3">
      <c r="B2" s="225"/>
      <c r="C2" s="947"/>
      <c r="D2" s="947"/>
      <c r="E2" s="8"/>
      <c r="F2" s="8"/>
      <c r="G2" s="8"/>
      <c r="H2" s="8"/>
      <c r="N2" s="791" t="s">
        <v>429</v>
      </c>
    </row>
    <row r="3" spans="1:16" ht="18" customHeight="1" x14ac:dyDescent="0.3">
      <c r="A3" s="987" t="s">
        <v>437</v>
      </c>
      <c r="B3" s="998">
        <v>2020</v>
      </c>
      <c r="C3" s="998">
        <v>2021</v>
      </c>
      <c r="D3" s="998">
        <v>2022</v>
      </c>
      <c r="E3" s="998">
        <v>2023</v>
      </c>
      <c r="F3" s="998">
        <v>2024</v>
      </c>
      <c r="G3" s="998">
        <v>2025</v>
      </c>
      <c r="H3" s="998">
        <v>2026</v>
      </c>
      <c r="I3" s="998">
        <v>2027</v>
      </c>
      <c r="J3" s="998">
        <v>2028</v>
      </c>
      <c r="K3" s="998">
        <v>2029</v>
      </c>
      <c r="L3" s="998">
        <v>2030</v>
      </c>
      <c r="M3" s="998">
        <v>2031</v>
      </c>
      <c r="N3" s="998">
        <v>2032</v>
      </c>
    </row>
    <row r="4" spans="1:16" ht="18" customHeight="1" x14ac:dyDescent="0.3">
      <c r="A4" s="955" t="s">
        <v>486</v>
      </c>
      <c r="B4" s="955">
        <f>B5+B6-B10+B13</f>
        <v>180447.14002699996</v>
      </c>
      <c r="C4" s="955">
        <f t="shared" ref="C4:J4" si="0">C5+C6-C10+C13</f>
        <v>-935815</v>
      </c>
      <c r="D4" s="955">
        <f t="shared" si="0"/>
        <v>5386.467244522064</v>
      </c>
      <c r="E4" s="955">
        <f t="shared" si="0"/>
        <v>160047.98286959133</v>
      </c>
      <c r="F4" s="955">
        <f t="shared" si="0"/>
        <v>110799.87807939114</v>
      </c>
      <c r="G4" s="955">
        <f t="shared" si="0"/>
        <v>121920.69824562929</v>
      </c>
      <c r="H4" s="955">
        <f t="shared" si="0"/>
        <v>26052.666704812917</v>
      </c>
      <c r="I4" s="955">
        <f t="shared" si="0"/>
        <v>91135.788348367292</v>
      </c>
      <c r="J4" s="955">
        <f t="shared" si="0"/>
        <v>86558.896140489232</v>
      </c>
      <c r="K4" s="955">
        <f>K5+K6-K10+K13</f>
        <v>84971.85641669661</v>
      </c>
      <c r="L4" s="955">
        <f>L5+L6-L10+L13</f>
        <v>83666.892610913885</v>
      </c>
      <c r="M4" s="955">
        <f>M5+M6-M10+M13</f>
        <v>82628.955616141291</v>
      </c>
      <c r="N4" s="955">
        <f>N5+N6-N10+N13</f>
        <v>82644.122023165663</v>
      </c>
    </row>
    <row r="5" spans="1:16" ht="18" customHeight="1" x14ac:dyDescent="0.3">
      <c r="A5" s="957" t="s">
        <v>487</v>
      </c>
      <c r="B5" s="957">
        <f>'9. 추정 IS'!E100</f>
        <v>128898</v>
      </c>
      <c r="C5" s="957">
        <f>'9. 추정 IS'!F100</f>
        <v>229931</v>
      </c>
      <c r="D5" s="957">
        <f>'9. 추정 IS'!G100</f>
        <v>128436</v>
      </c>
      <c r="E5" s="957">
        <f>'9. 추정 IS'!H100</f>
        <v>118085.98286959133</v>
      </c>
      <c r="F5" s="957">
        <f>'9. 추정 IS'!I100</f>
        <v>97527.98205339117</v>
      </c>
      <c r="G5" s="957">
        <f>'9. 추정 IS'!J100</f>
        <v>82053.777609629265</v>
      </c>
      <c r="H5" s="957">
        <f>'9. 추정 IS'!K100</f>
        <v>79695.782478951034</v>
      </c>
      <c r="I5" s="957">
        <f>'9. 추정 IS'!L100</f>
        <v>77795.899175771119</v>
      </c>
      <c r="J5" s="957">
        <f>'9. 추정 IS'!M100</f>
        <v>73477.156155461067</v>
      </c>
      <c r="K5" s="957">
        <f>'9. 추정 IS'!N100</f>
        <v>71467.97411391951</v>
      </c>
      <c r="L5" s="957">
        <f>'9. 추정 IS'!O100</f>
        <v>69913.388199913083</v>
      </c>
      <c r="M5" s="957">
        <f>'9. 추정 IS'!P100</f>
        <v>68574.890286184876</v>
      </c>
      <c r="N5" s="957">
        <f>'9. 추정 IS'!Q100</f>
        <v>68146.739178133852</v>
      </c>
    </row>
    <row r="6" spans="1:16" ht="18" customHeight="1" x14ac:dyDescent="0.3">
      <c r="A6" s="957" t="s">
        <v>488</v>
      </c>
      <c r="B6" s="957">
        <f>SUM(B7:B9)</f>
        <v>15719</v>
      </c>
      <c r="C6" s="957">
        <f t="shared" ref="C6:J6" si="1">SUM(C7:C9)</f>
        <v>16977</v>
      </c>
      <c r="D6" s="957">
        <f t="shared" si="1"/>
        <v>17022</v>
      </c>
      <c r="E6" s="957">
        <f t="shared" si="1"/>
        <v>17258</v>
      </c>
      <c r="F6" s="957">
        <f t="shared" si="1"/>
        <v>15041</v>
      </c>
      <c r="G6" s="957">
        <f t="shared" si="1"/>
        <v>15120.221912000001</v>
      </c>
      <c r="H6" s="957">
        <f t="shared" si="1"/>
        <v>16323.590060885699</v>
      </c>
      <c r="I6" s="957">
        <f t="shared" si="1"/>
        <v>16071.104309590364</v>
      </c>
      <c r="J6" s="957">
        <f t="shared" si="1"/>
        <v>16008.559232541316</v>
      </c>
      <c r="K6" s="957">
        <f>SUM(K7:K9)</f>
        <v>15956.577149117509</v>
      </c>
      <c r="L6" s="957">
        <f>SUM(L7:L9)</f>
        <v>15895.776346999315</v>
      </c>
      <c r="M6" s="957">
        <f>SUM(M7:M9)</f>
        <v>15835.571155282229</v>
      </c>
      <c r="N6" s="957">
        <f>SUM(N7:N9)</f>
        <v>15776.457767560014</v>
      </c>
      <c r="P6" s="6" t="s">
        <v>8996</v>
      </c>
    </row>
    <row r="7" spans="1:16" ht="18" customHeight="1" x14ac:dyDescent="0.3">
      <c r="A7" s="959" t="s">
        <v>489</v>
      </c>
      <c r="B7" s="959">
        <f>'9. 추정 IS'!E60</f>
        <v>15719</v>
      </c>
      <c r="C7" s="959">
        <f>'9. 추정 IS'!F60</f>
        <v>16977</v>
      </c>
      <c r="D7" s="959">
        <f>'9. 추정 IS'!G60</f>
        <v>17022</v>
      </c>
      <c r="E7" s="959">
        <f>'9. 추정 IS'!H60</f>
        <v>17258</v>
      </c>
      <c r="F7" s="959">
        <f>'9. 추정 IS'!I60</f>
        <v>15041</v>
      </c>
      <c r="G7" s="959">
        <f>'9. 추정 IS'!J60</f>
        <v>15120.221912000001</v>
      </c>
      <c r="H7" s="959">
        <f>'9. 추정 IS'!K60</f>
        <v>16323.590060885699</v>
      </c>
      <c r="I7" s="959">
        <f>'9. 추정 IS'!L60</f>
        <v>16071.104309590364</v>
      </c>
      <c r="J7" s="959">
        <f>'9. 추정 IS'!M60</f>
        <v>16008.559232541316</v>
      </c>
      <c r="K7" s="959">
        <f>'9. 추정 IS'!N60</f>
        <v>15956.577149117509</v>
      </c>
      <c r="L7" s="959">
        <f>'9. 추정 IS'!O60</f>
        <v>15895.776346999315</v>
      </c>
      <c r="M7" s="959">
        <f>'9. 추정 IS'!P60</f>
        <v>15835.571155282229</v>
      </c>
      <c r="N7" s="959">
        <f>'9. 추정 IS'!Q60</f>
        <v>15776.457767560014</v>
      </c>
    </row>
    <row r="8" spans="1:16" ht="18" customHeight="1" x14ac:dyDescent="0.3">
      <c r="A8" s="959" t="s">
        <v>490</v>
      </c>
      <c r="B8" s="959">
        <v>0</v>
      </c>
      <c r="C8" s="959">
        <v>0</v>
      </c>
      <c r="D8" s="959">
        <v>0</v>
      </c>
      <c r="E8" s="959">
        <v>0</v>
      </c>
      <c r="F8" s="959">
        <v>0</v>
      </c>
      <c r="G8" s="959">
        <v>0</v>
      </c>
      <c r="H8" s="959">
        <v>0</v>
      </c>
      <c r="I8" s="959">
        <v>0</v>
      </c>
      <c r="J8" s="959">
        <v>0</v>
      </c>
      <c r="K8" s="959">
        <v>0</v>
      </c>
      <c r="L8" s="959">
        <v>0</v>
      </c>
      <c r="M8" s="959">
        <v>0</v>
      </c>
      <c r="N8" s="959">
        <v>0</v>
      </c>
    </row>
    <row r="9" spans="1:16" ht="18" customHeight="1" x14ac:dyDescent="0.3">
      <c r="A9" s="959" t="s">
        <v>491</v>
      </c>
      <c r="B9" s="959">
        <v>0</v>
      </c>
      <c r="C9" s="959">
        <v>0</v>
      </c>
      <c r="D9" s="959">
        <v>0</v>
      </c>
      <c r="E9" s="959">
        <v>0</v>
      </c>
      <c r="F9" s="959">
        <v>0</v>
      </c>
      <c r="G9" s="959">
        <v>0</v>
      </c>
      <c r="H9" s="959">
        <v>0</v>
      </c>
      <c r="I9" s="959">
        <v>0</v>
      </c>
      <c r="J9" s="959">
        <v>0</v>
      </c>
      <c r="K9" s="959">
        <v>0</v>
      </c>
      <c r="L9" s="959">
        <v>0</v>
      </c>
      <c r="M9" s="959">
        <v>0</v>
      </c>
      <c r="N9" s="959">
        <v>0</v>
      </c>
    </row>
    <row r="10" spans="1:16" ht="18" customHeight="1" x14ac:dyDescent="0.3">
      <c r="A10" s="957" t="s">
        <v>492</v>
      </c>
      <c r="B10" s="957">
        <f>SUM(B11:B12)</f>
        <v>6602.7304130000402</v>
      </c>
      <c r="C10" s="957">
        <f t="shared" ref="C10:J10" si="2">SUM(C11:C12)</f>
        <v>0</v>
      </c>
      <c r="D10" s="957">
        <f t="shared" si="2"/>
        <v>0</v>
      </c>
      <c r="E10" s="957">
        <f t="shared" si="2"/>
        <v>0</v>
      </c>
      <c r="F10" s="957">
        <f t="shared" si="2"/>
        <v>0</v>
      </c>
      <c r="G10" s="957">
        <f t="shared" si="2"/>
        <v>0</v>
      </c>
      <c r="H10" s="957">
        <f t="shared" si="2"/>
        <v>0</v>
      </c>
      <c r="I10" s="957">
        <f t="shared" si="2"/>
        <v>0</v>
      </c>
      <c r="J10" s="957">
        <f t="shared" si="2"/>
        <v>0</v>
      </c>
      <c r="K10" s="957">
        <f>SUM(K11:K12)</f>
        <v>0</v>
      </c>
      <c r="L10" s="957">
        <f>SUM(L11:L12)</f>
        <v>0</v>
      </c>
      <c r="M10" s="957">
        <f>SUM(M11:M12)</f>
        <v>0</v>
      </c>
      <c r="N10" s="957">
        <f>SUM(N11:N12)</f>
        <v>0</v>
      </c>
    </row>
    <row r="11" spans="1:16" ht="18" customHeight="1" x14ac:dyDescent="0.3">
      <c r="A11" s="959" t="s">
        <v>493</v>
      </c>
      <c r="B11" s="959">
        <v>6602.7304130000402</v>
      </c>
      <c r="C11" s="959">
        <v>0</v>
      </c>
      <c r="D11" s="959">
        <v>0</v>
      </c>
      <c r="E11" s="959">
        <v>0</v>
      </c>
      <c r="F11" s="959">
        <v>0</v>
      </c>
      <c r="G11" s="959">
        <v>0</v>
      </c>
      <c r="H11" s="959">
        <v>0</v>
      </c>
      <c r="I11" s="959">
        <v>0</v>
      </c>
      <c r="J11" s="959">
        <v>0</v>
      </c>
      <c r="K11" s="959">
        <v>0</v>
      </c>
      <c r="L11" s="959">
        <v>0</v>
      </c>
      <c r="M11" s="959">
        <v>0</v>
      </c>
      <c r="N11" s="959">
        <v>0</v>
      </c>
    </row>
    <row r="12" spans="1:16" ht="18" customHeight="1" x14ac:dyDescent="0.3">
      <c r="A12" s="959" t="s">
        <v>494</v>
      </c>
      <c r="B12" s="959">
        <v>0</v>
      </c>
      <c r="C12" s="959">
        <v>0</v>
      </c>
      <c r="D12" s="959">
        <v>0</v>
      </c>
      <c r="E12" s="959">
        <v>0</v>
      </c>
      <c r="F12" s="959">
        <v>0</v>
      </c>
      <c r="G12" s="959">
        <v>0</v>
      </c>
      <c r="H12" s="959">
        <v>0</v>
      </c>
      <c r="I12" s="959">
        <v>0</v>
      </c>
      <c r="J12" s="959">
        <v>0</v>
      </c>
      <c r="K12" s="959">
        <v>0</v>
      </c>
      <c r="L12" s="959">
        <v>0</v>
      </c>
      <c r="M12" s="959">
        <v>0</v>
      </c>
      <c r="N12" s="959">
        <v>0</v>
      </c>
    </row>
    <row r="13" spans="1:16" ht="18" customHeight="1" x14ac:dyDescent="0.3">
      <c r="A13" s="957" t="s">
        <v>495</v>
      </c>
      <c r="B13" s="957">
        <f>SUM(B14:B20)</f>
        <v>42432.870440000006</v>
      </c>
      <c r="C13" s="957">
        <f>SUM(C14:C20)</f>
        <v>-1182723</v>
      </c>
      <c r="D13" s="957">
        <f>SUM(D14:D22)</f>
        <v>-140071.53275547794</v>
      </c>
      <c r="E13" s="957">
        <f t="shared" ref="E13:J13" si="3">SUM(E14:E22)</f>
        <v>24704</v>
      </c>
      <c r="F13" s="957">
        <f t="shared" si="3"/>
        <v>-1769.1039740000269</v>
      </c>
      <c r="G13" s="957">
        <f t="shared" si="3"/>
        <v>24746.698724000016</v>
      </c>
      <c r="H13" s="957">
        <f t="shared" si="3"/>
        <v>-69966.705835023822</v>
      </c>
      <c r="I13" s="957">
        <f t="shared" si="3"/>
        <v>-2731.2151369941785</v>
      </c>
      <c r="J13" s="957">
        <f t="shared" si="3"/>
        <v>-2926.8192475131582</v>
      </c>
      <c r="K13" s="957">
        <f>SUM(K14:K22)</f>
        <v>-2452.6948463404151</v>
      </c>
      <c r="L13" s="957">
        <f>SUM(L14:L22)</f>
        <v>-2142.2719359985022</v>
      </c>
      <c r="M13" s="957">
        <f>SUM(M14:M22)</f>
        <v>-1781.5058253258212</v>
      </c>
      <c r="N13" s="957">
        <f>SUM(N14:N22)</f>
        <v>-1279.0749225281979</v>
      </c>
    </row>
    <row r="14" spans="1:16" ht="18" customHeight="1" x14ac:dyDescent="0.3">
      <c r="A14" s="959" t="s">
        <v>91</v>
      </c>
      <c r="B14" s="959">
        <f>'8. 추정 BS'!D7-'8. 추정 BS'!E7</f>
        <v>4635.9566500000074</v>
      </c>
      <c r="C14" s="959">
        <f>'8. 추정 BS'!E7-'8. 추정 BS'!F7</f>
        <v>2269</v>
      </c>
      <c r="D14" s="959">
        <f>'8. 추정 BS'!F7-'8. 추정 BS'!G7</f>
        <v>-28706</v>
      </c>
      <c r="E14" s="959">
        <f>'8. 추정 BS'!G7-'8. 추정 BS'!H7</f>
        <v>-2181</v>
      </c>
      <c r="F14" s="959">
        <f>'8. 추정 BS'!H7-'8. 추정 BS'!I7</f>
        <v>4514.0378999999957</v>
      </c>
      <c r="G14" s="959">
        <f>'8. 추정 BS'!I7-'8. 추정 BS'!J7</f>
        <v>18843.69948000001</v>
      </c>
      <c r="H14" s="959">
        <f>'8. 추정 BS'!J7-'8. 추정 BS'!K7</f>
        <v>-9708.167036635452</v>
      </c>
      <c r="I14" s="959">
        <f>'8. 추정 BS'!K7-'8. 추정 BS'!L7</f>
        <v>604.26639036703273</v>
      </c>
      <c r="J14" s="959">
        <f>'8. 추정 BS'!L7-'8. 추정 BS'!M7</f>
        <v>595.34956339783821</v>
      </c>
      <c r="K14" s="959">
        <f>'8. 추정 BS'!M7-'8. 추정 BS'!N7</f>
        <v>586.57783620179544</v>
      </c>
      <c r="L14" s="959">
        <f>'8. 추정 BS'!N7-'8. 추정 BS'!O7</f>
        <v>513.70400299966423</v>
      </c>
      <c r="M14" s="959">
        <f>'8. 추정 BS'!O7-'8. 추정 BS'!P7</f>
        <v>400.18224759968143</v>
      </c>
      <c r="N14" s="959">
        <f>'8. 추정 BS'!P7-'8. 추정 BS'!Q7</f>
        <v>270.97285863660363</v>
      </c>
    </row>
    <row r="15" spans="1:16" ht="18" customHeight="1" x14ac:dyDescent="0.3">
      <c r="A15" s="959" t="s">
        <v>122</v>
      </c>
      <c r="B15" s="959">
        <v>0</v>
      </c>
      <c r="C15" s="959">
        <v>0</v>
      </c>
      <c r="D15" s="959">
        <v>0</v>
      </c>
      <c r="E15" s="959">
        <v>0</v>
      </c>
      <c r="F15" s="959">
        <v>0</v>
      </c>
      <c r="G15" s="959">
        <v>0</v>
      </c>
      <c r="H15" s="959">
        <v>0</v>
      </c>
      <c r="I15" s="959">
        <v>0</v>
      </c>
      <c r="J15" s="959">
        <v>0</v>
      </c>
      <c r="K15" s="959">
        <v>0</v>
      </c>
      <c r="L15" s="959">
        <v>0</v>
      </c>
      <c r="M15" s="959">
        <v>0</v>
      </c>
      <c r="N15" s="959">
        <v>0</v>
      </c>
    </row>
    <row r="16" spans="1:16" ht="18" customHeight="1" x14ac:dyDescent="0.3">
      <c r="A16" s="959" t="s">
        <v>496</v>
      </c>
      <c r="B16" s="959">
        <f>'8. 추정 BS'!D10-'8. 추정 BS'!E10</f>
        <v>7024.0561139999991</v>
      </c>
      <c r="C16" s="959">
        <f>'8. 추정 BS'!E10-'8. 추정 BS'!F10</f>
        <v>3363</v>
      </c>
      <c r="D16" s="959">
        <f>'8. 추정 BS'!F10-'8. 추정 BS'!G10</f>
        <v>2135</v>
      </c>
      <c r="E16" s="959">
        <f>'8. 추정 BS'!G10-'8. 추정 BS'!H10</f>
        <v>2609</v>
      </c>
      <c r="F16" s="959">
        <f>'8. 추정 BS'!H10-'8. 추정 BS'!I10</f>
        <v>-985</v>
      </c>
      <c r="G16" s="959">
        <f>'8. 추정 BS'!I10-'8. 추정 BS'!J10</f>
        <v>-5749</v>
      </c>
      <c r="H16" s="959">
        <f>'8. 추정 BS'!J10-'8. 추정 BS'!K10</f>
        <v>5519.4635214190239</v>
      </c>
      <c r="I16" s="959">
        <f>'8. 추정 BS'!K10-'8. 추정 BS'!L10</f>
        <v>-855.57656405628222</v>
      </c>
      <c r="J16" s="959">
        <f>'8. 추정 BS'!L10-'8. 추정 BS'!M10</f>
        <v>-688.2590682006703</v>
      </c>
      <c r="K16" s="959">
        <f>'8. 추정 BS'!M10-'8. 추정 BS'!N10</f>
        <v>-605.63616231661217</v>
      </c>
      <c r="L16" s="959">
        <f>'8. 추정 BS'!N10-'8. 추정 BS'!O10</f>
        <v>-557.40540442156271</v>
      </c>
      <c r="M16" s="959">
        <f>'8. 추정 BS'!O10-'8. 추정 BS'!P10</f>
        <v>-526.52803752639375</v>
      </c>
      <c r="N16" s="959">
        <f>'8. 추정 BS'!P10-'8. 추정 BS'!Q10</f>
        <v>-505.6315586437413</v>
      </c>
    </row>
    <row r="17" spans="1:14" ht="18" customHeight="1" x14ac:dyDescent="0.3">
      <c r="A17" s="959" t="s">
        <v>497</v>
      </c>
      <c r="B17" s="959">
        <f>'8. 추정 BS'!D9+'8. 추정 BS'!D23-'8. 추정 BS'!E9-'8. 추정 BS'!E23</f>
        <v>-785.86192299999857</v>
      </c>
      <c r="C17" s="959">
        <f>'8. 추정 BS'!E9+'8. 추정 BS'!E23-'8. 추정 BS'!F9-'8. 추정 BS'!F23</f>
        <v>-48752</v>
      </c>
      <c r="D17" s="959">
        <f>'8. 추정 BS'!F9+'8. 추정 BS'!F24-'8. 추정 BS'!G9-'8. 추정 BS'!G24</f>
        <v>286</v>
      </c>
      <c r="E17" s="959">
        <f>'8. 추정 BS'!G9+'8. 추정 BS'!G23-'8. 추정 BS'!H9-'8. 추정 BS'!H23</f>
        <v>2323</v>
      </c>
      <c r="F17" s="959">
        <f>'8. 추정 BS'!H9+'8. 추정 BS'!H23-'8. 추정 BS'!I9-'8. 추정 BS'!I23</f>
        <v>2387.8960259999731</v>
      </c>
      <c r="G17" s="959">
        <f>'8. 추정 BS'!I9+'8. 추정 BS'!I23-'8. 추정 BS'!J9-'8. 추정 BS'!J23</f>
        <v>-2450.3012759999838</v>
      </c>
      <c r="H17" s="959">
        <f>'8. 추정 BS'!J9+'8. 추정 BS'!J23-'8. 추정 BS'!K9-'8. 추정 BS'!K23</f>
        <v>0</v>
      </c>
      <c r="I17" s="959">
        <f>'8. 추정 BS'!K9+'8. 추정 BS'!K23-'8. 추정 BS'!L9-'8. 추정 BS'!L23</f>
        <v>0</v>
      </c>
      <c r="J17" s="959">
        <f>'8. 추정 BS'!L9+'8. 추정 BS'!L23-'8. 추정 BS'!M9-'8. 추정 BS'!M23</f>
        <v>0</v>
      </c>
      <c r="K17" s="959">
        <f>'8. 추정 BS'!M9+'8. 추정 BS'!M23-'8. 추정 BS'!N9-'8. 추정 BS'!N23</f>
        <v>0</v>
      </c>
      <c r="L17" s="959">
        <f>'8. 추정 BS'!N9+'8. 추정 BS'!N23-'8. 추정 BS'!O9-'8. 추정 BS'!O23</f>
        <v>0</v>
      </c>
      <c r="M17" s="959">
        <f>'8. 추정 BS'!O9+'8. 추정 BS'!O23-'8. 추정 BS'!P9-'8. 추정 BS'!P23</f>
        <v>0</v>
      </c>
      <c r="N17" s="959">
        <f>'8. 추정 BS'!P9+'8. 추정 BS'!P23-'8. 추정 BS'!Q9-'8. 추정 BS'!Q23</f>
        <v>0</v>
      </c>
    </row>
    <row r="18" spans="1:14" ht="18" customHeight="1" x14ac:dyDescent="0.3">
      <c r="A18" s="959" t="s">
        <v>145</v>
      </c>
      <c r="B18" s="959">
        <f>'8. 추정 BS'!E30-'8. 추정 BS'!D30</f>
        <v>14024.606165000005</v>
      </c>
      <c r="C18" s="959">
        <f>'8. 추정 BS'!F30-'8. 추정 BS'!E30</f>
        <v>-6420</v>
      </c>
      <c r="D18" s="959">
        <f>'8. 추정 BS'!G30-'8. 추정 BS'!F30</f>
        <v>41067</v>
      </c>
      <c r="E18" s="959">
        <f>'8. 추정 BS'!H30-'8. 추정 BS'!G30</f>
        <v>-15079</v>
      </c>
      <c r="F18" s="959">
        <f>'8. 추정 BS'!I30-'8. 추정 BS'!H30</f>
        <v>-43309.037899999996</v>
      </c>
      <c r="G18" s="959">
        <f>'8. 추정 BS'!J30-'8. 추정 BS'!I30</f>
        <v>-8873.6994800000102</v>
      </c>
      <c r="H18" s="959">
        <f>'8. 추정 BS'!K30-'8. 추정 BS'!J30</f>
        <v>8870.3090901859396</v>
      </c>
      <c r="I18" s="959">
        <f>'8. 추정 BS'!L30-'8. 추정 BS'!K30</f>
        <v>-1638.5406723112392</v>
      </c>
      <c r="J18" s="959">
        <f>'8. 추정 BS'!M30-'8. 추정 BS'!L30</f>
        <v>-1614.3616282837756</v>
      </c>
      <c r="K18" s="959">
        <f>'8. 추정 BS'!N30-'8. 추정 BS'!M30</f>
        <v>-1590.576039665495</v>
      </c>
      <c r="L18" s="959">
        <f>'8. 추정 BS'!O30-'8. 추정 BS'!N30</f>
        <v>-1392.9699150283413</v>
      </c>
      <c r="M18" s="959">
        <f>'8. 추정 BS'!P30-'8. 추정 BS'!O30</f>
        <v>-1085.1420821712527</v>
      </c>
      <c r="N18" s="959">
        <f>'8. 추정 BS'!Q30-'8. 추정 BS'!P30</f>
        <v>-734.77535247133346</v>
      </c>
    </row>
    <row r="19" spans="1:14" ht="18" customHeight="1" x14ac:dyDescent="0.3">
      <c r="A19" s="959" t="s">
        <v>150</v>
      </c>
      <c r="B19" s="959">
        <v>0</v>
      </c>
      <c r="C19" s="959">
        <v>0</v>
      </c>
      <c r="D19" s="959">
        <v>0</v>
      </c>
      <c r="E19" s="959">
        <v>0</v>
      </c>
      <c r="F19" s="959">
        <v>0</v>
      </c>
      <c r="G19" s="959">
        <v>0</v>
      </c>
      <c r="H19" s="959">
        <v>0</v>
      </c>
      <c r="I19" s="959">
        <v>0</v>
      </c>
      <c r="J19" s="959">
        <v>0</v>
      </c>
      <c r="K19" s="959">
        <v>0</v>
      </c>
      <c r="L19" s="959">
        <v>0</v>
      </c>
      <c r="M19" s="959">
        <v>0</v>
      </c>
      <c r="N19" s="959">
        <v>0</v>
      </c>
    </row>
    <row r="20" spans="1:14" ht="18" customHeight="1" x14ac:dyDescent="0.3">
      <c r="A20" s="959" t="s">
        <v>498</v>
      </c>
      <c r="B20" s="959">
        <f>'8. 추정 BS'!E31+'8. 추정 BS'!E34+'8. 추정 BS'!E35+'8. 추정 BS'!E36-'8. 추정 BS'!D31-'8. 추정 BS'!D34-'8. 추정 BS'!D35-'8. 추정 BS'!D36</f>
        <v>17534.113433999992</v>
      </c>
      <c r="C20" s="959">
        <f>'8. 추정 BS'!F31+'8. 추정 BS'!F34+'8. 추정 BS'!F35+'8. 추정 BS'!F36-'8. 추정 BS'!E31-'8. 추정 BS'!E34-'8. 추정 BS'!E35-'8. 추정 BS'!E36</f>
        <v>-1133183</v>
      </c>
      <c r="D20" s="959">
        <f>'8. 추정 BS'!G31+'8. 추정 BS'!G34+'8. 추정 BS'!G35-'8. 추정 BS'!F31-'8. 추정 BS'!F34-'8. 추정 BS'!F35-0.532755477937826+'8. 추정 BS'!G38+'8. 추정 BS'!G39+'8. 추정 BS'!G40-'8. 추정 BS'!F38-'8. 추정 BS'!F39-'8. 추정 BS'!F40</f>
        <v>-21270.532755477936</v>
      </c>
      <c r="E20" s="959">
        <f>'8. 추정 BS'!H31+'8. 추정 BS'!H34+'8. 추정 BS'!H35-'8. 추정 BS'!G31-'8. 추정 BS'!G34-'8. 추정 BS'!G35+'8. 추정 BS'!H38+'8. 추정 BS'!H39+'8. 추정 BS'!H40-'8. 추정 BS'!G38-'8. 추정 BS'!G39-'8. 추정 BS'!G40</f>
        <v>37032</v>
      </c>
      <c r="F20" s="959">
        <f>'8. 추정 BS'!I31+'8. 추정 BS'!I34+'8. 추정 BS'!I35-'8. 추정 BS'!H31-'8. 추정 BS'!H34-'8. 추정 BS'!H35+'8. 추정 BS'!I38+'8. 추정 BS'!I39+'8. 추정 BS'!I40-'8. 추정 BS'!H38-'8. 추정 BS'!H39-'8. 추정 BS'!H40</f>
        <v>35623</v>
      </c>
      <c r="G20" s="959">
        <f>'8. 추정 BS'!J31+'8. 추정 BS'!J34+'8. 추정 BS'!J35-'8. 추정 BS'!I31-'8. 추정 BS'!I34-'8. 추정 BS'!I35+'8. 추정 BS'!J38+'8. 추정 BS'!J39+'8. 추정 BS'!J40-'8. 추정 BS'!I38-'8. 추정 BS'!I39-'8. 추정 BS'!I40</f>
        <v>22976</v>
      </c>
      <c r="H20" s="959">
        <f>'8. 추정 BS'!K31+'8. 추정 BS'!K34+'8. 추정 BS'!K35-'8. 추정 BS'!J31-'8. 추정 BS'!J34-'8. 추정 BS'!J35+'8. 추정 BS'!K38+'8. 추정 BS'!K39+'8. 추정 BS'!K40-'8. 추정 BS'!J38-'8. 추정 BS'!J39-'8. 추정 BS'!J40</f>
        <v>-74648.31140999333</v>
      </c>
      <c r="I20" s="959">
        <f>'8. 추정 BS'!L31+'8. 추정 BS'!L34+'8. 추정 BS'!L35-'8. 추정 BS'!K31-'8. 추정 BS'!K34-'8. 추정 BS'!K35+'8. 추정 BS'!L38+'8. 추정 BS'!L39+'8. 추정 BS'!L40-'8. 추정 BS'!K38-'8. 추정 BS'!K39-'8. 추정 BS'!K40</f>
        <v>-841.36429099368979</v>
      </c>
      <c r="J20" s="959">
        <f>'8. 추정 BS'!M31+'8. 추정 BS'!M34+'8. 추정 BS'!M35-'8. 추정 BS'!L31-'8. 추정 BS'!L34-'8. 추정 BS'!L35+'8. 추정 BS'!M38+'8. 추정 BS'!M39+'8. 추정 BS'!M40-'8. 추정 BS'!L38-'8. 추정 BS'!L39-'8. 추정 BS'!L40</f>
        <v>-1219.5481144265505</v>
      </c>
      <c r="K20" s="959">
        <f>'8. 추정 BS'!N31+'8. 추정 BS'!N34+'8. 추정 BS'!N35-'8. 추정 BS'!M31-'8. 추정 BS'!M34-'8. 추정 BS'!M35+'8. 추정 BS'!N38+'8. 추정 BS'!N39+'8. 추정 BS'!N40-'8. 추정 BS'!M38-'8. 추정 BS'!M39-'8. 추정 BS'!M40</f>
        <v>-843.06048056010331</v>
      </c>
      <c r="L20" s="959">
        <f>'8. 추정 BS'!O31+'8. 추정 BS'!O34+'8. 추정 BS'!O35-'8. 추정 BS'!N31-'8. 추정 BS'!N34-'8. 추정 BS'!N35+'8. 추정 BS'!O38+'8. 추정 BS'!O39+'8. 추정 BS'!O40-'8. 추정 BS'!N38-'8. 추정 BS'!N39-'8. 추정 BS'!N40</f>
        <v>-705.60061954826233</v>
      </c>
      <c r="M20" s="959">
        <f>'8. 추정 BS'!P31+'8. 추정 BS'!P34+'8. 추정 BS'!P35-'8. 추정 BS'!O31-'8. 추정 BS'!O34-'8. 추정 BS'!O35+'8. 추정 BS'!P38+'8. 추정 BS'!P39+'8. 추정 BS'!P40-'8. 추정 BS'!O38-'8. 추정 BS'!O39-'8. 추정 BS'!O40</f>
        <v>-570.0179532278562</v>
      </c>
      <c r="N20" s="959">
        <f>'8. 추정 BS'!Q31+'8. 추정 BS'!Q34+'8. 추정 BS'!Q35-'8. 추정 BS'!P31-'8. 추정 BS'!P34-'8. 추정 BS'!P35+'8. 추정 BS'!Q38+'8. 추정 BS'!Q39+'8. 추정 BS'!Q40-'8. 추정 BS'!P38-'8. 추정 BS'!P39-'8. 추정 BS'!P40</f>
        <v>-309.6408700497268</v>
      </c>
    </row>
    <row r="21" spans="1:14" ht="18" customHeight="1" x14ac:dyDescent="0.3">
      <c r="A21" s="959" t="s">
        <v>499</v>
      </c>
      <c r="B21" s="959">
        <v>0</v>
      </c>
      <c r="C21" s="959">
        <v>0</v>
      </c>
      <c r="D21" s="959">
        <f>+'8. 추정 BS'!G37-'8. 추정 BS'!F37</f>
        <v>-133583</v>
      </c>
      <c r="E21" s="959">
        <v>0</v>
      </c>
      <c r="F21" s="959">
        <v>0</v>
      </c>
      <c r="G21" s="959">
        <v>0</v>
      </c>
      <c r="H21" s="959">
        <v>0</v>
      </c>
      <c r="I21" s="959">
        <v>0</v>
      </c>
      <c r="J21" s="959">
        <v>0</v>
      </c>
      <c r="K21" s="959">
        <v>0</v>
      </c>
      <c r="L21" s="959">
        <v>0</v>
      </c>
      <c r="M21" s="959">
        <v>0</v>
      </c>
      <c r="N21" s="959">
        <v>0</v>
      </c>
    </row>
    <row r="22" spans="1:14" ht="18" customHeight="1" x14ac:dyDescent="0.3">
      <c r="A22" s="959" t="s">
        <v>210</v>
      </c>
      <c r="B22" s="959">
        <v>0</v>
      </c>
      <c r="C22" s="959">
        <v>0</v>
      </c>
      <c r="D22" s="959">
        <v>0</v>
      </c>
      <c r="E22" s="959">
        <v>0</v>
      </c>
      <c r="F22" s="959">
        <v>0</v>
      </c>
      <c r="G22" s="959">
        <v>0</v>
      </c>
      <c r="H22" s="959">
        <v>0</v>
      </c>
      <c r="I22" s="959">
        <v>0</v>
      </c>
      <c r="J22" s="959">
        <v>0</v>
      </c>
      <c r="K22" s="959">
        <v>0</v>
      </c>
      <c r="L22" s="959">
        <v>0</v>
      </c>
      <c r="M22" s="959">
        <v>0</v>
      </c>
      <c r="N22" s="959">
        <v>0</v>
      </c>
    </row>
    <row r="23" spans="1:14" ht="18" customHeight="1" x14ac:dyDescent="0.3">
      <c r="A23" s="955" t="s">
        <v>500</v>
      </c>
      <c r="B23" s="955">
        <f>SUM(B24,B25,B30)</f>
        <v>-238544.09475199995</v>
      </c>
      <c r="C23" s="955">
        <f t="shared" ref="C23:J23" si="4">SUM(C24,C25,C30)</f>
        <v>1069214.937261</v>
      </c>
      <c r="D23" s="955">
        <f t="shared" si="4"/>
        <v>-5619.5999999999767</v>
      </c>
      <c r="E23" s="955">
        <f t="shared" si="4"/>
        <v>-82075</v>
      </c>
      <c r="F23" s="955">
        <f t="shared" si="4"/>
        <v>-31602</v>
      </c>
      <c r="G23" s="955">
        <f t="shared" si="4"/>
        <v>2003.7780879999991</v>
      </c>
      <c r="H23" s="955">
        <f t="shared" si="4"/>
        <v>-25018.890060885686</v>
      </c>
      <c r="I23" s="955">
        <f t="shared" si="4"/>
        <v>-15925.032547932356</v>
      </c>
      <c r="J23" s="955">
        <f t="shared" si="4"/>
        <v>-15864.296803348596</v>
      </c>
      <c r="K23" s="955">
        <f>SUM(K24,K25,K30)</f>
        <v>-15804.66248418475</v>
      </c>
      <c r="L23" s="955">
        <f>SUM(L24,L25,L30)</f>
        <v>-15746.109616404668</v>
      </c>
      <c r="M23" s="955">
        <f>SUM(M24,M25,M30)</f>
        <v>-15688.618588195848</v>
      </c>
      <c r="N23" s="955">
        <f>SUM(N24,N25,N30)</f>
        <v>-15632.17014340007</v>
      </c>
    </row>
    <row r="24" spans="1:14" ht="18" customHeight="1" x14ac:dyDescent="0.3">
      <c r="A24" s="959" t="s">
        <v>501</v>
      </c>
      <c r="B24" s="959">
        <v>0</v>
      </c>
      <c r="C24" s="959">
        <v>0</v>
      </c>
      <c r="D24" s="959">
        <v>0</v>
      </c>
      <c r="E24" s="959">
        <v>0</v>
      </c>
      <c r="F24" s="959">
        <v>0</v>
      </c>
      <c r="G24" s="959">
        <v>0</v>
      </c>
      <c r="H24" s="959">
        <v>0</v>
      </c>
      <c r="I24" s="959">
        <v>0</v>
      </c>
      <c r="J24" s="959">
        <v>0</v>
      </c>
      <c r="K24" s="959">
        <v>0</v>
      </c>
      <c r="L24" s="959">
        <v>0</v>
      </c>
      <c r="M24" s="959">
        <v>0</v>
      </c>
      <c r="N24" s="959">
        <v>0</v>
      </c>
    </row>
    <row r="25" spans="1:14" ht="18" customHeight="1" x14ac:dyDescent="0.3">
      <c r="A25" s="959" t="s">
        <v>502</v>
      </c>
      <c r="B25" s="959">
        <f>SUM(B26:B29)</f>
        <v>-222825.09475199995</v>
      </c>
      <c r="C25" s="959">
        <f t="shared" ref="C25:N25" si="5">SUM(C26:C29)</f>
        <v>1091717.937261</v>
      </c>
      <c r="D25" s="959">
        <f t="shared" si="5"/>
        <v>715</v>
      </c>
      <c r="E25" s="959">
        <f t="shared" si="5"/>
        <v>-71966</v>
      </c>
      <c r="F25" s="959">
        <f t="shared" si="5"/>
        <v>-21411</v>
      </c>
      <c r="G25" s="959">
        <f t="shared" si="5"/>
        <v>7618</v>
      </c>
      <c r="H25" s="959">
        <f t="shared" si="5"/>
        <v>0</v>
      </c>
      <c r="I25" s="959">
        <f t="shared" si="5"/>
        <v>0</v>
      </c>
      <c r="J25" s="959">
        <f t="shared" si="5"/>
        <v>0</v>
      </c>
      <c r="K25" s="959">
        <f t="shared" si="5"/>
        <v>0</v>
      </c>
      <c r="L25" s="959">
        <f t="shared" si="5"/>
        <v>0</v>
      </c>
      <c r="M25" s="959">
        <f t="shared" si="5"/>
        <v>0</v>
      </c>
      <c r="N25" s="959">
        <f t="shared" si="5"/>
        <v>0</v>
      </c>
    </row>
    <row r="26" spans="1:14" ht="18" customHeight="1" x14ac:dyDescent="0.3">
      <c r="A26" s="959" t="s">
        <v>503</v>
      </c>
      <c r="B26" s="959">
        <f>'8. 추정 BS'!D8+'8. 추정 BS'!D12-'8. 추정 BS'!E8-'8. 추정 BS'!E12</f>
        <v>-222825.09475199995</v>
      </c>
      <c r="C26" s="959">
        <f>'8. 추정 BS'!E8+'8. 추정 BS'!E12-'8. 추정 BS'!F8-'8. 추정 BS'!F12</f>
        <v>1080249</v>
      </c>
      <c r="D26" s="959">
        <f>'8. 추정 BS'!F8+'8. 추정 BS'!F12-'8. 추정 BS'!G8-'8. 추정 BS'!G12+'8. 추정 BS'!F25-'8. 추정 BS'!G25</f>
        <v>-1746</v>
      </c>
      <c r="E26" s="959">
        <f>'8. 추정 BS'!G8+'8. 추정 BS'!G12-'8. 추정 BS'!H8-'8. 추정 BS'!H12+'8. 추정 BS'!G25-'8. 추정 BS'!H25</f>
        <v>1635</v>
      </c>
      <c r="F26" s="959">
        <f>'8. 추정 BS'!H8+'8. 추정 BS'!H12-'8. 추정 BS'!I8-'8. 추정 BS'!I12</f>
        <v>2226</v>
      </c>
      <c r="G26" s="959">
        <f>'8. 추정 BS'!I8+'8. 추정 BS'!I12-'8. 추정 BS'!J8-'8. 추정 BS'!J12</f>
        <v>22293</v>
      </c>
      <c r="H26" s="959">
        <f>'8. 추정 BS'!J8+'8. 추정 BS'!J12-'8. 추정 BS'!K8-'8. 추정 BS'!K12</f>
        <v>0</v>
      </c>
      <c r="I26" s="959">
        <f>'8. 추정 BS'!K8+'8. 추정 BS'!K12-'8. 추정 BS'!L8-'8. 추정 BS'!L12</f>
        <v>0</v>
      </c>
      <c r="J26" s="959">
        <f>'8. 추정 BS'!L8+'8. 추정 BS'!L12-'8. 추정 BS'!M8-'8. 추정 BS'!M12</f>
        <v>0</v>
      </c>
      <c r="K26" s="959">
        <f>'8. 추정 BS'!M8+'8. 추정 BS'!M12-'8. 추정 BS'!N8-'8. 추정 BS'!N12</f>
        <v>0</v>
      </c>
      <c r="L26" s="959">
        <f>'8. 추정 BS'!N8+'8. 추정 BS'!N12-'8. 추정 BS'!O8-'8. 추정 BS'!O12</f>
        <v>0</v>
      </c>
      <c r="M26" s="959">
        <f>'8. 추정 BS'!O8+'8. 추정 BS'!O12-'8. 추정 BS'!P8-'8. 추정 BS'!P12</f>
        <v>0</v>
      </c>
      <c r="N26" s="959">
        <f>'8. 추정 BS'!P8+'8. 추정 BS'!P12-'8. 추정 BS'!Q8-'8. 추정 BS'!Q12</f>
        <v>0</v>
      </c>
    </row>
    <row r="27" spans="1:14" ht="18" customHeight="1" x14ac:dyDescent="0.3">
      <c r="A27" s="959" t="s">
        <v>491</v>
      </c>
      <c r="B27" s="959">
        <v>0</v>
      </c>
      <c r="C27" s="959">
        <v>0</v>
      </c>
      <c r="D27" s="959">
        <v>0</v>
      </c>
      <c r="E27" s="959">
        <v>0</v>
      </c>
      <c r="F27" s="959">
        <v>0</v>
      </c>
      <c r="G27" s="959">
        <v>0</v>
      </c>
      <c r="H27" s="959">
        <v>0</v>
      </c>
      <c r="I27" s="959">
        <v>0</v>
      </c>
      <c r="J27" s="959">
        <v>0</v>
      </c>
      <c r="K27" s="959">
        <v>0</v>
      </c>
      <c r="L27" s="959">
        <v>0</v>
      </c>
      <c r="M27" s="959">
        <v>0</v>
      </c>
      <c r="N27" s="959">
        <v>0</v>
      </c>
    </row>
    <row r="28" spans="1:14" ht="18" customHeight="1" x14ac:dyDescent="0.3">
      <c r="A28" s="959" t="s">
        <v>494</v>
      </c>
      <c r="B28" s="959">
        <v>0</v>
      </c>
      <c r="C28" s="959">
        <v>0</v>
      </c>
      <c r="D28" s="959">
        <v>0</v>
      </c>
      <c r="E28" s="959">
        <v>0</v>
      </c>
      <c r="F28" s="959">
        <v>0</v>
      </c>
      <c r="G28" s="959">
        <v>0</v>
      </c>
      <c r="H28" s="959">
        <v>0</v>
      </c>
      <c r="I28" s="959">
        <v>0</v>
      </c>
      <c r="J28" s="959">
        <v>0</v>
      </c>
      <c r="K28" s="959">
        <v>0</v>
      </c>
      <c r="L28" s="959">
        <v>0</v>
      </c>
      <c r="M28" s="959">
        <v>0</v>
      </c>
      <c r="N28" s="959">
        <v>0</v>
      </c>
    </row>
    <row r="29" spans="1:14" ht="18" customHeight="1" x14ac:dyDescent="0.3">
      <c r="A29" s="959" t="s">
        <v>504</v>
      </c>
      <c r="B29" s="959">
        <v>0</v>
      </c>
      <c r="C29" s="959">
        <f>'8. 추정 BS'!F52-'8. 추정 BS'!E52+'8. 추정 BS'!F59-'8. 추정 BS'!E59</f>
        <v>11468.937261000043</v>
      </c>
      <c r="D29" s="959">
        <f>'8. 추정 BS'!G52-'8. 추정 BS'!F52+'8. 추정 BS'!G59</f>
        <v>2461</v>
      </c>
      <c r="E29" s="959">
        <f>'8. 추정 BS'!H52-'8. 추정 BS'!G52+'8. 추정 BS'!H59</f>
        <v>-73601</v>
      </c>
      <c r="F29" s="959">
        <f>'8. 추정 BS'!I52-'8. 추정 BS'!H52+'8. 추정 BS'!I59</f>
        <v>-23637</v>
      </c>
      <c r="G29" s="959">
        <f>'8. 추정 BS'!J52-'8. 추정 BS'!I52+'8. 추정 BS'!J59</f>
        <v>-14675</v>
      </c>
      <c r="H29" s="959">
        <f>'8. 추정 BS'!K54-'8. 추정 BS'!J54</f>
        <v>0</v>
      </c>
      <c r="I29" s="959">
        <f>'8. 추정 BS'!L54-'8. 추정 BS'!K54</f>
        <v>0</v>
      </c>
      <c r="J29" s="959">
        <f>'8. 추정 BS'!M54-'8. 추정 BS'!L54</f>
        <v>0</v>
      </c>
      <c r="K29" s="959">
        <f>'8. 추정 BS'!N54-'8. 추정 BS'!M54</f>
        <v>0</v>
      </c>
      <c r="L29" s="959">
        <f>'8. 추정 BS'!O54-'8. 추정 BS'!N54</f>
        <v>0</v>
      </c>
      <c r="M29" s="959">
        <f>'8. 추정 BS'!P54-'8. 추정 BS'!O54</f>
        <v>0</v>
      </c>
      <c r="N29" s="959">
        <f>'8. 추정 BS'!Q54-'8. 추정 BS'!P54</f>
        <v>0</v>
      </c>
    </row>
    <row r="30" spans="1:14" ht="18" customHeight="1" x14ac:dyDescent="0.3">
      <c r="A30" s="959" t="s">
        <v>506</v>
      </c>
      <c r="B30" s="959">
        <f>SUM(B31:B32)</f>
        <v>-15719</v>
      </c>
      <c r="C30" s="959">
        <f t="shared" ref="C30:N30" si="6">SUM(C31:C32)</f>
        <v>-22503</v>
      </c>
      <c r="D30" s="959">
        <f t="shared" si="6"/>
        <v>-6334.5999999999767</v>
      </c>
      <c r="E30" s="959">
        <f t="shared" si="6"/>
        <v>-10109</v>
      </c>
      <c r="F30" s="959">
        <f t="shared" si="6"/>
        <v>-10191</v>
      </c>
      <c r="G30" s="959">
        <f t="shared" si="6"/>
        <v>-5614.2219120000009</v>
      </c>
      <c r="H30" s="959">
        <f t="shared" si="6"/>
        <v>-25018.890060885686</v>
      </c>
      <c r="I30" s="959">
        <f t="shared" si="6"/>
        <v>-15925.032547932356</v>
      </c>
      <c r="J30" s="959">
        <f t="shared" si="6"/>
        <v>-15864.296803348596</v>
      </c>
      <c r="K30" s="959">
        <f t="shared" si="6"/>
        <v>-15804.66248418475</v>
      </c>
      <c r="L30" s="959">
        <f t="shared" si="6"/>
        <v>-15746.109616404668</v>
      </c>
      <c r="M30" s="959">
        <f t="shared" si="6"/>
        <v>-15688.618588195848</v>
      </c>
      <c r="N30" s="959">
        <f t="shared" si="6"/>
        <v>-15632.17014340007</v>
      </c>
    </row>
    <row r="31" spans="1:14" ht="18" customHeight="1" x14ac:dyDescent="0.3">
      <c r="A31" s="959" t="s">
        <v>507</v>
      </c>
      <c r="B31" s="959">
        <f>-'9. 추정 IS'!E61-'9. 추정 IS'!E131-'9. 추정 IS'!E135</f>
        <v>-15719</v>
      </c>
      <c r="C31" s="959">
        <f>-'9. 추정 IS'!F61-'9. 추정 IS'!F131-'9. 추정 IS'!F135</f>
        <v>-22503</v>
      </c>
      <c r="D31" s="959">
        <f>'8. 추정 BS'!F15+'8. 추정 BS'!F19-'8. 추정 BS'!G15-'8. 추정 BS'!G19-D7</f>
        <v>-6334.5999999999767</v>
      </c>
      <c r="E31" s="959">
        <f>'8. 추정 BS'!G15+'8. 추정 BS'!G19-'8. 추정 BS'!H15-'8. 추정 BS'!H19-E7</f>
        <v>-10109</v>
      </c>
      <c r="F31" s="959">
        <f>'8. 추정 BS'!H15+'8. 추정 BS'!H19-'8. 추정 BS'!I15-'8. 추정 BS'!I19-F7</f>
        <v>-10191</v>
      </c>
      <c r="G31" s="959">
        <f>'8. 추정 BS'!I15+'8. 추정 BS'!I19-'8. 추정 BS'!J15-'8. 추정 BS'!J19-G7</f>
        <v>-5614.2219120000009</v>
      </c>
      <c r="H31" s="959">
        <f>'8. 추정 BS'!J15+'8. 추정 BS'!J19-'8. 추정 BS'!K15-'8. 추정 BS'!K19-H7</f>
        <v>-25018.890060885686</v>
      </c>
      <c r="I31" s="959">
        <f>'8. 추정 BS'!K15+'8. 추정 BS'!K19-'8. 추정 BS'!L15-'8. 추정 BS'!L19-I7</f>
        <v>-15925.032547932356</v>
      </c>
      <c r="J31" s="959">
        <f>'8. 추정 BS'!L15+'8. 추정 BS'!L19-'8. 추정 BS'!M15-'8. 추정 BS'!M19-J7</f>
        <v>-15864.296803348596</v>
      </c>
      <c r="K31" s="959">
        <f>'8. 추정 BS'!M15+'8. 추정 BS'!M19-'8. 추정 BS'!N15-'8. 추정 BS'!N19-K7</f>
        <v>-15804.66248418475</v>
      </c>
      <c r="L31" s="959">
        <f>'8. 추정 BS'!N15+'8. 추정 BS'!N19-'8. 추정 BS'!O15-'8. 추정 BS'!O19-L7</f>
        <v>-15746.109616404668</v>
      </c>
      <c r="M31" s="959">
        <f>'8. 추정 BS'!O15+'8. 추정 BS'!O19-'8. 추정 BS'!P15-'8. 추정 BS'!P19-M7</f>
        <v>-15688.618588195848</v>
      </c>
      <c r="N31" s="959">
        <f>'8. 추정 BS'!P15+'8. 추정 BS'!P19-'8. 추정 BS'!Q15-'8. 추정 BS'!Q19-N7</f>
        <v>-15632.17014340007</v>
      </c>
    </row>
    <row r="32" spans="1:14" ht="18" customHeight="1" x14ac:dyDescent="0.3">
      <c r="A32" s="959" t="s">
        <v>493</v>
      </c>
      <c r="B32" s="959"/>
      <c r="C32" s="959"/>
      <c r="D32" s="959"/>
      <c r="E32" s="959"/>
      <c r="F32" s="959"/>
      <c r="G32" s="959"/>
      <c r="H32" s="959"/>
      <c r="I32" s="959"/>
      <c r="J32" s="959"/>
      <c r="K32" s="959"/>
      <c r="L32" s="959"/>
      <c r="M32" s="959"/>
      <c r="N32" s="959"/>
    </row>
    <row r="33" spans="1:14" ht="18" customHeight="1" x14ac:dyDescent="0.3">
      <c r="A33" s="955" t="s">
        <v>508</v>
      </c>
      <c r="B33" s="955">
        <f t="shared" ref="B33:J33" si="7">SUM(B34:B36)</f>
        <v>-38788</v>
      </c>
      <c r="C33" s="955">
        <f t="shared" si="7"/>
        <v>-50681</v>
      </c>
      <c r="D33" s="955">
        <f t="shared" si="7"/>
        <v>0</v>
      </c>
      <c r="E33" s="955">
        <f t="shared" si="7"/>
        <v>-74617</v>
      </c>
      <c r="F33" s="955">
        <f t="shared" si="7"/>
        <v>-82172.896025999915</v>
      </c>
      <c r="G33" s="955">
        <f t="shared" si="7"/>
        <v>-119921.44125660998</v>
      </c>
      <c r="H33" s="955">
        <f t="shared" si="7"/>
        <v>-1033.7766439288389</v>
      </c>
      <c r="I33" s="955">
        <f t="shared" si="7"/>
        <v>-75210.75580043532</v>
      </c>
      <c r="J33" s="955">
        <f t="shared" si="7"/>
        <v>-70694.599337140564</v>
      </c>
      <c r="K33" s="955">
        <f>SUM(K34:K36)</f>
        <v>-69167.193932511844</v>
      </c>
      <c r="L33" s="955">
        <f>SUM(L34:L36)</f>
        <v>-67920.782994509209</v>
      </c>
      <c r="M33" s="955">
        <f>SUM(M34:M36)</f>
        <v>-66940.337027945323</v>
      </c>
      <c r="N33" s="955">
        <f>SUM(N34:N36)</f>
        <v>-67011.951879765373</v>
      </c>
    </row>
    <row r="34" spans="1:14" ht="18" customHeight="1" x14ac:dyDescent="0.3">
      <c r="A34" s="959" t="s">
        <v>509</v>
      </c>
      <c r="B34" s="959">
        <v>0</v>
      </c>
      <c r="C34" s="959">
        <v>0</v>
      </c>
      <c r="D34" s="959">
        <v>0</v>
      </c>
      <c r="E34" s="959">
        <f>+'8. 추정 BS'!H37-'8. 추정 BS'!G37</f>
        <v>-74617</v>
      </c>
      <c r="F34" s="959">
        <f>+'8. 추정 BS'!I37-'8. 추정 BS'!H37</f>
        <v>-82172.896025999915</v>
      </c>
      <c r="G34" s="959">
        <f>+'8. 추정 BS'!J37-'8. 추정 BS'!I37</f>
        <v>-119921.44125660998</v>
      </c>
      <c r="H34" s="959">
        <f>+'8. 추정 BS'!K37-'8. 추정 BS'!J37</f>
        <v>-1033.7766439288389</v>
      </c>
      <c r="I34" s="959">
        <f>+'8. 추정 BS'!L37-'8. 추정 BS'!K37</f>
        <v>-75210.75580043532</v>
      </c>
      <c r="J34" s="959">
        <f>+'8. 추정 BS'!M37-'8. 추정 BS'!L37</f>
        <v>-70694.599337140564</v>
      </c>
      <c r="K34" s="959">
        <f>+'8. 추정 BS'!N37-'8. 추정 BS'!M37</f>
        <v>-69167.193932511844</v>
      </c>
      <c r="L34" s="959">
        <f>+'8. 추정 BS'!O37-'8. 추정 BS'!N37</f>
        <v>-67920.782994509209</v>
      </c>
      <c r="M34" s="959">
        <f>+'8. 추정 BS'!P37-'8. 추정 BS'!O37</f>
        <v>-66940.337027945323</v>
      </c>
      <c r="N34" s="959">
        <f>+'8. 추정 BS'!Q37-'8. 추정 BS'!P37</f>
        <v>-67011.951879765373</v>
      </c>
    </row>
    <row r="35" spans="1:14" ht="18" customHeight="1" x14ac:dyDescent="0.3">
      <c r="A35" s="959" t="s">
        <v>510</v>
      </c>
      <c r="B35" s="959">
        <v>0</v>
      </c>
      <c r="C35" s="959">
        <v>0</v>
      </c>
      <c r="D35" s="959">
        <v>0</v>
      </c>
      <c r="E35" s="959">
        <v>0</v>
      </c>
      <c r="F35" s="959">
        <v>0</v>
      </c>
      <c r="G35" s="959">
        <v>0</v>
      </c>
      <c r="H35" s="959">
        <v>0</v>
      </c>
      <c r="I35" s="959">
        <v>0</v>
      </c>
      <c r="J35" s="959">
        <v>0</v>
      </c>
      <c r="K35" s="959">
        <v>0</v>
      </c>
      <c r="L35" s="959">
        <v>0</v>
      </c>
      <c r="M35" s="959">
        <v>0</v>
      </c>
      <c r="N35" s="959">
        <v>0</v>
      </c>
    </row>
    <row r="36" spans="1:14" ht="18" customHeight="1" x14ac:dyDescent="0.3">
      <c r="A36" s="959" t="s">
        <v>232</v>
      </c>
      <c r="B36" s="959">
        <f>'8. 추정 BS'!E58</f>
        <v>-38788</v>
      </c>
      <c r="C36" s="959">
        <f>'8. 추정 BS'!F58</f>
        <v>-50681</v>
      </c>
      <c r="D36" s="959">
        <f>'8. 추정 BS'!G58</f>
        <v>0</v>
      </c>
      <c r="E36" s="959">
        <f>'8. 추정 BS'!H58</f>
        <v>0</v>
      </c>
      <c r="F36" s="959">
        <f>'8. 추정 BS'!I58</f>
        <v>0</v>
      </c>
      <c r="G36" s="959">
        <f>'8. 추정 BS'!J58</f>
        <v>0</v>
      </c>
      <c r="H36" s="959">
        <f>'8. 추정 BS'!K58</f>
        <v>0</v>
      </c>
      <c r="I36" s="959">
        <f>'8. 추정 BS'!L58</f>
        <v>0</v>
      </c>
      <c r="J36" s="959">
        <f>'8. 추정 BS'!M58</f>
        <v>0</v>
      </c>
      <c r="K36" s="959">
        <f>'8. 추정 BS'!N58</f>
        <v>0</v>
      </c>
      <c r="L36" s="959">
        <f>'8. 추정 BS'!O58</f>
        <v>0</v>
      </c>
      <c r="M36" s="959">
        <f>'8. 추정 BS'!P58</f>
        <v>0</v>
      </c>
      <c r="N36" s="959">
        <f>'8. 추정 BS'!Q58</f>
        <v>0</v>
      </c>
    </row>
    <row r="37" spans="1:14" ht="18" customHeight="1" x14ac:dyDescent="0.3">
      <c r="A37" s="955" t="s">
        <v>511</v>
      </c>
      <c r="B37" s="955">
        <f t="shared" ref="B37:N37" si="8">B4+B23+B33</f>
        <v>-96884.954724999989</v>
      </c>
      <c r="C37" s="955">
        <f t="shared" si="8"/>
        <v>82718.937261000043</v>
      </c>
      <c r="D37" s="955">
        <f t="shared" si="8"/>
        <v>-233.13275547791272</v>
      </c>
      <c r="E37" s="955">
        <f t="shared" si="8"/>
        <v>3355.9828695913311</v>
      </c>
      <c r="F37" s="955">
        <f>F4+F23+F33</f>
        <v>-2975.017946608772</v>
      </c>
      <c r="G37" s="955">
        <f>G4+G23+G33</f>
        <v>4003.0350770193036</v>
      </c>
      <c r="H37" s="955">
        <f t="shared" si="8"/>
        <v>-1.6079866327345371E-9</v>
      </c>
      <c r="I37" s="955">
        <f t="shared" si="8"/>
        <v>-3.7834979593753815E-10</v>
      </c>
      <c r="J37" s="955">
        <f t="shared" si="8"/>
        <v>0</v>
      </c>
      <c r="K37" s="955">
        <f t="shared" si="8"/>
        <v>0</v>
      </c>
      <c r="L37" s="955">
        <f t="shared" si="8"/>
        <v>0</v>
      </c>
      <c r="M37" s="955">
        <f t="shared" si="8"/>
        <v>1.1641532182693481E-10</v>
      </c>
      <c r="N37" s="955">
        <f t="shared" si="8"/>
        <v>2.1827872842550278E-10</v>
      </c>
    </row>
    <row r="38" spans="1:14" ht="18" customHeight="1" x14ac:dyDescent="0.3">
      <c r="A38" s="955" t="s">
        <v>512</v>
      </c>
      <c r="B38" s="955">
        <f>'8. 추정 BS'!D5</f>
        <v>137582.95472499999</v>
      </c>
      <c r="C38" s="955">
        <f>'8. 추정 BS'!E5</f>
        <v>40698</v>
      </c>
      <c r="D38" s="955">
        <f>'8. 추정 BS'!F5</f>
        <v>3212</v>
      </c>
      <c r="E38" s="955">
        <f>'8. 추정 BS'!G5</f>
        <v>2979</v>
      </c>
      <c r="F38" s="955">
        <f>'8. 추정 BS'!H5</f>
        <v>6335</v>
      </c>
      <c r="G38" s="955">
        <f>'8. 추정 BS'!I5</f>
        <v>3360</v>
      </c>
      <c r="H38" s="955">
        <f>'8. 추정 BS'!J5</f>
        <v>7363</v>
      </c>
      <c r="I38" s="955">
        <f>'8. 추정 BS'!K5</f>
        <v>7363</v>
      </c>
      <c r="J38" s="955">
        <f>'8. 추정 BS'!L5</f>
        <v>7363</v>
      </c>
      <c r="K38" s="955">
        <f>'8. 추정 BS'!M5</f>
        <v>7363</v>
      </c>
      <c r="L38" s="955">
        <f>'8. 추정 BS'!N5</f>
        <v>7363</v>
      </c>
      <c r="M38" s="955">
        <f>'8. 추정 BS'!O5</f>
        <v>7363</v>
      </c>
      <c r="N38" s="955">
        <f>'8. 추정 BS'!P5</f>
        <v>7363</v>
      </c>
    </row>
    <row r="39" spans="1:14" ht="18" customHeight="1" x14ac:dyDescent="0.3">
      <c r="A39" s="955" t="s">
        <v>513</v>
      </c>
      <c r="B39" s="955">
        <f>B37+B38</f>
        <v>40698</v>
      </c>
      <c r="C39" s="955">
        <f t="shared" ref="C39:N39" si="9">C37+C38</f>
        <v>123416.93726100004</v>
      </c>
      <c r="D39" s="955">
        <f t="shared" si="9"/>
        <v>2978.8672445220873</v>
      </c>
      <c r="E39" s="955">
        <f t="shared" si="9"/>
        <v>6334.9828695913311</v>
      </c>
      <c r="F39" s="955">
        <f t="shared" si="9"/>
        <v>3359.982053391228</v>
      </c>
      <c r="G39" s="955">
        <f t="shared" si="9"/>
        <v>7363.0350770193036</v>
      </c>
      <c r="H39" s="955">
        <f t="shared" si="9"/>
        <v>7362.999999998392</v>
      </c>
      <c r="I39" s="955">
        <f t="shared" si="9"/>
        <v>7362.9999999996217</v>
      </c>
      <c r="J39" s="955">
        <f t="shared" si="9"/>
        <v>7363</v>
      </c>
      <c r="K39" s="955">
        <f t="shared" si="9"/>
        <v>7363</v>
      </c>
      <c r="L39" s="955">
        <f t="shared" si="9"/>
        <v>7363</v>
      </c>
      <c r="M39" s="955">
        <f t="shared" si="9"/>
        <v>7363.0000000001164</v>
      </c>
      <c r="N39" s="955">
        <f t="shared" si="9"/>
        <v>7363.0000000002183</v>
      </c>
    </row>
    <row r="40" spans="1:14" ht="18" hidden="1" customHeight="1" outlineLevel="1" x14ac:dyDescent="0.3">
      <c r="A40" s="225"/>
      <c r="B40" s="197">
        <v>34363.000000000058</v>
      </c>
      <c r="C40" s="197">
        <v>117633.83959660848</v>
      </c>
      <c r="D40" s="197">
        <f>D39-'8. 추정 BS'!G5</f>
        <v>-0.13275547791272402</v>
      </c>
      <c r="E40" s="197">
        <f>E39-'8. 추정 BS'!H5</f>
        <v>-1.7130408668890595E-2</v>
      </c>
      <c r="F40" s="197">
        <f>F39-'8. 추정 BS'!I5</f>
        <v>-1.7946608772035688E-2</v>
      </c>
      <c r="G40" s="197">
        <f>G39-'8. 추정 BS'!J5</f>
        <v>3.5077019303571433E-2</v>
      </c>
      <c r="H40" s="197">
        <f>H39-'8. 추정 BS'!K5</f>
        <v>-1.6079866327345371E-9</v>
      </c>
      <c r="I40" s="197">
        <f>I39-'8. 추정 BS'!L5</f>
        <v>-3.7834979593753815E-10</v>
      </c>
      <c r="J40" s="197">
        <f>J39-'8. 추정 BS'!M5</f>
        <v>0</v>
      </c>
      <c r="K40" s="197">
        <f>K39-'8. 추정 BS'!N5</f>
        <v>0</v>
      </c>
      <c r="L40" s="197">
        <f>L39-'8. 추정 BS'!O5</f>
        <v>0</v>
      </c>
      <c r="M40" s="197">
        <f>M39-'8. 추정 BS'!P5</f>
        <v>1.1641532182693481E-10</v>
      </c>
      <c r="N40" s="197">
        <f>N39-'8. 추정 BS'!Q5</f>
        <v>2.1827872842550278E-10</v>
      </c>
    </row>
    <row r="41" spans="1:14" ht="18" hidden="1" customHeight="1" outlineLevel="1" x14ac:dyDescent="0.3">
      <c r="A41" s="225"/>
    </row>
    <row r="42" spans="1:14" ht="18" hidden="1" customHeight="1" outlineLevel="1" x14ac:dyDescent="0.3">
      <c r="A42" s="225"/>
      <c r="B42" s="948">
        <f>B39-'8. 추정 BS'!E5</f>
        <v>0</v>
      </c>
      <c r="C42" s="948">
        <f>C39-'8. 추정 BS'!F5</f>
        <v>120204.93726100004</v>
      </c>
      <c r="D42" s="949">
        <f>D39-'8. 추정 BS'!G5</f>
        <v>-0.13275547791272402</v>
      </c>
      <c r="E42" s="949">
        <f>E39-'8. 추정 BS'!H5</f>
        <v>-1.7130408668890595E-2</v>
      </c>
      <c r="F42" s="949">
        <f>F39-'8. 추정 BS'!I5</f>
        <v>-1.7946608772035688E-2</v>
      </c>
      <c r="G42" s="949">
        <f>G39-'8. 추정 BS'!J5</f>
        <v>3.5077019303571433E-2</v>
      </c>
      <c r="H42" s="949">
        <f>H39-'8. 추정 BS'!K5</f>
        <v>-1.6079866327345371E-9</v>
      </c>
      <c r="I42" s="949">
        <f>I39-'8. 추정 BS'!L5</f>
        <v>-3.7834979593753815E-10</v>
      </c>
      <c r="J42" s="949">
        <f>J39-'8. 추정 BS'!M5</f>
        <v>0</v>
      </c>
      <c r="K42" s="949">
        <f>K39-'8. 추정 BS'!N5</f>
        <v>0</v>
      </c>
      <c r="L42" s="949">
        <f>L39-'8. 추정 BS'!O5</f>
        <v>0</v>
      </c>
      <c r="M42" s="949">
        <f>M39-'8. 추정 BS'!P5</f>
        <v>1.1641532182693481E-10</v>
      </c>
      <c r="N42" s="949">
        <f>N39-'8. 추정 BS'!Q5</f>
        <v>2.1827872842550278E-10</v>
      </c>
    </row>
    <row r="43" spans="1:14" ht="18" customHeight="1" collapsed="1" x14ac:dyDescent="0.3"/>
    <row r="44" spans="1:14" ht="18" hidden="1" customHeight="1" outlineLevel="1" x14ac:dyDescent="0.3">
      <c r="E44" s="6" t="s">
        <v>8921</v>
      </c>
    </row>
    <row r="45" spans="1:14" ht="18" hidden="1" customHeight="1" outlineLevel="1" x14ac:dyDescent="0.3">
      <c r="E45" s="6" t="s">
        <v>8922</v>
      </c>
    </row>
    <row r="46" spans="1:14" ht="18" customHeight="1" collapsed="1" x14ac:dyDescent="0.3"/>
  </sheetData>
  <mergeCells count="1">
    <mergeCell ref="A1:N1"/>
  </mergeCells>
  <phoneticPr fontId="2" type="noConversion"/>
  <pageMargins left="0.7" right="0.7" top="0.75" bottom="0.75" header="0.3" footer="0.3"/>
  <pageSetup paperSize="9" scale="74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EF63-2855-482B-A761-F6B611DE8970}">
  <sheetPr codeName="Sheet16">
    <tabColor rgb="FFFF0000"/>
  </sheetPr>
  <dimension ref="A1"/>
  <sheetViews>
    <sheetView workbookViewId="0"/>
  </sheetViews>
  <sheetFormatPr defaultColWidth="9" defaultRowHeight="16.5" x14ac:dyDescent="0.3"/>
  <cols>
    <col min="1" max="16384" width="9" style="1"/>
  </cols>
  <sheetData/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9673-D958-412B-8BD5-127700C86379}">
  <sheetPr codeName="Sheet17">
    <tabColor theme="0" tint="-0.499984740745262"/>
  </sheetPr>
  <dimension ref="A1:BJ163"/>
  <sheetViews>
    <sheetView topLeftCell="B1" zoomScale="85" zoomScaleNormal="85" workbookViewId="0">
      <selection activeCell="B1" sqref="B1:T1"/>
    </sheetView>
  </sheetViews>
  <sheetFormatPr defaultColWidth="9" defaultRowHeight="13.5" outlineLevelRow="1" outlineLevelCol="1" x14ac:dyDescent="0.3"/>
  <cols>
    <col min="1" max="1" width="9" style="727" hidden="1" customWidth="1" outlineLevel="1"/>
    <col min="2" max="2" width="2.125" style="727" customWidth="1" collapsed="1"/>
    <col min="3" max="3" width="23.875" style="727" customWidth="1"/>
    <col min="4" max="7" width="10.625" style="727" hidden="1" customWidth="1" outlineLevel="1"/>
    <col min="8" max="8" width="10.625" style="727" customWidth="1" collapsed="1"/>
    <col min="9" max="17" width="10.625" style="727" customWidth="1"/>
    <col min="18" max="18" width="10.625" style="731" hidden="1" customWidth="1" outlineLevel="1"/>
    <col min="19" max="19" width="1.5" style="731" customWidth="1" collapsed="1"/>
    <col min="20" max="20" width="43.875" style="729" customWidth="1"/>
    <col min="21" max="21" width="1.625" style="727" customWidth="1"/>
    <col min="22" max="22" width="17.875" style="727" hidden="1" customWidth="1" outlineLevel="1"/>
    <col min="23" max="37" width="13.625" style="727" hidden="1" customWidth="1" outlineLevel="1"/>
    <col min="38" max="38" width="9" style="727" hidden="1" customWidth="1" outlineLevel="1"/>
    <col min="39" max="39" width="20.125" style="727" hidden="1" customWidth="1" outlineLevel="1"/>
    <col min="40" max="51" width="10.875" style="727" hidden="1" customWidth="1" outlineLevel="1"/>
    <col min="52" max="52" width="54.875" style="727" hidden="1" customWidth="1" outlineLevel="1" collapsed="1"/>
    <col min="53" max="53" width="8.125" style="727" hidden="1" customWidth="1" outlineLevel="1"/>
    <col min="54" max="54" width="18.875" style="727" hidden="1" customWidth="1" outlineLevel="1"/>
    <col min="55" max="56" width="19.625" style="727" hidden="1" customWidth="1" outlineLevel="1"/>
    <col min="57" max="59" width="6.25" style="727" hidden="1" customWidth="1" outlineLevel="1"/>
    <col min="60" max="60" width="4.5" style="727" hidden="1" customWidth="1" outlineLevel="1"/>
    <col min="61" max="61" width="10" style="727" hidden="1" customWidth="1" outlineLevel="1"/>
    <col min="62" max="62" width="9" style="727" collapsed="1"/>
    <col min="63" max="16384" width="9" style="727"/>
  </cols>
  <sheetData>
    <row r="1" spans="1:61" ht="31.5" x14ac:dyDescent="0.3">
      <c r="B1" s="1150" t="s">
        <v>8920</v>
      </c>
      <c r="C1" s="1151"/>
      <c r="D1" s="1151"/>
      <c r="E1" s="1151"/>
      <c r="F1" s="1151"/>
      <c r="G1" s="1151"/>
      <c r="H1" s="1151"/>
      <c r="I1" s="1151"/>
      <c r="J1" s="1151"/>
      <c r="K1" s="1151"/>
      <c r="L1" s="1151"/>
      <c r="M1" s="1151"/>
      <c r="N1" s="1151"/>
      <c r="O1" s="1151"/>
      <c r="P1" s="1151"/>
      <c r="Q1" s="1151"/>
      <c r="R1" s="1151"/>
      <c r="S1" s="1151"/>
      <c r="T1" s="1151"/>
      <c r="V1" s="728"/>
      <c r="W1" s="728"/>
      <c r="X1" s="728"/>
      <c r="Y1" s="728"/>
      <c r="Z1" s="728"/>
      <c r="AA1" s="728"/>
      <c r="AB1" s="728"/>
      <c r="AC1" s="728"/>
      <c r="AD1" s="728"/>
      <c r="AE1" s="728"/>
      <c r="AF1" s="728"/>
      <c r="AG1" s="728"/>
      <c r="AH1" s="728"/>
      <c r="AI1" s="728"/>
      <c r="AJ1" s="728"/>
      <c r="AK1" s="728"/>
      <c r="AL1" s="728"/>
      <c r="AM1" s="728"/>
      <c r="AN1" s="728"/>
      <c r="AO1" s="728"/>
      <c r="AP1" s="728"/>
      <c r="AQ1" s="728"/>
      <c r="AR1" s="728"/>
      <c r="AS1" s="728"/>
      <c r="AT1" s="728"/>
      <c r="AU1" s="728"/>
      <c r="AV1" s="728"/>
      <c r="AW1" s="728"/>
      <c r="AX1" s="728"/>
      <c r="AY1" s="728"/>
      <c r="AZ1" s="728"/>
      <c r="BA1" s="728"/>
      <c r="BB1" s="728"/>
      <c r="BC1" s="728"/>
      <c r="BD1" s="728"/>
      <c r="BE1" s="728"/>
      <c r="BF1" s="728"/>
      <c r="BG1" s="728"/>
      <c r="BH1" s="728"/>
      <c r="BI1" s="728"/>
    </row>
    <row r="2" spans="1:61" ht="16.5" customHeight="1" x14ac:dyDescent="0.3">
      <c r="A2" s="728"/>
      <c r="D2" s="728"/>
      <c r="E2" s="728"/>
      <c r="F2" s="728"/>
      <c r="G2" s="728"/>
      <c r="Q2" s="792" t="s">
        <v>429</v>
      </c>
      <c r="R2" s="68"/>
      <c r="S2" s="68"/>
      <c r="V2" s="728"/>
      <c r="W2" s="728"/>
      <c r="X2" s="728"/>
      <c r="Y2" s="728"/>
      <c r="Z2" s="728"/>
      <c r="AA2" s="728"/>
      <c r="AB2" s="728"/>
      <c r="AC2" s="728"/>
      <c r="AD2" s="728"/>
      <c r="AE2" s="728"/>
      <c r="AF2" s="728"/>
      <c r="AG2" s="728"/>
      <c r="AH2" s="728"/>
      <c r="AI2" s="728"/>
      <c r="AJ2" s="728"/>
      <c r="AK2" s="728"/>
      <c r="AL2" s="728"/>
      <c r="AM2" s="728"/>
      <c r="AN2" s="728"/>
      <c r="AO2" s="728"/>
      <c r="AP2" s="728"/>
      <c r="AQ2" s="728"/>
      <c r="AR2" s="728"/>
      <c r="AS2" s="728"/>
      <c r="AT2" s="728"/>
      <c r="AU2" s="728"/>
      <c r="AV2" s="728"/>
      <c r="AW2" s="728"/>
      <c r="AX2" s="728"/>
      <c r="AY2" s="728"/>
      <c r="AZ2" s="728"/>
      <c r="BA2" s="728"/>
      <c r="BB2" s="728"/>
      <c r="BC2" s="728"/>
      <c r="BD2" s="728"/>
      <c r="BE2" s="728"/>
      <c r="BF2" s="728"/>
      <c r="BG2" s="728"/>
      <c r="BH2" s="728"/>
      <c r="BI2" s="728"/>
    </row>
    <row r="3" spans="1:61" ht="16.5" customHeight="1" x14ac:dyDescent="0.3">
      <c r="B3" s="1162" t="s">
        <v>234</v>
      </c>
      <c r="C3" s="1163"/>
      <c r="D3" s="999">
        <v>2019</v>
      </c>
      <c r="E3" s="999">
        <v>2020</v>
      </c>
      <c r="F3" s="999">
        <v>2021</v>
      </c>
      <c r="G3" s="999">
        <v>2022</v>
      </c>
      <c r="H3" s="999">
        <v>2023</v>
      </c>
      <c r="I3" s="999">
        <v>2024</v>
      </c>
      <c r="J3" s="999">
        <v>2025</v>
      </c>
      <c r="K3" s="999">
        <v>2026</v>
      </c>
      <c r="L3" s="999">
        <v>2027</v>
      </c>
      <c r="M3" s="999">
        <v>2028</v>
      </c>
      <c r="N3" s="999">
        <v>2029</v>
      </c>
      <c r="O3" s="999">
        <v>2030</v>
      </c>
      <c r="P3" s="999">
        <v>2031</v>
      </c>
      <c r="Q3" s="999">
        <v>2032</v>
      </c>
      <c r="R3" s="692" t="s">
        <v>734</v>
      </c>
      <c r="S3" s="68"/>
      <c r="T3" s="692" t="s">
        <v>566</v>
      </c>
      <c r="V3" s="730" t="s">
        <v>735</v>
      </c>
      <c r="AN3" s="727">
        <v>2021</v>
      </c>
      <c r="AO3" s="727">
        <v>2022</v>
      </c>
      <c r="AP3" s="727">
        <v>2023</v>
      </c>
      <c r="AQ3" s="727">
        <v>2024</v>
      </c>
      <c r="AR3" s="727">
        <v>2025</v>
      </c>
      <c r="AS3" s="727">
        <v>2026</v>
      </c>
      <c r="AT3" s="727">
        <v>2027</v>
      </c>
      <c r="AU3" s="727">
        <v>2028</v>
      </c>
      <c r="AV3" s="727">
        <v>2029</v>
      </c>
      <c r="AW3" s="727">
        <v>2030</v>
      </c>
      <c r="AX3" s="727">
        <v>2031</v>
      </c>
      <c r="AY3" s="727">
        <v>2032</v>
      </c>
      <c r="BB3" s="731" t="s">
        <v>8862</v>
      </c>
      <c r="BC3" s="731" t="s">
        <v>897</v>
      </c>
      <c r="BD3" s="731" t="s">
        <v>8863</v>
      </c>
    </row>
    <row r="4" spans="1:61" ht="16.5" customHeight="1" x14ac:dyDescent="0.3">
      <c r="B4" s="693" t="s">
        <v>87</v>
      </c>
      <c r="C4" s="693"/>
      <c r="D4" s="693">
        <f t="shared" ref="D4:Q4" si="0">SUM(D5,D34)</f>
        <v>5577338.8116420005</v>
      </c>
      <c r="E4" s="693">
        <f t="shared" si="0"/>
        <v>5595872.5495700017</v>
      </c>
      <c r="F4" s="693">
        <f t="shared" si="0"/>
        <v>7078312.1736329999</v>
      </c>
      <c r="G4" s="693">
        <f t="shared" si="0"/>
        <v>7322405.0060779992</v>
      </c>
      <c r="H4" s="693">
        <f t="shared" si="0"/>
        <v>7595442.1563220015</v>
      </c>
      <c r="I4" s="693">
        <f t="shared" si="0"/>
        <v>6555887.8453790005</v>
      </c>
      <c r="J4" s="693">
        <f t="shared" si="0"/>
        <v>6557548</v>
      </c>
      <c r="K4" s="693">
        <f t="shared" si="0"/>
        <v>6526857.0273456452</v>
      </c>
      <c r="L4" s="693">
        <f t="shared" si="0"/>
        <v>6591364.684615585</v>
      </c>
      <c r="M4" s="693">
        <f t="shared" si="0"/>
        <v>6654670.9863675516</v>
      </c>
      <c r="N4" s="693">
        <f t="shared" si="0"/>
        <v>6733700.5566479061</v>
      </c>
      <c r="O4" s="693">
        <f t="shared" si="0"/>
        <v>6831160.9504486341</v>
      </c>
      <c r="P4" s="693">
        <f t="shared" si="0"/>
        <v>6935270.9696632307</v>
      </c>
      <c r="Q4" s="693">
        <f t="shared" si="0"/>
        <v>7052170.2134310445</v>
      </c>
      <c r="R4" s="733"/>
      <c r="S4" s="68"/>
      <c r="T4" s="734"/>
      <c r="BB4" s="735">
        <f>SUMIFS('SAP BS'!G:G,'SAP BS'!$A:$A,$B4)</f>
        <v>7121336855838</v>
      </c>
      <c r="BC4" s="735">
        <f>SUMIFS('SAP BS'!L:L,'SAP BS'!$A:$A,'11. 추정 BS'!$B4)</f>
        <v>563789756818</v>
      </c>
      <c r="BD4" s="735">
        <f>BB4-BC4</f>
        <v>6557547099020</v>
      </c>
      <c r="BE4" s="727" t="b">
        <f>BB4=SUM(BB5,BB34)</f>
        <v>1</v>
      </c>
      <c r="BF4" s="727" t="b">
        <f>BC4=SUM(BC5,BC34)</f>
        <v>1</v>
      </c>
      <c r="BG4" s="727" t="b">
        <f>BD4=SUM(BD5,BD34)</f>
        <v>1</v>
      </c>
      <c r="BI4" s="727">
        <v>0</v>
      </c>
    </row>
    <row r="5" spans="1:61" ht="16.5" customHeight="1" x14ac:dyDescent="0.3">
      <c r="B5" s="693" t="s">
        <v>88</v>
      </c>
      <c r="C5" s="693"/>
      <c r="D5" s="693">
        <f t="shared" ref="D5:Q5" si="1">SUM(D6:D7,D19,D26:D33)</f>
        <v>733163.67457899998</v>
      </c>
      <c r="E5" s="693">
        <f>SUM(E6:E7,E19,E26:E33)</f>
        <v>848242.69682700164</v>
      </c>
      <c r="F5" s="693">
        <f t="shared" si="1"/>
        <v>860691.119297</v>
      </c>
      <c r="G5" s="693">
        <f t="shared" si="1"/>
        <v>1101600.082651</v>
      </c>
      <c r="H5" s="693">
        <f t="shared" si="1"/>
        <v>1597167.8517840002</v>
      </c>
      <c r="I5" s="693">
        <f t="shared" si="1"/>
        <v>1311575.5509830001</v>
      </c>
      <c r="J5" s="693">
        <f t="shared" si="1"/>
        <v>1566428</v>
      </c>
      <c r="K5" s="693">
        <f t="shared" si="1"/>
        <v>1622324.9922315052</v>
      </c>
      <c r="L5" s="693">
        <f t="shared" si="1"/>
        <v>1737496.994399904</v>
      </c>
      <c r="M5" s="693">
        <f t="shared" si="1"/>
        <v>1839785.936325137</v>
      </c>
      <c r="N5" s="693">
        <f t="shared" si="1"/>
        <v>1858070.1387727123</v>
      </c>
      <c r="O5" s="693">
        <f t="shared" si="1"/>
        <v>1891749.3469333258</v>
      </c>
      <c r="P5" s="693">
        <f t="shared" si="1"/>
        <v>1923194.74465395</v>
      </c>
      <c r="Q5" s="693">
        <f t="shared" si="1"/>
        <v>1961498.4391438838</v>
      </c>
      <c r="R5" s="733"/>
      <c r="S5" s="68"/>
      <c r="T5" s="734"/>
      <c r="V5" s="737" t="s">
        <v>734</v>
      </c>
      <c r="W5" s="738"/>
      <c r="X5" s="738">
        <f t="shared" ref="X5:AK5" si="2">D3</f>
        <v>2019</v>
      </c>
      <c r="Y5" s="738">
        <f t="shared" si="2"/>
        <v>2020</v>
      </c>
      <c r="Z5" s="739">
        <f t="shared" si="2"/>
        <v>2021</v>
      </c>
      <c r="AA5" s="739">
        <f t="shared" si="2"/>
        <v>2022</v>
      </c>
      <c r="AB5" s="739">
        <f t="shared" si="2"/>
        <v>2023</v>
      </c>
      <c r="AC5" s="739">
        <f t="shared" si="2"/>
        <v>2024</v>
      </c>
      <c r="AD5" s="739">
        <f t="shared" si="2"/>
        <v>2025</v>
      </c>
      <c r="AE5" s="739">
        <f t="shared" si="2"/>
        <v>2026</v>
      </c>
      <c r="AF5" s="739">
        <f t="shared" si="2"/>
        <v>2027</v>
      </c>
      <c r="AG5" s="739">
        <f t="shared" si="2"/>
        <v>2028</v>
      </c>
      <c r="AH5" s="739">
        <f t="shared" si="2"/>
        <v>2029</v>
      </c>
      <c r="AI5" s="739">
        <f t="shared" si="2"/>
        <v>2030</v>
      </c>
      <c r="AJ5" s="739">
        <f t="shared" si="2"/>
        <v>2031</v>
      </c>
      <c r="AK5" s="739">
        <f t="shared" si="2"/>
        <v>2032</v>
      </c>
      <c r="AN5" s="727">
        <f t="shared" ref="AN5:AU5" si="3">Z5</f>
        <v>2021</v>
      </c>
      <c r="AO5" s="727">
        <f t="shared" si="3"/>
        <v>2022</v>
      </c>
      <c r="AP5" s="727">
        <f t="shared" si="3"/>
        <v>2023</v>
      </c>
      <c r="AQ5" s="727">
        <f t="shared" si="3"/>
        <v>2024</v>
      </c>
      <c r="AR5" s="727">
        <f t="shared" si="3"/>
        <v>2025</v>
      </c>
      <c r="AS5" s="727">
        <f t="shared" si="3"/>
        <v>2026</v>
      </c>
      <c r="AT5" s="727">
        <f t="shared" si="3"/>
        <v>2027</v>
      </c>
      <c r="AU5" s="727">
        <f t="shared" si="3"/>
        <v>2028</v>
      </c>
      <c r="AV5" s="727" t="s">
        <v>430</v>
      </c>
      <c r="AW5" s="727" t="s">
        <v>431</v>
      </c>
      <c r="AX5" s="727" t="s">
        <v>432</v>
      </c>
      <c r="AY5" s="727" t="s">
        <v>433</v>
      </c>
      <c r="BB5" s="735">
        <f>SUMIFS('SAP BS'!G:G,'SAP BS'!$A:$A,$B5)</f>
        <v>1670298975069</v>
      </c>
      <c r="BC5" s="735">
        <f>SUMIFS('SAP BS'!L:L,'SAP BS'!$A:$A,'11. 추정 BS'!$B5)</f>
        <v>103870259245</v>
      </c>
      <c r="BD5" s="735">
        <f t="shared" ref="BD5:BD68" si="4">BB5-BC5</f>
        <v>1566428715824</v>
      </c>
      <c r="BE5" s="727" t="b">
        <f>BB5=SUM(BB6,BB7,BB19,BB26,BB27,BB28,BB29)</f>
        <v>1</v>
      </c>
      <c r="BF5" s="727" t="b">
        <f>BC5=SUM(BC6,BC7,BC19,BC26,BC27,BC28,BC29)</f>
        <v>1</v>
      </c>
      <c r="BG5" s="727" t="b">
        <f>BD5=SUM(BD6,BD7,BD19,BD26,BD27,BD28,BD29)</f>
        <v>1</v>
      </c>
      <c r="BI5" s="727">
        <v>0</v>
      </c>
    </row>
    <row r="6" spans="1:61" ht="16.5" customHeight="1" x14ac:dyDescent="0.3">
      <c r="B6" s="740"/>
      <c r="C6" s="741" t="s">
        <v>89</v>
      </c>
      <c r="D6" s="696">
        <v>22397.107106000003</v>
      </c>
      <c r="E6" s="696">
        <v>17572.952697000001</v>
      </c>
      <c r="F6" s="696">
        <v>24878.511743999999</v>
      </c>
      <c r="G6" s="696">
        <v>318075.60317899997</v>
      </c>
      <c r="H6" s="696">
        <v>368499.75053799996</v>
      </c>
      <c r="I6" s="696">
        <v>27392.137847000002</v>
      </c>
      <c r="J6" s="696">
        <f>ROUND(BD6/10^6,)</f>
        <v>237003</v>
      </c>
      <c r="K6" s="696">
        <v>93049.597637871993</v>
      </c>
      <c r="L6" s="696">
        <f>K6*1.4</f>
        <v>130269.43669302078</v>
      </c>
      <c r="M6" s="696">
        <f>L6*1.3</f>
        <v>169350.26770092701</v>
      </c>
      <c r="N6" s="696">
        <f>M6*1.1</f>
        <v>186285.29447101973</v>
      </c>
      <c r="O6" s="696">
        <f>N6*1.1</f>
        <v>204913.82391812172</v>
      </c>
      <c r="P6" s="696">
        <f>O6*1.1</f>
        <v>225405.20630993391</v>
      </c>
      <c r="Q6" s="696">
        <f>P6*1.1</f>
        <v>247945.72694092733</v>
      </c>
      <c r="R6" s="733" t="s">
        <v>736</v>
      </c>
      <c r="S6" s="68"/>
      <c r="T6" s="734" t="s">
        <v>880</v>
      </c>
      <c r="V6" s="733" t="s">
        <v>736</v>
      </c>
      <c r="W6" s="732" t="s">
        <v>737</v>
      </c>
      <c r="X6" s="732">
        <f t="shared" ref="X6:AK13" si="5">SUMIF($R$4:$R$141,$V6,D$4:D$141)</f>
        <v>22397.107106000003</v>
      </c>
      <c r="Y6" s="732">
        <f t="shared" si="5"/>
        <v>17572.952697000001</v>
      </c>
      <c r="Z6" s="732">
        <f t="shared" si="5"/>
        <v>24878.511743999999</v>
      </c>
      <c r="AA6" s="732">
        <f t="shared" si="5"/>
        <v>318075.60317899997</v>
      </c>
      <c r="AB6" s="732">
        <f t="shared" si="5"/>
        <v>368499.75053799996</v>
      </c>
      <c r="AC6" s="732">
        <f t="shared" si="5"/>
        <v>27392.137847000002</v>
      </c>
      <c r="AD6" s="732">
        <f t="shared" si="5"/>
        <v>237003</v>
      </c>
      <c r="AE6" s="732">
        <f t="shared" si="5"/>
        <v>93049.597637871993</v>
      </c>
      <c r="AF6" s="732">
        <f t="shared" si="5"/>
        <v>130269.43669302078</v>
      </c>
      <c r="AG6" s="732">
        <f t="shared" si="5"/>
        <v>169350.26770092701</v>
      </c>
      <c r="AH6" s="732">
        <f t="shared" si="5"/>
        <v>186285.29447101973</v>
      </c>
      <c r="AI6" s="732">
        <f t="shared" si="5"/>
        <v>204913.82391812172</v>
      </c>
      <c r="AJ6" s="732">
        <f t="shared" si="5"/>
        <v>225405.20630993391</v>
      </c>
      <c r="AK6" s="732">
        <f t="shared" si="5"/>
        <v>247945.72694092733</v>
      </c>
      <c r="BB6" s="727">
        <f>SUMIFS('SAP BS'!G:G,'SAP BS'!$B:$B,'11. 추정 BS'!$C6)</f>
        <v>244366301520</v>
      </c>
      <c r="BC6" s="727">
        <f>SUMIFS('SAP BS'!L:L,'SAP BS'!$B:$B,'11. 추정 BS'!$C6)</f>
        <v>7362920114</v>
      </c>
      <c r="BD6" s="727">
        <f t="shared" si="4"/>
        <v>237003381406</v>
      </c>
      <c r="BI6" s="727">
        <v>0</v>
      </c>
    </row>
    <row r="7" spans="1:61" ht="16.5" customHeight="1" x14ac:dyDescent="0.3">
      <c r="B7" s="740"/>
      <c r="C7" s="741" t="s">
        <v>90</v>
      </c>
      <c r="D7" s="696">
        <f>SUM(D8:D18)</f>
        <v>401999.94457199995</v>
      </c>
      <c r="E7" s="696">
        <f t="shared" ref="E7:Q7" si="6">SUM(E8:E18)</f>
        <v>380757.87442100176</v>
      </c>
      <c r="F7" s="696">
        <f t="shared" si="6"/>
        <v>535718.61357599997</v>
      </c>
      <c r="G7" s="696">
        <f>SUM(G8:G18)</f>
        <v>450359.01643000002</v>
      </c>
      <c r="H7" s="696">
        <f t="shared" si="6"/>
        <v>784398.94781099993</v>
      </c>
      <c r="I7" s="696">
        <f t="shared" si="6"/>
        <v>794762.584088</v>
      </c>
      <c r="J7" s="696">
        <f t="shared" si="6"/>
        <v>813503</v>
      </c>
      <c r="K7" s="696">
        <f t="shared" si="6"/>
        <v>1029104.2576570783</v>
      </c>
      <c r="L7" s="696">
        <f t="shared" si="6"/>
        <v>1101547.8543453435</v>
      </c>
      <c r="M7" s="696">
        <f t="shared" si="6"/>
        <v>1159060.3451856016</v>
      </c>
      <c r="N7" s="696">
        <f t="shared" si="6"/>
        <v>1154201.5626300708</v>
      </c>
      <c r="O7" s="696">
        <f t="shared" si="6"/>
        <v>1162913.0078661058</v>
      </c>
      <c r="P7" s="696">
        <f t="shared" si="6"/>
        <v>1166809.3947524803</v>
      </c>
      <c r="Q7" s="696">
        <f t="shared" si="6"/>
        <v>1174886.7274342331</v>
      </c>
      <c r="R7" s="733"/>
      <c r="S7" s="68"/>
      <c r="T7" s="734"/>
      <c r="V7" s="733" t="s">
        <v>216</v>
      </c>
      <c r="W7" s="732" t="s">
        <v>501</v>
      </c>
      <c r="X7" s="732">
        <f t="shared" si="5"/>
        <v>85986.801428999999</v>
      </c>
      <c r="Y7" s="732">
        <f t="shared" si="5"/>
        <v>44708.615669999999</v>
      </c>
      <c r="Z7" s="732">
        <f t="shared" si="5"/>
        <v>186774.06171000001</v>
      </c>
      <c r="AA7" s="732">
        <f t="shared" si="5"/>
        <v>19661.166120000002</v>
      </c>
      <c r="AB7" s="732">
        <f t="shared" si="5"/>
        <v>42162.051963999998</v>
      </c>
      <c r="AC7" s="732">
        <f t="shared" si="5"/>
        <v>40439.032118000003</v>
      </c>
      <c r="AD7" s="732">
        <f t="shared" si="5"/>
        <v>12965</v>
      </c>
      <c r="AE7" s="732">
        <f t="shared" si="5"/>
        <v>41835.726903999996</v>
      </c>
      <c r="AF7" s="732">
        <f t="shared" si="5"/>
        <v>41835.726903999996</v>
      </c>
      <c r="AG7" s="732">
        <f t="shared" si="5"/>
        <v>41835.726903999996</v>
      </c>
      <c r="AH7" s="732">
        <f t="shared" si="5"/>
        <v>41835.726903999996</v>
      </c>
      <c r="AI7" s="732">
        <f t="shared" si="5"/>
        <v>41835.726903999996</v>
      </c>
      <c r="AJ7" s="732">
        <f t="shared" si="5"/>
        <v>41835.726903999996</v>
      </c>
      <c r="AK7" s="732">
        <f t="shared" si="5"/>
        <v>41835.726903999996</v>
      </c>
      <c r="BB7" s="727">
        <f>SUMIFS('SAP BS'!G:G,'SAP BS'!$B:$B,'11. 추정 BS'!$C7)</f>
        <v>866765810490</v>
      </c>
      <c r="BC7" s="727">
        <f>SUMIFS('SAP BS'!L:L,'SAP BS'!$B:$B,'11. 추정 BS'!$C7)</f>
        <v>53262919195</v>
      </c>
      <c r="BD7" s="727">
        <f t="shared" si="4"/>
        <v>813502891295</v>
      </c>
      <c r="BE7" s="727" t="b">
        <f>BB7=SUM(BB8:BB18)</f>
        <v>1</v>
      </c>
      <c r="BF7" s="727" t="b">
        <f>BC7=SUM(BC8:BC18)</f>
        <v>1</v>
      </c>
      <c r="BG7" s="727" t="b">
        <f>BD7=SUM(BD8:BD18)</f>
        <v>1</v>
      </c>
      <c r="BI7" s="727">
        <v>0</v>
      </c>
    </row>
    <row r="8" spans="1:61" ht="16.5" customHeight="1" x14ac:dyDescent="0.3">
      <c r="B8" s="742"/>
      <c r="C8" s="743" t="s">
        <v>91</v>
      </c>
      <c r="D8" s="695">
        <v>152442.383607</v>
      </c>
      <c r="E8" s="695">
        <v>152097.23293399994</v>
      </c>
      <c r="F8" s="695">
        <v>164781.861244</v>
      </c>
      <c r="G8" s="744">
        <v>247337.36537300004</v>
      </c>
      <c r="H8" s="744">
        <v>346815.32627599995</v>
      </c>
      <c r="I8" s="744">
        <v>366344.21524599998</v>
      </c>
      <c r="J8" s="744">
        <f t="shared" ref="J8:J16" si="7">ROUND(BD8/10^6,)</f>
        <v>396172</v>
      </c>
      <c r="K8" s="744">
        <f t="shared" ref="K8:Q8" si="8">AS8</f>
        <v>390039.85775081714</v>
      </c>
      <c r="L8" s="744">
        <f t="shared" si="8"/>
        <v>396775.05707994383</v>
      </c>
      <c r="M8" s="744">
        <f t="shared" si="8"/>
        <v>403893.45398939971</v>
      </c>
      <c r="N8" s="744">
        <f t="shared" si="8"/>
        <v>411740.38933891879</v>
      </c>
      <c r="O8" s="744">
        <f t="shared" si="8"/>
        <v>419880.27002023347</v>
      </c>
      <c r="P8" s="744">
        <f t="shared" si="8"/>
        <v>429010.99049339473</v>
      </c>
      <c r="Q8" s="744">
        <f t="shared" si="8"/>
        <v>439032.65805824666</v>
      </c>
      <c r="R8" s="733" t="s">
        <v>218</v>
      </c>
      <c r="S8" s="68"/>
      <c r="T8" s="734" t="s">
        <v>8896</v>
      </c>
      <c r="V8" s="733" t="s">
        <v>217</v>
      </c>
      <c r="W8" s="732" t="s">
        <v>502</v>
      </c>
      <c r="X8" s="732">
        <f t="shared" si="5"/>
        <v>1243441.3474290001</v>
      </c>
      <c r="Y8" s="732">
        <f t="shared" si="5"/>
        <v>1459864.3969630017</v>
      </c>
      <c r="Z8" s="732">
        <f t="shared" si="5"/>
        <v>2729042.9271879997</v>
      </c>
      <c r="AA8" s="732">
        <f t="shared" si="5"/>
        <v>2571061.6545480001</v>
      </c>
      <c r="AB8" s="732">
        <f t="shared" si="5"/>
        <v>2388181.7188090002</v>
      </c>
      <c r="AC8" s="732">
        <f t="shared" si="5"/>
        <v>1393981.1135479999</v>
      </c>
      <c r="AD8" s="732">
        <f t="shared" si="5"/>
        <v>1339311</v>
      </c>
      <c r="AE8" s="732">
        <f t="shared" si="5"/>
        <v>1421033.916157963</v>
      </c>
      <c r="AF8" s="732">
        <f t="shared" si="5"/>
        <v>1412892.946779904</v>
      </c>
      <c r="AG8" s="732">
        <f t="shared" si="5"/>
        <v>1395357.8092209511</v>
      </c>
      <c r="AH8" s="732">
        <f t="shared" si="5"/>
        <v>1384450.0600520328</v>
      </c>
      <c r="AI8" s="732">
        <f t="shared" si="5"/>
        <v>1386243.7488423993</v>
      </c>
      <c r="AJ8" s="732">
        <f t="shared" si="5"/>
        <v>1381847.5571921272</v>
      </c>
      <c r="AK8" s="732">
        <f t="shared" si="5"/>
        <v>1380481.594919475</v>
      </c>
      <c r="AM8" s="727" t="s">
        <v>738</v>
      </c>
      <c r="AS8" s="727">
        <f>'12. 추정 IS'!K19/$AR$10</f>
        <v>390039.85775081714</v>
      </c>
      <c r="AT8" s="727">
        <f>'12. 추정 IS'!L19/$AR$10</f>
        <v>396775.05707994383</v>
      </c>
      <c r="AU8" s="727">
        <f>'12. 추정 IS'!M19/$AR$10</f>
        <v>403893.45398939971</v>
      </c>
      <c r="AV8" s="727">
        <f>'12. 추정 IS'!N19/$AR$10</f>
        <v>411740.38933891879</v>
      </c>
      <c r="AW8" s="727">
        <f>'12. 추정 IS'!O19/$AR$10</f>
        <v>419880.27002023347</v>
      </c>
      <c r="AX8" s="727">
        <f>'12. 추정 IS'!P19/$AR$10</f>
        <v>429010.99049339473</v>
      </c>
      <c r="AY8" s="727">
        <f>'12. 추정 IS'!Q19/$AR$10</f>
        <v>439032.65805824666</v>
      </c>
      <c r="BB8" s="727">
        <f>SUMIFS('SAP BS'!G:G,'SAP BS'!$B:$B,'11. 추정 BS'!$C8)</f>
        <v>446787421965</v>
      </c>
      <c r="BC8" s="727">
        <f>SUMIFS('SAP BS'!L:L,'SAP BS'!$B:$B,'11. 추정 BS'!$C8)</f>
        <v>50615505738</v>
      </c>
      <c r="BD8" s="727">
        <f t="shared" si="4"/>
        <v>396171916227</v>
      </c>
      <c r="BI8" s="727">
        <v>0</v>
      </c>
    </row>
    <row r="9" spans="1:61" ht="16.5" customHeight="1" x14ac:dyDescent="0.3">
      <c r="B9" s="745"/>
      <c r="C9" s="746" t="s">
        <v>92</v>
      </c>
      <c r="D9" s="744">
        <v>97832.364137999975</v>
      </c>
      <c r="E9" s="744">
        <v>104959.41511100001</v>
      </c>
      <c r="F9" s="744">
        <v>102225.36081299998</v>
      </c>
      <c r="G9" s="744">
        <v>106679.92571899998</v>
      </c>
      <c r="H9" s="744">
        <v>132531.29088699986</v>
      </c>
      <c r="I9" s="744">
        <v>109505.54340699999</v>
      </c>
      <c r="J9" s="744">
        <f t="shared" si="7"/>
        <v>133177</v>
      </c>
      <c r="K9" s="744">
        <f>J9</f>
        <v>133177</v>
      </c>
      <c r="L9" s="744">
        <f t="shared" ref="L9:Q15" si="9">K9</f>
        <v>133177</v>
      </c>
      <c r="M9" s="744">
        <f>L9</f>
        <v>133177</v>
      </c>
      <c r="N9" s="744">
        <f t="shared" si="9"/>
        <v>133177</v>
      </c>
      <c r="O9" s="744">
        <f t="shared" si="9"/>
        <v>133177</v>
      </c>
      <c r="P9" s="744">
        <f t="shared" si="9"/>
        <v>133177</v>
      </c>
      <c r="Q9" s="744">
        <f t="shared" si="9"/>
        <v>133177</v>
      </c>
      <c r="R9" s="733" t="s">
        <v>218</v>
      </c>
      <c r="S9" s="68"/>
      <c r="T9" s="734" t="s">
        <v>8893</v>
      </c>
      <c r="V9" s="733" t="s">
        <v>218</v>
      </c>
      <c r="W9" s="732" t="s">
        <v>91</v>
      </c>
      <c r="X9" s="732">
        <f t="shared" si="5"/>
        <v>250274.74774499997</v>
      </c>
      <c r="Y9" s="732">
        <f t="shared" si="5"/>
        <v>257056.64804499995</v>
      </c>
      <c r="Z9" s="732">
        <f t="shared" si="5"/>
        <v>267040.57358199998</v>
      </c>
      <c r="AA9" s="732">
        <f t="shared" si="5"/>
        <v>355662.13301600004</v>
      </c>
      <c r="AB9" s="732">
        <f t="shared" si="5"/>
        <v>481029.18808799982</v>
      </c>
      <c r="AC9" s="732">
        <f t="shared" si="5"/>
        <v>477613.90258400002</v>
      </c>
      <c r="AD9" s="732">
        <f t="shared" si="5"/>
        <v>529413</v>
      </c>
      <c r="AE9" s="732">
        <f t="shared" si="5"/>
        <v>523236.90916881716</v>
      </c>
      <c r="AF9" s="732">
        <f t="shared" si="5"/>
        <v>529972.10849794385</v>
      </c>
      <c r="AG9" s="732">
        <f t="shared" si="5"/>
        <v>537090.50540739973</v>
      </c>
      <c r="AH9" s="732">
        <f t="shared" si="5"/>
        <v>544937.44075691875</v>
      </c>
      <c r="AI9" s="732">
        <f t="shared" si="5"/>
        <v>553077.32143823348</v>
      </c>
      <c r="AJ9" s="732">
        <f t="shared" si="5"/>
        <v>562208.04191139468</v>
      </c>
      <c r="AK9" s="732">
        <f t="shared" si="5"/>
        <v>572229.70947624661</v>
      </c>
      <c r="AM9" s="727" t="s">
        <v>739</v>
      </c>
      <c r="AN9" s="727">
        <f>'12. 추정 IS'!F19/'11. 추정 BS'!F8</f>
        <v>52.890097635526864</v>
      </c>
      <c r="AO9" s="727">
        <f>'12. 추정 IS'!G19/'11. 추정 BS'!G8</f>
        <v>37.721850381028148</v>
      </c>
      <c r="AP9" s="727">
        <f>'12. 추정 IS'!H19/'11. 추정 BS'!H8</f>
        <v>28.129753620793547</v>
      </c>
      <c r="AQ9" s="727">
        <f>'12. 추정 IS'!I19/'11. 추정 BS'!I8</f>
        <v>28.186477656599891</v>
      </c>
      <c r="AR9" s="727">
        <f>'12. 추정 IS'!J19/'11. 추정 BS'!J8</f>
        <v>27.072922871883929</v>
      </c>
      <c r="BB9" s="727">
        <f>SUMIFS('SAP BS'!G:G,'SAP BS'!$B:$B,'11. 추정 BS'!$C9)</f>
        <v>133804208894</v>
      </c>
      <c r="BC9" s="727">
        <f>SUMIFS('SAP BS'!L:L,'SAP BS'!$B:$B,'11. 추정 BS'!$C9)</f>
        <v>627433003</v>
      </c>
      <c r="BD9" s="727">
        <f t="shared" si="4"/>
        <v>133176775891</v>
      </c>
      <c r="BI9" s="727">
        <v>0</v>
      </c>
    </row>
    <row r="10" spans="1:61" ht="16.5" customHeight="1" x14ac:dyDescent="0.3">
      <c r="B10" s="745"/>
      <c r="C10" s="746" t="s">
        <v>93</v>
      </c>
      <c r="D10" s="744">
        <v>2386.1286380000001</v>
      </c>
      <c r="E10" s="744">
        <v>3136.0457459999998</v>
      </c>
      <c r="F10" s="744">
        <v>2395.7154739999992</v>
      </c>
      <c r="G10" s="744">
        <v>2164.0532589999998</v>
      </c>
      <c r="H10" s="744">
        <v>579.28527799999983</v>
      </c>
      <c r="I10" s="744">
        <v>1245.5248550000001</v>
      </c>
      <c r="J10" s="744">
        <f t="shared" si="7"/>
        <v>1895</v>
      </c>
      <c r="K10" s="744">
        <v>1500.0515979999996</v>
      </c>
      <c r="L10" s="744">
        <v>1500.0515979999996</v>
      </c>
      <c r="M10" s="744">
        <v>1500.0515979999996</v>
      </c>
      <c r="N10" s="744">
        <f t="shared" si="9"/>
        <v>1500.0515979999996</v>
      </c>
      <c r="O10" s="744">
        <f t="shared" si="9"/>
        <v>1500.0515979999996</v>
      </c>
      <c r="P10" s="744">
        <f t="shared" si="9"/>
        <v>1500.0515979999996</v>
      </c>
      <c r="Q10" s="744">
        <f t="shared" si="9"/>
        <v>1500.0515979999996</v>
      </c>
      <c r="R10" s="733" t="s">
        <v>226</v>
      </c>
      <c r="S10" s="68"/>
      <c r="T10" s="734" t="s">
        <v>8893</v>
      </c>
      <c r="V10" s="733" t="s">
        <v>219</v>
      </c>
      <c r="W10" s="732" t="s">
        <v>122</v>
      </c>
      <c r="X10" s="732">
        <f t="shared" si="5"/>
        <v>571383.3789270001</v>
      </c>
      <c r="Y10" s="732">
        <f t="shared" si="5"/>
        <v>557268.40848600003</v>
      </c>
      <c r="Z10" s="732">
        <f t="shared" si="5"/>
        <v>524669.91595000005</v>
      </c>
      <c r="AA10" s="732">
        <f t="shared" si="5"/>
        <v>485447.62929700001</v>
      </c>
      <c r="AB10" s="732">
        <f t="shared" si="5"/>
        <v>445343.90072999994</v>
      </c>
      <c r="AC10" s="732">
        <f t="shared" si="5"/>
        <v>429186.711342</v>
      </c>
      <c r="AD10" s="732">
        <f t="shared" si="5"/>
        <v>377412</v>
      </c>
      <c r="AE10" s="732">
        <f t="shared" si="5"/>
        <v>345541.77245466207</v>
      </c>
      <c r="AF10" s="732">
        <f t="shared" si="5"/>
        <v>325116.49069312657</v>
      </c>
      <c r="AG10" s="732">
        <f t="shared" si="5"/>
        <v>311663.9430709139</v>
      </c>
      <c r="AH10" s="732">
        <f t="shared" si="5"/>
        <v>302636.80384723231</v>
      </c>
      <c r="AI10" s="732">
        <f t="shared" si="5"/>
        <v>296500.83195733628</v>
      </c>
      <c r="AJ10" s="732">
        <f t="shared" si="5"/>
        <v>292292.73656720138</v>
      </c>
      <c r="AK10" s="732">
        <f t="shared" si="5"/>
        <v>289388.87624263152</v>
      </c>
      <c r="AP10" s="727">
        <f>'12. 추정 IS'!H19/AVERAGE(G8:H8)</f>
        <v>32.839469776642304</v>
      </c>
      <c r="AQ10" s="727">
        <f>'12. 추정 IS'!I19/AVERAGE(H8:I8)</f>
        <v>28.958325413746032</v>
      </c>
      <c r="AR10" s="727">
        <f>'12. 추정 IS'!J19/AVERAGE(I8:J8)</f>
        <v>28.131949945588424</v>
      </c>
      <c r="BB10" s="727">
        <f>SUMIFS('SAP BS'!G:G,'SAP BS'!$B:$B,'11. 추정 BS'!$C10)</f>
        <v>3864657468</v>
      </c>
      <c r="BC10" s="727">
        <f>SUMIFS('SAP BS'!L:L,'SAP BS'!$B:$B,'11. 추정 BS'!$C10)</f>
        <v>1969980454</v>
      </c>
      <c r="BD10" s="727">
        <f t="shared" si="4"/>
        <v>1894677014</v>
      </c>
      <c r="BI10" s="727">
        <v>0</v>
      </c>
    </row>
    <row r="11" spans="1:61" ht="16.5" customHeight="1" x14ac:dyDescent="0.3">
      <c r="B11" s="745"/>
      <c r="C11" s="746" t="s">
        <v>94</v>
      </c>
      <c r="D11" s="744">
        <v>116.54</v>
      </c>
      <c r="E11" s="744">
        <v>0</v>
      </c>
      <c r="F11" s="744">
        <v>6000</v>
      </c>
      <c r="G11" s="744">
        <v>125.2</v>
      </c>
      <c r="H11" s="744">
        <v>14000</v>
      </c>
      <c r="I11" s="744">
        <v>17147</v>
      </c>
      <c r="J11" s="744">
        <f t="shared" si="7"/>
        <v>0</v>
      </c>
      <c r="K11" s="744">
        <v>18646.650000000001</v>
      </c>
      <c r="L11" s="744">
        <v>18646.650000000001</v>
      </c>
      <c r="M11" s="744">
        <v>18646.650000000001</v>
      </c>
      <c r="N11" s="744">
        <f t="shared" si="9"/>
        <v>18646.650000000001</v>
      </c>
      <c r="O11" s="744">
        <f t="shared" si="9"/>
        <v>18646.650000000001</v>
      </c>
      <c r="P11" s="744">
        <f t="shared" si="9"/>
        <v>18646.650000000001</v>
      </c>
      <c r="Q11" s="744">
        <f t="shared" si="9"/>
        <v>18646.650000000001</v>
      </c>
      <c r="R11" s="733" t="s">
        <v>216</v>
      </c>
      <c r="S11" s="68"/>
      <c r="T11" s="734" t="s">
        <v>8893</v>
      </c>
      <c r="V11" s="733" t="s">
        <v>220</v>
      </c>
      <c r="W11" s="732" t="s">
        <v>496</v>
      </c>
      <c r="X11" s="732">
        <f t="shared" si="5"/>
        <v>175779.70290800001</v>
      </c>
      <c r="Y11" s="732">
        <f t="shared" si="5"/>
        <v>179790.285003</v>
      </c>
      <c r="Z11" s="732">
        <f t="shared" si="5"/>
        <v>140766.34644600001</v>
      </c>
      <c r="AA11" s="732">
        <f t="shared" si="5"/>
        <v>171990.53417100001</v>
      </c>
      <c r="AB11" s="732">
        <f t="shared" si="5"/>
        <v>260554.30106900001</v>
      </c>
      <c r="AC11" s="732">
        <f t="shared" si="5"/>
        <v>265739.45792300004</v>
      </c>
      <c r="AD11" s="732">
        <f t="shared" si="5"/>
        <v>295985</v>
      </c>
      <c r="AE11" s="732">
        <f t="shared" si="5"/>
        <v>287173.42483855475</v>
      </c>
      <c r="AF11" s="732">
        <f t="shared" si="5"/>
        <v>292681.99126353982</v>
      </c>
      <c r="AG11" s="732">
        <f t="shared" si="5"/>
        <v>298377.61134060845</v>
      </c>
      <c r="AH11" s="732">
        <f t="shared" si="5"/>
        <v>304585.56957362202</v>
      </c>
      <c r="AI11" s="732">
        <f t="shared" si="5"/>
        <v>310924.80305109837</v>
      </c>
      <c r="AJ11" s="732">
        <f t="shared" si="5"/>
        <v>317982.43149353558</v>
      </c>
      <c r="AK11" s="732">
        <f t="shared" si="5"/>
        <v>325668.27267072321</v>
      </c>
      <c r="BB11" s="727">
        <f>SUMIFS('SAP BS'!G:G,'SAP BS'!$B:$B,'11. 추정 BS'!$C11)</f>
        <v>0</v>
      </c>
      <c r="BC11" s="727">
        <f>SUMIFS('SAP BS'!L:L,'SAP BS'!$B:$B,'11. 추정 BS'!$C11)</f>
        <v>0</v>
      </c>
      <c r="BD11" s="727">
        <f t="shared" si="4"/>
        <v>0</v>
      </c>
      <c r="BI11" s="727">
        <v>0</v>
      </c>
    </row>
    <row r="12" spans="1:61" ht="16.5" customHeight="1" x14ac:dyDescent="0.3">
      <c r="B12" s="745"/>
      <c r="C12" s="746" t="s">
        <v>95</v>
      </c>
      <c r="D12" s="744">
        <v>0</v>
      </c>
      <c r="E12" s="744">
        <v>0</v>
      </c>
      <c r="F12" s="744">
        <v>0</v>
      </c>
      <c r="G12" s="744">
        <v>9000</v>
      </c>
      <c r="H12" s="744">
        <v>0</v>
      </c>
      <c r="I12" s="732">
        <v>19009.727139999999</v>
      </c>
      <c r="J12" s="732">
        <f t="shared" si="7"/>
        <v>0</v>
      </c>
      <c r="K12" s="732">
        <v>19058.930587999999</v>
      </c>
      <c r="L12" s="732">
        <v>19058.930587999999</v>
      </c>
      <c r="M12" s="744">
        <v>19058.930587999999</v>
      </c>
      <c r="N12" s="744">
        <f t="shared" si="9"/>
        <v>19058.930587999999</v>
      </c>
      <c r="O12" s="744">
        <f t="shared" si="9"/>
        <v>19058.930587999999</v>
      </c>
      <c r="P12" s="744">
        <f t="shared" si="9"/>
        <v>19058.930587999999</v>
      </c>
      <c r="Q12" s="744">
        <f t="shared" si="9"/>
        <v>19058.930587999999</v>
      </c>
      <c r="R12" s="733" t="s">
        <v>216</v>
      </c>
      <c r="S12" s="68"/>
      <c r="T12" s="734" t="s">
        <v>8893</v>
      </c>
      <c r="V12" s="733" t="s">
        <v>227</v>
      </c>
      <c r="W12" s="732" t="s">
        <v>506</v>
      </c>
      <c r="X12" s="732">
        <f t="shared" si="5"/>
        <v>2220820.4472830002</v>
      </c>
      <c r="Y12" s="732">
        <f t="shared" si="5"/>
        <v>2120273.5364700002</v>
      </c>
      <c r="Z12" s="732">
        <f t="shared" si="5"/>
        <v>2218453.6450490006</v>
      </c>
      <c r="AA12" s="732">
        <f t="shared" si="5"/>
        <v>2355792.1402550004</v>
      </c>
      <c r="AB12" s="732">
        <f t="shared" si="5"/>
        <v>2549985.7945980011</v>
      </c>
      <c r="AC12" s="732">
        <f t="shared" si="5"/>
        <v>2815425.2633940005</v>
      </c>
      <c r="AD12" s="732">
        <f t="shared" si="5"/>
        <v>2716563</v>
      </c>
      <c r="AE12" s="732">
        <f t="shared" si="5"/>
        <v>2757550.010072167</v>
      </c>
      <c r="AF12" s="732">
        <f>SUMIF($R$4:$R$141,$V12,L$4:L$141)</f>
        <v>2790980.4086393458</v>
      </c>
      <c r="AG12" s="732">
        <f t="shared" si="5"/>
        <v>2822743.3601081348</v>
      </c>
      <c r="AH12" s="732">
        <f t="shared" si="5"/>
        <v>2874565.2602076093</v>
      </c>
      <c r="AI12" s="732">
        <f t="shared" si="5"/>
        <v>2928337.2515297243</v>
      </c>
      <c r="AJ12" s="732">
        <f t="shared" si="5"/>
        <v>2987446.3793517672</v>
      </c>
      <c r="AK12" s="732">
        <f t="shared" si="5"/>
        <v>3048706.6779440506</v>
      </c>
      <c r="BB12" s="727">
        <f>SUMIFS('SAP BS'!G:G,'SAP BS'!$B:$B,'11. 추정 BS'!$C12)</f>
        <v>0</v>
      </c>
      <c r="BC12" s="727">
        <f>SUMIFS('SAP BS'!L:L,'SAP BS'!$B:$B,'11. 추정 BS'!$C12)</f>
        <v>0</v>
      </c>
      <c r="BD12" s="727">
        <f t="shared" si="4"/>
        <v>0</v>
      </c>
      <c r="BI12" s="727">
        <v>0</v>
      </c>
    </row>
    <row r="13" spans="1:61" ht="16.5" customHeight="1" x14ac:dyDescent="0.3">
      <c r="B13" s="745"/>
      <c r="C13" s="746" t="s">
        <v>96</v>
      </c>
      <c r="D13" s="744">
        <v>991.37306199999989</v>
      </c>
      <c r="E13" s="744">
        <v>1357.992225</v>
      </c>
      <c r="F13" s="744">
        <v>1178.395896</v>
      </c>
      <c r="G13" s="744">
        <v>1196.790696</v>
      </c>
      <c r="H13" s="744">
        <v>205588.237383</v>
      </c>
      <c r="I13" s="732">
        <v>195400.93025499998</v>
      </c>
      <c r="J13" s="732">
        <f>ROUND(BD13/10^6,)+ROUND(BD17/10^6,)</f>
        <v>196884</v>
      </c>
      <c r="K13" s="732">
        <v>171851.91576999999</v>
      </c>
      <c r="L13" s="732">
        <v>171851.91576999999</v>
      </c>
      <c r="M13" s="744">
        <v>171851.91576999999</v>
      </c>
      <c r="N13" s="744">
        <f t="shared" si="9"/>
        <v>171851.91576999999</v>
      </c>
      <c r="O13" s="744">
        <f t="shared" si="9"/>
        <v>171851.91576999999</v>
      </c>
      <c r="P13" s="744">
        <f t="shared" si="9"/>
        <v>171851.91576999999</v>
      </c>
      <c r="Q13" s="744">
        <f t="shared" si="9"/>
        <v>171851.91576999999</v>
      </c>
      <c r="R13" s="733" t="s">
        <v>226</v>
      </c>
      <c r="S13" s="68"/>
      <c r="T13" s="734" t="s">
        <v>8916</v>
      </c>
      <c r="V13" s="733" t="s">
        <v>226</v>
      </c>
      <c r="W13" s="732" t="s">
        <v>497</v>
      </c>
      <c r="X13" s="732">
        <f t="shared" si="5"/>
        <v>1007255.2788150001</v>
      </c>
      <c r="Y13" s="732">
        <f t="shared" si="5"/>
        <v>959337.70623599994</v>
      </c>
      <c r="Z13" s="732">
        <f t="shared" si="5"/>
        <v>986686.19196399988</v>
      </c>
      <c r="AA13" s="732">
        <f t="shared" si="5"/>
        <v>1044714.1454919999</v>
      </c>
      <c r="AB13" s="732">
        <f t="shared" si="5"/>
        <v>1059685.450526</v>
      </c>
      <c r="AC13" s="732">
        <f t="shared" si="5"/>
        <v>1106110.2266230001</v>
      </c>
      <c r="AD13" s="732">
        <f t="shared" si="5"/>
        <v>1048896</v>
      </c>
      <c r="AE13" s="732">
        <f t="shared" si="5"/>
        <v>1057435.6701116094</v>
      </c>
      <c r="AF13" s="732">
        <f t="shared" si="5"/>
        <v>1067615.575144704</v>
      </c>
      <c r="AG13" s="732">
        <f t="shared" si="5"/>
        <v>1078251.7626146167</v>
      </c>
      <c r="AH13" s="732">
        <f t="shared" si="5"/>
        <v>1094404.4008354715</v>
      </c>
      <c r="AI13" s="732">
        <f t="shared" si="5"/>
        <v>1109327.442807721</v>
      </c>
      <c r="AJ13" s="732">
        <f t="shared" si="5"/>
        <v>1126252.8899332695</v>
      </c>
      <c r="AK13" s="732">
        <f t="shared" si="5"/>
        <v>1145913.62833299</v>
      </c>
      <c r="BB13" s="727">
        <f>SUMIFS('SAP BS'!G:G,'SAP BS'!$B:$B,'11. 추정 BS'!$C13)</f>
        <v>1390274946</v>
      </c>
      <c r="BC13" s="727">
        <f>SUMIFS('SAP BS'!L:L,'SAP BS'!$B:$B,'11. 추정 BS'!$C13)</f>
        <v>0</v>
      </c>
      <c r="BD13" s="727">
        <f t="shared" si="4"/>
        <v>1390274946</v>
      </c>
      <c r="BI13" s="727">
        <v>195494</v>
      </c>
    </row>
    <row r="14" spans="1:61" ht="16.5" customHeight="1" x14ac:dyDescent="0.3">
      <c r="B14" s="745"/>
      <c r="C14" s="746" t="s">
        <v>97</v>
      </c>
      <c r="D14" s="744">
        <v>85483.859479000006</v>
      </c>
      <c r="E14" s="744">
        <v>44400</v>
      </c>
      <c r="F14" s="744">
        <v>179324.93711</v>
      </c>
      <c r="G14" s="744">
        <v>1866.9371100000001</v>
      </c>
      <c r="H14" s="744">
        <v>1866.9371100000001</v>
      </c>
      <c r="I14" s="732">
        <v>626.93710999999996</v>
      </c>
      <c r="J14" s="732">
        <f t="shared" si="7"/>
        <v>590</v>
      </c>
      <c r="K14" s="732">
        <v>626.93710999999996</v>
      </c>
      <c r="L14" s="732">
        <v>626.93710999999996</v>
      </c>
      <c r="M14" s="744">
        <v>626.93710999999996</v>
      </c>
      <c r="N14" s="744">
        <f t="shared" si="9"/>
        <v>626.93710999999996</v>
      </c>
      <c r="O14" s="744">
        <f t="shared" si="9"/>
        <v>626.93710999999996</v>
      </c>
      <c r="P14" s="744">
        <f t="shared" si="9"/>
        <v>626.93710999999996</v>
      </c>
      <c r="Q14" s="744">
        <f t="shared" si="9"/>
        <v>626.93710999999996</v>
      </c>
      <c r="R14" s="733" t="s">
        <v>216</v>
      </c>
      <c r="S14" s="68"/>
      <c r="T14" s="734" t="s">
        <v>8893</v>
      </c>
      <c r="V14" s="733"/>
      <c r="W14" s="733" t="s">
        <v>740</v>
      </c>
      <c r="X14" s="732">
        <f t="shared" ref="X14:AK14" si="10">SUM(X6:X13)</f>
        <v>5577338.8116420014</v>
      </c>
      <c r="Y14" s="732">
        <f t="shared" si="10"/>
        <v>5595872.5495700026</v>
      </c>
      <c r="Z14" s="732">
        <f t="shared" si="10"/>
        <v>7078312.1736330008</v>
      </c>
      <c r="AA14" s="732">
        <f t="shared" si="10"/>
        <v>7322405.0060780002</v>
      </c>
      <c r="AB14" s="732">
        <f t="shared" si="10"/>
        <v>7595442.1563220005</v>
      </c>
      <c r="AC14" s="732">
        <f t="shared" si="10"/>
        <v>6555887.8453790005</v>
      </c>
      <c r="AD14" s="732">
        <f t="shared" si="10"/>
        <v>6557548</v>
      </c>
      <c r="AE14" s="732">
        <f t="shared" si="10"/>
        <v>6526857.0273456452</v>
      </c>
      <c r="AF14" s="732">
        <f t="shared" si="10"/>
        <v>6591364.6846155841</v>
      </c>
      <c r="AG14" s="732">
        <f t="shared" si="10"/>
        <v>6654670.9863675516</v>
      </c>
      <c r="AH14" s="732">
        <f t="shared" si="10"/>
        <v>6733700.5566479061</v>
      </c>
      <c r="AI14" s="732">
        <f t="shared" si="10"/>
        <v>6831160.9504486341</v>
      </c>
      <c r="AJ14" s="732">
        <f t="shared" si="10"/>
        <v>6935270.9696632298</v>
      </c>
      <c r="AK14" s="732">
        <f t="shared" si="10"/>
        <v>7052170.2134310445</v>
      </c>
      <c r="BB14" s="727">
        <f>SUMIFS('SAP BS'!G:G,'SAP BS'!$B:$B,'11. 추정 BS'!$C14)</f>
        <v>590240000</v>
      </c>
      <c r="BC14" s="727">
        <f>SUMIFS('SAP BS'!L:L,'SAP BS'!$B:$B,'11. 추정 BS'!$C14)</f>
        <v>0</v>
      </c>
      <c r="BD14" s="727">
        <f t="shared" si="4"/>
        <v>590240000</v>
      </c>
      <c r="BI14" s="727">
        <v>0</v>
      </c>
    </row>
    <row r="15" spans="1:61" ht="16.5" customHeight="1" x14ac:dyDescent="0.3">
      <c r="B15" s="745"/>
      <c r="C15" s="746" t="s">
        <v>98</v>
      </c>
      <c r="D15" s="744">
        <v>0</v>
      </c>
      <c r="E15" s="744">
        <v>0</v>
      </c>
      <c r="F15" s="744">
        <v>0</v>
      </c>
      <c r="G15" s="744">
        <v>0</v>
      </c>
      <c r="H15" s="744">
        <v>0</v>
      </c>
      <c r="I15" s="732">
        <v>0</v>
      </c>
      <c r="J15" s="732">
        <f t="shared" si="7"/>
        <v>0</v>
      </c>
      <c r="K15" s="732">
        <v>0</v>
      </c>
      <c r="L15" s="732">
        <v>0</v>
      </c>
      <c r="M15" s="744">
        <v>0</v>
      </c>
      <c r="N15" s="744">
        <f t="shared" si="9"/>
        <v>0</v>
      </c>
      <c r="O15" s="744">
        <f t="shared" si="9"/>
        <v>0</v>
      </c>
      <c r="P15" s="744">
        <f t="shared" si="9"/>
        <v>0</v>
      </c>
      <c r="Q15" s="744">
        <f t="shared" si="9"/>
        <v>0</v>
      </c>
      <c r="R15" s="733" t="s">
        <v>226</v>
      </c>
      <c r="S15" s="68"/>
      <c r="T15" s="734"/>
      <c r="V15" s="733" t="s">
        <v>709</v>
      </c>
      <c r="W15" s="732" t="s">
        <v>509</v>
      </c>
      <c r="X15" s="732">
        <f t="shared" ref="X15:AK19" si="11">SUMIF($R$4:$R$141,$V15,D$4:D$141)</f>
        <v>1108046.367939</v>
      </c>
      <c r="Y15" s="732">
        <f t="shared" si="11"/>
        <v>1044552.8985679998</v>
      </c>
      <c r="Z15" s="732">
        <f t="shared" si="11"/>
        <v>1680319.932825</v>
      </c>
      <c r="AA15" s="732">
        <f t="shared" si="11"/>
        <v>1964031.9642729999</v>
      </c>
      <c r="AB15" s="732">
        <f t="shared" si="11"/>
        <v>2090305.3491440001</v>
      </c>
      <c r="AC15" s="732">
        <f t="shared" si="11"/>
        <v>2097708.7844229979</v>
      </c>
      <c r="AD15" s="732">
        <f t="shared" si="11"/>
        <v>2048316</v>
      </c>
      <c r="AE15" s="732">
        <f t="shared" si="11"/>
        <v>2002818.4879735408</v>
      </c>
      <c r="AF15" s="732">
        <f t="shared" si="11"/>
        <v>2018329.2437739759</v>
      </c>
      <c r="AG15" s="732">
        <f t="shared" si="11"/>
        <v>2039023.8431111164</v>
      </c>
      <c r="AH15" s="732">
        <f t="shared" si="11"/>
        <v>2058191.0370436283</v>
      </c>
      <c r="AI15" s="732">
        <f t="shared" si="11"/>
        <v>2076111.8200381377</v>
      </c>
      <c r="AJ15" s="732">
        <f t="shared" si="11"/>
        <v>2093052.157066083</v>
      </c>
      <c r="AK15" s="732">
        <f t="shared" si="11"/>
        <v>2110064.1089458484</v>
      </c>
      <c r="AO15" s="747">
        <f>AO16/AN16-1</f>
        <v>-7.4756118962875373E-2</v>
      </c>
      <c r="AP15" s="747">
        <f>AP16/AO16-1</f>
        <v>-8.261185377519753E-2</v>
      </c>
      <c r="AQ15" s="747">
        <f>AQ16/AP16-1</f>
        <v>-3.6280252994405848E-2</v>
      </c>
      <c r="AR15" s="747">
        <f>AR16/AQ16-1</f>
        <v>-0.12063446973954184</v>
      </c>
      <c r="AS15" s="747">
        <f>AR15*70%</f>
        <v>-8.4444128817679279E-2</v>
      </c>
      <c r="AT15" s="747">
        <f t="shared" ref="AT15:AY15" si="12">AS15*70%</f>
        <v>-5.9110890172375488E-2</v>
      </c>
      <c r="AU15" s="747">
        <f t="shared" si="12"/>
        <v>-4.1377623120662836E-2</v>
      </c>
      <c r="AV15" s="747">
        <f t="shared" si="12"/>
        <v>-2.8964336184463983E-2</v>
      </c>
      <c r="AW15" s="747">
        <f t="shared" si="12"/>
        <v>-2.0275035329124787E-2</v>
      </c>
      <c r="AX15" s="747">
        <f t="shared" si="12"/>
        <v>-1.4192524730387349E-2</v>
      </c>
      <c r="AY15" s="747">
        <f t="shared" si="12"/>
        <v>-9.9347673112711431E-3</v>
      </c>
      <c r="BB15" s="727">
        <f>SUMIFS('SAP BS'!G:G,'SAP BS'!$B:$B,'11. 추정 BS'!$C15)</f>
        <v>0</v>
      </c>
      <c r="BC15" s="727">
        <f>SUMIFS('SAP BS'!L:L,'SAP BS'!$B:$B,'11. 추정 BS'!$C15)</f>
        <v>0</v>
      </c>
      <c r="BD15" s="727">
        <f t="shared" si="4"/>
        <v>0</v>
      </c>
      <c r="BI15" s="727">
        <v>0</v>
      </c>
    </row>
    <row r="16" spans="1:61" ht="16.5" customHeight="1" x14ac:dyDescent="0.3">
      <c r="B16" s="745"/>
      <c r="C16" s="746" t="s">
        <v>99</v>
      </c>
      <c r="D16" s="744">
        <v>62747.295647999999</v>
      </c>
      <c r="E16" s="744">
        <v>74807.188404999994</v>
      </c>
      <c r="F16" s="744">
        <v>79812.343039000014</v>
      </c>
      <c r="G16" s="744">
        <v>81988.744273000004</v>
      </c>
      <c r="H16" s="744">
        <v>83017.870876999994</v>
      </c>
      <c r="I16" s="732">
        <v>85482.706075000009</v>
      </c>
      <c r="J16" s="732">
        <f t="shared" si="7"/>
        <v>84785</v>
      </c>
      <c r="K16" s="732">
        <f>AS17</f>
        <v>68822.83395731468</v>
      </c>
      <c r="L16" s="732">
        <f t="shared" ref="L16:Q16" si="13">AT17</f>
        <v>64754.654977912222</v>
      </c>
      <c r="M16" s="744">
        <f>AU17</f>
        <v>62075.261268927614</v>
      </c>
      <c r="N16" s="744">
        <f t="shared" si="13"/>
        <v>60277.292532795953</v>
      </c>
      <c r="O16" s="744">
        <f t="shared" si="13"/>
        <v>59055.168297149525</v>
      </c>
      <c r="P16" s="744">
        <f t="shared" si="13"/>
        <v>58217.026360635042</v>
      </c>
      <c r="Q16" s="744">
        <f t="shared" si="13"/>
        <v>57638.653750187994</v>
      </c>
      <c r="R16" s="733" t="s">
        <v>219</v>
      </c>
      <c r="S16" s="68"/>
      <c r="T16" s="734" t="s">
        <v>8894</v>
      </c>
      <c r="V16" s="733" t="s">
        <v>221</v>
      </c>
      <c r="W16" s="732" t="s">
        <v>510</v>
      </c>
      <c r="X16" s="732">
        <f t="shared" si="11"/>
        <v>1304308.8448100002</v>
      </c>
      <c r="Y16" s="732">
        <f t="shared" si="11"/>
        <v>1251501.8527500001</v>
      </c>
      <c r="Z16" s="732">
        <f t="shared" si="11"/>
        <v>1653574.308826</v>
      </c>
      <c r="AA16" s="732">
        <f t="shared" si="11"/>
        <v>1702082.3716389998</v>
      </c>
      <c r="AB16" s="732">
        <f t="shared" si="11"/>
        <v>1763192.1583389998</v>
      </c>
      <c r="AC16" s="732">
        <f t="shared" si="11"/>
        <v>1939777.3340210002</v>
      </c>
      <c r="AD16" s="732">
        <f t="shared" si="11"/>
        <v>1911774</v>
      </c>
      <c r="AE16" s="732">
        <f t="shared" si="11"/>
        <v>1914646.761288479</v>
      </c>
      <c r="AF16" s="732">
        <f t="shared" si="11"/>
        <v>1925530.1236339859</v>
      </c>
      <c r="AG16" s="732">
        <f t="shared" si="11"/>
        <v>1941540.2603201063</v>
      </c>
      <c r="AH16" s="732">
        <f t="shared" si="11"/>
        <v>1962047.6528252969</v>
      </c>
      <c r="AI16" s="732">
        <f t="shared" si="11"/>
        <v>1985620.1186396272</v>
      </c>
      <c r="AJ16" s="732">
        <f t="shared" si="11"/>
        <v>2013827.6236114316</v>
      </c>
      <c r="AK16" s="732">
        <f t="shared" si="11"/>
        <v>2044200.6624400334</v>
      </c>
      <c r="AM16" s="727" t="s">
        <v>122</v>
      </c>
      <c r="AN16" s="727">
        <f t="shared" ref="AN16:AY16" si="14">F16+F41</f>
        <v>524669.91595000005</v>
      </c>
      <c r="AO16" s="727">
        <f t="shared" si="14"/>
        <v>485447.62929700001</v>
      </c>
      <c r="AP16" s="727">
        <f t="shared" si="14"/>
        <v>445343.90072999994</v>
      </c>
      <c r="AQ16" s="727">
        <f t="shared" si="14"/>
        <v>429186.711342</v>
      </c>
      <c r="AR16" s="727">
        <f t="shared" si="14"/>
        <v>377412</v>
      </c>
      <c r="AS16" s="727">
        <f t="shared" si="14"/>
        <v>345541.77245466207</v>
      </c>
      <c r="AT16" s="727">
        <f t="shared" si="14"/>
        <v>325116.49069312657</v>
      </c>
      <c r="AU16" s="727">
        <f t="shared" si="14"/>
        <v>311663.9430709139</v>
      </c>
      <c r="AV16" s="727">
        <f t="shared" si="14"/>
        <v>302636.80384723231</v>
      </c>
      <c r="AW16" s="727">
        <f t="shared" si="14"/>
        <v>296500.83195733628</v>
      </c>
      <c r="AX16" s="727">
        <f t="shared" si="14"/>
        <v>292292.73656720138</v>
      </c>
      <c r="AY16" s="727">
        <f t="shared" si="14"/>
        <v>289388.87624263152</v>
      </c>
      <c r="BB16" s="727">
        <f>SUMIFS('SAP BS'!G:G,'SAP BS'!$B:$B,'11. 추정 BS'!$C16)</f>
        <v>84785093157</v>
      </c>
      <c r="BC16" s="727">
        <f>SUMIFS('SAP BS'!L:L,'SAP BS'!$B:$B,'11. 추정 BS'!$C16)</f>
        <v>0</v>
      </c>
      <c r="BD16" s="727">
        <f t="shared" si="4"/>
        <v>84785093157</v>
      </c>
      <c r="BI16" s="727">
        <v>0</v>
      </c>
    </row>
    <row r="17" spans="2:61" ht="16.5" customHeight="1" x14ac:dyDescent="0.3">
      <c r="B17" s="745"/>
      <c r="C17" s="746" t="s">
        <v>7421</v>
      </c>
      <c r="D17" s="744">
        <v>0</v>
      </c>
      <c r="E17" s="744">
        <v>0</v>
      </c>
      <c r="F17" s="744">
        <v>0</v>
      </c>
      <c r="G17" s="744">
        <v>0</v>
      </c>
      <c r="H17" s="744">
        <v>0</v>
      </c>
      <c r="I17" s="732">
        <v>0</v>
      </c>
      <c r="J17" s="732"/>
      <c r="K17" s="732">
        <v>0</v>
      </c>
      <c r="L17" s="732">
        <v>0</v>
      </c>
      <c r="M17" s="744">
        <v>0</v>
      </c>
      <c r="N17" s="744">
        <v>0</v>
      </c>
      <c r="O17" s="744">
        <v>0</v>
      </c>
      <c r="P17" s="744">
        <v>0</v>
      </c>
      <c r="Q17" s="744">
        <v>0</v>
      </c>
      <c r="R17" s="733"/>
      <c r="S17" s="68"/>
      <c r="T17" s="734"/>
      <c r="V17" s="733" t="s">
        <v>222</v>
      </c>
      <c r="W17" s="732" t="s">
        <v>145</v>
      </c>
      <c r="X17" s="732">
        <f t="shared" si="11"/>
        <v>494445.77603499999</v>
      </c>
      <c r="Y17" s="732">
        <f t="shared" si="11"/>
        <v>509900.08990000002</v>
      </c>
      <c r="Z17" s="732">
        <f t="shared" si="11"/>
        <v>471656.49572700012</v>
      </c>
      <c r="AA17" s="732">
        <f t="shared" si="11"/>
        <v>535986.33848500007</v>
      </c>
      <c r="AB17" s="732">
        <f t="shared" si="11"/>
        <v>756479.56911699986</v>
      </c>
      <c r="AC17" s="732">
        <f t="shared" si="11"/>
        <v>511534.65700200002</v>
      </c>
      <c r="AD17" s="732">
        <f t="shared" si="11"/>
        <v>554027</v>
      </c>
      <c r="AE17" s="732">
        <f t="shared" si="11"/>
        <v>519240.07545366924</v>
      </c>
      <c r="AF17" s="732">
        <f t="shared" si="11"/>
        <v>527126.96067548275</v>
      </c>
      <c r="AG17" s="732">
        <f t="shared" si="11"/>
        <v>535281.65980212879</v>
      </c>
      <c r="AH17" s="732">
        <f t="shared" si="11"/>
        <v>544169.89864109724</v>
      </c>
      <c r="AI17" s="732">
        <f t="shared" si="11"/>
        <v>553246.09069795697</v>
      </c>
      <c r="AJ17" s="732">
        <f t="shared" si="11"/>
        <v>563350.84412549855</v>
      </c>
      <c r="AK17" s="732">
        <f t="shared" si="11"/>
        <v>574355.04059349908</v>
      </c>
      <c r="AM17" s="727" t="s">
        <v>741</v>
      </c>
      <c r="AN17" s="727">
        <f>F16</f>
        <v>79812.343039000014</v>
      </c>
      <c r="AO17" s="727">
        <f>G16</f>
        <v>81988.744273000004</v>
      </c>
      <c r="AP17" s="727">
        <f>H16</f>
        <v>83017.870876999994</v>
      </c>
      <c r="AQ17" s="727">
        <f>I16</f>
        <v>85482.706075000009</v>
      </c>
      <c r="AR17" s="727">
        <f t="shared" ref="AR17:AY18" si="15">AQ17*(1+AR$15)</f>
        <v>75170.545155741274</v>
      </c>
      <c r="AS17" s="727">
        <f t="shared" si="15"/>
        <v>68822.83395731468</v>
      </c>
      <c r="AT17" s="727">
        <f t="shared" si="15"/>
        <v>64754.654977912222</v>
      </c>
      <c r="AU17" s="727">
        <f t="shared" si="15"/>
        <v>62075.261268927614</v>
      </c>
      <c r="AV17" s="727">
        <f t="shared" si="15"/>
        <v>60277.292532795953</v>
      </c>
      <c r="AW17" s="727">
        <f t="shared" si="15"/>
        <v>59055.168297149525</v>
      </c>
      <c r="AX17" s="727">
        <f t="shared" si="15"/>
        <v>58217.026360635042</v>
      </c>
      <c r="AY17" s="727">
        <f t="shared" si="15"/>
        <v>57638.653750187994</v>
      </c>
      <c r="BB17" s="727">
        <f>SUMIFS('SAP BS'!G:G,'SAP BS'!$B:$B,'11. 추정 BS'!$C17)</f>
        <v>195543914060</v>
      </c>
      <c r="BC17" s="727">
        <f>SUMIFS('SAP BS'!L:L,'SAP BS'!$B:$B,'11. 추정 BS'!$C17)</f>
        <v>50000000</v>
      </c>
      <c r="BD17" s="727">
        <f t="shared" si="4"/>
        <v>195493914060</v>
      </c>
      <c r="BI17" s="727">
        <v>-195494</v>
      </c>
    </row>
    <row r="18" spans="2:61" ht="16.5" customHeight="1" x14ac:dyDescent="0.3">
      <c r="B18" s="745"/>
      <c r="C18" s="746" t="s">
        <v>742</v>
      </c>
      <c r="D18" s="744">
        <v>0</v>
      </c>
      <c r="E18" s="744">
        <v>1.862645149230957E-9</v>
      </c>
      <c r="F18" s="744">
        <v>0</v>
      </c>
      <c r="G18" s="744">
        <v>0</v>
      </c>
      <c r="H18" s="744">
        <v>0</v>
      </c>
      <c r="I18" s="744">
        <v>0</v>
      </c>
      <c r="J18" s="744">
        <v>0</v>
      </c>
      <c r="K18" s="744">
        <f t="shared" ref="K18:Q18" si="16">K141-K6-SUM(K8:K17)-K19-K34-SUM(K26:K33)</f>
        <v>225380.08088294632</v>
      </c>
      <c r="L18" s="744">
        <f t="shared" si="16"/>
        <v>295156.65722148743</v>
      </c>
      <c r="M18" s="744">
        <f>M141-M6-SUM(M8:M17)-M19-M34-SUM(M26:M33)</f>
        <v>348230.1448612744</v>
      </c>
      <c r="N18" s="744">
        <f t="shared" si="16"/>
        <v>337322.39569235611</v>
      </c>
      <c r="O18" s="744">
        <f t="shared" si="16"/>
        <v>339116.0844827228</v>
      </c>
      <c r="P18" s="744">
        <f t="shared" si="16"/>
        <v>334719.89283245063</v>
      </c>
      <c r="Q18" s="744">
        <f t="shared" si="16"/>
        <v>333353.93055979843</v>
      </c>
      <c r="R18" s="733" t="s">
        <v>217</v>
      </c>
      <c r="S18" s="68"/>
      <c r="T18" s="734"/>
      <c r="V18" s="733" t="s">
        <v>223</v>
      </c>
      <c r="W18" s="732" t="s">
        <v>150</v>
      </c>
      <c r="X18" s="732">
        <f t="shared" si="11"/>
        <v>29190.961573</v>
      </c>
      <c r="Y18" s="732">
        <f t="shared" si="11"/>
        <v>32680.554446000006</v>
      </c>
      <c r="Z18" s="732">
        <f t="shared" si="11"/>
        <v>32057.326062999997</v>
      </c>
      <c r="AA18" s="732">
        <f t="shared" si="11"/>
        <v>56592.097382999978</v>
      </c>
      <c r="AB18" s="732">
        <f t="shared" si="11"/>
        <v>51739.203429000001</v>
      </c>
      <c r="AC18" s="732">
        <f t="shared" si="11"/>
        <v>56341.315852</v>
      </c>
      <c r="AD18" s="732">
        <f t="shared" si="11"/>
        <v>70126</v>
      </c>
      <c r="AE18" s="732">
        <f t="shared" si="11"/>
        <v>77798.774018621596</v>
      </c>
      <c r="AF18" s="732">
        <f t="shared" si="11"/>
        <v>84599.280280010862</v>
      </c>
      <c r="AG18" s="732">
        <f t="shared" si="11"/>
        <v>85519.681666627905</v>
      </c>
      <c r="AH18" s="732">
        <f t="shared" si="11"/>
        <v>91655.535563719168</v>
      </c>
      <c r="AI18" s="732">
        <f t="shared" si="11"/>
        <v>96859.225992212727</v>
      </c>
      <c r="AJ18" s="732">
        <f t="shared" si="11"/>
        <v>101366.32118292987</v>
      </c>
      <c r="AK18" s="732">
        <f t="shared" si="11"/>
        <v>107336.52519947219</v>
      </c>
      <c r="AM18" s="727" t="s">
        <v>122</v>
      </c>
      <c r="AN18" s="727">
        <f>F41</f>
        <v>444857.57291100005</v>
      </c>
      <c r="AO18" s="727">
        <f>G41</f>
        <v>403458.88502400002</v>
      </c>
      <c r="AP18" s="727">
        <f>H41</f>
        <v>362326.02985299996</v>
      </c>
      <c r="AQ18" s="727">
        <f>I41</f>
        <v>343704.005267</v>
      </c>
      <c r="AR18" s="727">
        <f t="shared" si="15"/>
        <v>302241.45484425878</v>
      </c>
      <c r="AS18" s="727">
        <f t="shared" si="15"/>
        <v>276718.93849734741</v>
      </c>
      <c r="AT18" s="727">
        <f t="shared" si="15"/>
        <v>260361.83571521437</v>
      </c>
      <c r="AU18" s="727">
        <f t="shared" si="15"/>
        <v>249588.6818019863</v>
      </c>
      <c r="AV18" s="727">
        <f t="shared" si="15"/>
        <v>242359.51131443636</v>
      </c>
      <c r="AW18" s="727">
        <f t="shared" si="15"/>
        <v>237445.66366018675</v>
      </c>
      <c r="AX18" s="727">
        <f t="shared" si="15"/>
        <v>234075.71020656632</v>
      </c>
      <c r="AY18" s="727">
        <f t="shared" si="15"/>
        <v>231750.22249244354</v>
      </c>
      <c r="BB18" s="727">
        <f>SUMIFS('SAP BS'!G:G,'SAP BS'!$B:$B,'11. 추정 BS'!$C18)</f>
        <v>0</v>
      </c>
      <c r="BC18" s="727">
        <f>SUMIFS('SAP BS'!L:L,'SAP BS'!$B:$B,'11. 추정 BS'!$C18)</f>
        <v>0</v>
      </c>
      <c r="BD18" s="727">
        <f t="shared" si="4"/>
        <v>0</v>
      </c>
      <c r="BI18" s="727">
        <v>0</v>
      </c>
    </row>
    <row r="19" spans="2:61" ht="16.5" customHeight="1" x14ac:dyDescent="0.3">
      <c r="B19" s="748"/>
      <c r="C19" s="749" t="s">
        <v>100</v>
      </c>
      <c r="D19" s="750">
        <f>SUM(D20:D25)</f>
        <v>40222.97</v>
      </c>
      <c r="E19" s="750">
        <f t="shared" ref="E19:Q19" si="17">SUM(E20:E25)</f>
        <v>180188.63</v>
      </c>
      <c r="F19" s="750">
        <f t="shared" si="17"/>
        <v>43043.350000000006</v>
      </c>
      <c r="G19" s="750">
        <f t="shared" si="17"/>
        <v>79428.078083999979</v>
      </c>
      <c r="H19" s="750">
        <f t="shared" si="17"/>
        <v>105771.597583</v>
      </c>
      <c r="I19" s="750">
        <f t="shared" si="17"/>
        <v>136060.90698199999</v>
      </c>
      <c r="J19" s="750">
        <f t="shared" si="17"/>
        <v>139923</v>
      </c>
      <c r="K19" s="750">
        <f t="shared" si="17"/>
        <v>133030.21182299999</v>
      </c>
      <c r="L19" s="750">
        <f t="shared" si="17"/>
        <v>133030.21182299999</v>
      </c>
      <c r="M19" s="750">
        <f t="shared" si="17"/>
        <v>133030.21182299999</v>
      </c>
      <c r="N19" s="750">
        <f t="shared" si="17"/>
        <v>133030.21182299999</v>
      </c>
      <c r="O19" s="750">
        <f t="shared" si="17"/>
        <v>133030.21182299999</v>
      </c>
      <c r="P19" s="750">
        <f t="shared" si="17"/>
        <v>133030.21182299999</v>
      </c>
      <c r="Q19" s="750">
        <f t="shared" si="17"/>
        <v>133030.21182299999</v>
      </c>
      <c r="R19" s="733"/>
      <c r="S19" s="68"/>
      <c r="T19" s="734"/>
      <c r="V19" s="733" t="s">
        <v>224</v>
      </c>
      <c r="W19" s="732" t="s">
        <v>498</v>
      </c>
      <c r="X19" s="732">
        <f t="shared" si="11"/>
        <v>460612.12481000001</v>
      </c>
      <c r="Y19" s="732">
        <f t="shared" si="11"/>
        <v>439767.88092300016</v>
      </c>
      <c r="Z19" s="732">
        <f t="shared" si="11"/>
        <v>561115.00159899995</v>
      </c>
      <c r="AA19" s="732">
        <f t="shared" si="11"/>
        <v>516500.46735499997</v>
      </c>
      <c r="AB19" s="732">
        <f t="shared" si="11"/>
        <v>458255.94328999997</v>
      </c>
      <c r="AC19" s="732">
        <f t="shared" si="11"/>
        <v>429116.67119700008</v>
      </c>
      <c r="AD19" s="732">
        <f t="shared" si="11"/>
        <v>395235</v>
      </c>
      <c r="AE19" s="732">
        <f t="shared" si="11"/>
        <v>404343.36468570633</v>
      </c>
      <c r="AF19" s="732">
        <f t="shared" si="11"/>
        <v>392037.18714440899</v>
      </c>
      <c r="AG19" s="732">
        <f t="shared" si="11"/>
        <v>381493.10932724812</v>
      </c>
      <c r="AH19" s="732">
        <f t="shared" si="11"/>
        <v>374307.38018573768</v>
      </c>
      <c r="AI19" s="732">
        <f t="shared" si="11"/>
        <v>371266.95639271947</v>
      </c>
      <c r="AJ19" s="732">
        <f t="shared" si="11"/>
        <v>368794.87657407235</v>
      </c>
      <c r="AK19" s="732">
        <f t="shared" si="11"/>
        <v>367760.625283901</v>
      </c>
      <c r="BB19" s="727">
        <f>SUMIFS('SAP BS'!G:G,'SAP BS'!$B:$B,'11. 추정 BS'!$C19)</f>
        <v>139922954133</v>
      </c>
      <c r="BC19" s="727">
        <f>SUMIFS('SAP BS'!L:L,'SAP BS'!$B:$B,'11. 추정 BS'!$C19)</f>
        <v>0</v>
      </c>
      <c r="BD19" s="727">
        <f t="shared" si="4"/>
        <v>139922954133</v>
      </c>
      <c r="BE19" s="727" t="b">
        <f>BB19=SUM(BB20:BB25)</f>
        <v>1</v>
      </c>
      <c r="BF19" s="727" t="b">
        <f>BC19=SUM(BC20:BC25)</f>
        <v>1</v>
      </c>
      <c r="BG19" s="727" t="b">
        <f>BD19=SUM(BD20:BD25)</f>
        <v>1</v>
      </c>
      <c r="BI19" s="727">
        <v>0</v>
      </c>
    </row>
    <row r="20" spans="2:61" ht="16.5" customHeight="1" x14ac:dyDescent="0.3">
      <c r="B20" s="745"/>
      <c r="C20" s="746" t="s">
        <v>101</v>
      </c>
      <c r="D20" s="744">
        <v>0</v>
      </c>
      <c r="E20" s="744">
        <v>0</v>
      </c>
      <c r="F20" s="744">
        <v>0</v>
      </c>
      <c r="G20" s="744">
        <v>0</v>
      </c>
      <c r="H20" s="744">
        <v>0</v>
      </c>
      <c r="I20" s="744">
        <v>0</v>
      </c>
      <c r="J20" s="744">
        <f t="shared" ref="J20:J29" si="18">ROUND(BD20/10^6,)</f>
        <v>0</v>
      </c>
      <c r="K20" s="744">
        <v>0</v>
      </c>
      <c r="L20" s="744">
        <v>0</v>
      </c>
      <c r="M20" s="744">
        <v>0</v>
      </c>
      <c r="N20" s="744">
        <f t="shared" ref="N20:Q27" si="19">M20</f>
        <v>0</v>
      </c>
      <c r="O20" s="744">
        <f t="shared" si="19"/>
        <v>0</v>
      </c>
      <c r="P20" s="744">
        <f t="shared" si="19"/>
        <v>0</v>
      </c>
      <c r="Q20" s="744">
        <f t="shared" si="19"/>
        <v>0</v>
      </c>
      <c r="R20" s="733"/>
      <c r="S20" s="68"/>
      <c r="T20" s="734"/>
      <c r="V20" s="733"/>
      <c r="W20" s="733" t="s">
        <v>743</v>
      </c>
      <c r="X20" s="732">
        <f t="shared" ref="X20:AK20" si="20">SUM(X15:X19)</f>
        <v>3396604.0751670003</v>
      </c>
      <c r="Y20" s="732">
        <f t="shared" si="20"/>
        <v>3278403.2765870001</v>
      </c>
      <c r="Z20" s="732">
        <f t="shared" si="20"/>
        <v>4398723.0650400007</v>
      </c>
      <c r="AA20" s="732">
        <f t="shared" si="20"/>
        <v>4775193.239134999</v>
      </c>
      <c r="AB20" s="732">
        <f t="shared" si="20"/>
        <v>5119972.2233190006</v>
      </c>
      <c r="AC20" s="732">
        <f t="shared" si="20"/>
        <v>5034478.7624949981</v>
      </c>
      <c r="AD20" s="732">
        <f t="shared" si="20"/>
        <v>4979478</v>
      </c>
      <c r="AE20" s="732">
        <f t="shared" si="20"/>
        <v>4918847.4634200167</v>
      </c>
      <c r="AF20" s="732">
        <f t="shared" si="20"/>
        <v>4947622.7955078641</v>
      </c>
      <c r="AG20" s="732">
        <f t="shared" si="20"/>
        <v>4982858.5542272273</v>
      </c>
      <c r="AH20" s="732">
        <f t="shared" si="20"/>
        <v>5030371.5042594792</v>
      </c>
      <c r="AI20" s="732">
        <f t="shared" si="20"/>
        <v>5083104.2117606541</v>
      </c>
      <c r="AJ20" s="732">
        <f t="shared" si="20"/>
        <v>5140391.8225600151</v>
      </c>
      <c r="AK20" s="732">
        <f t="shared" si="20"/>
        <v>5203716.962462754</v>
      </c>
      <c r="BB20" s="727">
        <f>SUMIFS('SAP BS'!G:G,'SAP BS'!$B:$B,'11. 추정 BS'!$C20)</f>
        <v>0</v>
      </c>
      <c r="BC20" s="727">
        <f>SUMIFS('SAP BS'!L:L,'SAP BS'!$B:$B,'11. 추정 BS'!$C20)</f>
        <v>0</v>
      </c>
      <c r="BD20" s="727">
        <f t="shared" si="4"/>
        <v>0</v>
      </c>
      <c r="BI20" s="727">
        <v>0</v>
      </c>
    </row>
    <row r="21" spans="2:61" ht="16.5" customHeight="1" x14ac:dyDescent="0.3">
      <c r="B21" s="745"/>
      <c r="C21" s="746" t="s">
        <v>102</v>
      </c>
      <c r="D21" s="744">
        <v>0</v>
      </c>
      <c r="E21" s="744">
        <v>0</v>
      </c>
      <c r="F21" s="744">
        <v>0</v>
      </c>
      <c r="G21" s="744">
        <v>0</v>
      </c>
      <c r="H21" s="744">
        <v>0</v>
      </c>
      <c r="I21" s="744">
        <v>0</v>
      </c>
      <c r="J21" s="744">
        <f t="shared" si="18"/>
        <v>0</v>
      </c>
      <c r="K21" s="744">
        <v>0</v>
      </c>
      <c r="L21" s="744">
        <v>0</v>
      </c>
      <c r="M21" s="744">
        <v>0</v>
      </c>
      <c r="N21" s="744">
        <f t="shared" si="19"/>
        <v>0</v>
      </c>
      <c r="O21" s="744">
        <f t="shared" si="19"/>
        <v>0</v>
      </c>
      <c r="P21" s="744">
        <f t="shared" si="19"/>
        <v>0</v>
      </c>
      <c r="Q21" s="744">
        <f t="shared" si="19"/>
        <v>0</v>
      </c>
      <c r="R21" s="733"/>
      <c r="S21" s="68"/>
      <c r="T21" s="734"/>
      <c r="V21" s="733" t="s">
        <v>744</v>
      </c>
      <c r="W21" s="732" t="s">
        <v>186</v>
      </c>
      <c r="X21" s="732">
        <f t="shared" ref="X21:AK22" si="21">SUMIF($R$4:$R$141,$V21,D$4:D$141)</f>
        <v>77000</v>
      </c>
      <c r="Y21" s="732">
        <f t="shared" si="21"/>
        <v>77000</v>
      </c>
      <c r="Z21" s="732">
        <f t="shared" si="21"/>
        <v>104717.92200000001</v>
      </c>
      <c r="AA21" s="732">
        <f t="shared" si="21"/>
        <v>104717.92200000001</v>
      </c>
      <c r="AB21" s="732">
        <f t="shared" si="21"/>
        <v>104717.92200000001</v>
      </c>
      <c r="AC21" s="732">
        <f t="shared" si="21"/>
        <v>83607.415000000008</v>
      </c>
      <c r="AD21" s="732">
        <f t="shared" si="21"/>
        <v>83607</v>
      </c>
      <c r="AE21" s="732">
        <f t="shared" si="21"/>
        <v>83607.415000000008</v>
      </c>
      <c r="AF21" s="732">
        <f t="shared" si="21"/>
        <v>83607.415000000008</v>
      </c>
      <c r="AG21" s="732">
        <f t="shared" si="21"/>
        <v>83607.415000000008</v>
      </c>
      <c r="AH21" s="732">
        <f t="shared" si="21"/>
        <v>83607.415000000008</v>
      </c>
      <c r="AI21" s="732">
        <f t="shared" si="21"/>
        <v>83607.415000000008</v>
      </c>
      <c r="AJ21" s="732">
        <f t="shared" si="21"/>
        <v>83607.415000000008</v>
      </c>
      <c r="AK21" s="732">
        <f t="shared" si="21"/>
        <v>83607.415000000008</v>
      </c>
      <c r="BB21" s="727">
        <f>SUMIFS('SAP BS'!G:G,'SAP BS'!$B:$B,'11. 추정 BS'!$C21)</f>
        <v>0</v>
      </c>
      <c r="BC21" s="727">
        <f>SUMIFS('SAP BS'!L:L,'SAP BS'!$B:$B,'11. 추정 BS'!$C21)</f>
        <v>0</v>
      </c>
      <c r="BD21" s="727">
        <f t="shared" si="4"/>
        <v>0</v>
      </c>
      <c r="BI21" s="727">
        <v>0</v>
      </c>
    </row>
    <row r="22" spans="2:61" ht="16.5" customHeight="1" x14ac:dyDescent="0.3">
      <c r="B22" s="745"/>
      <c r="C22" s="746" t="s">
        <v>103</v>
      </c>
      <c r="D22" s="744">
        <v>0</v>
      </c>
      <c r="E22" s="744">
        <v>0</v>
      </c>
      <c r="F22" s="744">
        <v>0</v>
      </c>
      <c r="G22" s="744">
        <v>0</v>
      </c>
      <c r="H22" s="744">
        <v>0</v>
      </c>
      <c r="I22" s="744">
        <v>0</v>
      </c>
      <c r="J22" s="744">
        <f t="shared" si="18"/>
        <v>0</v>
      </c>
      <c r="K22" s="744">
        <v>0</v>
      </c>
      <c r="L22" s="744">
        <v>0</v>
      </c>
      <c r="M22" s="744">
        <v>0</v>
      </c>
      <c r="N22" s="744">
        <f t="shared" si="19"/>
        <v>0</v>
      </c>
      <c r="O22" s="744">
        <f t="shared" si="19"/>
        <v>0</v>
      </c>
      <c r="P22" s="744">
        <f t="shared" si="19"/>
        <v>0</v>
      </c>
      <c r="Q22" s="744">
        <f t="shared" si="19"/>
        <v>0</v>
      </c>
      <c r="R22" s="733"/>
      <c r="S22" s="68"/>
      <c r="T22" s="734"/>
      <c r="V22" s="733" t="s">
        <v>225</v>
      </c>
      <c r="W22" s="732" t="s">
        <v>745</v>
      </c>
      <c r="X22" s="732">
        <f t="shared" si="21"/>
        <v>2103734.7364750011</v>
      </c>
      <c r="Y22" s="732">
        <f t="shared" si="21"/>
        <v>2240469.2729830015</v>
      </c>
      <c r="Z22" s="732">
        <f t="shared" si="21"/>
        <v>2574871.1865930012</v>
      </c>
      <c r="AA22" s="732">
        <f t="shared" si="21"/>
        <v>2442493.8246430005</v>
      </c>
      <c r="AB22" s="732">
        <f t="shared" si="21"/>
        <v>2370752.0110030007</v>
      </c>
      <c r="AC22" s="732">
        <f t="shared" si="21"/>
        <v>1437801.6678840024</v>
      </c>
      <c r="AD22" s="732">
        <f t="shared" si="21"/>
        <v>1494462.9999999995</v>
      </c>
      <c r="AE22" s="732">
        <f t="shared" si="21"/>
        <v>1524402.1489256285</v>
      </c>
      <c r="AF22" s="732">
        <f t="shared" si="21"/>
        <v>1560134.47410772</v>
      </c>
      <c r="AG22" s="732">
        <f t="shared" si="21"/>
        <v>1588205.0171403242</v>
      </c>
      <c r="AH22" s="732">
        <f t="shared" si="21"/>
        <v>1619721.6373884268</v>
      </c>
      <c r="AI22" s="732">
        <f t="shared" si="21"/>
        <v>1664449.32368798</v>
      </c>
      <c r="AJ22" s="732">
        <f t="shared" si="21"/>
        <v>1711271.7321032137</v>
      </c>
      <c r="AK22" s="732">
        <f t="shared" si="21"/>
        <v>1764845.8359682895</v>
      </c>
      <c r="BB22" s="727">
        <f>SUMIFS('SAP BS'!G:G,'SAP BS'!$B:$B,'11. 추정 BS'!$C22)</f>
        <v>0</v>
      </c>
      <c r="BC22" s="727">
        <f>SUMIFS('SAP BS'!L:L,'SAP BS'!$B:$B,'11. 추정 BS'!$C22)</f>
        <v>0</v>
      </c>
      <c r="BD22" s="727">
        <f t="shared" si="4"/>
        <v>0</v>
      </c>
      <c r="BI22" s="727">
        <v>0</v>
      </c>
    </row>
    <row r="23" spans="2:61" ht="16.5" customHeight="1" x14ac:dyDescent="0.3">
      <c r="B23" s="745"/>
      <c r="C23" s="746" t="s">
        <v>104</v>
      </c>
      <c r="D23" s="744">
        <v>0</v>
      </c>
      <c r="E23" s="744">
        <v>0</v>
      </c>
      <c r="F23" s="744">
        <v>0</v>
      </c>
      <c r="G23" s="744">
        <v>879.31140000000005</v>
      </c>
      <c r="H23" s="744">
        <v>0</v>
      </c>
      <c r="I23" s="744">
        <v>0</v>
      </c>
      <c r="J23" s="744">
        <f t="shared" si="18"/>
        <v>0</v>
      </c>
      <c r="K23" s="744">
        <v>0</v>
      </c>
      <c r="L23" s="744">
        <v>0</v>
      </c>
      <c r="M23" s="744">
        <v>0</v>
      </c>
      <c r="N23" s="744">
        <f t="shared" si="19"/>
        <v>0</v>
      </c>
      <c r="O23" s="744">
        <f t="shared" si="19"/>
        <v>0</v>
      </c>
      <c r="P23" s="744">
        <f t="shared" si="19"/>
        <v>0</v>
      </c>
      <c r="Q23" s="744">
        <f t="shared" si="19"/>
        <v>0</v>
      </c>
      <c r="R23" s="733" t="s">
        <v>217</v>
      </c>
      <c r="S23" s="68"/>
      <c r="T23" s="734"/>
      <c r="V23" s="733"/>
      <c r="W23" s="733" t="s">
        <v>746</v>
      </c>
      <c r="X23" s="732">
        <f>SUM(X21:X22)</f>
        <v>2180734.7364750011</v>
      </c>
      <c r="Y23" s="732">
        <f t="shared" ref="Y23:AK23" si="22">SUM(Y21:Y22)</f>
        <v>2317469.2729830015</v>
      </c>
      <c r="Z23" s="732">
        <f t="shared" si="22"/>
        <v>2679589.108593001</v>
      </c>
      <c r="AA23" s="732">
        <f t="shared" si="22"/>
        <v>2547211.7466430003</v>
      </c>
      <c r="AB23" s="732">
        <f t="shared" si="22"/>
        <v>2475469.9330030004</v>
      </c>
      <c r="AC23" s="732">
        <f t="shared" si="22"/>
        <v>1521409.0828840025</v>
      </c>
      <c r="AD23" s="732">
        <f t="shared" si="22"/>
        <v>1578069.9999999995</v>
      </c>
      <c r="AE23" s="732">
        <f t="shared" si="22"/>
        <v>1608009.5639256286</v>
      </c>
      <c r="AF23" s="732">
        <f t="shared" si="22"/>
        <v>1643741.88910772</v>
      </c>
      <c r="AG23" s="732">
        <f t="shared" si="22"/>
        <v>1671812.4321403243</v>
      </c>
      <c r="AH23" s="732">
        <f t="shared" si="22"/>
        <v>1703329.0523884268</v>
      </c>
      <c r="AI23" s="732">
        <f t="shared" si="22"/>
        <v>1748056.73868798</v>
      </c>
      <c r="AJ23" s="732">
        <f t="shared" si="22"/>
        <v>1794879.1471032137</v>
      </c>
      <c r="AK23" s="732">
        <f t="shared" si="22"/>
        <v>1848453.2509682896</v>
      </c>
      <c r="BB23" s="727">
        <f>SUMIFS('SAP BS'!G:G,'SAP BS'!$B:$B,'11. 추정 BS'!$C23)</f>
        <v>0</v>
      </c>
      <c r="BC23" s="727">
        <f>SUMIFS('SAP BS'!L:L,'SAP BS'!$B:$B,'11. 추정 BS'!$C23)</f>
        <v>0</v>
      </c>
      <c r="BD23" s="727">
        <f t="shared" si="4"/>
        <v>0</v>
      </c>
      <c r="BI23" s="727">
        <v>0</v>
      </c>
    </row>
    <row r="24" spans="2:61" ht="16.5" customHeight="1" x14ac:dyDescent="0.3">
      <c r="B24" s="745"/>
      <c r="C24" s="746" t="s">
        <v>105</v>
      </c>
      <c r="D24" s="744">
        <v>40222.97</v>
      </c>
      <c r="E24" s="744">
        <v>180188.63</v>
      </c>
      <c r="F24" s="744">
        <v>43043.350000000006</v>
      </c>
      <c r="G24" s="744">
        <v>78548.766683999973</v>
      </c>
      <c r="H24" s="744">
        <v>105771.597583</v>
      </c>
      <c r="I24" s="732">
        <v>136060.90698199999</v>
      </c>
      <c r="J24" s="732">
        <f t="shared" si="18"/>
        <v>139923</v>
      </c>
      <c r="K24" s="732">
        <v>133030.21182299999</v>
      </c>
      <c r="L24" s="732">
        <v>133030.21182299999</v>
      </c>
      <c r="M24" s="744">
        <v>133030.21182299999</v>
      </c>
      <c r="N24" s="744">
        <f t="shared" si="19"/>
        <v>133030.21182299999</v>
      </c>
      <c r="O24" s="744">
        <f t="shared" si="19"/>
        <v>133030.21182299999</v>
      </c>
      <c r="P24" s="744">
        <f t="shared" si="19"/>
        <v>133030.21182299999</v>
      </c>
      <c r="Q24" s="744">
        <f t="shared" si="19"/>
        <v>133030.21182299999</v>
      </c>
      <c r="R24" s="733" t="s">
        <v>217</v>
      </c>
      <c r="S24" s="68"/>
      <c r="T24" s="734" t="s">
        <v>8893</v>
      </c>
      <c r="V24" s="733"/>
      <c r="W24" s="733" t="s">
        <v>747</v>
      </c>
      <c r="X24" s="732">
        <f>X20+X23</f>
        <v>5577338.8116420014</v>
      </c>
      <c r="Y24" s="732">
        <f t="shared" ref="Y24:AK24" si="23">Y20+Y23</f>
        <v>5595872.5495700017</v>
      </c>
      <c r="Z24" s="732">
        <f t="shared" si="23"/>
        <v>7078312.1736330017</v>
      </c>
      <c r="AA24" s="732">
        <f t="shared" si="23"/>
        <v>7322404.9857779993</v>
      </c>
      <c r="AB24" s="732">
        <f t="shared" si="23"/>
        <v>7595442.1563220005</v>
      </c>
      <c r="AC24" s="732">
        <f t="shared" si="23"/>
        <v>6555887.8453790005</v>
      </c>
      <c r="AD24" s="732">
        <f t="shared" si="23"/>
        <v>6557548</v>
      </c>
      <c r="AE24" s="732">
        <f t="shared" si="23"/>
        <v>6526857.0273456452</v>
      </c>
      <c r="AF24" s="732">
        <f t="shared" si="23"/>
        <v>6591364.6846155841</v>
      </c>
      <c r="AG24" s="732">
        <f t="shared" si="23"/>
        <v>6654670.9863675516</v>
      </c>
      <c r="AH24" s="732">
        <f t="shared" si="23"/>
        <v>6733700.5566479061</v>
      </c>
      <c r="AI24" s="732">
        <f t="shared" si="23"/>
        <v>6831160.9504486341</v>
      </c>
      <c r="AJ24" s="732">
        <f t="shared" si="23"/>
        <v>6935270.9696632288</v>
      </c>
      <c r="AK24" s="732">
        <f t="shared" si="23"/>
        <v>7052170.2134310436</v>
      </c>
      <c r="BB24" s="727">
        <f>SUMIFS('SAP BS'!G:G,'SAP BS'!$B:$B,'11. 추정 BS'!$C24)</f>
        <v>139922954133</v>
      </c>
      <c r="BC24" s="727">
        <f>SUMIFS('SAP BS'!L:L,'SAP BS'!$B:$B,'11. 추정 BS'!$C24)</f>
        <v>0</v>
      </c>
      <c r="BD24" s="727">
        <f t="shared" si="4"/>
        <v>139922954133</v>
      </c>
      <c r="BI24" s="727">
        <v>0</v>
      </c>
    </row>
    <row r="25" spans="2:61" ht="16.5" customHeight="1" x14ac:dyDescent="0.3">
      <c r="B25" s="745"/>
      <c r="C25" s="746" t="s">
        <v>106</v>
      </c>
      <c r="D25" s="744">
        <v>0</v>
      </c>
      <c r="E25" s="744">
        <v>0</v>
      </c>
      <c r="F25" s="744">
        <v>0</v>
      </c>
      <c r="G25" s="744">
        <v>0</v>
      </c>
      <c r="H25" s="744">
        <v>0</v>
      </c>
      <c r="I25" s="732">
        <v>0</v>
      </c>
      <c r="J25" s="732">
        <f t="shared" si="18"/>
        <v>0</v>
      </c>
      <c r="K25" s="732">
        <v>0</v>
      </c>
      <c r="L25" s="732">
        <v>0</v>
      </c>
      <c r="M25" s="744">
        <v>0</v>
      </c>
      <c r="N25" s="744">
        <f>M25</f>
        <v>0</v>
      </c>
      <c r="O25" s="744">
        <f>N25</f>
        <v>0</v>
      </c>
      <c r="P25" s="744">
        <f>O25</f>
        <v>0</v>
      </c>
      <c r="Q25" s="744">
        <f>P25</f>
        <v>0</v>
      </c>
      <c r="R25" s="733"/>
      <c r="S25" s="68"/>
      <c r="T25" s="734"/>
      <c r="BA25" s="727" t="e" cm="1">
        <f t="array" ref="BA25">+BA25:BL25BA25:BN25BA25:BJ25</f>
        <v>#NAME?</v>
      </c>
      <c r="BB25" s="727">
        <f>SUMIFS('SAP BS'!G:G,'SAP BS'!$B:$B,'11. 추정 BS'!$C25)</f>
        <v>0</v>
      </c>
      <c r="BC25" s="727">
        <f>SUMIFS('SAP BS'!L:L,'SAP BS'!$B:$B,'11. 추정 BS'!$C25)</f>
        <v>0</v>
      </c>
      <c r="BD25" s="727">
        <f t="shared" si="4"/>
        <v>0</v>
      </c>
      <c r="BI25" s="727">
        <v>0</v>
      </c>
    </row>
    <row r="26" spans="2:61" ht="16.5" customHeight="1" x14ac:dyDescent="0.3">
      <c r="B26" s="748"/>
      <c r="C26" s="749" t="s">
        <v>107</v>
      </c>
      <c r="D26" s="750">
        <v>92763.949993000002</v>
      </c>
      <c r="E26" s="750">
        <v>89932.95470599999</v>
      </c>
      <c r="F26" s="750">
        <v>66284.297530999989</v>
      </c>
      <c r="G26" s="750">
        <v>81746.850786999988</v>
      </c>
      <c r="H26" s="750">
        <v>77952.766022999989</v>
      </c>
      <c r="I26" s="750">
        <v>87675.502042999986</v>
      </c>
      <c r="J26" s="750">
        <f t="shared" si="18"/>
        <v>80070</v>
      </c>
      <c r="K26" s="750">
        <v>80022.584475000011</v>
      </c>
      <c r="L26" s="750">
        <v>80022.584475000011</v>
      </c>
      <c r="M26" s="750">
        <v>80022.584474999996</v>
      </c>
      <c r="N26" s="750">
        <f t="shared" si="19"/>
        <v>80022.584474999996</v>
      </c>
      <c r="O26" s="750">
        <f>N26</f>
        <v>80022.584474999996</v>
      </c>
      <c r="P26" s="750">
        <f>O26</f>
        <v>80022.584474999996</v>
      </c>
      <c r="Q26" s="750">
        <f>P26</f>
        <v>80022.584474999996</v>
      </c>
      <c r="R26" s="733" t="s">
        <v>226</v>
      </c>
      <c r="S26" s="68"/>
      <c r="T26" s="734" t="s">
        <v>8893</v>
      </c>
      <c r="V26" s="725"/>
      <c r="W26" s="725"/>
      <c r="X26" s="726">
        <f t="shared" ref="X26:AK26" si="24">X14-X24</f>
        <v>0</v>
      </c>
      <c r="Y26" s="726">
        <f t="shared" si="24"/>
        <v>0</v>
      </c>
      <c r="Z26" s="726">
        <f t="shared" si="24"/>
        <v>0</v>
      </c>
      <c r="AA26" s="726">
        <f t="shared" si="24"/>
        <v>2.0300000905990601E-2</v>
      </c>
      <c r="AB26" s="726">
        <f t="shared" si="24"/>
        <v>0</v>
      </c>
      <c r="AC26" s="726">
        <f t="shared" si="24"/>
        <v>0</v>
      </c>
      <c r="AD26" s="726">
        <f t="shared" si="24"/>
        <v>0</v>
      </c>
      <c r="AE26" s="726">
        <f t="shared" si="24"/>
        <v>0</v>
      </c>
      <c r="AF26" s="726">
        <f t="shared" si="24"/>
        <v>0</v>
      </c>
      <c r="AG26" s="726">
        <f t="shared" si="24"/>
        <v>0</v>
      </c>
      <c r="AH26" s="726">
        <f t="shared" si="24"/>
        <v>0</v>
      </c>
      <c r="AI26" s="726">
        <f t="shared" si="24"/>
        <v>0</v>
      </c>
      <c r="AJ26" s="726">
        <f t="shared" si="24"/>
        <v>0</v>
      </c>
      <c r="AK26" s="726">
        <f t="shared" si="24"/>
        <v>0</v>
      </c>
      <c r="BB26" s="727">
        <f>SUMIFS('SAP BS'!G:G,'SAP BS'!$B:$B,'11. 추정 BS'!$C26)</f>
        <v>89596322727</v>
      </c>
      <c r="BC26" s="727">
        <f>SUMIFS('SAP BS'!L:L,'SAP BS'!$B:$B,'11. 추정 BS'!$C26)</f>
        <v>9526003453</v>
      </c>
      <c r="BD26" s="727">
        <f t="shared" si="4"/>
        <v>80070319274</v>
      </c>
      <c r="BI26" s="727">
        <v>0</v>
      </c>
    </row>
    <row r="27" spans="2:61" ht="16.5" customHeight="1" x14ac:dyDescent="0.3">
      <c r="B27" s="748"/>
      <c r="C27" s="749" t="s">
        <v>108</v>
      </c>
      <c r="D27" s="750">
        <v>0</v>
      </c>
      <c r="E27" s="750">
        <v>9.2004528995381918E-14</v>
      </c>
      <c r="F27" s="750">
        <v>0</v>
      </c>
      <c r="G27" s="750">
        <v>0</v>
      </c>
      <c r="H27" s="750">
        <v>-9.511239999999999</v>
      </c>
      <c r="I27" s="750">
        <v>-55.0379</v>
      </c>
      <c r="J27" s="750">
        <f t="shared" si="18"/>
        <v>-56</v>
      </c>
      <c r="K27" s="750">
        <v>-55.084200000000003</v>
      </c>
      <c r="L27" s="750">
        <v>-55.084200000000003</v>
      </c>
      <c r="M27" s="750">
        <v>-55.084200000000003</v>
      </c>
      <c r="N27" s="750">
        <f t="shared" si="19"/>
        <v>-55.084200000000003</v>
      </c>
      <c r="O27" s="750">
        <f t="shared" si="19"/>
        <v>-55.084200000000003</v>
      </c>
      <c r="P27" s="750">
        <f t="shared" si="19"/>
        <v>-55.084200000000003</v>
      </c>
      <c r="Q27" s="750">
        <f t="shared" si="19"/>
        <v>-55.084200000000003</v>
      </c>
      <c r="R27" s="733" t="s">
        <v>226</v>
      </c>
      <c r="S27" s="68"/>
      <c r="T27" s="734" t="s">
        <v>748</v>
      </c>
      <c r="BB27" s="727">
        <f>SUMIFS('SAP BS'!G:G,'SAP BS'!$B:$B,'11. 추정 BS'!$C27)</f>
        <v>0</v>
      </c>
      <c r="BC27" s="727">
        <f>SUMIFS('SAP BS'!L:L,'SAP BS'!$B:$B,'11. 추정 BS'!$C27)</f>
        <v>55737380</v>
      </c>
      <c r="BD27" s="727">
        <f t="shared" si="4"/>
        <v>-55737380</v>
      </c>
      <c r="BI27" s="727">
        <v>0</v>
      </c>
    </row>
    <row r="28" spans="2:61" ht="16.5" customHeight="1" x14ac:dyDescent="0.3">
      <c r="B28" s="748"/>
      <c r="C28" s="749" t="s">
        <v>109</v>
      </c>
      <c r="D28" s="750">
        <v>175779.70290800001</v>
      </c>
      <c r="E28" s="750">
        <v>179790.285003</v>
      </c>
      <c r="F28" s="750">
        <v>140766.34644600001</v>
      </c>
      <c r="G28" s="750">
        <v>171990.53417100001</v>
      </c>
      <c r="H28" s="750">
        <v>260554.30106900001</v>
      </c>
      <c r="I28" s="750">
        <v>265739.45792300004</v>
      </c>
      <c r="J28" s="750">
        <f t="shared" si="18"/>
        <v>295985</v>
      </c>
      <c r="K28" s="750">
        <f t="shared" ref="K28:Q28" si="25">AS28</f>
        <v>287173.42483855475</v>
      </c>
      <c r="L28" s="750">
        <f t="shared" si="25"/>
        <v>292681.99126353982</v>
      </c>
      <c r="M28" s="750">
        <f>AU28</f>
        <v>298377.61134060845</v>
      </c>
      <c r="N28" s="750">
        <f t="shared" si="25"/>
        <v>304585.56957362202</v>
      </c>
      <c r="O28" s="750">
        <f t="shared" si="25"/>
        <v>310924.80305109837</v>
      </c>
      <c r="P28" s="750">
        <f t="shared" si="25"/>
        <v>317982.43149353558</v>
      </c>
      <c r="Q28" s="750">
        <f t="shared" si="25"/>
        <v>325668.27267072321</v>
      </c>
      <c r="R28" s="733" t="s">
        <v>220</v>
      </c>
      <c r="S28" s="68"/>
      <c r="T28" s="734" t="s">
        <v>8895</v>
      </c>
      <c r="V28" s="730" t="s">
        <v>749</v>
      </c>
      <c r="AM28" s="727" t="s">
        <v>750</v>
      </c>
      <c r="AS28" s="727">
        <f>'12. 추정 IS'!K32/$AR$30</f>
        <v>287173.42483855475</v>
      </c>
      <c r="AT28" s="727">
        <f>'12. 추정 IS'!L32/$AR$30</f>
        <v>292681.99126353982</v>
      </c>
      <c r="AU28" s="727">
        <f>'12. 추정 IS'!M32/$AR$30</f>
        <v>298377.61134060845</v>
      </c>
      <c r="AV28" s="727">
        <f>'12. 추정 IS'!N32/$AR$30</f>
        <v>304585.56957362202</v>
      </c>
      <c r="AW28" s="727">
        <f>'12. 추정 IS'!O32/$AR$30</f>
        <v>310924.80305109837</v>
      </c>
      <c r="AX28" s="727">
        <f>'12. 추정 IS'!P32/$AR$30</f>
        <v>317982.43149353558</v>
      </c>
      <c r="AY28" s="727">
        <f>'12. 추정 IS'!Q32/$AR$30</f>
        <v>325668.27267072321</v>
      </c>
      <c r="BB28" s="727">
        <f>SUMIFS('SAP BS'!G:G,'SAP BS'!$B:$B,'11. 추정 BS'!$C28)</f>
        <v>329647586199</v>
      </c>
      <c r="BC28" s="727">
        <f>SUMIFS('SAP BS'!L:L,'SAP BS'!$B:$B,'11. 추정 BS'!$C28)</f>
        <v>33662679103</v>
      </c>
      <c r="BD28" s="727">
        <f t="shared" si="4"/>
        <v>295984907096</v>
      </c>
      <c r="BI28" s="727">
        <v>0</v>
      </c>
    </row>
    <row r="29" spans="2:61" ht="16.5" customHeight="1" x14ac:dyDescent="0.3">
      <c r="B29" s="748"/>
      <c r="C29" s="749" t="s">
        <v>110</v>
      </c>
      <c r="D29" s="750">
        <v>0</v>
      </c>
      <c r="E29" s="750">
        <v>0</v>
      </c>
      <c r="F29" s="750">
        <v>50000</v>
      </c>
      <c r="G29" s="750">
        <v>0</v>
      </c>
      <c r="H29" s="750">
        <v>0</v>
      </c>
      <c r="I29" s="750">
        <v>0</v>
      </c>
      <c r="J29" s="750">
        <f t="shared" si="18"/>
        <v>0</v>
      </c>
      <c r="K29" s="750">
        <v>0</v>
      </c>
      <c r="L29" s="750">
        <v>0</v>
      </c>
      <c r="M29" s="750">
        <v>0</v>
      </c>
      <c r="N29" s="750">
        <f t="shared" ref="N29:Q33" si="26">M29</f>
        <v>0</v>
      </c>
      <c r="O29" s="750">
        <f t="shared" si="26"/>
        <v>0</v>
      </c>
      <c r="P29" s="750">
        <f t="shared" si="26"/>
        <v>0</v>
      </c>
      <c r="Q29" s="750">
        <f t="shared" si="26"/>
        <v>0</v>
      </c>
      <c r="R29" s="733" t="s">
        <v>217</v>
      </c>
      <c r="S29" s="68"/>
      <c r="T29" s="734"/>
      <c r="AM29" s="727" t="s">
        <v>751</v>
      </c>
      <c r="AN29" s="727">
        <f>'12. 추정 IS'!F32/'11. 추정 BS'!F28</f>
        <v>52.334266943051261</v>
      </c>
      <c r="AO29" s="727">
        <f>'12. 추정 IS'!G32/'11. 추정 BS'!G28</f>
        <v>46.318364376364805</v>
      </c>
      <c r="AP29" s="727">
        <f>'12. 추정 IS'!H32/'11. 추정 BS'!H28</f>
        <v>32.112356799388422</v>
      </c>
      <c r="AQ29" s="727">
        <f>'12. 추정 IS'!I32/'11. 추정 BS'!I28</f>
        <v>33.623849472448441</v>
      </c>
      <c r="AR29" s="727">
        <f>'12. 추정 IS'!J32/'11. 추정 BS'!J28</f>
        <v>31.437177559673632</v>
      </c>
      <c r="AS29" s="727">
        <f>'12. 추정 IS'!K32/'11. 추정 BS'!K28</f>
        <v>33.12988376687526</v>
      </c>
      <c r="AT29" s="727">
        <f>'12. 추정 IS'!L32/'11. 추정 BS'!L28</f>
        <v>33.12988376687526</v>
      </c>
      <c r="AU29" s="727">
        <f>'12. 추정 IS'!M32/'11. 추정 BS'!M28</f>
        <v>33.12988376687526</v>
      </c>
      <c r="AV29" s="727">
        <f>'12. 추정 IS'!N32/'11. 추정 BS'!N28</f>
        <v>33.12988376687526</v>
      </c>
      <c r="AW29" s="727">
        <f>'12. 추정 IS'!O32/'11. 추정 BS'!O28</f>
        <v>33.12988376687526</v>
      </c>
      <c r="AX29" s="727">
        <f>'12. 추정 IS'!P32/'11. 추정 BS'!P28</f>
        <v>33.12988376687526</v>
      </c>
      <c r="AY29" s="727">
        <f>'12. 추정 IS'!Q32/'11. 추정 BS'!Q28</f>
        <v>33.12988376687526</v>
      </c>
      <c r="BB29" s="727">
        <f>SUMIFS('SAP BS'!G:G,'SAP BS'!$B:$B,'11. 추정 BS'!$C29)</f>
        <v>0</v>
      </c>
      <c r="BC29" s="727">
        <f>SUMIFS('SAP BS'!L:L,'SAP BS'!$B:$B,'11. 추정 BS'!$C29)</f>
        <v>0</v>
      </c>
      <c r="BD29" s="727">
        <f t="shared" si="4"/>
        <v>0</v>
      </c>
      <c r="BI29" s="727">
        <v>0</v>
      </c>
    </row>
    <row r="30" spans="2:61" ht="16.5" customHeight="1" x14ac:dyDescent="0.3">
      <c r="B30" s="745"/>
      <c r="C30" s="751" t="s">
        <v>111</v>
      </c>
      <c r="D30" s="744">
        <v>0</v>
      </c>
      <c r="E30" s="744">
        <v>0</v>
      </c>
      <c r="F30" s="744">
        <v>0</v>
      </c>
      <c r="G30" s="744">
        <v>0</v>
      </c>
      <c r="H30" s="744">
        <v>0</v>
      </c>
      <c r="I30" s="744">
        <v>0</v>
      </c>
      <c r="J30" s="744">
        <v>0</v>
      </c>
      <c r="K30" s="744">
        <v>0</v>
      </c>
      <c r="L30" s="744">
        <v>0</v>
      </c>
      <c r="M30" s="744">
        <v>0</v>
      </c>
      <c r="N30" s="744">
        <f t="shared" si="26"/>
        <v>0</v>
      </c>
      <c r="O30" s="744">
        <f t="shared" si="26"/>
        <v>0</v>
      </c>
      <c r="P30" s="744">
        <f t="shared" si="26"/>
        <v>0</v>
      </c>
      <c r="Q30" s="744">
        <f t="shared" si="26"/>
        <v>0</v>
      </c>
      <c r="R30" s="733"/>
      <c r="S30" s="68"/>
      <c r="T30" s="734"/>
      <c r="V30" s="724" t="s">
        <v>734</v>
      </c>
      <c r="W30" s="724"/>
      <c r="X30" s="724">
        <f t="shared" ref="X30:AK30" si="27">X5</f>
        <v>2019</v>
      </c>
      <c r="Y30" s="724">
        <f t="shared" si="27"/>
        <v>2020</v>
      </c>
      <c r="Z30" s="724">
        <f t="shared" si="27"/>
        <v>2021</v>
      </c>
      <c r="AA30" s="724">
        <f t="shared" si="27"/>
        <v>2022</v>
      </c>
      <c r="AB30" s="724">
        <f t="shared" si="27"/>
        <v>2023</v>
      </c>
      <c r="AC30" s="724">
        <f t="shared" si="27"/>
        <v>2024</v>
      </c>
      <c r="AD30" s="724">
        <f t="shared" si="27"/>
        <v>2025</v>
      </c>
      <c r="AE30" s="724">
        <f t="shared" si="27"/>
        <v>2026</v>
      </c>
      <c r="AF30" s="724">
        <f t="shared" si="27"/>
        <v>2027</v>
      </c>
      <c r="AG30" s="724">
        <f t="shared" si="27"/>
        <v>2028</v>
      </c>
      <c r="AH30" s="724">
        <f t="shared" si="27"/>
        <v>2029</v>
      </c>
      <c r="AI30" s="724">
        <f t="shared" si="27"/>
        <v>2030</v>
      </c>
      <c r="AJ30" s="724">
        <f t="shared" si="27"/>
        <v>2031</v>
      </c>
      <c r="AK30" s="724">
        <f t="shared" si="27"/>
        <v>2032</v>
      </c>
      <c r="AP30" s="727">
        <f>'12. 추정 IS'!H32/AVERAGE(G28:H28)</f>
        <v>38.68737758433997</v>
      </c>
      <c r="AQ30" s="727">
        <f>'12. 추정 IS'!I32/AVERAGE(H28:I28)</f>
        <v>33.95511871243307</v>
      </c>
      <c r="AR30" s="727">
        <f>'12. 추정 IS'!J32/AVERAGE(I28:J28)</f>
        <v>33.12988376687526</v>
      </c>
      <c r="AS30" s="727">
        <f>'12. 추정 IS'!K32/AVERAGE(J28:K28)</f>
        <v>32.629288305217329</v>
      </c>
      <c r="AT30" s="727">
        <f>'12. 추정 IS'!L32/AVERAGE(K28:L28)</f>
        <v>33.444614232977749</v>
      </c>
      <c r="AU30" s="727">
        <f>'12. 추정 IS'!M32/AVERAGE(L28:M28)</f>
        <v>33.44913284142239</v>
      </c>
      <c r="AV30" s="727">
        <f>'12. 추정 IS'!N32/AVERAGE(M28:N28)</f>
        <v>33.470980771135977</v>
      </c>
      <c r="AW30" s="727">
        <f>'12. 추정 IS'!O32/AVERAGE(N28:O28)</f>
        <v>33.471093399759745</v>
      </c>
      <c r="AX30" s="727">
        <f>'12. 추정 IS'!P32/AVERAGE(O28:P28)</f>
        <v>33.501668979581609</v>
      </c>
      <c r="AY30" s="727">
        <f>'12. 추정 IS'!Q32/AVERAGE(P28:Q28)</f>
        <v>33.52548812682312</v>
      </c>
      <c r="BB30" s="727">
        <f>SUMIFS('SAP BS'!G:G,'SAP BS'!$B:$B,'11. 추정 BS'!$C30)</f>
        <v>0</v>
      </c>
      <c r="BC30" s="727">
        <f>SUMIFS('SAP BS'!L:L,'SAP BS'!$B:$B,'11. 추정 BS'!$C30)</f>
        <v>0</v>
      </c>
      <c r="BD30" s="727">
        <f t="shared" si="4"/>
        <v>0</v>
      </c>
      <c r="BI30" s="727">
        <v>0</v>
      </c>
    </row>
    <row r="31" spans="2:61" ht="16.5" customHeight="1" x14ac:dyDescent="0.3">
      <c r="B31" s="745"/>
      <c r="C31" s="751" t="s">
        <v>112</v>
      </c>
      <c r="D31" s="744">
        <v>0</v>
      </c>
      <c r="E31" s="744">
        <v>0</v>
      </c>
      <c r="F31" s="744">
        <v>0</v>
      </c>
      <c r="G31" s="744">
        <v>0</v>
      </c>
      <c r="H31" s="744">
        <v>0</v>
      </c>
      <c r="I31" s="744">
        <v>0</v>
      </c>
      <c r="J31" s="744">
        <v>0</v>
      </c>
      <c r="K31" s="744">
        <v>0</v>
      </c>
      <c r="L31" s="744">
        <v>0</v>
      </c>
      <c r="M31" s="744">
        <v>0</v>
      </c>
      <c r="N31" s="744">
        <f t="shared" si="26"/>
        <v>0</v>
      </c>
      <c r="O31" s="744">
        <f t="shared" si="26"/>
        <v>0</v>
      </c>
      <c r="P31" s="744">
        <f t="shared" si="26"/>
        <v>0</v>
      </c>
      <c r="Q31" s="744">
        <f t="shared" si="26"/>
        <v>0</v>
      </c>
      <c r="R31" s="733"/>
      <c r="S31" s="68"/>
      <c r="T31" s="734"/>
      <c r="V31" s="732" t="s">
        <v>752</v>
      </c>
      <c r="W31" s="732"/>
      <c r="X31" s="752">
        <v>2103064.7519390001</v>
      </c>
      <c r="Y31" s="732">
        <f t="shared" ref="Y31:AK31" si="28">X41</f>
        <v>2180734.7364750011</v>
      </c>
      <c r="Z31" s="732">
        <f t="shared" si="28"/>
        <v>2317469.2729830015</v>
      </c>
      <c r="AA31" s="732">
        <f t="shared" si="28"/>
        <v>2679589.108593001</v>
      </c>
      <c r="AB31" s="732">
        <f t="shared" si="28"/>
        <v>2547211.7466430007</v>
      </c>
      <c r="AC31" s="732">
        <f t="shared" si="28"/>
        <v>2475469.9330030004</v>
      </c>
      <c r="AD31" s="732">
        <f t="shared" si="28"/>
        <v>1521409.0828840022</v>
      </c>
      <c r="AE31" s="732">
        <f t="shared" si="28"/>
        <v>1578069.9999999995</v>
      </c>
      <c r="AF31" s="732">
        <f t="shared" si="28"/>
        <v>1608009.4999256283</v>
      </c>
      <c r="AG31" s="732">
        <f t="shared" si="28"/>
        <v>1643741.82510772</v>
      </c>
      <c r="AH31" s="732">
        <f t="shared" si="28"/>
        <v>1671812.368140324</v>
      </c>
      <c r="AI31" s="732">
        <f t="shared" si="28"/>
        <v>1703328.9883884266</v>
      </c>
      <c r="AJ31" s="732">
        <f t="shared" si="28"/>
        <v>1748056.6746879795</v>
      </c>
      <c r="AK31" s="732">
        <f t="shared" si="28"/>
        <v>1794879.0831032132</v>
      </c>
      <c r="BB31" s="727">
        <f>SUMIFS('SAP BS'!G:G,'SAP BS'!$B:$B,'11. 추정 BS'!$C31)</f>
        <v>0</v>
      </c>
      <c r="BC31" s="727">
        <f>SUMIFS('SAP BS'!L:L,'SAP BS'!$B:$B,'11. 추정 BS'!$C31)</f>
        <v>0</v>
      </c>
      <c r="BD31" s="727">
        <f t="shared" si="4"/>
        <v>0</v>
      </c>
      <c r="BI31" s="727">
        <v>0</v>
      </c>
    </row>
    <row r="32" spans="2:61" ht="16.5" customHeight="1" x14ac:dyDescent="0.3">
      <c r="B32" s="745"/>
      <c r="C32" s="751" t="s">
        <v>113</v>
      </c>
      <c r="D32" s="744">
        <v>0</v>
      </c>
      <c r="E32" s="744">
        <v>0</v>
      </c>
      <c r="F32" s="744">
        <v>0</v>
      </c>
      <c r="G32" s="744">
        <v>0</v>
      </c>
      <c r="H32" s="744">
        <v>0</v>
      </c>
      <c r="I32" s="744">
        <v>0</v>
      </c>
      <c r="J32" s="744">
        <v>0</v>
      </c>
      <c r="K32" s="744">
        <v>0</v>
      </c>
      <c r="L32" s="744">
        <v>0</v>
      </c>
      <c r="M32" s="744">
        <v>0</v>
      </c>
      <c r="N32" s="744">
        <f t="shared" si="26"/>
        <v>0</v>
      </c>
      <c r="O32" s="744">
        <f t="shared" si="26"/>
        <v>0</v>
      </c>
      <c r="P32" s="744">
        <f t="shared" si="26"/>
        <v>0</v>
      </c>
      <c r="Q32" s="744">
        <f t="shared" si="26"/>
        <v>0</v>
      </c>
      <c r="R32" s="733"/>
      <c r="S32" s="68"/>
      <c r="T32" s="734"/>
      <c r="V32" s="753" t="s">
        <v>753</v>
      </c>
      <c r="W32" s="732"/>
      <c r="X32" s="732"/>
      <c r="Y32" s="732"/>
      <c r="Z32" s="732">
        <f>F114-E114+F108-E108</f>
        <v>1043579.7633</v>
      </c>
      <c r="AA32" s="732">
        <f>G114-F114+G108-F108</f>
        <v>0</v>
      </c>
      <c r="AB32" s="732">
        <f>H114-G114+H108-G108</f>
        <v>0</v>
      </c>
      <c r="AC32" s="732">
        <f>I114-H114+I108-H108+I120-H120</f>
        <v>-832360.76730599999</v>
      </c>
      <c r="AD32" s="732">
        <f>J114-I114+J108-I108</f>
        <v>-0.74386299993784633</v>
      </c>
      <c r="AE32" s="732"/>
      <c r="AF32" s="732"/>
      <c r="AG32" s="732"/>
      <c r="AH32" s="732"/>
      <c r="AI32" s="732"/>
      <c r="AJ32" s="732"/>
      <c r="AK32" s="732"/>
      <c r="BB32" s="727">
        <f>SUMIFS('SAP BS'!G:G,'SAP BS'!$B:$B,'11. 추정 BS'!$C32)</f>
        <v>0</v>
      </c>
      <c r="BC32" s="727">
        <f>SUMIFS('SAP BS'!L:L,'SAP BS'!$B:$B,'11. 추정 BS'!$C32)</f>
        <v>0</v>
      </c>
      <c r="BD32" s="727">
        <f t="shared" si="4"/>
        <v>0</v>
      </c>
      <c r="BI32" s="727">
        <v>0</v>
      </c>
    </row>
    <row r="33" spans="2:61" ht="16.5" customHeight="1" x14ac:dyDescent="0.3">
      <c r="B33" s="745"/>
      <c r="C33" s="751" t="s">
        <v>114</v>
      </c>
      <c r="D33" s="744">
        <v>0</v>
      </c>
      <c r="E33" s="744">
        <v>0</v>
      </c>
      <c r="F33" s="744">
        <v>0</v>
      </c>
      <c r="G33" s="744">
        <v>0</v>
      </c>
      <c r="H33" s="744">
        <v>0</v>
      </c>
      <c r="I33" s="744">
        <v>0</v>
      </c>
      <c r="J33" s="744">
        <v>0</v>
      </c>
      <c r="K33" s="744">
        <v>0</v>
      </c>
      <c r="L33" s="744">
        <v>0</v>
      </c>
      <c r="M33" s="744">
        <v>0</v>
      </c>
      <c r="N33" s="744">
        <f t="shared" si="26"/>
        <v>0</v>
      </c>
      <c r="O33" s="744">
        <f t="shared" si="26"/>
        <v>0</v>
      </c>
      <c r="P33" s="744">
        <f t="shared" si="26"/>
        <v>0</v>
      </c>
      <c r="Q33" s="744">
        <f t="shared" si="26"/>
        <v>0</v>
      </c>
      <c r="R33" s="733"/>
      <c r="S33" s="68"/>
      <c r="T33" s="734"/>
      <c r="V33" s="753" t="s">
        <v>754</v>
      </c>
      <c r="W33" s="732"/>
      <c r="X33" s="732"/>
      <c r="Y33" s="732"/>
      <c r="Z33" s="732">
        <f>F137+48262.850935</f>
        <v>-1210686.175793</v>
      </c>
      <c r="AA33" s="732">
        <f>G137-F137</f>
        <v>0</v>
      </c>
      <c r="AB33" s="732">
        <v>71165.124717997387</v>
      </c>
      <c r="AC33" s="732">
        <v>14785.548337</v>
      </c>
      <c r="AD33" s="732">
        <v>50709.948324997</v>
      </c>
      <c r="AE33" s="732"/>
      <c r="AF33" s="732"/>
      <c r="AG33" s="732"/>
      <c r="AH33" s="732"/>
      <c r="AI33" s="732"/>
      <c r="AJ33" s="732"/>
      <c r="AK33" s="732"/>
      <c r="BB33" s="727">
        <f>SUMIFS('SAP BS'!G:G,'SAP BS'!$B:$B,'11. 추정 BS'!$C33)</f>
        <v>0</v>
      </c>
      <c r="BC33" s="727">
        <f>SUMIFS('SAP BS'!L:L,'SAP BS'!$B:$B,'11. 추정 BS'!$C33)</f>
        <v>0</v>
      </c>
      <c r="BD33" s="727">
        <f t="shared" si="4"/>
        <v>0</v>
      </c>
      <c r="BI33" s="727">
        <v>0</v>
      </c>
    </row>
    <row r="34" spans="2:61" ht="16.5" customHeight="1" x14ac:dyDescent="0.3">
      <c r="B34" s="693" t="s">
        <v>115</v>
      </c>
      <c r="C34" s="693"/>
      <c r="D34" s="693">
        <f t="shared" ref="D34:Q34" si="29">SUM(D35,D43,D51:D61)</f>
        <v>4844175.1370630004</v>
      </c>
      <c r="E34" s="693">
        <f t="shared" si="29"/>
        <v>4747629.8527429998</v>
      </c>
      <c r="F34" s="693">
        <f t="shared" si="29"/>
        <v>6217621.0543360002</v>
      </c>
      <c r="G34" s="693">
        <f t="shared" si="29"/>
        <v>6220804.9234269997</v>
      </c>
      <c r="H34" s="693">
        <f t="shared" si="29"/>
        <v>5998274.3045380013</v>
      </c>
      <c r="I34" s="693">
        <f t="shared" si="29"/>
        <v>5244312.294396</v>
      </c>
      <c r="J34" s="693">
        <f t="shared" si="29"/>
        <v>4991120</v>
      </c>
      <c r="K34" s="693">
        <f t="shared" si="29"/>
        <v>4904532.0351141402</v>
      </c>
      <c r="L34" s="693">
        <f t="shared" si="29"/>
        <v>4853867.6902156807</v>
      </c>
      <c r="M34" s="693">
        <f t="shared" si="29"/>
        <v>4814885.0500424141</v>
      </c>
      <c r="N34" s="693">
        <f t="shared" si="29"/>
        <v>4875630.417875194</v>
      </c>
      <c r="O34" s="693">
        <f t="shared" si="29"/>
        <v>4939411.6035153084</v>
      </c>
      <c r="P34" s="693">
        <f t="shared" si="29"/>
        <v>5012076.2250092803</v>
      </c>
      <c r="Q34" s="693">
        <f t="shared" si="29"/>
        <v>5090671.7742871605</v>
      </c>
      <c r="R34" s="733"/>
      <c r="S34" s="68"/>
      <c r="T34" s="734"/>
      <c r="V34" s="753" t="s">
        <v>197</v>
      </c>
      <c r="W34" s="732"/>
      <c r="X34" s="732"/>
      <c r="Y34" s="732"/>
      <c r="Z34" s="732">
        <f>F119-E119</f>
        <v>-98115.070925000007</v>
      </c>
      <c r="AA34" s="732">
        <f>G119-F119</f>
        <v>0</v>
      </c>
      <c r="AB34" s="732">
        <f>H119-G119</f>
        <v>30000.001733000012</v>
      </c>
      <c r="AC34" s="732">
        <f>I119-H119</f>
        <v>48665.712126999992</v>
      </c>
      <c r="AD34" s="732"/>
      <c r="AE34" s="732"/>
      <c r="AF34" s="732"/>
      <c r="AG34" s="732"/>
      <c r="AH34" s="732"/>
      <c r="AI34" s="732"/>
      <c r="AJ34" s="732"/>
      <c r="AK34" s="732"/>
      <c r="BB34" s="727">
        <f>SUMIFS('SAP BS'!G:G,'SAP BS'!$A:$A,$B34)</f>
        <v>5451037880769</v>
      </c>
      <c r="BC34" s="727">
        <f>SUMIFS('SAP BS'!L:L,'SAP BS'!$A:$A,'11. 추정 BS'!$B34)</f>
        <v>459919497573</v>
      </c>
      <c r="BD34" s="727">
        <f t="shared" si="4"/>
        <v>4991118383196</v>
      </c>
      <c r="BE34" s="727" t="b">
        <f>BB34=SUM(BB35,BB43,BB51:BB61)</f>
        <v>1</v>
      </c>
      <c r="BF34" s="727" t="b">
        <f>BC34=SUM(BC35,BC43,BC51:BC61)</f>
        <v>1</v>
      </c>
      <c r="BG34" s="727" t="b">
        <f>BD34=SUM(BD35,BD43,BD51:BD61)</f>
        <v>1</v>
      </c>
      <c r="BI34" s="727">
        <v>0</v>
      </c>
    </row>
    <row r="35" spans="2:61" ht="16.5" customHeight="1" x14ac:dyDescent="0.3">
      <c r="B35" s="748"/>
      <c r="C35" s="749" t="s">
        <v>116</v>
      </c>
      <c r="D35" s="750">
        <f>SUM(D36:D42)</f>
        <v>1377058.9071250001</v>
      </c>
      <c r="E35" s="750">
        <f t="shared" ref="E35:Q35" si="30">SUM(E36:E42)</f>
        <v>1356623.906254</v>
      </c>
      <c r="F35" s="750">
        <f t="shared" si="30"/>
        <v>1311126.8753910002</v>
      </c>
      <c r="G35" s="750">
        <f t="shared" si="30"/>
        <v>1280200.601676</v>
      </c>
      <c r="H35" s="750">
        <f t="shared" si="30"/>
        <v>1056045.51073</v>
      </c>
      <c r="I35" s="750">
        <f t="shared" si="30"/>
        <v>1048393.4727020001</v>
      </c>
      <c r="J35" s="750">
        <f t="shared" si="30"/>
        <v>1000909</v>
      </c>
      <c r="K35" s="750">
        <f t="shared" si="30"/>
        <v>998839.88340634748</v>
      </c>
      <c r="L35" s="750">
        <f t="shared" si="30"/>
        <v>982482.78062421444</v>
      </c>
      <c r="M35" s="750">
        <f t="shared" si="30"/>
        <v>971709.62671098637</v>
      </c>
      <c r="N35" s="750">
        <f t="shared" si="30"/>
        <v>964480.4562234364</v>
      </c>
      <c r="O35" s="750">
        <f t="shared" si="30"/>
        <v>959566.60856918676</v>
      </c>
      <c r="P35" s="750">
        <f t="shared" si="30"/>
        <v>956196.65511556633</v>
      </c>
      <c r="Q35" s="750">
        <f t="shared" si="30"/>
        <v>953871.16740144358</v>
      </c>
      <c r="R35" s="733"/>
      <c r="S35" s="68"/>
      <c r="T35" s="734"/>
      <c r="V35" s="753" t="s">
        <v>755</v>
      </c>
      <c r="W35" s="732"/>
      <c r="X35" s="736">
        <v>-8066.6608509999996</v>
      </c>
      <c r="Y35" s="736">
        <v>6333.5852699999996</v>
      </c>
      <c r="Z35" s="732">
        <f>F123-E123</f>
        <v>17245.341744999998</v>
      </c>
      <c r="AA35" s="732">
        <f>G123-F123</f>
        <v>29550.328726000014</v>
      </c>
      <c r="AB35" s="732">
        <f>H123-G123+9688.687207</f>
        <v>26835.236305999984</v>
      </c>
      <c r="AC35" s="732">
        <f t="shared" ref="AC35:AK35" si="31">I123-H123</f>
        <v>24046.287587000006</v>
      </c>
      <c r="AD35" s="732">
        <f t="shared" si="31"/>
        <v>39597.507654000001</v>
      </c>
      <c r="AE35" s="732">
        <f t="shared" si="31"/>
        <v>0</v>
      </c>
      <c r="AF35" s="732">
        <f t="shared" si="31"/>
        <v>0</v>
      </c>
      <c r="AG35" s="732">
        <f t="shared" si="31"/>
        <v>0</v>
      </c>
      <c r="AH35" s="732">
        <f t="shared" si="31"/>
        <v>0</v>
      </c>
      <c r="AI35" s="732">
        <f t="shared" si="31"/>
        <v>0</v>
      </c>
      <c r="AJ35" s="732">
        <f t="shared" si="31"/>
        <v>0</v>
      </c>
      <c r="AK35" s="732">
        <f t="shared" si="31"/>
        <v>0</v>
      </c>
      <c r="BB35" s="727">
        <f>SUMIFS('SAP BS'!G:G,'SAP BS'!$B:$B,'11. 추정 BS'!$C35)</f>
        <v>1049177941817</v>
      </c>
      <c r="BC35" s="727">
        <f>SUMIFS('SAP BS'!L:L,'SAP BS'!$B:$B,'11. 추정 BS'!$C35)</f>
        <v>48269216047</v>
      </c>
      <c r="BD35" s="727">
        <f t="shared" si="4"/>
        <v>1000908725770</v>
      </c>
      <c r="BE35" s="727" t="b">
        <f>BB35=SUM(BB36:BB42)</f>
        <v>1</v>
      </c>
      <c r="BF35" s="727" t="b">
        <f>BC35=SUM(BC36:BC42)</f>
        <v>1</v>
      </c>
      <c r="BG35" s="727" t="b">
        <f>BD35=SUM(BD36:BD42)</f>
        <v>1</v>
      </c>
      <c r="BI35" s="727">
        <v>0</v>
      </c>
    </row>
    <row r="36" spans="2:61" ht="16.5" customHeight="1" x14ac:dyDescent="0.3">
      <c r="B36" s="745"/>
      <c r="C36" s="746" t="s">
        <v>117</v>
      </c>
      <c r="D36" s="744">
        <v>0</v>
      </c>
      <c r="E36" s="744">
        <v>0</v>
      </c>
      <c r="F36" s="744">
        <v>0</v>
      </c>
      <c r="G36" s="744">
        <v>1622.8443300000013</v>
      </c>
      <c r="H36" s="744">
        <v>1648.3229860000004</v>
      </c>
      <c r="I36" s="744">
        <v>0</v>
      </c>
      <c r="J36" s="744">
        <f t="shared" ref="J36:J42" si="32">ROUND(BD36/10^6,)</f>
        <v>0</v>
      </c>
      <c r="K36" s="744">
        <v>0</v>
      </c>
      <c r="L36" s="744">
        <v>0</v>
      </c>
      <c r="M36" s="744">
        <v>0</v>
      </c>
      <c r="N36" s="744">
        <f>M36</f>
        <v>0</v>
      </c>
      <c r="O36" s="744">
        <f t="shared" ref="O36:Q37" si="33">N36</f>
        <v>0</v>
      </c>
      <c r="P36" s="744">
        <f t="shared" si="33"/>
        <v>0</v>
      </c>
      <c r="Q36" s="744">
        <f t="shared" si="33"/>
        <v>0</v>
      </c>
      <c r="R36" s="733" t="s">
        <v>218</v>
      </c>
      <c r="S36" s="68"/>
      <c r="T36" s="734"/>
      <c r="V36" s="753" t="s">
        <v>756</v>
      </c>
      <c r="W36" s="732"/>
      <c r="X36" s="736">
        <v>-88.314817000000005</v>
      </c>
      <c r="Y36" s="736">
        <v>19.638055000000001</v>
      </c>
      <c r="Z36" s="732"/>
      <c r="AA36" s="732"/>
      <c r="AB36" s="732"/>
      <c r="AC36" s="732"/>
      <c r="AD36" s="732"/>
      <c r="AE36" s="732"/>
      <c r="AF36" s="732"/>
      <c r="AG36" s="732"/>
      <c r="AH36" s="732"/>
      <c r="AI36" s="732"/>
      <c r="AJ36" s="732"/>
      <c r="AK36" s="732"/>
      <c r="BB36" s="727">
        <f>SUMIFS('SAP BS'!G:G,'SAP BS'!$B:$B,'11. 추정 BS'!$C36)</f>
        <v>2238036677</v>
      </c>
      <c r="BC36" s="727">
        <f>SUMIFS('SAP BS'!L:L,'SAP BS'!$B:$B,'11. 추정 BS'!$C36)</f>
        <v>2238036677</v>
      </c>
      <c r="BD36" s="727">
        <f t="shared" si="4"/>
        <v>0</v>
      </c>
      <c r="BI36" s="727">
        <v>0</v>
      </c>
    </row>
    <row r="37" spans="2:61" ht="16.5" customHeight="1" x14ac:dyDescent="0.3">
      <c r="B37" s="745"/>
      <c r="C37" s="746" t="s">
        <v>118</v>
      </c>
      <c r="D37" s="744">
        <v>386.40195</v>
      </c>
      <c r="E37" s="744">
        <v>308.61567000000002</v>
      </c>
      <c r="F37" s="744">
        <v>1450.5900000000001</v>
      </c>
      <c r="G37" s="744">
        <v>8705.3827760000004</v>
      </c>
      <c r="H37" s="744">
        <v>26296.580254</v>
      </c>
      <c r="I37" s="744">
        <v>3655.3678679999994</v>
      </c>
      <c r="J37" s="744">
        <f t="shared" si="32"/>
        <v>15429</v>
      </c>
      <c r="K37" s="744">
        <v>3503.2092059999995</v>
      </c>
      <c r="L37" s="744">
        <v>3503.2092059999995</v>
      </c>
      <c r="M37" s="744">
        <v>3503.2092059999995</v>
      </c>
      <c r="N37" s="744">
        <f>M37</f>
        <v>3503.2092059999995</v>
      </c>
      <c r="O37" s="744">
        <f t="shared" si="33"/>
        <v>3503.2092059999995</v>
      </c>
      <c r="P37" s="744">
        <f t="shared" si="33"/>
        <v>3503.2092059999995</v>
      </c>
      <c r="Q37" s="744">
        <f t="shared" si="33"/>
        <v>3503.2092059999995</v>
      </c>
      <c r="R37" s="733" t="s">
        <v>216</v>
      </c>
      <c r="S37" s="68"/>
      <c r="T37" s="734" t="s">
        <v>8893</v>
      </c>
      <c r="V37" s="753" t="s">
        <v>757</v>
      </c>
      <c r="W37" s="732"/>
      <c r="X37" s="732">
        <f t="shared" ref="X37:AK37" si="34">D132</f>
        <v>25267.910752</v>
      </c>
      <c r="Y37" s="732">
        <f t="shared" si="34"/>
        <v>0</v>
      </c>
      <c r="Z37" s="732">
        <f t="shared" si="34"/>
        <v>0</v>
      </c>
      <c r="AA37" s="732">
        <f t="shared" si="34"/>
        <v>0</v>
      </c>
      <c r="AB37" s="732">
        <f t="shared" si="34"/>
        <v>0</v>
      </c>
      <c r="AC37" s="732">
        <f t="shared" si="34"/>
        <v>0</v>
      </c>
      <c r="AD37" s="732">
        <f t="shared" si="34"/>
        <v>0</v>
      </c>
      <c r="AE37" s="732">
        <f t="shared" si="34"/>
        <v>0</v>
      </c>
      <c r="AF37" s="732">
        <f t="shared" si="34"/>
        <v>0</v>
      </c>
      <c r="AG37" s="732">
        <f t="shared" si="34"/>
        <v>0</v>
      </c>
      <c r="AH37" s="732">
        <f t="shared" si="34"/>
        <v>0</v>
      </c>
      <c r="AI37" s="732">
        <f t="shared" si="34"/>
        <v>0</v>
      </c>
      <c r="AJ37" s="732">
        <f t="shared" si="34"/>
        <v>0</v>
      </c>
      <c r="AK37" s="732">
        <f t="shared" si="34"/>
        <v>0</v>
      </c>
      <c r="BB37" s="727">
        <f>SUMIFS('SAP BS'!G:G,'SAP BS'!$B:$B,'11. 추정 BS'!$C37)-BB38</f>
        <v>15428798567</v>
      </c>
      <c r="BC37" s="727">
        <f>SUMIFS('SAP BS'!L:L,'SAP BS'!$B:$B,'11. 추정 BS'!$C37)-BC38</f>
        <v>0</v>
      </c>
      <c r="BD37" s="727">
        <f t="shared" si="4"/>
        <v>15428798567</v>
      </c>
      <c r="BI37" s="727">
        <v>0</v>
      </c>
    </row>
    <row r="38" spans="2:61" ht="16.5" customHeight="1" x14ac:dyDescent="0.3">
      <c r="B38" s="745"/>
      <c r="C38" s="746" t="s">
        <v>119</v>
      </c>
      <c r="D38" s="744">
        <v>0</v>
      </c>
      <c r="E38" s="744">
        <v>0</v>
      </c>
      <c r="F38" s="744">
        <v>-1.4654000000000451</v>
      </c>
      <c r="G38" s="744">
        <v>-36.353765999999993</v>
      </c>
      <c r="H38" s="744">
        <v>-1.4654</v>
      </c>
      <c r="I38" s="744">
        <v>0</v>
      </c>
      <c r="J38" s="744">
        <f t="shared" si="32"/>
        <v>-3054</v>
      </c>
      <c r="K38" s="744">
        <v>0</v>
      </c>
      <c r="L38" s="744">
        <v>0</v>
      </c>
      <c r="M38" s="744">
        <v>0</v>
      </c>
      <c r="N38" s="744">
        <f t="shared" ref="N38:Q42" si="35">M38</f>
        <v>0</v>
      </c>
      <c r="O38" s="744">
        <f t="shared" si="35"/>
        <v>0</v>
      </c>
      <c r="P38" s="744">
        <f t="shared" si="35"/>
        <v>0</v>
      </c>
      <c r="Q38" s="744">
        <f t="shared" si="35"/>
        <v>0</v>
      </c>
      <c r="R38" s="733" t="s">
        <v>216</v>
      </c>
      <c r="S38" s="68"/>
      <c r="T38" s="734"/>
      <c r="V38" s="753" t="s">
        <v>210</v>
      </c>
      <c r="W38" s="732"/>
      <c r="X38" s="732">
        <f t="shared" ref="X38:Z40" si="36">D133</f>
        <v>-3676.6347019999998</v>
      </c>
      <c r="Y38" s="732">
        <f t="shared" si="36"/>
        <v>5221.6409130000002</v>
      </c>
      <c r="Z38" s="732">
        <f t="shared" si="36"/>
        <v>-22869.866399999999</v>
      </c>
      <c r="AA38" s="732">
        <f>G133-F133</f>
        <v>27610.466734999998</v>
      </c>
      <c r="AB38" s="732">
        <f>H133-G133</f>
        <v>-13170.541355000001</v>
      </c>
      <c r="AC38" s="732">
        <f t="shared" ref="AC38:AK40" si="37">I133</f>
        <v>853.19391299999995</v>
      </c>
      <c r="AD38" s="732">
        <f t="shared" si="37"/>
        <v>6074</v>
      </c>
      <c r="AE38" s="732">
        <f t="shared" si="37"/>
        <v>0</v>
      </c>
      <c r="AF38" s="732">
        <f t="shared" si="37"/>
        <v>0</v>
      </c>
      <c r="AG38" s="732">
        <f t="shared" si="37"/>
        <v>0</v>
      </c>
      <c r="AH38" s="732">
        <f t="shared" si="37"/>
        <v>0</v>
      </c>
      <c r="AI38" s="732">
        <f t="shared" si="37"/>
        <v>0</v>
      </c>
      <c r="AJ38" s="732">
        <f t="shared" si="37"/>
        <v>0</v>
      </c>
      <c r="AK38" s="732">
        <f t="shared" si="37"/>
        <v>0</v>
      </c>
      <c r="BB38" s="727">
        <f>SUMIFS('SAP BS'!G:G,'SAP BS'!$B:$B,'11. 추정 BS'!$C38)</f>
        <v>-3053539754</v>
      </c>
      <c r="BC38" s="727">
        <f>SUMIFS('SAP BS'!L:L,'SAP BS'!$B:$B,'11. 추정 BS'!$C38)</f>
        <v>0</v>
      </c>
      <c r="BD38" s="727">
        <f t="shared" si="4"/>
        <v>-3053539754</v>
      </c>
      <c r="BI38" s="727">
        <v>0</v>
      </c>
    </row>
    <row r="39" spans="2:61" ht="16.5" customHeight="1" x14ac:dyDescent="0.3">
      <c r="B39" s="745"/>
      <c r="C39" s="746" t="s">
        <v>120</v>
      </c>
      <c r="D39" s="744">
        <v>868029.42189600004</v>
      </c>
      <c r="E39" s="744">
        <v>826615.21102399996</v>
      </c>
      <c r="F39" s="744">
        <v>816677.32635500003</v>
      </c>
      <c r="G39" s="744">
        <v>818270.10571799998</v>
      </c>
      <c r="H39" s="744">
        <v>634230.4546980001</v>
      </c>
      <c r="I39" s="744">
        <v>666725.95739700005</v>
      </c>
      <c r="J39" s="744">
        <f t="shared" si="32"/>
        <v>678731</v>
      </c>
      <c r="K39" s="744">
        <v>695053.6860460001</v>
      </c>
      <c r="L39" s="744">
        <v>695053.6860460001</v>
      </c>
      <c r="M39" s="744">
        <v>695053.6860460001</v>
      </c>
      <c r="N39" s="744">
        <f t="shared" si="35"/>
        <v>695053.6860460001</v>
      </c>
      <c r="O39" s="744">
        <f t="shared" si="35"/>
        <v>695053.6860460001</v>
      </c>
      <c r="P39" s="744">
        <f t="shared" si="35"/>
        <v>695053.6860460001</v>
      </c>
      <c r="Q39" s="744">
        <f t="shared" si="35"/>
        <v>695053.6860460001</v>
      </c>
      <c r="R39" s="733" t="s">
        <v>226</v>
      </c>
      <c r="S39" s="68"/>
      <c r="T39" s="734" t="s">
        <v>8897</v>
      </c>
      <c r="V39" s="753" t="s">
        <v>211</v>
      </c>
      <c r="W39" s="732"/>
      <c r="X39" s="732">
        <f t="shared" si="36"/>
        <v>114283.68415400127</v>
      </c>
      <c r="Y39" s="732">
        <f t="shared" si="36"/>
        <v>182909.67227000039</v>
      </c>
      <c r="Z39" s="732">
        <f t="shared" si="36"/>
        <v>702265.84368299972</v>
      </c>
      <c r="AA39" s="732">
        <f>G134</f>
        <v>-66922.127411000241</v>
      </c>
      <c r="AB39" s="732">
        <f>H134</f>
        <v>-142634.22429199782</v>
      </c>
      <c r="AC39" s="732">
        <f t="shared" si="37"/>
        <v>-158331.69677699826</v>
      </c>
      <c r="AD39" s="732">
        <f t="shared" si="37"/>
        <v>2063</v>
      </c>
      <c r="AE39" s="732">
        <f t="shared" si="37"/>
        <v>63586.499925628712</v>
      </c>
      <c r="AF39" s="732">
        <f t="shared" si="37"/>
        <v>93045.325182091736</v>
      </c>
      <c r="AG39" s="732">
        <f t="shared" si="37"/>
        <v>96406.543032604139</v>
      </c>
      <c r="AH39" s="732">
        <f t="shared" si="37"/>
        <v>99469.620248102554</v>
      </c>
      <c r="AI39" s="732">
        <f t="shared" si="37"/>
        <v>113102.68629955292</v>
      </c>
      <c r="AJ39" s="732">
        <f t="shared" si="37"/>
        <v>120028.40841523364</v>
      </c>
      <c r="AK39" s="732">
        <f t="shared" si="37"/>
        <v>129015.10386507631</v>
      </c>
      <c r="BB39" s="727">
        <f>SUMIFS('SAP BS'!G:G,'SAP BS'!$B:$B,'11. 추정 BS'!$C39)</f>
        <v>678741613856</v>
      </c>
      <c r="BC39" s="727">
        <f>SUMIFS('SAP BS'!L:L,'SAP BS'!$B:$B,'11. 추정 BS'!$C39)</f>
        <v>10726751</v>
      </c>
      <c r="BD39" s="727">
        <f t="shared" si="4"/>
        <v>678730887105</v>
      </c>
      <c r="BI39" s="727">
        <v>0</v>
      </c>
    </row>
    <row r="40" spans="2:61" ht="16.5" customHeight="1" x14ac:dyDescent="0.3">
      <c r="B40" s="745"/>
      <c r="C40" s="746" t="s">
        <v>121</v>
      </c>
      <c r="D40" s="744">
        <v>7</v>
      </c>
      <c r="E40" s="744">
        <v>47238.859478999999</v>
      </c>
      <c r="F40" s="744">
        <v>48109.5</v>
      </c>
      <c r="G40" s="744">
        <v>48157.740000000005</v>
      </c>
      <c r="H40" s="744">
        <v>31511.340400000001</v>
      </c>
      <c r="I40" s="744">
        <v>32543.998239000008</v>
      </c>
      <c r="J40" s="744">
        <f t="shared" si="32"/>
        <v>17112</v>
      </c>
      <c r="K40" s="744">
        <v>23543.998239000008</v>
      </c>
      <c r="L40" s="744">
        <v>23543.998239000008</v>
      </c>
      <c r="M40" s="744">
        <v>23543.998239000008</v>
      </c>
      <c r="N40" s="744">
        <f t="shared" si="35"/>
        <v>23543.998239000008</v>
      </c>
      <c r="O40" s="744">
        <f t="shared" si="35"/>
        <v>23543.998239000008</v>
      </c>
      <c r="P40" s="744">
        <f t="shared" si="35"/>
        <v>23543.998239000008</v>
      </c>
      <c r="Q40" s="744">
        <f t="shared" si="35"/>
        <v>23543.998239000008</v>
      </c>
      <c r="R40" s="733" t="s">
        <v>217</v>
      </c>
      <c r="S40" s="68"/>
      <c r="T40" s="734" t="s">
        <v>8893</v>
      </c>
      <c r="V40" s="753" t="s">
        <v>232</v>
      </c>
      <c r="W40" s="732"/>
      <c r="X40" s="732">
        <f t="shared" si="36"/>
        <v>-50050</v>
      </c>
      <c r="Y40" s="732">
        <f t="shared" si="36"/>
        <v>-57750</v>
      </c>
      <c r="Z40" s="732">
        <f t="shared" si="36"/>
        <v>-69300</v>
      </c>
      <c r="AA40" s="732">
        <f>G135</f>
        <v>-122616.03</v>
      </c>
      <c r="AB40" s="732">
        <f>H135</f>
        <v>-43937.410750000003</v>
      </c>
      <c r="AC40" s="732">
        <f t="shared" si="37"/>
        <v>-51719.127999999997</v>
      </c>
      <c r="AD40" s="732">
        <f t="shared" si="37"/>
        <v>-41782.794999999998</v>
      </c>
      <c r="AE40" s="732">
        <f t="shared" si="37"/>
        <v>-33647</v>
      </c>
      <c r="AF40" s="732">
        <f t="shared" si="37"/>
        <v>-57313</v>
      </c>
      <c r="AG40" s="732">
        <f t="shared" si="37"/>
        <v>-68336</v>
      </c>
      <c r="AH40" s="732">
        <f t="shared" si="37"/>
        <v>-67953</v>
      </c>
      <c r="AI40" s="732">
        <f t="shared" si="37"/>
        <v>-68375</v>
      </c>
      <c r="AJ40" s="732">
        <f t="shared" si="37"/>
        <v>-73206</v>
      </c>
      <c r="AK40" s="732">
        <f t="shared" si="37"/>
        <v>-75441</v>
      </c>
      <c r="BB40" s="727">
        <f>SUMIFS('SAP BS'!G:G,'SAP BS'!$B:$B,'11. 추정 BS'!$C40)</f>
        <v>63111807844</v>
      </c>
      <c r="BC40" s="727">
        <f>SUMIFS('SAP BS'!L:L,'SAP BS'!$B:$B,'11. 추정 BS'!$C40)</f>
        <v>46000000000</v>
      </c>
      <c r="BD40" s="727">
        <f t="shared" si="4"/>
        <v>17111807844</v>
      </c>
      <c r="BI40" s="727">
        <v>0</v>
      </c>
    </row>
    <row r="41" spans="2:61" ht="16.5" customHeight="1" x14ac:dyDescent="0.3">
      <c r="B41" s="745"/>
      <c r="C41" s="746" t="s">
        <v>122</v>
      </c>
      <c r="D41" s="744">
        <v>508636.08327900007</v>
      </c>
      <c r="E41" s="744">
        <v>482461.22008100001</v>
      </c>
      <c r="F41" s="744">
        <v>444857.57291100005</v>
      </c>
      <c r="G41" s="744">
        <v>403458.88502400002</v>
      </c>
      <c r="H41" s="744">
        <v>362326.02985299996</v>
      </c>
      <c r="I41" s="744">
        <v>343704.005267</v>
      </c>
      <c r="J41" s="744">
        <f t="shared" si="32"/>
        <v>292627</v>
      </c>
      <c r="K41" s="744">
        <f>AS18</f>
        <v>276718.93849734741</v>
      </c>
      <c r="L41" s="744">
        <f t="shared" ref="L41:Q41" si="38">AT18</f>
        <v>260361.83571521437</v>
      </c>
      <c r="M41" s="744">
        <f t="shared" si="38"/>
        <v>249588.6818019863</v>
      </c>
      <c r="N41" s="744">
        <f t="shared" si="38"/>
        <v>242359.51131443636</v>
      </c>
      <c r="O41" s="744">
        <f t="shared" si="38"/>
        <v>237445.66366018675</v>
      </c>
      <c r="P41" s="744">
        <f t="shared" si="38"/>
        <v>234075.71020656632</v>
      </c>
      <c r="Q41" s="744">
        <f t="shared" si="38"/>
        <v>231750.22249244354</v>
      </c>
      <c r="R41" s="733" t="s">
        <v>219</v>
      </c>
      <c r="S41" s="68"/>
      <c r="T41" s="734" t="s">
        <v>8898</v>
      </c>
      <c r="V41" s="732" t="s">
        <v>758</v>
      </c>
      <c r="W41" s="732"/>
      <c r="X41" s="732">
        <f t="shared" ref="X41:AE41" si="39">SUM(X31:X40)</f>
        <v>2180734.7364750011</v>
      </c>
      <c r="Y41" s="732">
        <f t="shared" si="39"/>
        <v>2317469.2729830015</v>
      </c>
      <c r="Z41" s="732">
        <f t="shared" si="39"/>
        <v>2679589.108593001</v>
      </c>
      <c r="AA41" s="732">
        <f t="shared" si="39"/>
        <v>2547211.7466430007</v>
      </c>
      <c r="AB41" s="732">
        <f t="shared" si="39"/>
        <v>2475469.9330030004</v>
      </c>
      <c r="AC41" s="732">
        <f t="shared" si="39"/>
        <v>1521409.0828840022</v>
      </c>
      <c r="AD41" s="732">
        <f t="shared" si="39"/>
        <v>1578069.9999999995</v>
      </c>
      <c r="AE41" s="732">
        <f t="shared" si="39"/>
        <v>1608009.4999256283</v>
      </c>
      <c r="AF41" s="732">
        <f t="shared" ref="AF41:AK41" si="40">SUM(AF31:AF40)</f>
        <v>1643741.82510772</v>
      </c>
      <c r="AG41" s="732">
        <f t="shared" si="40"/>
        <v>1671812.368140324</v>
      </c>
      <c r="AH41" s="732">
        <f t="shared" si="40"/>
        <v>1703328.9883884266</v>
      </c>
      <c r="AI41" s="732">
        <f t="shared" si="40"/>
        <v>1748056.6746879795</v>
      </c>
      <c r="AJ41" s="732">
        <f t="shared" si="40"/>
        <v>1794879.0831032132</v>
      </c>
      <c r="AK41" s="732">
        <f t="shared" si="40"/>
        <v>1848453.1869682895</v>
      </c>
      <c r="BB41" s="727">
        <f>SUMIFS('SAP BS'!G:G,'SAP BS'!$B:$B,'11. 추정 BS'!$C41)</f>
        <v>292626791980</v>
      </c>
      <c r="BC41" s="727">
        <f>SUMIFS('SAP BS'!L:L,'SAP BS'!$B:$B,'11. 추정 BS'!$C41)</f>
        <v>0</v>
      </c>
      <c r="BD41" s="727">
        <f t="shared" si="4"/>
        <v>292626791980</v>
      </c>
      <c r="BI41" s="727">
        <v>0</v>
      </c>
    </row>
    <row r="42" spans="2:61" ht="16.5" customHeight="1" x14ac:dyDescent="0.3">
      <c r="B42" s="745"/>
      <c r="C42" s="746" t="s">
        <v>123</v>
      </c>
      <c r="D42" s="744">
        <v>0</v>
      </c>
      <c r="E42" s="744">
        <v>0</v>
      </c>
      <c r="F42" s="744">
        <v>33.351525000000002</v>
      </c>
      <c r="G42" s="744">
        <v>21.997593999999999</v>
      </c>
      <c r="H42" s="744">
        <v>34.247939000000002</v>
      </c>
      <c r="I42" s="744">
        <v>1764.1439310000001</v>
      </c>
      <c r="J42" s="744">
        <f t="shared" si="32"/>
        <v>64</v>
      </c>
      <c r="K42" s="744">
        <v>20.051417999999998</v>
      </c>
      <c r="L42" s="744">
        <v>20.051417999999998</v>
      </c>
      <c r="M42" s="744">
        <v>20.051417999999998</v>
      </c>
      <c r="N42" s="744">
        <f t="shared" si="35"/>
        <v>20.051417999999998</v>
      </c>
      <c r="O42" s="744">
        <f t="shared" si="35"/>
        <v>20.051417999999998</v>
      </c>
      <c r="P42" s="744">
        <f t="shared" si="35"/>
        <v>20.051417999999998</v>
      </c>
      <c r="Q42" s="744">
        <f t="shared" si="35"/>
        <v>20.051417999999998</v>
      </c>
      <c r="R42" s="733" t="s">
        <v>218</v>
      </c>
      <c r="S42" s="68"/>
      <c r="T42" s="734"/>
      <c r="BB42" s="727">
        <f>SUMIFS('SAP BS'!G:G,'SAP BS'!$B:$B,'11. 추정 BS'!$C42)</f>
        <v>84432647</v>
      </c>
      <c r="BC42" s="727">
        <f>SUMIFS('SAP BS'!L:L,'SAP BS'!$B:$B,'11. 추정 BS'!$C42)</f>
        <v>20452619</v>
      </c>
      <c r="BD42" s="727">
        <f t="shared" si="4"/>
        <v>63980028</v>
      </c>
      <c r="BI42" s="727">
        <v>0</v>
      </c>
    </row>
    <row r="43" spans="2:61" ht="16.5" customHeight="1" x14ac:dyDescent="0.3">
      <c r="B43" s="748"/>
      <c r="C43" s="749" t="s">
        <v>124</v>
      </c>
      <c r="D43" s="750">
        <f t="shared" ref="D43:Q43" si="41">SUM(D44:D50)</f>
        <v>191299.30870499997</v>
      </c>
      <c r="E43" s="750">
        <f t="shared" si="41"/>
        <v>209978.53410799999</v>
      </c>
      <c r="F43" s="750">
        <f t="shared" si="41"/>
        <v>878473.87735499989</v>
      </c>
      <c r="G43" s="750">
        <f t="shared" si="41"/>
        <v>764587.39387800009</v>
      </c>
      <c r="H43" s="750">
        <f t="shared" si="41"/>
        <v>745408.65003700007</v>
      </c>
      <c r="I43" s="750">
        <f t="shared" si="41"/>
        <v>656635.39552499994</v>
      </c>
      <c r="J43" s="750">
        <f t="shared" si="41"/>
        <v>652630</v>
      </c>
      <c r="K43" s="750">
        <f t="shared" si="41"/>
        <v>558830.97479393147</v>
      </c>
      <c r="L43" s="750">
        <f t="shared" si="41"/>
        <v>554855.96618393145</v>
      </c>
      <c r="M43" s="750">
        <f t="shared" si="41"/>
        <v>534289.84457419172</v>
      </c>
      <c r="N43" s="750">
        <f t="shared" si="41"/>
        <v>534289.84457419172</v>
      </c>
      <c r="O43" s="750">
        <f t="shared" si="41"/>
        <v>534289.84457419172</v>
      </c>
      <c r="P43" s="750">
        <f t="shared" si="41"/>
        <v>534289.84457419172</v>
      </c>
      <c r="Q43" s="750">
        <f t="shared" si="41"/>
        <v>534289.84457419172</v>
      </c>
      <c r="R43" s="733"/>
      <c r="S43" s="68"/>
      <c r="T43" s="734"/>
      <c r="V43" s="725"/>
      <c r="W43" s="725"/>
      <c r="X43" s="725">
        <f t="shared" ref="X43:AK43" si="42">X23-X41</f>
        <v>0</v>
      </c>
      <c r="Y43" s="725">
        <f t="shared" si="42"/>
        <v>0</v>
      </c>
      <c r="Z43" s="725">
        <f t="shared" si="42"/>
        <v>0</v>
      </c>
      <c r="AA43" s="725">
        <f t="shared" si="42"/>
        <v>0</v>
      </c>
      <c r="AB43" s="725">
        <f t="shared" si="42"/>
        <v>0</v>
      </c>
      <c r="AC43" s="725">
        <f t="shared" si="42"/>
        <v>0</v>
      </c>
      <c r="AD43" s="726">
        <f t="shared" si="42"/>
        <v>0</v>
      </c>
      <c r="AE43" s="726">
        <f t="shared" si="42"/>
        <v>6.400000024586916E-2</v>
      </c>
      <c r="AF43" s="726">
        <f t="shared" si="42"/>
        <v>6.4000000013038516E-2</v>
      </c>
      <c r="AG43" s="726">
        <f t="shared" si="42"/>
        <v>6.400000024586916E-2</v>
      </c>
      <c r="AH43" s="726">
        <f t="shared" si="42"/>
        <v>6.400000024586916E-2</v>
      </c>
      <c r="AI43" s="726">
        <f t="shared" si="42"/>
        <v>6.4000000478699803E-2</v>
      </c>
      <c r="AJ43" s="726">
        <f t="shared" si="42"/>
        <v>6.4000000478699803E-2</v>
      </c>
      <c r="AK43" s="726">
        <f t="shared" si="42"/>
        <v>6.4000000013038516E-2</v>
      </c>
      <c r="BB43" s="727">
        <f>SUMIFS('SAP BS'!G:G,'SAP BS'!$B:$B,'11. 추정 BS'!$C43)</f>
        <v>652639953206</v>
      </c>
      <c r="BC43" s="727">
        <f>SUMIFS('SAP BS'!L:L,'SAP BS'!$B:$B,'11. 추정 BS'!$C43)</f>
        <v>10000000</v>
      </c>
      <c r="BD43" s="727">
        <f t="shared" si="4"/>
        <v>652629953206</v>
      </c>
      <c r="BE43" s="727" t="b">
        <f>BB43=SUM(BB44:BB50)</f>
        <v>1</v>
      </c>
      <c r="BF43" s="727" t="b">
        <f>BC43=SUM(BC44:BC50)</f>
        <v>1</v>
      </c>
      <c r="BG43" s="727" t="b">
        <f>BD43=SUM(BD44:BD50)</f>
        <v>1</v>
      </c>
      <c r="BI43" s="727">
        <v>0</v>
      </c>
    </row>
    <row r="44" spans="2:61" ht="16.5" customHeight="1" x14ac:dyDescent="0.3">
      <c r="B44" s="745"/>
      <c r="C44" s="746" t="s">
        <v>125</v>
      </c>
      <c r="D44" s="744">
        <v>0</v>
      </c>
      <c r="E44" s="744">
        <v>0</v>
      </c>
      <c r="F44" s="744">
        <v>0</v>
      </c>
      <c r="G44" s="744">
        <v>0</v>
      </c>
      <c r="H44" s="744">
        <v>0</v>
      </c>
      <c r="I44" s="744">
        <v>0</v>
      </c>
      <c r="J44" s="744">
        <f t="shared" ref="J44:J58" si="43">ROUND(BD44/10^6,)</f>
        <v>0</v>
      </c>
      <c r="K44" s="744">
        <v>0</v>
      </c>
      <c r="L44" s="744">
        <v>0</v>
      </c>
      <c r="M44" s="744">
        <v>0</v>
      </c>
      <c r="N44" s="744">
        <f t="shared" ref="N44:Q51" si="44">M44</f>
        <v>0</v>
      </c>
      <c r="O44" s="744">
        <f t="shared" si="44"/>
        <v>0</v>
      </c>
      <c r="P44" s="744">
        <f t="shared" si="44"/>
        <v>0</v>
      </c>
      <c r="Q44" s="744">
        <f t="shared" si="44"/>
        <v>0</v>
      </c>
      <c r="R44" s="733"/>
      <c r="S44" s="68"/>
      <c r="T44" s="734"/>
      <c r="BB44" s="727">
        <f>SUMIFS('SAP BS'!G:G,'SAP BS'!$B:$B,'11. 추정 BS'!$C44)</f>
        <v>0</v>
      </c>
      <c r="BC44" s="727">
        <f>SUMIFS('SAP BS'!L:L,'SAP BS'!$B:$B,'11. 추정 BS'!$C44)</f>
        <v>0</v>
      </c>
      <c r="BD44" s="727">
        <f t="shared" si="4"/>
        <v>0</v>
      </c>
      <c r="BI44" s="727">
        <v>0</v>
      </c>
    </row>
    <row r="45" spans="2:61" ht="16.5" customHeight="1" x14ac:dyDescent="0.3">
      <c r="B45" s="745"/>
      <c r="C45" s="746" t="s">
        <v>126</v>
      </c>
      <c r="D45" s="744">
        <v>0</v>
      </c>
      <c r="E45" s="744">
        <v>0</v>
      </c>
      <c r="F45" s="744">
        <v>0</v>
      </c>
      <c r="G45" s="744">
        <v>0</v>
      </c>
      <c r="H45" s="744">
        <v>0</v>
      </c>
      <c r="I45" s="744">
        <v>0</v>
      </c>
      <c r="J45" s="744">
        <f t="shared" si="43"/>
        <v>0</v>
      </c>
      <c r="K45" s="744">
        <v>0</v>
      </c>
      <c r="L45" s="744">
        <v>0</v>
      </c>
      <c r="M45" s="744">
        <v>0</v>
      </c>
      <c r="N45" s="744">
        <f t="shared" si="44"/>
        <v>0</v>
      </c>
      <c r="O45" s="744">
        <f t="shared" si="44"/>
        <v>0</v>
      </c>
      <c r="P45" s="744">
        <f t="shared" si="44"/>
        <v>0</v>
      </c>
      <c r="Q45" s="744">
        <f t="shared" si="44"/>
        <v>0</v>
      </c>
      <c r="R45" s="733" t="s">
        <v>217</v>
      </c>
      <c r="S45" s="68"/>
      <c r="T45" s="734"/>
      <c r="V45" s="754"/>
      <c r="W45" s="754"/>
      <c r="X45" s="754"/>
      <c r="Y45" s="754"/>
      <c r="Z45" s="754"/>
      <c r="AA45" s="754"/>
      <c r="AB45" s="754"/>
      <c r="AC45" s="754"/>
      <c r="AD45" s="754"/>
      <c r="AE45" s="754"/>
      <c r="BB45" s="727">
        <f>SUMIFS('SAP BS'!G:G,'SAP BS'!$B:$B,'11. 추정 BS'!$C45)</f>
        <v>0</v>
      </c>
      <c r="BC45" s="727">
        <f>SUMIFS('SAP BS'!L:L,'SAP BS'!$B:$B,'11. 추정 BS'!$C45)</f>
        <v>0</v>
      </c>
      <c r="BD45" s="727">
        <f t="shared" si="4"/>
        <v>0</v>
      </c>
      <c r="BI45" s="727">
        <v>0</v>
      </c>
    </row>
    <row r="46" spans="2:61" ht="16.5" customHeight="1" x14ac:dyDescent="0.3">
      <c r="B46" s="745"/>
      <c r="C46" s="746" t="s">
        <v>127</v>
      </c>
      <c r="D46" s="744">
        <v>0</v>
      </c>
      <c r="E46" s="744">
        <v>0</v>
      </c>
      <c r="F46" s="744">
        <v>0</v>
      </c>
      <c r="G46" s="744">
        <v>0</v>
      </c>
      <c r="H46" s="744">
        <v>0</v>
      </c>
      <c r="I46" s="744">
        <v>0</v>
      </c>
      <c r="J46" s="744">
        <f t="shared" si="43"/>
        <v>0</v>
      </c>
      <c r="K46" s="744">
        <v>0</v>
      </c>
      <c r="L46" s="744">
        <v>0</v>
      </c>
      <c r="M46" s="744">
        <v>0</v>
      </c>
      <c r="N46" s="744">
        <f t="shared" si="44"/>
        <v>0</v>
      </c>
      <c r="O46" s="744">
        <f t="shared" si="44"/>
        <v>0</v>
      </c>
      <c r="P46" s="744">
        <f t="shared" si="44"/>
        <v>0</v>
      </c>
      <c r="Q46" s="744">
        <f t="shared" si="44"/>
        <v>0</v>
      </c>
      <c r="R46" s="733"/>
      <c r="S46" s="68"/>
      <c r="T46" s="734"/>
      <c r="BB46" s="727">
        <f>SUMIFS('SAP BS'!G:G,'SAP BS'!$B:$B,'11. 추정 BS'!$C46)</f>
        <v>0</v>
      </c>
      <c r="BC46" s="727">
        <f>SUMIFS('SAP BS'!L:L,'SAP BS'!$B:$B,'11. 추정 BS'!$C46)</f>
        <v>0</v>
      </c>
      <c r="BD46" s="727">
        <f t="shared" si="4"/>
        <v>0</v>
      </c>
      <c r="BI46" s="727">
        <v>0</v>
      </c>
    </row>
    <row r="47" spans="2:61" ht="16.5" customHeight="1" x14ac:dyDescent="0.3">
      <c r="B47" s="745"/>
      <c r="C47" s="746" t="s">
        <v>128</v>
      </c>
      <c r="D47" s="744">
        <v>0</v>
      </c>
      <c r="E47" s="744">
        <v>0</v>
      </c>
      <c r="F47" s="744">
        <v>0</v>
      </c>
      <c r="G47" s="744">
        <v>1791.501107</v>
      </c>
      <c r="H47" s="744">
        <v>6376.7196129999993</v>
      </c>
      <c r="I47" s="744">
        <v>0</v>
      </c>
      <c r="J47" s="744">
        <f t="shared" si="43"/>
        <v>7333</v>
      </c>
      <c r="K47" s="744">
        <v>0</v>
      </c>
      <c r="L47" s="744">
        <v>0</v>
      </c>
      <c r="M47" s="744">
        <v>0</v>
      </c>
      <c r="N47" s="744">
        <f t="shared" si="44"/>
        <v>0</v>
      </c>
      <c r="O47" s="744">
        <f t="shared" si="44"/>
        <v>0</v>
      </c>
      <c r="P47" s="744">
        <f t="shared" si="44"/>
        <v>0</v>
      </c>
      <c r="Q47" s="744">
        <f t="shared" si="44"/>
        <v>0</v>
      </c>
      <c r="R47" s="733" t="s">
        <v>217</v>
      </c>
      <c r="S47" s="68"/>
      <c r="T47" s="734" t="s">
        <v>881</v>
      </c>
      <c r="AM47" s="727" t="s">
        <v>759</v>
      </c>
      <c r="AO47" s="755">
        <f>AO48/AN54</f>
        <v>0.24759737141775343</v>
      </c>
      <c r="AP47" s="755">
        <f>AP48/AO54</f>
        <v>0.23814130227816696</v>
      </c>
      <c r="AQ47" s="755">
        <f>AQ48/AP54</f>
        <v>0.22522866449190468</v>
      </c>
      <c r="AR47" s="755">
        <f>AR48/AQ54</f>
        <v>0.20400129299961994</v>
      </c>
      <c r="AS47" s="755">
        <f t="shared" ref="AS47:AY47" si="45">AR47</f>
        <v>0.20400129299961994</v>
      </c>
      <c r="AT47" s="755">
        <f t="shared" si="45"/>
        <v>0.20400129299961994</v>
      </c>
      <c r="AU47" s="755">
        <f t="shared" si="45"/>
        <v>0.20400129299961994</v>
      </c>
      <c r="AV47" s="755">
        <f t="shared" si="45"/>
        <v>0.20400129299961994</v>
      </c>
      <c r="AW47" s="755">
        <f t="shared" si="45"/>
        <v>0.20400129299961994</v>
      </c>
      <c r="AX47" s="755">
        <f t="shared" si="45"/>
        <v>0.20400129299961994</v>
      </c>
      <c r="AY47" s="755">
        <f t="shared" si="45"/>
        <v>0.20400129299961994</v>
      </c>
      <c r="BB47" s="727">
        <f>SUMIFS('SAP BS'!G:G,'SAP BS'!$B:$B,'11. 추정 BS'!$C47)</f>
        <v>7333335635</v>
      </c>
      <c r="BC47" s="727">
        <f>SUMIFS('SAP BS'!L:L,'SAP BS'!$B:$B,'11. 추정 BS'!$C47)</f>
        <v>0</v>
      </c>
      <c r="BD47" s="727">
        <f t="shared" si="4"/>
        <v>7333335635</v>
      </c>
      <c r="BI47" s="727">
        <v>0</v>
      </c>
    </row>
    <row r="48" spans="2:61" ht="16.5" customHeight="1" x14ac:dyDescent="0.3">
      <c r="B48" s="745"/>
      <c r="C48" s="746" t="s">
        <v>129</v>
      </c>
      <c r="D48" s="744">
        <v>191299.30870499997</v>
      </c>
      <c r="E48" s="744">
        <v>209978.53410799999</v>
      </c>
      <c r="F48" s="744">
        <v>878473.87735499989</v>
      </c>
      <c r="G48" s="744">
        <v>762795.89277100004</v>
      </c>
      <c r="H48" s="744">
        <v>739031.93042400002</v>
      </c>
      <c r="I48" s="744">
        <v>656635.39552499994</v>
      </c>
      <c r="J48" s="744">
        <f t="shared" si="43"/>
        <v>645297</v>
      </c>
      <c r="K48" s="744">
        <v>558830.97479393147</v>
      </c>
      <c r="L48" s="744">
        <v>554855.96618393145</v>
      </c>
      <c r="M48" s="744">
        <v>534289.84457419172</v>
      </c>
      <c r="N48" s="744">
        <f t="shared" si="44"/>
        <v>534289.84457419172</v>
      </c>
      <c r="O48" s="744">
        <f t="shared" si="44"/>
        <v>534289.84457419172</v>
      </c>
      <c r="P48" s="744">
        <f t="shared" si="44"/>
        <v>534289.84457419172</v>
      </c>
      <c r="Q48" s="744">
        <f t="shared" si="44"/>
        <v>534289.84457419172</v>
      </c>
      <c r="R48" s="733" t="s">
        <v>217</v>
      </c>
      <c r="S48" s="68"/>
      <c r="T48" s="734" t="s">
        <v>8899</v>
      </c>
      <c r="AM48" s="727" t="s">
        <v>760</v>
      </c>
      <c r="AN48" s="727">
        <f>'12. 추정 IS'!F51</f>
        <v>39098.076173000001</v>
      </c>
      <c r="AO48" s="727">
        <f>'12. 추정 IS'!G51</f>
        <v>41084.273893999998</v>
      </c>
      <c r="AP48" s="727">
        <f>'12. 추정 IS'!H51</f>
        <v>33582.034905999986</v>
      </c>
      <c r="AQ48" s="727">
        <f>'12. 추정 IS'!I51</f>
        <v>30528.505090999999</v>
      </c>
      <c r="AR48" s="727">
        <f>'12. 추정 IS'!J51</f>
        <v>30260</v>
      </c>
      <c r="AS48" s="727">
        <f t="shared" ref="AS48:AY48" si="46">ROUND(AR54*AS47,6)</f>
        <v>28078.329966000001</v>
      </c>
      <c r="AT48" s="727">
        <f t="shared" si="46"/>
        <v>28359.113266</v>
      </c>
      <c r="AU48" s="727">
        <f t="shared" si="46"/>
        <v>28642.704398000002</v>
      </c>
      <c r="AV48" s="727">
        <f t="shared" si="46"/>
        <v>28929.131442000002</v>
      </c>
      <c r="AW48" s="727">
        <f t="shared" si="46"/>
        <v>29218.422757</v>
      </c>
      <c r="AX48" s="727">
        <f t="shared" si="46"/>
        <v>29510.606983999998</v>
      </c>
      <c r="AY48" s="727">
        <f t="shared" si="46"/>
        <v>29805.713054</v>
      </c>
      <c r="AZ48" s="727" t="s">
        <v>761</v>
      </c>
      <c r="BB48" s="727">
        <f>SUMIFS('SAP BS'!G:G,'SAP BS'!$B:$B,'11. 추정 BS'!$C48)</f>
        <v>645306617571</v>
      </c>
      <c r="BC48" s="727">
        <f>SUMIFS('SAP BS'!L:L,'SAP BS'!$B:$B,'11. 추정 BS'!$C48)</f>
        <v>10000000</v>
      </c>
      <c r="BD48" s="727">
        <f t="shared" si="4"/>
        <v>645296617571</v>
      </c>
      <c r="BI48" s="727">
        <v>0</v>
      </c>
    </row>
    <row r="49" spans="2:61" ht="16.5" customHeight="1" x14ac:dyDescent="0.3">
      <c r="B49" s="745"/>
      <c r="C49" s="756" t="s">
        <v>762</v>
      </c>
      <c r="D49" s="744"/>
      <c r="E49" s="744"/>
      <c r="F49" s="744">
        <v>0</v>
      </c>
      <c r="G49" s="744">
        <v>0</v>
      </c>
      <c r="H49" s="744">
        <v>0</v>
      </c>
      <c r="I49" s="744">
        <v>0</v>
      </c>
      <c r="J49" s="744">
        <f t="shared" si="43"/>
        <v>0</v>
      </c>
      <c r="K49" s="744">
        <v>0</v>
      </c>
      <c r="L49" s="744">
        <v>0</v>
      </c>
      <c r="M49" s="744">
        <v>0</v>
      </c>
      <c r="N49" s="744">
        <f t="shared" si="44"/>
        <v>0</v>
      </c>
      <c r="O49" s="744">
        <f t="shared" si="44"/>
        <v>0</v>
      </c>
      <c r="P49" s="744">
        <f t="shared" si="44"/>
        <v>0</v>
      </c>
      <c r="Q49" s="744">
        <f t="shared" si="44"/>
        <v>0</v>
      </c>
      <c r="R49" s="733" t="s">
        <v>217</v>
      </c>
      <c r="S49" s="68"/>
      <c r="T49" s="734"/>
      <c r="AM49" s="727" t="s">
        <v>763</v>
      </c>
      <c r="AN49" s="747"/>
      <c r="AO49" s="747">
        <f>AO50/(AN53+AN56+AN58)</f>
        <v>0.20978246015212162</v>
      </c>
      <c r="AP49" s="755">
        <f>AP50/(AO53+AO56+AO58)</f>
        <v>0.19841890516800073</v>
      </c>
      <c r="AQ49" s="755">
        <f>AQ50/(AP53+AP56+AP58)</f>
        <v>0.20495207659845008</v>
      </c>
      <c r="AR49" s="755">
        <f>AR50/(AQ53+AQ56+AQ58)</f>
        <v>0.19731596371273211</v>
      </c>
      <c r="AS49" s="755">
        <f t="shared" ref="AS49:AY49" si="47">AR49</f>
        <v>0.19731596371273211</v>
      </c>
      <c r="AT49" s="755">
        <f t="shared" si="47"/>
        <v>0.19731596371273211</v>
      </c>
      <c r="AU49" s="755">
        <f t="shared" si="47"/>
        <v>0.19731596371273211</v>
      </c>
      <c r="AV49" s="755">
        <f t="shared" si="47"/>
        <v>0.19731596371273211</v>
      </c>
      <c r="AW49" s="755">
        <f t="shared" si="47"/>
        <v>0.19731596371273211</v>
      </c>
      <c r="AX49" s="755">
        <f t="shared" si="47"/>
        <v>0.19731596371273211</v>
      </c>
      <c r="AY49" s="755">
        <f t="shared" si="47"/>
        <v>0.19731596371273211</v>
      </c>
      <c r="BB49" s="727">
        <f>SUMIFS('SAP BS'!G:G,'SAP BS'!$B:$B,'11. 추정 BS'!$C49)</f>
        <v>0</v>
      </c>
      <c r="BC49" s="727">
        <f>SUMIFS('SAP BS'!L:L,'SAP BS'!$B:$B,'11. 추정 BS'!$C49)</f>
        <v>0</v>
      </c>
      <c r="BD49" s="727">
        <f t="shared" si="4"/>
        <v>0</v>
      </c>
      <c r="BI49" s="727">
        <v>0</v>
      </c>
    </row>
    <row r="50" spans="2:61" ht="16.5" customHeight="1" x14ac:dyDescent="0.3">
      <c r="B50" s="745"/>
      <c r="C50" s="746" t="s">
        <v>130</v>
      </c>
      <c r="D50" s="744">
        <v>0</v>
      </c>
      <c r="E50" s="744">
        <v>0</v>
      </c>
      <c r="F50" s="744">
        <v>0</v>
      </c>
      <c r="G50" s="744">
        <v>0</v>
      </c>
      <c r="H50" s="744">
        <v>0</v>
      </c>
      <c r="I50" s="744">
        <v>0</v>
      </c>
      <c r="J50" s="744">
        <f t="shared" si="43"/>
        <v>0</v>
      </c>
      <c r="K50" s="744">
        <v>0</v>
      </c>
      <c r="L50" s="744">
        <v>0</v>
      </c>
      <c r="M50" s="744">
        <v>0</v>
      </c>
      <c r="N50" s="744">
        <f t="shared" si="44"/>
        <v>0</v>
      </c>
      <c r="O50" s="744">
        <f t="shared" si="44"/>
        <v>0</v>
      </c>
      <c r="P50" s="744">
        <f t="shared" si="44"/>
        <v>0</v>
      </c>
      <c r="Q50" s="744">
        <f t="shared" si="44"/>
        <v>0</v>
      </c>
      <c r="R50" s="733"/>
      <c r="S50" s="68"/>
      <c r="T50" s="734"/>
      <c r="AM50" s="727" t="s">
        <v>764</v>
      </c>
      <c r="AN50" s="727">
        <f>'12. 추정 IS'!F50</f>
        <v>444479.23321999999</v>
      </c>
      <c r="AO50" s="727">
        <f>'12. 추정 IS'!G50</f>
        <v>430583.08523800003</v>
      </c>
      <c r="AP50" s="727">
        <f>'12. 추정 IS'!H50</f>
        <v>439453.20612900006</v>
      </c>
      <c r="AQ50" s="727">
        <f>'12. 추정 IS'!I50</f>
        <v>494844.75863000005</v>
      </c>
      <c r="AR50" s="727">
        <f>'12. 추정 IS'!J50</f>
        <v>526260</v>
      </c>
      <c r="AS50" s="727">
        <f t="shared" ref="AS50:AY50" si="48">AS49*(AS53+AS56+AS58)</f>
        <v>516678.88136381586</v>
      </c>
      <c r="AT50" s="727">
        <f t="shared" si="48"/>
        <v>523000.93511080311</v>
      </c>
      <c r="AU50" s="727">
        <f t="shared" si="48"/>
        <v>528991.23195099575</v>
      </c>
      <c r="AV50" s="727">
        <f t="shared" si="48"/>
        <v>538936.70916592388</v>
      </c>
      <c r="AW50" s="727">
        <f t="shared" si="48"/>
        <v>549264.17240032891</v>
      </c>
      <c r="AX50" s="727">
        <f t="shared" si="48"/>
        <v>560641.91177614289</v>
      </c>
      <c r="AY50" s="727">
        <f t="shared" si="48"/>
        <v>572441.25713415141</v>
      </c>
      <c r="AZ50" s="727" t="s">
        <v>761</v>
      </c>
      <c r="BB50" s="727">
        <f>SUMIFS('SAP BS'!G:G,'SAP BS'!$B:$B,'11. 추정 BS'!$C50)</f>
        <v>0</v>
      </c>
      <c r="BC50" s="727">
        <f>SUMIFS('SAP BS'!L:L,'SAP BS'!$B:$B,'11. 추정 BS'!$C50)</f>
        <v>0</v>
      </c>
      <c r="BD50" s="727">
        <f t="shared" si="4"/>
        <v>0</v>
      </c>
      <c r="BI50" s="727">
        <v>0</v>
      </c>
    </row>
    <row r="51" spans="2:61" ht="16.5" customHeight="1" x14ac:dyDescent="0.3">
      <c r="B51" s="748"/>
      <c r="C51" s="749" t="s">
        <v>131</v>
      </c>
      <c r="D51" s="750">
        <v>1011912.068724</v>
      </c>
      <c r="E51" s="750">
        <v>1022458.3733759999</v>
      </c>
      <c r="F51" s="750">
        <v>1709416.1998329998</v>
      </c>
      <c r="G51" s="750">
        <v>1678888.4425860001</v>
      </c>
      <c r="H51" s="750">
        <v>1505490.1307890001</v>
      </c>
      <c r="I51" s="750">
        <v>568740.81280200009</v>
      </c>
      <c r="J51" s="750">
        <f t="shared" si="43"/>
        <v>504256</v>
      </c>
      <c r="K51" s="750">
        <v>480248.65041908517</v>
      </c>
      <c r="L51" s="750">
        <v>406306.11331248505</v>
      </c>
      <c r="M51" s="750">
        <v>356263.6097234849</v>
      </c>
      <c r="N51" s="750">
        <f>M51</f>
        <v>356263.6097234849</v>
      </c>
      <c r="O51" s="750">
        <f t="shared" si="44"/>
        <v>356263.6097234849</v>
      </c>
      <c r="P51" s="750">
        <f t="shared" si="44"/>
        <v>356263.6097234849</v>
      </c>
      <c r="Q51" s="750">
        <f t="shared" si="44"/>
        <v>356263.6097234849</v>
      </c>
      <c r="R51" s="733" t="s">
        <v>217</v>
      </c>
      <c r="S51" s="68"/>
      <c r="T51" s="734" t="s">
        <v>8900</v>
      </c>
      <c r="AM51" s="727" t="s">
        <v>765</v>
      </c>
      <c r="AN51" s="727">
        <f>'12. 추정 IS'!F50</f>
        <v>444479.23321999999</v>
      </c>
      <c r="AO51" s="727">
        <f>'12. 추정 IS'!G50</f>
        <v>430583.08523800003</v>
      </c>
      <c r="AP51" s="727">
        <f>'12. 추정 IS'!H50</f>
        <v>439453.20612900006</v>
      </c>
      <c r="AQ51" s="727">
        <f>'12. 추정 IS'!I50</f>
        <v>494844.75863000005</v>
      </c>
      <c r="AR51" s="727">
        <f>'12. 추정 IS'!J50</f>
        <v>526260</v>
      </c>
      <c r="AS51" s="727">
        <f>'12. 추정 IS'!K50</f>
        <v>516678.88136381586</v>
      </c>
      <c r="AT51" s="727">
        <f>'12. 추정 IS'!L50</f>
        <v>523000.93511080311</v>
      </c>
      <c r="AU51" s="727">
        <f>'12. 추정 IS'!M50</f>
        <v>528991.23195099575</v>
      </c>
      <c r="AV51" s="727">
        <f>'12. 추정 IS'!N50</f>
        <v>538936.70916592388</v>
      </c>
      <c r="AW51" s="727">
        <f>'12. 추정 IS'!O50</f>
        <v>549264.17240032891</v>
      </c>
      <c r="AX51" s="727">
        <f>'12. 추정 IS'!P50</f>
        <v>560641.91177614289</v>
      </c>
      <c r="AY51" s="727">
        <f>'12. 추정 IS'!Q50</f>
        <v>572441.25713415141</v>
      </c>
      <c r="BB51" s="727">
        <f>SUMIFS('SAP BS'!G:G,'SAP BS'!$B:$B,'11. 추정 BS'!$C51)</f>
        <v>504255645209</v>
      </c>
      <c r="BC51" s="727">
        <f>SUMIFS('SAP BS'!L:L,'SAP BS'!$B:$B,'11. 추정 BS'!$C51)</f>
        <v>0</v>
      </c>
      <c r="BD51" s="727">
        <f t="shared" si="4"/>
        <v>504255645209</v>
      </c>
      <c r="BI51" s="727">
        <v>0</v>
      </c>
    </row>
    <row r="52" spans="2:61" ht="16.5" customHeight="1" x14ac:dyDescent="0.3">
      <c r="B52" s="745"/>
      <c r="C52" s="746" t="s">
        <v>766</v>
      </c>
      <c r="D52" s="744"/>
      <c r="E52" s="744"/>
      <c r="F52" s="744">
        <v>0</v>
      </c>
      <c r="G52" s="744">
        <v>0</v>
      </c>
      <c r="H52" s="744">
        <v>0</v>
      </c>
      <c r="I52" s="744">
        <v>0</v>
      </c>
      <c r="J52" s="744">
        <f t="shared" si="43"/>
        <v>25390</v>
      </c>
      <c r="K52" s="744">
        <v>0</v>
      </c>
      <c r="L52" s="744">
        <v>0</v>
      </c>
      <c r="M52" s="744">
        <v>0</v>
      </c>
      <c r="N52" s="744">
        <v>0</v>
      </c>
      <c r="O52" s="744">
        <v>0</v>
      </c>
      <c r="P52" s="744">
        <v>0</v>
      </c>
      <c r="Q52" s="744">
        <v>0</v>
      </c>
      <c r="R52" s="757" t="s">
        <v>217</v>
      </c>
      <c r="S52" s="68"/>
      <c r="T52" s="734"/>
      <c r="AN52" s="727">
        <v>2021</v>
      </c>
      <c r="AO52" s="727">
        <v>2022</v>
      </c>
      <c r="AP52" s="727">
        <v>2023</v>
      </c>
      <c r="AQ52" s="727">
        <v>2024</v>
      </c>
      <c r="AR52" s="727">
        <v>2025</v>
      </c>
      <c r="AS52" s="727">
        <v>2026</v>
      </c>
      <c r="AT52" s="727">
        <v>2027</v>
      </c>
      <c r="AU52" s="727">
        <v>2028</v>
      </c>
      <c r="AV52" s="727">
        <v>2029</v>
      </c>
      <c r="AW52" s="727">
        <v>2030</v>
      </c>
      <c r="AX52" s="727">
        <v>2031</v>
      </c>
      <c r="AY52" s="727">
        <v>2032</v>
      </c>
      <c r="BB52" s="727">
        <f>SUMIFS('SAP BS'!G:G,'SAP BS'!$B:$B,'11. 추정 BS'!$C52)</f>
        <v>29654484121</v>
      </c>
      <c r="BC52" s="727">
        <f>SUMIFS('SAP BS'!L:L,'SAP BS'!$B:$B,'11. 추정 BS'!$C52)</f>
        <v>4264594750</v>
      </c>
      <c r="BD52" s="727">
        <f t="shared" si="4"/>
        <v>25389889371</v>
      </c>
      <c r="BI52" s="727">
        <v>0</v>
      </c>
    </row>
    <row r="53" spans="2:61" ht="16.5" customHeight="1" x14ac:dyDescent="0.3">
      <c r="B53" s="748"/>
      <c r="C53" s="749" t="s">
        <v>132</v>
      </c>
      <c r="D53" s="750">
        <v>909943.31845400017</v>
      </c>
      <c r="E53" s="750">
        <v>852391.05670600012</v>
      </c>
      <c r="F53" s="750">
        <v>819509.30778600043</v>
      </c>
      <c r="G53" s="750">
        <v>878889.384081</v>
      </c>
      <c r="H53" s="750">
        <v>970167.21974699991</v>
      </c>
      <c r="I53" s="750">
        <v>1032852.2748520003</v>
      </c>
      <c r="J53" s="750">
        <f t="shared" si="43"/>
        <v>944519</v>
      </c>
      <c r="K53" s="750">
        <f>AS53</f>
        <v>953964.19000000006</v>
      </c>
      <c r="L53" s="750">
        <f t="shared" ref="L53:Q54" si="49">AT53</f>
        <v>963503.83190000011</v>
      </c>
      <c r="M53" s="750">
        <f t="shared" si="49"/>
        <v>973138.87021900015</v>
      </c>
      <c r="N53" s="750">
        <f t="shared" si="49"/>
        <v>982870.25892119016</v>
      </c>
      <c r="O53" s="750">
        <f t="shared" si="49"/>
        <v>992698.96151040203</v>
      </c>
      <c r="P53" s="750">
        <f t="shared" si="49"/>
        <v>1002625.9511255061</v>
      </c>
      <c r="Q53" s="750">
        <f t="shared" si="49"/>
        <v>1012652.2106367612</v>
      </c>
      <c r="R53" s="733" t="s">
        <v>227</v>
      </c>
      <c r="S53" s="68"/>
      <c r="T53" s="734" t="s">
        <v>8902</v>
      </c>
      <c r="AM53" s="727" t="str">
        <f>C53</f>
        <v>(4)유형자산</v>
      </c>
      <c r="AN53" s="727">
        <f t="shared" ref="AN53:AR54" si="50">F53</f>
        <v>819509.30778600043</v>
      </c>
      <c r="AO53" s="727">
        <f t="shared" si="50"/>
        <v>878889.384081</v>
      </c>
      <c r="AP53" s="727">
        <f t="shared" si="50"/>
        <v>970167.21974699991</v>
      </c>
      <c r="AQ53" s="727">
        <f t="shared" si="50"/>
        <v>1032852.2748520003</v>
      </c>
      <c r="AR53" s="727">
        <f t="shared" si="50"/>
        <v>944519</v>
      </c>
      <c r="AS53" s="727">
        <f>AR53*(1+AS55)</f>
        <v>953964.19000000006</v>
      </c>
      <c r="AT53" s="727">
        <f t="shared" ref="AT53:AY53" si="51">AS53*(1+AT55)</f>
        <v>963503.83190000011</v>
      </c>
      <c r="AU53" s="727">
        <f t="shared" si="51"/>
        <v>973138.87021900015</v>
      </c>
      <c r="AV53" s="727">
        <f t="shared" si="51"/>
        <v>982870.25892119016</v>
      </c>
      <c r="AW53" s="727">
        <f t="shared" si="51"/>
        <v>992698.96151040203</v>
      </c>
      <c r="AX53" s="727">
        <f t="shared" si="51"/>
        <v>1002625.9511255061</v>
      </c>
      <c r="AY53" s="727">
        <f t="shared" si="51"/>
        <v>1012652.2106367612</v>
      </c>
      <c r="AZ53" s="727" t="s">
        <v>767</v>
      </c>
      <c r="BB53" s="727">
        <f>SUMIFS('SAP BS'!G:G,'SAP BS'!$B:$B,'11. 추정 BS'!$C53)</f>
        <v>1282564136286</v>
      </c>
      <c r="BC53" s="727">
        <f>SUMIFS('SAP BS'!L:L,'SAP BS'!$B:$B,'11. 추정 BS'!$C53)</f>
        <v>338045245119</v>
      </c>
      <c r="BD53" s="727">
        <f t="shared" si="4"/>
        <v>944518891167</v>
      </c>
      <c r="BI53" s="727">
        <v>0</v>
      </c>
    </row>
    <row r="54" spans="2:61" ht="16.5" customHeight="1" x14ac:dyDescent="0.3">
      <c r="B54" s="748"/>
      <c r="C54" s="749" t="s">
        <v>133</v>
      </c>
      <c r="D54" s="750">
        <v>120003.50736299997</v>
      </c>
      <c r="E54" s="750">
        <v>94450.392814999999</v>
      </c>
      <c r="F54" s="750">
        <v>165931.78537699993</v>
      </c>
      <c r="G54" s="750">
        <v>141017.26405600001</v>
      </c>
      <c r="H54" s="750">
        <v>135544.49279300004</v>
      </c>
      <c r="I54" s="750">
        <v>148332.39316800004</v>
      </c>
      <c r="J54" s="750">
        <f t="shared" si="43"/>
        <v>137638</v>
      </c>
      <c r="K54" s="750">
        <f>AS54</f>
        <v>139014.38</v>
      </c>
      <c r="L54" s="750">
        <f t="shared" si="49"/>
        <v>140404.5238</v>
      </c>
      <c r="M54" s="750">
        <f t="shared" si="49"/>
        <v>141808.56903799999</v>
      </c>
      <c r="N54" s="750">
        <f t="shared" si="49"/>
        <v>143226.65472837997</v>
      </c>
      <c r="O54" s="750">
        <f t="shared" si="49"/>
        <v>144658.92127566377</v>
      </c>
      <c r="P54" s="750">
        <f t="shared" si="49"/>
        <v>146105.5104884204</v>
      </c>
      <c r="Q54" s="750">
        <f t="shared" si="49"/>
        <v>147566.56559330461</v>
      </c>
      <c r="R54" s="733" t="s">
        <v>227</v>
      </c>
      <c r="S54" s="68"/>
      <c r="T54" s="734" t="s">
        <v>8902</v>
      </c>
      <c r="AM54" s="727" t="str">
        <f>C54</f>
        <v>(5)무형자산</v>
      </c>
      <c r="AN54" s="727">
        <f t="shared" si="50"/>
        <v>165931.78537699993</v>
      </c>
      <c r="AO54" s="727">
        <f t="shared" si="50"/>
        <v>141017.26405600001</v>
      </c>
      <c r="AP54" s="727">
        <f t="shared" si="50"/>
        <v>135544.49279300004</v>
      </c>
      <c r="AQ54" s="727">
        <f t="shared" si="50"/>
        <v>148332.39316800004</v>
      </c>
      <c r="AR54" s="727">
        <f t="shared" si="50"/>
        <v>137638</v>
      </c>
      <c r="AS54" s="727">
        <f>AR54*(1+AS55)</f>
        <v>139014.38</v>
      </c>
      <c r="AT54" s="727">
        <f t="shared" ref="AT54:AY54" si="52">AS54*(1+AT55)</f>
        <v>140404.5238</v>
      </c>
      <c r="AU54" s="727">
        <f t="shared" si="52"/>
        <v>141808.56903799999</v>
      </c>
      <c r="AV54" s="727">
        <f t="shared" si="52"/>
        <v>143226.65472837997</v>
      </c>
      <c r="AW54" s="727">
        <f t="shared" si="52"/>
        <v>144658.92127566377</v>
      </c>
      <c r="AX54" s="727">
        <f t="shared" si="52"/>
        <v>146105.5104884204</v>
      </c>
      <c r="AY54" s="727">
        <f t="shared" si="52"/>
        <v>147566.56559330461</v>
      </c>
      <c r="AZ54" s="727" t="s">
        <v>767</v>
      </c>
      <c r="BB54" s="727">
        <f>SUMIFS('SAP BS'!G:G,'SAP BS'!$B:$B,'11. 추정 BS'!$C54)</f>
        <v>154373571706</v>
      </c>
      <c r="BC54" s="727">
        <f>SUMIFS('SAP BS'!L:L,'SAP BS'!$B:$B,'11. 추정 BS'!$C54)</f>
        <v>16735940152</v>
      </c>
      <c r="BD54" s="727">
        <f t="shared" si="4"/>
        <v>137637631554</v>
      </c>
      <c r="BI54" s="727">
        <v>0</v>
      </c>
    </row>
    <row r="55" spans="2:61" ht="16.5" customHeight="1" x14ac:dyDescent="0.3">
      <c r="B55" s="748"/>
      <c r="C55" s="749" t="s">
        <v>134</v>
      </c>
      <c r="D55" s="750">
        <v>269687.29813600006</v>
      </c>
      <c r="E55" s="750">
        <v>235248.57008800001</v>
      </c>
      <c r="F55" s="750">
        <v>429628.92898799997</v>
      </c>
      <c r="G55" s="750">
        <v>401648.37677299994</v>
      </c>
      <c r="H55" s="750">
        <v>371389.79143200006</v>
      </c>
      <c r="I55" s="750">
        <v>322968.74361300003</v>
      </c>
      <c r="J55" s="750">
        <f t="shared" si="43"/>
        <v>294936</v>
      </c>
      <c r="K55" s="750">
        <v>288798.20847968734</v>
      </c>
      <c r="L55" s="750">
        <v>274079.24849068729</v>
      </c>
      <c r="M55" s="750">
        <v>256645.06992468736</v>
      </c>
      <c r="N55" s="750">
        <f>M55</f>
        <v>256645.06992468736</v>
      </c>
      <c r="O55" s="750">
        <f>N55</f>
        <v>256645.06992468736</v>
      </c>
      <c r="P55" s="750">
        <f>O55</f>
        <v>256645.06992468736</v>
      </c>
      <c r="Q55" s="750">
        <f>P55</f>
        <v>256645.06992468736</v>
      </c>
      <c r="R55" s="733" t="s">
        <v>227</v>
      </c>
      <c r="S55" s="68"/>
      <c r="T55" s="734" t="s">
        <v>8902</v>
      </c>
      <c r="AM55" s="727" t="s">
        <v>768</v>
      </c>
      <c r="AN55" s="754"/>
      <c r="AO55" s="754">
        <f>AO53/AN53-1</f>
        <v>7.2458086480337469E-2</v>
      </c>
      <c r="AP55" s="754">
        <f>AP53/AO53-1</f>
        <v>0.10385588598438189</v>
      </c>
      <c r="AQ55" s="754">
        <f>AQ53/AP53-1</f>
        <v>6.4612629481902495E-2</v>
      </c>
      <c r="AR55" s="754">
        <f>AR53/AQ53-1</f>
        <v>-8.5523629083024244E-2</v>
      </c>
      <c r="AS55" s="747">
        <v>0.01</v>
      </c>
      <c r="AT55" s="747">
        <v>0.01</v>
      </c>
      <c r="AU55" s="747">
        <v>0.01</v>
      </c>
      <c r="AV55" s="747">
        <v>0.01</v>
      </c>
      <c r="AW55" s="747">
        <v>0.01</v>
      </c>
      <c r="AX55" s="747">
        <v>0.01</v>
      </c>
      <c r="AY55" s="747">
        <v>0.01</v>
      </c>
      <c r="BB55" s="727">
        <f>SUMIFS('SAP BS'!G:G,'SAP BS'!$B:$B,'11. 추정 BS'!$C55)</f>
        <v>346646953054</v>
      </c>
      <c r="BC55" s="727">
        <f>SUMIFS('SAP BS'!L:L,'SAP BS'!$B:$B,'11. 추정 BS'!$C55)</f>
        <v>51711160771</v>
      </c>
      <c r="BD55" s="727">
        <f t="shared" si="4"/>
        <v>294935792283</v>
      </c>
      <c r="BI55" s="727">
        <v>0</v>
      </c>
    </row>
    <row r="56" spans="2:61" ht="16.5" customHeight="1" x14ac:dyDescent="0.3">
      <c r="B56" s="748"/>
      <c r="C56" s="749" t="s">
        <v>135</v>
      </c>
      <c r="D56" s="750">
        <v>43084.405225999995</v>
      </c>
      <c r="E56" s="750">
        <v>48102.976435000004</v>
      </c>
      <c r="F56" s="750">
        <v>96876.760159999947</v>
      </c>
      <c r="G56" s="750">
        <v>140487.50111300001</v>
      </c>
      <c r="H56" s="750">
        <v>141344.21838400007</v>
      </c>
      <c r="I56" s="750">
        <v>155117.349973</v>
      </c>
      <c r="J56" s="750">
        <f t="shared" si="43"/>
        <v>91372</v>
      </c>
      <c r="K56" s="750">
        <v>109062.51642260936</v>
      </c>
      <c r="L56" s="750">
        <v>119242.42145570398</v>
      </c>
      <c r="M56" s="750">
        <v>129878.60892561651</v>
      </c>
      <c r="N56" s="750">
        <f>((M56/J56)^(1/3))*M56</f>
        <v>146031.24714647137</v>
      </c>
      <c r="O56" s="750">
        <f>((N56/K56)^(1/3))*N56</f>
        <v>160954.28911872092</v>
      </c>
      <c r="P56" s="750">
        <f>((O56/L56)^(1/3))*O56</f>
        <v>177879.73624426944</v>
      </c>
      <c r="Q56" s="750">
        <f>((P56/M56)^(1/3))*P56</f>
        <v>197540.47464399002</v>
      </c>
      <c r="R56" s="733" t="s">
        <v>226</v>
      </c>
      <c r="S56" s="68"/>
      <c r="T56" s="734" t="s">
        <v>8903</v>
      </c>
      <c r="AM56" s="727" t="str">
        <f>C55</f>
        <v>(6)투자부동산</v>
      </c>
      <c r="AN56" s="727">
        <f t="shared" ref="AN56:AY56" si="53">F55</f>
        <v>429628.92898799997</v>
      </c>
      <c r="AO56" s="727">
        <f t="shared" si="53"/>
        <v>401648.37677299994</v>
      </c>
      <c r="AP56" s="727">
        <f t="shared" si="53"/>
        <v>371389.79143200006</v>
      </c>
      <c r="AQ56" s="727">
        <f t="shared" si="53"/>
        <v>322968.74361300003</v>
      </c>
      <c r="AR56" s="727">
        <f t="shared" si="53"/>
        <v>294936</v>
      </c>
      <c r="AS56" s="727">
        <f t="shared" si="53"/>
        <v>288798.20847968734</v>
      </c>
      <c r="AT56" s="727">
        <f t="shared" si="53"/>
        <v>274079.24849068729</v>
      </c>
      <c r="AU56" s="727">
        <f t="shared" si="53"/>
        <v>256645.06992468736</v>
      </c>
      <c r="AV56" s="727">
        <f t="shared" si="53"/>
        <v>256645.06992468736</v>
      </c>
      <c r="AW56" s="727">
        <f t="shared" si="53"/>
        <v>256645.06992468736</v>
      </c>
      <c r="AX56" s="727">
        <f t="shared" si="53"/>
        <v>256645.06992468736</v>
      </c>
      <c r="AY56" s="727">
        <f t="shared" si="53"/>
        <v>256645.06992468736</v>
      </c>
      <c r="AZ56" s="727" t="s">
        <v>769</v>
      </c>
      <c r="BB56" s="727">
        <f>SUMIFS('SAP BS'!G:G,'SAP BS'!$B:$B,'11. 추정 BS'!$C56)</f>
        <v>91404877408</v>
      </c>
      <c r="BC56" s="727">
        <f>SUMIFS('SAP BS'!L:L,'SAP BS'!$B:$B,'11. 추정 BS'!$C56)</f>
        <v>33118816</v>
      </c>
      <c r="BD56" s="727">
        <f t="shared" si="4"/>
        <v>91371758592</v>
      </c>
      <c r="BI56" s="727">
        <v>0</v>
      </c>
    </row>
    <row r="57" spans="2:61" ht="16.5" customHeight="1" x14ac:dyDescent="0.3">
      <c r="B57" s="748"/>
      <c r="C57" s="749" t="s">
        <v>136</v>
      </c>
      <c r="D57" s="750">
        <v>0</v>
      </c>
      <c r="E57" s="750">
        <v>-9807.473899999999</v>
      </c>
      <c r="F57" s="750">
        <v>3273.6965479999999</v>
      </c>
      <c r="G57" s="750">
        <v>848.84391900000003</v>
      </c>
      <c r="H57" s="750">
        <v>0</v>
      </c>
      <c r="I57" s="750">
        <v>0</v>
      </c>
      <c r="J57" s="750">
        <f t="shared" si="43"/>
        <v>0</v>
      </c>
      <c r="K57" s="750">
        <v>0</v>
      </c>
      <c r="L57" s="750">
        <v>0</v>
      </c>
      <c r="M57" s="750">
        <v>0</v>
      </c>
      <c r="N57" s="750">
        <f>M57</f>
        <v>0</v>
      </c>
      <c r="O57" s="750">
        <f>N57</f>
        <v>0</v>
      </c>
      <c r="P57" s="750">
        <f>O57</f>
        <v>0</v>
      </c>
      <c r="Q57" s="750">
        <f>P57</f>
        <v>0</v>
      </c>
      <c r="R57" s="733" t="s">
        <v>226</v>
      </c>
      <c r="S57" s="68"/>
      <c r="T57" s="734"/>
      <c r="AN57" s="727">
        <v>2021</v>
      </c>
      <c r="AO57" s="727">
        <v>2022</v>
      </c>
      <c r="AP57" s="727">
        <v>2023</v>
      </c>
      <c r="AQ57" s="727">
        <v>2024</v>
      </c>
      <c r="AR57" s="727">
        <v>2025</v>
      </c>
      <c r="AS57" s="727">
        <v>2026</v>
      </c>
      <c r="AT57" s="727">
        <v>2027</v>
      </c>
      <c r="AU57" s="727">
        <v>2028</v>
      </c>
      <c r="AV57" s="727">
        <v>2029</v>
      </c>
      <c r="AW57" s="727">
        <v>2030</v>
      </c>
      <c r="AX57" s="727">
        <v>2031</v>
      </c>
      <c r="AY57" s="727">
        <v>2032</v>
      </c>
      <c r="BB57" s="727">
        <f>SUMIFS('SAP BS'!G:G,'SAP BS'!$B:$B,'11. 추정 BS'!$C57)</f>
        <v>0</v>
      </c>
      <c r="BC57" s="727">
        <f>SUMIFS('SAP BS'!L:L,'SAP BS'!$B:$B,'11. 추정 BS'!$C57)</f>
        <v>0</v>
      </c>
      <c r="BD57" s="727">
        <f t="shared" si="4"/>
        <v>0</v>
      </c>
      <c r="BI57" s="727">
        <v>0</v>
      </c>
    </row>
    <row r="58" spans="2:61" ht="16.5" customHeight="1" x14ac:dyDescent="0.3">
      <c r="B58" s="748"/>
      <c r="C58" s="749" t="s">
        <v>138</v>
      </c>
      <c r="D58" s="750">
        <v>921186.32333000004</v>
      </c>
      <c r="E58" s="750">
        <v>938183.51686099998</v>
      </c>
      <c r="F58" s="750">
        <v>803383.62289800041</v>
      </c>
      <c r="G58" s="750">
        <v>934237.11534500041</v>
      </c>
      <c r="H58" s="750">
        <v>1072884.2906260008</v>
      </c>
      <c r="I58" s="750">
        <v>1311271.8517610002</v>
      </c>
      <c r="J58" s="750">
        <f t="shared" si="43"/>
        <v>1339470</v>
      </c>
      <c r="K58" s="750">
        <f t="shared" ref="K58:Q58" si="54">AS58</f>
        <v>1375773.2315924796</v>
      </c>
      <c r="L58" s="750">
        <f t="shared" si="54"/>
        <v>1412992.8044486584</v>
      </c>
      <c r="M58" s="750">
        <f t="shared" si="54"/>
        <v>1451150.8509264474</v>
      </c>
      <c r="N58" s="750">
        <f t="shared" si="54"/>
        <v>1491823.2766333518</v>
      </c>
      <c r="O58" s="750">
        <f t="shared" si="54"/>
        <v>1534334.2988189713</v>
      </c>
      <c r="P58" s="750">
        <f t="shared" si="54"/>
        <v>1582069.8478131534</v>
      </c>
      <c r="Q58" s="750">
        <f t="shared" si="54"/>
        <v>1631842.8317892975</v>
      </c>
      <c r="R58" s="733" t="s">
        <v>227</v>
      </c>
      <c r="S58" s="68"/>
      <c r="T58" s="734" t="s">
        <v>8901</v>
      </c>
      <c r="AM58" s="727" t="s">
        <v>770</v>
      </c>
      <c r="AN58" s="727">
        <f>F58</f>
        <v>803383.62289800041</v>
      </c>
      <c r="AO58" s="727">
        <f>G58</f>
        <v>934237.11534500041</v>
      </c>
      <c r="AP58" s="727">
        <f>H58</f>
        <v>1072884.2906260008</v>
      </c>
      <c r="AQ58" s="727">
        <f>I58</f>
        <v>1311271.8517610002</v>
      </c>
      <c r="AR58" s="727">
        <f>J58</f>
        <v>1339470</v>
      </c>
      <c r="AS58" s="727">
        <f t="shared" ref="AS58:AY58" si="55">AS64*AR58</f>
        <v>1375773.2315924796</v>
      </c>
      <c r="AT58" s="727">
        <f t="shared" si="55"/>
        <v>1412992.8044486584</v>
      </c>
      <c r="AU58" s="727">
        <f t="shared" si="55"/>
        <v>1451150.8509264474</v>
      </c>
      <c r="AV58" s="727">
        <f t="shared" si="55"/>
        <v>1491823.2766333518</v>
      </c>
      <c r="AW58" s="727">
        <f t="shared" si="55"/>
        <v>1534334.2988189713</v>
      </c>
      <c r="AX58" s="727">
        <f t="shared" si="55"/>
        <v>1582069.8478131534</v>
      </c>
      <c r="AY58" s="727">
        <f t="shared" si="55"/>
        <v>1631842.8317892975</v>
      </c>
      <c r="AZ58" s="727" t="s">
        <v>771</v>
      </c>
      <c r="BB58" s="727">
        <f>SUMIFS('SAP BS'!G:G,'SAP BS'!$B:$B,'11. 추정 BS'!$C58)</f>
        <v>1340320317962</v>
      </c>
      <c r="BC58" s="727">
        <f>SUMIFS('SAP BS'!L:L,'SAP BS'!$B:$B,'11. 추정 BS'!$C58)</f>
        <v>850221918</v>
      </c>
      <c r="BD58" s="727">
        <f t="shared" si="4"/>
        <v>1339470096044</v>
      </c>
      <c r="BI58" s="727">
        <v>0</v>
      </c>
    </row>
    <row r="59" spans="2:61" ht="16.5" customHeight="1" x14ac:dyDescent="0.3">
      <c r="B59" s="745"/>
      <c r="C59" s="751" t="s">
        <v>139</v>
      </c>
      <c r="D59" s="744">
        <v>0</v>
      </c>
      <c r="E59" s="744">
        <v>0</v>
      </c>
      <c r="F59" s="744">
        <v>0</v>
      </c>
      <c r="G59" s="744">
        <v>0</v>
      </c>
      <c r="H59" s="744">
        <v>0</v>
      </c>
      <c r="I59" s="744">
        <v>0</v>
      </c>
      <c r="J59" s="744">
        <v>0</v>
      </c>
      <c r="K59" s="744">
        <v>0</v>
      </c>
      <c r="L59" s="744">
        <v>0</v>
      </c>
      <c r="M59" s="744">
        <v>0</v>
      </c>
      <c r="N59" s="744">
        <f t="shared" ref="N59:Q61" si="56">M59</f>
        <v>0</v>
      </c>
      <c r="O59" s="744">
        <f t="shared" si="56"/>
        <v>0</v>
      </c>
      <c r="P59" s="744">
        <f t="shared" si="56"/>
        <v>0</v>
      </c>
      <c r="Q59" s="744">
        <f t="shared" si="56"/>
        <v>0</v>
      </c>
      <c r="R59" s="733"/>
      <c r="S59" s="68"/>
      <c r="T59" s="734"/>
      <c r="AM59" s="727" t="s">
        <v>772</v>
      </c>
      <c r="AN59" s="754"/>
      <c r="AO59" s="754">
        <f t="shared" ref="AO59:AU59" si="57">AO58/AN58-1</f>
        <v>0.16287796852888237</v>
      </c>
      <c r="AP59" s="754">
        <f t="shared" si="57"/>
        <v>0.14840683698356383</v>
      </c>
      <c r="AQ59" s="754">
        <f t="shared" si="57"/>
        <v>0.22219316958766</v>
      </c>
      <c r="AR59" s="754">
        <f t="shared" si="57"/>
        <v>2.1504425799372173E-2</v>
      </c>
      <c r="AS59" s="754">
        <f t="shared" si="57"/>
        <v>2.710268359312229E-2</v>
      </c>
      <c r="AT59" s="754">
        <f t="shared" si="57"/>
        <v>2.7053566679078767E-2</v>
      </c>
      <c r="AU59" s="754">
        <f t="shared" si="57"/>
        <v>2.7005124412277537E-2</v>
      </c>
      <c r="AV59" s="754">
        <f>AU59-1%*(AV57-AU57)</f>
        <v>1.7005124412277535E-2</v>
      </c>
      <c r="AW59" s="754">
        <f>AV59-1%*(AW57-AV57)</f>
        <v>7.0051244122775348E-3</v>
      </c>
      <c r="AX59" s="754">
        <f>AW59-1%*(AX57-AW57)</f>
        <v>-2.9948755877224655E-3</v>
      </c>
      <c r="AY59" s="754">
        <f>AX59-1%*(AY57-AX57)</f>
        <v>-1.2994875587722466E-2</v>
      </c>
      <c r="AZ59" s="727" t="s">
        <v>773</v>
      </c>
      <c r="BB59" s="727">
        <f>SUMIFS('SAP BS'!G:G,'SAP BS'!$B:$B,'11. 추정 BS'!$C59)</f>
        <v>0</v>
      </c>
      <c r="BC59" s="727">
        <f>SUMIFS('SAP BS'!L:L,'SAP BS'!$B:$B,'11. 추정 BS'!$C59)</f>
        <v>0</v>
      </c>
      <c r="BD59" s="727">
        <f t="shared" si="4"/>
        <v>0</v>
      </c>
      <c r="BI59" s="727">
        <v>0</v>
      </c>
    </row>
    <row r="60" spans="2:61" ht="16.5" customHeight="1" x14ac:dyDescent="0.3">
      <c r="B60" s="745"/>
      <c r="C60" s="751" t="s">
        <v>140</v>
      </c>
      <c r="D60" s="744">
        <v>0</v>
      </c>
      <c r="E60" s="744">
        <v>0</v>
      </c>
      <c r="F60" s="744">
        <v>0</v>
      </c>
      <c r="G60" s="744">
        <v>0</v>
      </c>
      <c r="H60" s="744">
        <v>0</v>
      </c>
      <c r="I60" s="744">
        <v>0</v>
      </c>
      <c r="J60" s="744">
        <v>0</v>
      </c>
      <c r="K60" s="744">
        <v>0</v>
      </c>
      <c r="L60" s="744">
        <v>0</v>
      </c>
      <c r="M60" s="744">
        <v>0</v>
      </c>
      <c r="N60" s="744">
        <f t="shared" si="56"/>
        <v>0</v>
      </c>
      <c r="O60" s="744">
        <f t="shared" si="56"/>
        <v>0</v>
      </c>
      <c r="P60" s="744">
        <f t="shared" si="56"/>
        <v>0</v>
      </c>
      <c r="Q60" s="744">
        <f t="shared" si="56"/>
        <v>0</v>
      </c>
      <c r="R60" s="733"/>
      <c r="S60" s="68"/>
      <c r="T60" s="734"/>
      <c r="AR60" s="727">
        <f t="shared" ref="AR60:AW60" si="58">(AQ58-AP58)*(1-AR59)</f>
        <v>233261.1735150785</v>
      </c>
      <c r="AS60" s="727">
        <f t="shared" si="58"/>
        <v>27433.9027493662</v>
      </c>
      <c r="AT60" s="727">
        <f t="shared" si="58"/>
        <v>35321.099695926438</v>
      </c>
      <c r="AU60" s="727">
        <f t="shared" si="58"/>
        <v>36214.453660625804</v>
      </c>
      <c r="AV60" s="727">
        <f>(AU58-AT58)*(1-AV59)</f>
        <v>37509.164150104785</v>
      </c>
      <c r="AW60" s="727">
        <f t="shared" si="58"/>
        <v>40387.510304678399</v>
      </c>
      <c r="AX60" s="727">
        <f>(AW58-AV58)*(1-AX59)</f>
        <v>42638.337408172294</v>
      </c>
      <c r="AY60" s="727">
        <f>(AX58-AW58)*(1-AY59)</f>
        <v>48355.866514473171</v>
      </c>
      <c r="BB60" s="727">
        <f>SUMIFS('SAP BS'!G:G,'SAP BS'!$B:$B,'11. 추정 BS'!$C60)</f>
        <v>0</v>
      </c>
      <c r="BC60" s="727">
        <f>SUMIFS('SAP BS'!L:L,'SAP BS'!$B:$B,'11. 추정 BS'!$C60)</f>
        <v>0</v>
      </c>
      <c r="BD60" s="727">
        <f t="shared" si="4"/>
        <v>0</v>
      </c>
      <c r="BI60" s="727">
        <v>0</v>
      </c>
    </row>
    <row r="61" spans="2:61" ht="16.5" customHeight="1" x14ac:dyDescent="0.3">
      <c r="B61" s="745"/>
      <c r="C61" s="751" t="s">
        <v>141</v>
      </c>
      <c r="D61" s="744">
        <v>0</v>
      </c>
      <c r="E61" s="744">
        <v>0</v>
      </c>
      <c r="F61" s="744">
        <v>0</v>
      </c>
      <c r="G61" s="744">
        <v>0</v>
      </c>
      <c r="H61" s="744">
        <v>0</v>
      </c>
      <c r="I61" s="744">
        <v>0</v>
      </c>
      <c r="J61" s="744">
        <v>0</v>
      </c>
      <c r="K61" s="744">
        <v>0</v>
      </c>
      <c r="L61" s="744">
        <v>0</v>
      </c>
      <c r="M61" s="744">
        <v>0</v>
      </c>
      <c r="N61" s="744">
        <f t="shared" si="56"/>
        <v>0</v>
      </c>
      <c r="O61" s="744">
        <f t="shared" si="56"/>
        <v>0</v>
      </c>
      <c r="P61" s="744">
        <f t="shared" si="56"/>
        <v>0</v>
      </c>
      <c r="Q61" s="744">
        <f t="shared" si="56"/>
        <v>0</v>
      </c>
      <c r="R61" s="733"/>
      <c r="S61" s="68"/>
      <c r="T61" s="734"/>
      <c r="AM61" s="727" t="s">
        <v>774</v>
      </c>
      <c r="AP61" s="727">
        <v>17390</v>
      </c>
      <c r="AQ61" s="727">
        <v>18112</v>
      </c>
      <c r="AR61" s="727">
        <v>18069</v>
      </c>
      <c r="AS61" s="727">
        <v>18169</v>
      </c>
      <c r="AT61" s="727">
        <v>18269</v>
      </c>
      <c r="AU61" s="727">
        <v>18369</v>
      </c>
      <c r="AV61" s="727">
        <v>18489</v>
      </c>
      <c r="AW61" s="727">
        <v>18619</v>
      </c>
      <c r="AX61" s="727">
        <v>18800</v>
      </c>
      <c r="AY61" s="727">
        <v>19000</v>
      </c>
      <c r="BB61" s="727">
        <f>SUMIFS('SAP BS'!G:G,'SAP BS'!$B:$B,'11. 추정 BS'!$C61)</f>
        <v>0</v>
      </c>
      <c r="BC61" s="727">
        <f>SUMIFS('SAP BS'!L:L,'SAP BS'!$B:$B,'11. 추정 BS'!$C61)</f>
        <v>0</v>
      </c>
      <c r="BD61" s="727">
        <f t="shared" si="4"/>
        <v>0</v>
      </c>
      <c r="BI61" s="727">
        <v>0</v>
      </c>
    </row>
    <row r="62" spans="2:61" ht="16.5" customHeight="1" x14ac:dyDescent="0.3">
      <c r="B62" s="693" t="s">
        <v>142</v>
      </c>
      <c r="C62" s="693"/>
      <c r="D62" s="693">
        <f>SUM(D63,D86)</f>
        <v>3396604.0751670003</v>
      </c>
      <c r="E62" s="693">
        <f t="shared" ref="E62:Q62" si="59">SUM(E63,E86)</f>
        <v>3278403.2765870001</v>
      </c>
      <c r="F62" s="693">
        <f t="shared" si="59"/>
        <v>4398723.0650399998</v>
      </c>
      <c r="G62" s="693">
        <f t="shared" si="59"/>
        <v>4775193.2391349999</v>
      </c>
      <c r="H62" s="693">
        <f t="shared" si="59"/>
        <v>5119972.2233190006</v>
      </c>
      <c r="I62" s="693">
        <f t="shared" si="59"/>
        <v>5034478.7624949981</v>
      </c>
      <c r="J62" s="693">
        <f t="shared" si="59"/>
        <v>4979478</v>
      </c>
      <c r="K62" s="693">
        <f t="shared" si="59"/>
        <v>4918847.4634200167</v>
      </c>
      <c r="L62" s="693">
        <f t="shared" si="59"/>
        <v>4947622.795507865</v>
      </c>
      <c r="M62" s="693">
        <f t="shared" si="59"/>
        <v>4982858.5542272273</v>
      </c>
      <c r="N62" s="693">
        <f t="shared" si="59"/>
        <v>5030371.5042594792</v>
      </c>
      <c r="O62" s="693">
        <f t="shared" si="59"/>
        <v>5083104.2117606541</v>
      </c>
      <c r="P62" s="693">
        <f t="shared" si="59"/>
        <v>5140391.8225600161</v>
      </c>
      <c r="Q62" s="693">
        <f t="shared" si="59"/>
        <v>5203716.962462754</v>
      </c>
      <c r="R62" s="733"/>
      <c r="S62" s="68"/>
      <c r="T62" s="734"/>
      <c r="AM62" s="727" t="s">
        <v>775</v>
      </c>
      <c r="AP62" s="727">
        <v>434</v>
      </c>
      <c r="AQ62" s="727">
        <v>531</v>
      </c>
      <c r="AR62" s="727">
        <v>600</v>
      </c>
      <c r="AS62" s="727">
        <v>630</v>
      </c>
      <c r="AT62" s="727">
        <v>660</v>
      </c>
      <c r="AU62" s="727">
        <v>690</v>
      </c>
      <c r="AV62" s="727">
        <v>720</v>
      </c>
      <c r="AW62" s="727">
        <v>750</v>
      </c>
      <c r="AX62" s="727">
        <v>780</v>
      </c>
      <c r="AY62" s="727">
        <v>800</v>
      </c>
      <c r="BB62" s="727">
        <f>SUMIFS('SAP BS'!G:G,'SAP BS'!$A:$A,$B62)</f>
        <v>3796297134919</v>
      </c>
      <c r="BC62" s="727">
        <f>SUMIFS('SAP BS'!L:L,'SAP BS'!$A:$A,'11. 추정 BS'!$B62)</f>
        <v>-1183180175577</v>
      </c>
      <c r="BD62" s="727">
        <f t="shared" si="4"/>
        <v>4979477310496</v>
      </c>
      <c r="BE62" s="727" t="b">
        <f>BB62=SUM(BB63,BB86)</f>
        <v>1</v>
      </c>
      <c r="BF62" s="727" t="b">
        <f>BC62=SUM(BC63,BC86)</f>
        <v>1</v>
      </c>
      <c r="BG62" s="727" t="b">
        <f>BD62=SUM(BD63,BD86)</f>
        <v>1</v>
      </c>
      <c r="BI62" s="727">
        <v>0</v>
      </c>
    </row>
    <row r="63" spans="2:61" ht="16.5" customHeight="1" x14ac:dyDescent="0.3">
      <c r="B63" s="693" t="s">
        <v>143</v>
      </c>
      <c r="C63" s="693"/>
      <c r="D63" s="693">
        <f>SUM(D64,D73,D79:D85)</f>
        <v>1464479.4294670001</v>
      </c>
      <c r="E63" s="693">
        <f t="shared" ref="E63:Q63" si="60">SUM(E64,E73,E79:E85)</f>
        <v>1261776.7339030001</v>
      </c>
      <c r="F63" s="693">
        <f>SUM(F64,F73,F79:F85)</f>
        <v>1316547.2462279999</v>
      </c>
      <c r="G63" s="693">
        <f t="shared" si="60"/>
        <v>1446297.7068650001</v>
      </c>
      <c r="H63" s="693">
        <f t="shared" si="60"/>
        <v>1773288.0903500002</v>
      </c>
      <c r="I63" s="693">
        <f t="shared" si="60"/>
        <v>1458973.3714750002</v>
      </c>
      <c r="J63" s="693">
        <f t="shared" si="60"/>
        <v>1421050</v>
      </c>
      <c r="K63" s="693">
        <f t="shared" si="60"/>
        <v>1554031.4714158685</v>
      </c>
      <c r="L63" s="693">
        <f t="shared" si="60"/>
        <v>1366053.2897022404</v>
      </c>
      <c r="M63" s="693">
        <f t="shared" si="60"/>
        <v>1379314.5044338561</v>
      </c>
      <c r="N63" s="693">
        <f t="shared" si="60"/>
        <v>1399502.2826153748</v>
      </c>
      <c r="O63" s="693">
        <f t="shared" si="60"/>
        <v>1421331.8373720818</v>
      </c>
      <c r="P63" s="693">
        <f t="shared" si="60"/>
        <v>1443479.2326214151</v>
      </c>
      <c r="Q63" s="693">
        <f t="shared" si="60"/>
        <v>1468811.8144094257</v>
      </c>
      <c r="R63" s="733"/>
      <c r="S63" s="68"/>
      <c r="T63" s="734"/>
      <c r="AM63" s="727" t="s">
        <v>776</v>
      </c>
      <c r="AQ63" s="727">
        <f>AQ61+AQ62-AP61-AP62</f>
        <v>819</v>
      </c>
      <c r="AR63" s="727">
        <f t="shared" ref="AR63:AY63" si="61">AR61+AR62-AQ61-AQ62</f>
        <v>26</v>
      </c>
      <c r="AS63" s="727">
        <f t="shared" si="61"/>
        <v>130</v>
      </c>
      <c r="AT63" s="727">
        <f t="shared" si="61"/>
        <v>130</v>
      </c>
      <c r="AU63" s="727">
        <f t="shared" si="61"/>
        <v>130</v>
      </c>
      <c r="AV63" s="727">
        <f t="shared" si="61"/>
        <v>150</v>
      </c>
      <c r="AW63" s="727">
        <f t="shared" si="61"/>
        <v>160</v>
      </c>
      <c r="AX63" s="727">
        <f t="shared" si="61"/>
        <v>211</v>
      </c>
      <c r="AY63" s="727">
        <f t="shared" si="61"/>
        <v>220</v>
      </c>
      <c r="BB63" s="727">
        <f>SUMIFS('SAP BS'!G:G,'SAP BS'!$A:$A,$B63)</f>
        <v>1726694869549</v>
      </c>
      <c r="BC63" s="727">
        <f>SUMIFS('SAP BS'!L:L,'SAP BS'!$A:$A,'11. 추정 BS'!$B63)</f>
        <v>305645546952</v>
      </c>
      <c r="BD63" s="727">
        <f t="shared" si="4"/>
        <v>1421049322597</v>
      </c>
      <c r="BE63" s="727" t="b">
        <f>BB63=SUM(BB64,BB73,BB79,BB80,BB81,BB82,BB83,BB84,BB85)</f>
        <v>1</v>
      </c>
      <c r="BF63" s="727" t="b">
        <f>BC63=SUM(BC64,BC73,BC79,BC80,BC81,BC82,BC83,BC84,BC85)</f>
        <v>1</v>
      </c>
      <c r="BG63" s="727" t="b">
        <f>BD63=SUM(BD64,BD73,BD79,BD80,BD81,BD82,BD83,BD84,BD85)</f>
        <v>1</v>
      </c>
      <c r="BI63" s="727">
        <v>0</v>
      </c>
    </row>
    <row r="64" spans="2:61" ht="16.5" customHeight="1" x14ac:dyDescent="0.3">
      <c r="B64" s="748"/>
      <c r="C64" s="749" t="s">
        <v>144</v>
      </c>
      <c r="D64" s="750">
        <f>SUM(D65:D72)</f>
        <v>654194.17305600003</v>
      </c>
      <c r="E64" s="750">
        <f t="shared" ref="E64:Q64" si="62">SUM(E65:E72)</f>
        <v>666899.54948500008</v>
      </c>
      <c r="F64" s="750">
        <f t="shared" si="62"/>
        <v>632177.94687100011</v>
      </c>
      <c r="G64" s="750">
        <f t="shared" si="62"/>
        <v>714912.77143800003</v>
      </c>
      <c r="H64" s="750">
        <f t="shared" si="62"/>
        <v>949370.73882499989</v>
      </c>
      <c r="I64" s="750">
        <f t="shared" si="62"/>
        <v>688961.26802600001</v>
      </c>
      <c r="J64" s="750">
        <f t="shared" si="62"/>
        <v>749969</v>
      </c>
      <c r="K64" s="750">
        <f t="shared" si="62"/>
        <v>721757.56079229084</v>
      </c>
      <c r="L64" s="750">
        <f t="shared" si="62"/>
        <v>736444.95227549365</v>
      </c>
      <c r="M64" s="750">
        <f t="shared" si="62"/>
        <v>745520.05278875667</v>
      </c>
      <c r="N64" s="750">
        <f t="shared" si="62"/>
        <v>760544.14552481635</v>
      </c>
      <c r="O64" s="750">
        <f t="shared" si="62"/>
        <v>774824.02801016974</v>
      </c>
      <c r="P64" s="750">
        <f t="shared" si="62"/>
        <v>789435.87662842846</v>
      </c>
      <c r="Q64" s="750">
        <f t="shared" si="62"/>
        <v>806410.27711297129</v>
      </c>
      <c r="R64" s="733"/>
      <c r="S64" s="68"/>
      <c r="T64" s="734"/>
      <c r="AM64" s="727" t="s">
        <v>777</v>
      </c>
      <c r="AQ64" s="754">
        <f>(1+AQ63/(AP62+AP61))*(1+2%)</f>
        <v>1.0668682675044883</v>
      </c>
      <c r="AR64" s="754">
        <f t="shared" ref="AR64:AY64" si="63">(1+AR63/(AQ62+AQ61))*(1+2%)</f>
        <v>1.0214225178351124</v>
      </c>
      <c r="AS64" s="754">
        <f t="shared" si="63"/>
        <v>1.0271026835931223</v>
      </c>
      <c r="AT64" s="754">
        <f t="shared" si="63"/>
        <v>1.0270535666790788</v>
      </c>
      <c r="AU64" s="754">
        <f t="shared" si="63"/>
        <v>1.0270051244122775</v>
      </c>
      <c r="AV64" s="754">
        <f t="shared" si="63"/>
        <v>1.0280277034471903</v>
      </c>
      <c r="AW64" s="754">
        <f t="shared" si="63"/>
        <v>1.0284960174918008</v>
      </c>
      <c r="AX64" s="754">
        <f t="shared" si="63"/>
        <v>1.0311115700345914</v>
      </c>
      <c r="AY64" s="754">
        <f t="shared" si="63"/>
        <v>1.0314606741573034</v>
      </c>
      <c r="AZ64" s="727" t="s">
        <v>778</v>
      </c>
      <c r="BB64" s="727">
        <f>SUMIFS('SAP BS'!G:G,'SAP BS'!$B:$B,'11. 추정 BS'!$C64)</f>
        <v>911852690860</v>
      </c>
      <c r="BC64" s="727">
        <f>SUMIFS('SAP BS'!L:L,'SAP BS'!$B:$B,'11. 추정 BS'!$C64)</f>
        <v>161884387605</v>
      </c>
      <c r="BD64" s="727">
        <f t="shared" si="4"/>
        <v>749968303255</v>
      </c>
      <c r="BE64" s="727" t="b">
        <f>BB64=SUM(BB65:BB72)</f>
        <v>1</v>
      </c>
      <c r="BF64" s="727" t="b">
        <f>BC64=SUM(BC65:BC72)</f>
        <v>1</v>
      </c>
      <c r="BG64" s="727" t="b">
        <f>BD64=SUM(BD65:BD72)</f>
        <v>1</v>
      </c>
      <c r="BI64" s="727">
        <v>0</v>
      </c>
    </row>
    <row r="65" spans="2:61" ht="16.5" customHeight="1" x14ac:dyDescent="0.3">
      <c r="B65" s="745"/>
      <c r="C65" s="746" t="s">
        <v>145</v>
      </c>
      <c r="D65" s="744">
        <v>346137.485805</v>
      </c>
      <c r="E65" s="744">
        <v>369630.42346800002</v>
      </c>
      <c r="F65" s="744">
        <v>335905.26042200002</v>
      </c>
      <c r="G65" s="744">
        <v>380273.029416</v>
      </c>
      <c r="H65" s="744">
        <v>583653.48140099994</v>
      </c>
      <c r="I65" s="744">
        <v>373842.50753000006</v>
      </c>
      <c r="J65" s="744">
        <f t="shared" ref="J65:J72" si="64">ROUND(BD65/10^6,)</f>
        <v>430406</v>
      </c>
      <c r="K65" s="744">
        <f t="shared" ref="K65:Q65" si="65">AS65</f>
        <v>411160.30301166925</v>
      </c>
      <c r="L65" s="744">
        <f t="shared" si="65"/>
        <v>419047.18823348277</v>
      </c>
      <c r="M65" s="744">
        <f t="shared" si="65"/>
        <v>427201.88736012875</v>
      </c>
      <c r="N65" s="744">
        <f t="shared" si="65"/>
        <v>436090.12619909726</v>
      </c>
      <c r="O65" s="744">
        <f t="shared" si="65"/>
        <v>445166.31825595698</v>
      </c>
      <c r="P65" s="744">
        <f t="shared" si="65"/>
        <v>455271.07168349857</v>
      </c>
      <c r="Q65" s="744">
        <f t="shared" si="65"/>
        <v>466275.2681514991</v>
      </c>
      <c r="R65" s="757" t="s">
        <v>222</v>
      </c>
      <c r="S65" s="68"/>
      <c r="T65" s="734" t="s">
        <v>8904</v>
      </c>
      <c r="AM65" s="727" t="s">
        <v>779</v>
      </c>
      <c r="AQ65" s="727">
        <f>'12. 추정 IS'!I32/$AP$67</f>
        <v>514691.48030570353</v>
      </c>
      <c r="AR65" s="727">
        <f>'12. 추정 IS'!J32/$AQ$67</f>
        <v>498559.20657763642</v>
      </c>
      <c r="AS65" s="727">
        <f>'12. 추정 IS'!K32/$AR$67</f>
        <v>411160.30301166925</v>
      </c>
      <c r="AT65" s="727">
        <f>'12. 추정 IS'!L32/$AR$67</f>
        <v>419047.18823348277</v>
      </c>
      <c r="AU65" s="727">
        <f>'12. 추정 IS'!M32/$AR$67</f>
        <v>427201.88736012875</v>
      </c>
      <c r="AV65" s="727">
        <f>'12. 추정 IS'!N32/$AR$67</f>
        <v>436090.12619909726</v>
      </c>
      <c r="AW65" s="727">
        <f>'12. 추정 IS'!O32/$AR$67</f>
        <v>445166.31825595698</v>
      </c>
      <c r="AX65" s="727">
        <f>'12. 추정 IS'!P32/$AR$67</f>
        <v>455271.07168349857</v>
      </c>
      <c r="AY65" s="727">
        <f>'12. 추정 IS'!Q32/$AR$67</f>
        <v>466275.2681514991</v>
      </c>
      <c r="BB65" s="727">
        <f>SUMIFS('SAP BS'!G:G,'SAP BS'!$B:$B,'11. 추정 BS'!$C65)</f>
        <v>476130082135</v>
      </c>
      <c r="BC65" s="727">
        <f>SUMIFS('SAP BS'!L:L,'SAP BS'!$B:$B,'11. 추정 BS'!$C65)</f>
        <v>45724453833</v>
      </c>
      <c r="BD65" s="727">
        <f t="shared" si="4"/>
        <v>430405628302</v>
      </c>
      <c r="BI65" s="727">
        <v>0</v>
      </c>
    </row>
    <row r="66" spans="2:61" ht="16.5" customHeight="1" x14ac:dyDescent="0.3">
      <c r="B66" s="745"/>
      <c r="C66" s="746" t="s">
        <v>147</v>
      </c>
      <c r="D66" s="744">
        <v>148308.29022999998</v>
      </c>
      <c r="E66" s="744">
        <v>140269.666432</v>
      </c>
      <c r="F66" s="744">
        <v>135751.2353050001</v>
      </c>
      <c r="G66" s="744">
        <v>155713.3090690001</v>
      </c>
      <c r="H66" s="744">
        <v>172826.08771599995</v>
      </c>
      <c r="I66" s="744">
        <v>137692.14947199996</v>
      </c>
      <c r="J66" s="744">
        <f t="shared" si="64"/>
        <v>123621</v>
      </c>
      <c r="K66" s="744">
        <v>108079.772442</v>
      </c>
      <c r="L66" s="744">
        <v>108079.772442</v>
      </c>
      <c r="M66" s="744">
        <v>108079.772442</v>
      </c>
      <c r="N66" s="744">
        <f t="shared" ref="N66:Q68" si="66">M66</f>
        <v>108079.772442</v>
      </c>
      <c r="O66" s="744">
        <f t="shared" si="66"/>
        <v>108079.772442</v>
      </c>
      <c r="P66" s="744">
        <f t="shared" si="66"/>
        <v>108079.772442</v>
      </c>
      <c r="Q66" s="744">
        <f t="shared" si="66"/>
        <v>108079.772442</v>
      </c>
      <c r="R66" s="757" t="s">
        <v>222</v>
      </c>
      <c r="S66" s="68"/>
      <c r="T66" s="734" t="s">
        <v>8875</v>
      </c>
      <c r="AM66" s="727" t="s">
        <v>751</v>
      </c>
      <c r="AN66" s="727">
        <f>'12. 추정 IS'!F32/'11. 추정 BS'!F65</f>
        <v>21.93149205894516</v>
      </c>
      <c r="AO66" s="727">
        <f>'12. 추정 IS'!G32/'11. 추정 BS'!G65</f>
        <v>20.948948820409868</v>
      </c>
      <c r="AP66" s="727">
        <f>'12. 추정 IS'!H32/'11. 추정 BS'!H65</f>
        <v>14.335582581395473</v>
      </c>
      <c r="AQ66" s="727">
        <f>'12. 추정 IS'!I32/'11. 추정 BS'!I65</f>
        <v>23.90092980899442</v>
      </c>
      <c r="AR66" s="727">
        <f>'12. 추정 IS'!J32/'11. 추정 BS'!J65</f>
        <v>21.618966743028675</v>
      </c>
      <c r="BB66" s="727">
        <f>SUMIFS('SAP BS'!G:G,'SAP BS'!$B:$B,'11. 추정 BS'!$C66)</f>
        <v>212167226644</v>
      </c>
      <c r="BC66" s="727">
        <f>SUMIFS('SAP BS'!L:L,'SAP BS'!$B:$B,'11. 추정 BS'!$C66)</f>
        <v>88546630906</v>
      </c>
      <c r="BD66" s="727">
        <f t="shared" si="4"/>
        <v>123620595738</v>
      </c>
      <c r="BI66" s="727">
        <v>0</v>
      </c>
    </row>
    <row r="67" spans="2:61" ht="16.5" customHeight="1" x14ac:dyDescent="0.3">
      <c r="B67" s="745"/>
      <c r="C67" s="746" t="s">
        <v>148</v>
      </c>
      <c r="D67" s="744">
        <v>0</v>
      </c>
      <c r="E67" s="744">
        <v>0</v>
      </c>
      <c r="F67" s="744">
        <v>20123.240927999999</v>
      </c>
      <c r="G67" s="744">
        <v>14669.055353</v>
      </c>
      <c r="H67" s="744">
        <v>14023.777354000002</v>
      </c>
      <c r="I67" s="744">
        <v>16074.727418999999</v>
      </c>
      <c r="J67" s="744">
        <f t="shared" si="64"/>
        <v>14001</v>
      </c>
      <c r="K67" s="744">
        <v>12454.711319999999</v>
      </c>
      <c r="L67" s="744">
        <v>12454.711319999999</v>
      </c>
      <c r="M67" s="744">
        <v>12454.711319999999</v>
      </c>
      <c r="N67" s="744">
        <f t="shared" si="66"/>
        <v>12454.711319999999</v>
      </c>
      <c r="O67" s="744">
        <f t="shared" si="66"/>
        <v>12454.711319999999</v>
      </c>
      <c r="P67" s="744">
        <f t="shared" si="66"/>
        <v>12454.711319999999</v>
      </c>
      <c r="Q67" s="744">
        <f t="shared" si="66"/>
        <v>12454.711319999999</v>
      </c>
      <c r="R67" s="757" t="s">
        <v>224</v>
      </c>
      <c r="S67" s="68"/>
      <c r="T67" s="734"/>
      <c r="AP67" s="727">
        <f>'12. 추정 IS'!H32/AVERAGE(G65:H65)</f>
        <v>17.360270907895938</v>
      </c>
      <c r="AQ67" s="727">
        <f>'12. 추정 IS'!I32/AVERAGE(H65:I65)</f>
        <v>18.663646919437685</v>
      </c>
      <c r="AR67" s="727">
        <f>'12. 추정 IS'!J32/AVERAGE(I65:J65)</f>
        <v>23.139447354592466</v>
      </c>
      <c r="BB67" s="727">
        <f>SUMIFS('SAP BS'!G:G,'SAP BS'!$B:$B,'11. 추정 BS'!$C67)</f>
        <v>14001434346</v>
      </c>
      <c r="BC67" s="727">
        <f>SUMIFS('SAP BS'!L:L,'SAP BS'!$B:$B,'11. 추정 BS'!$C67)</f>
        <v>0</v>
      </c>
      <c r="BD67" s="727">
        <f t="shared" si="4"/>
        <v>14001434346</v>
      </c>
      <c r="BI67" s="727">
        <v>0</v>
      </c>
    </row>
    <row r="68" spans="2:61" ht="16.5" customHeight="1" x14ac:dyDescent="0.3">
      <c r="B68" s="745"/>
      <c r="C68" s="746" t="s">
        <v>149</v>
      </c>
      <c r="D68" s="744">
        <v>0</v>
      </c>
      <c r="E68" s="744">
        <v>0</v>
      </c>
      <c r="F68" s="744">
        <v>0</v>
      </c>
      <c r="G68" s="744">
        <v>0</v>
      </c>
      <c r="H68" s="744">
        <v>0</v>
      </c>
      <c r="I68" s="744">
        <v>0</v>
      </c>
      <c r="J68" s="744">
        <f t="shared" si="64"/>
        <v>0</v>
      </c>
      <c r="K68" s="744">
        <v>0</v>
      </c>
      <c r="L68" s="744">
        <v>0</v>
      </c>
      <c r="M68" s="744">
        <v>0</v>
      </c>
      <c r="N68" s="744">
        <f t="shared" si="66"/>
        <v>0</v>
      </c>
      <c r="O68" s="744">
        <f t="shared" si="66"/>
        <v>0</v>
      </c>
      <c r="P68" s="744">
        <f t="shared" si="66"/>
        <v>0</v>
      </c>
      <c r="Q68" s="744">
        <f t="shared" si="66"/>
        <v>0</v>
      </c>
      <c r="R68" s="757"/>
      <c r="S68" s="68"/>
      <c r="T68" s="734"/>
      <c r="BB68" s="727">
        <f>SUMIFS('SAP BS'!G:G,'SAP BS'!$B:$B,'11. 추정 BS'!$C68)</f>
        <v>0</v>
      </c>
      <c r="BC68" s="727">
        <f>SUMIFS('SAP BS'!L:L,'SAP BS'!$B:$B,'11. 추정 BS'!$C68)</f>
        <v>0</v>
      </c>
      <c r="BD68" s="727">
        <f t="shared" si="4"/>
        <v>0</v>
      </c>
      <c r="BI68" s="727">
        <v>0</v>
      </c>
    </row>
    <row r="69" spans="2:61" ht="16.5" customHeight="1" x14ac:dyDescent="0.3">
      <c r="B69" s="745"/>
      <c r="C69" s="746" t="s">
        <v>150</v>
      </c>
      <c r="D69" s="744">
        <v>29190.961573</v>
      </c>
      <c r="E69" s="744">
        <v>32680.554446000006</v>
      </c>
      <c r="F69" s="744">
        <v>27231.077000999998</v>
      </c>
      <c r="G69" s="744">
        <v>51151.856631999981</v>
      </c>
      <c r="H69" s="744">
        <v>45468.472437000004</v>
      </c>
      <c r="I69" s="744">
        <v>48539.315852</v>
      </c>
      <c r="J69" s="744">
        <f t="shared" si="64"/>
        <v>61875</v>
      </c>
      <c r="K69" s="744">
        <v>69996.774018621596</v>
      </c>
      <c r="L69" s="744">
        <v>76797.280280010862</v>
      </c>
      <c r="M69" s="744">
        <v>77717.681666627905</v>
      </c>
      <c r="N69" s="744">
        <f>((M69/J69)^(1/3))*M69</f>
        <v>83853.535563719168</v>
      </c>
      <c r="O69" s="744">
        <f>((N69/K69)^(1/3))*N69</f>
        <v>89057.225992212727</v>
      </c>
      <c r="P69" s="744">
        <f>((O69/L69)^(1/3))*O69</f>
        <v>93564.321182929867</v>
      </c>
      <c r="Q69" s="744">
        <f>((P69/M69)^(1/3))*P69</f>
        <v>99534.525199472191</v>
      </c>
      <c r="R69" s="757" t="s">
        <v>223</v>
      </c>
      <c r="S69" s="68"/>
      <c r="T69" s="734" t="s">
        <v>8903</v>
      </c>
      <c r="BB69" s="727">
        <f>SUMIFS('SAP BS'!G:G,'SAP BS'!$B:$B,'11. 추정 BS'!$C69)</f>
        <v>88969847105</v>
      </c>
      <c r="BC69" s="727">
        <f>SUMIFS('SAP BS'!L:L,'SAP BS'!$B:$B,'11. 추정 BS'!$C69)</f>
        <v>27094823459</v>
      </c>
      <c r="BD69" s="727">
        <f t="shared" ref="BD69:BD132" si="67">BB69-BC69</f>
        <v>61875023646</v>
      </c>
      <c r="BI69" s="727">
        <v>0</v>
      </c>
    </row>
    <row r="70" spans="2:61" ht="16.5" customHeight="1" x14ac:dyDescent="0.3">
      <c r="B70" s="745"/>
      <c r="C70" s="746" t="s">
        <v>151</v>
      </c>
      <c r="D70" s="744">
        <v>0</v>
      </c>
      <c r="E70" s="744">
        <v>0</v>
      </c>
      <c r="F70" s="744">
        <v>0</v>
      </c>
      <c r="G70" s="744">
        <v>0</v>
      </c>
      <c r="H70" s="744">
        <v>0</v>
      </c>
      <c r="I70" s="744">
        <v>0</v>
      </c>
      <c r="J70" s="744">
        <f t="shared" si="64"/>
        <v>0</v>
      </c>
      <c r="K70" s="744">
        <v>0</v>
      </c>
      <c r="L70" s="744">
        <v>0</v>
      </c>
      <c r="M70" s="744">
        <v>0</v>
      </c>
      <c r="N70" s="744">
        <v>0</v>
      </c>
      <c r="O70" s="744">
        <v>0</v>
      </c>
      <c r="P70" s="744">
        <v>0</v>
      </c>
      <c r="Q70" s="744">
        <v>0</v>
      </c>
      <c r="R70" s="757"/>
      <c r="S70" s="68"/>
      <c r="T70" s="734"/>
      <c r="AM70" s="727" t="s">
        <v>169</v>
      </c>
      <c r="AN70" s="727">
        <f>SUM(AN71:AN72)</f>
        <v>310359.44413800002</v>
      </c>
      <c r="AO70" s="727">
        <f>SUM(AO71:AO72)</f>
        <v>302410.13101499999</v>
      </c>
      <c r="AP70" s="727">
        <f>SUM(AP71:AP72)</f>
        <v>313250.994679</v>
      </c>
      <c r="AQ70" s="727">
        <f>SUM(AQ71:AQ72)</f>
        <v>315090.82988500001</v>
      </c>
      <c r="AR70" s="727">
        <f>SUM(AR71:AR72)</f>
        <v>320868</v>
      </c>
      <c r="AS70" s="727">
        <f>AS16*AS73</f>
        <v>293772.58127452893</v>
      </c>
      <c r="AT70" s="727">
        <f t="shared" ref="AT70:AY70" si="68">AT16*AT73</f>
        <v>276407.42248715501</v>
      </c>
      <c r="AU70" s="727">
        <f t="shared" si="68"/>
        <v>264970.34033172764</v>
      </c>
      <c r="AV70" s="727">
        <f t="shared" si="68"/>
        <v>257295.65031544768</v>
      </c>
      <c r="AW70" s="727">
        <f t="shared" si="68"/>
        <v>252078.97191527183</v>
      </c>
      <c r="AX70" s="727">
        <f t="shared" si="68"/>
        <v>248501.33487235376</v>
      </c>
      <c r="AY70" s="727">
        <f t="shared" si="68"/>
        <v>246032.5319338566</v>
      </c>
      <c r="BB70" s="727">
        <f>SUMIFS('SAP BS'!G:G,'SAP BS'!$B:$B,'11. 추정 BS'!$C70)</f>
        <v>0</v>
      </c>
      <c r="BC70" s="727">
        <f>SUMIFS('SAP BS'!L:L,'SAP BS'!$B:$B,'11. 추정 BS'!$C70)</f>
        <v>0</v>
      </c>
      <c r="BD70" s="727">
        <f t="shared" si="67"/>
        <v>0</v>
      </c>
      <c r="BI70" s="727">
        <v>0</v>
      </c>
    </row>
    <row r="71" spans="2:61" ht="16.5" customHeight="1" x14ac:dyDescent="0.3">
      <c r="B71" s="745"/>
      <c r="C71" s="746" t="s">
        <v>152</v>
      </c>
      <c r="D71" s="744">
        <v>130557.435448</v>
      </c>
      <c r="E71" s="744">
        <v>124318.90513899999</v>
      </c>
      <c r="F71" s="744">
        <v>113167.13321500001</v>
      </c>
      <c r="G71" s="744">
        <v>113105.52096800001</v>
      </c>
      <c r="H71" s="744">
        <v>133398.91991699999</v>
      </c>
      <c r="I71" s="744">
        <v>112812.56775299998</v>
      </c>
      <c r="J71" s="744">
        <f t="shared" si="64"/>
        <v>120066</v>
      </c>
      <c r="K71" s="744">
        <f>AS71</f>
        <v>120066</v>
      </c>
      <c r="L71" s="744">
        <f t="shared" ref="L71:Q71" si="69">AT71</f>
        <v>120066</v>
      </c>
      <c r="M71" s="744">
        <f t="shared" si="69"/>
        <v>120066</v>
      </c>
      <c r="N71" s="744">
        <f t="shared" si="69"/>
        <v>120066</v>
      </c>
      <c r="O71" s="744">
        <f t="shared" si="69"/>
        <v>120066</v>
      </c>
      <c r="P71" s="744">
        <f t="shared" si="69"/>
        <v>120066</v>
      </c>
      <c r="Q71" s="744">
        <f t="shared" si="69"/>
        <v>120066</v>
      </c>
      <c r="R71" s="757" t="s">
        <v>224</v>
      </c>
      <c r="S71" s="68"/>
      <c r="T71" s="734" t="s">
        <v>8899</v>
      </c>
      <c r="AM71" s="727" t="s">
        <v>780</v>
      </c>
      <c r="AN71" s="727">
        <f>F71</f>
        <v>113167.13321500001</v>
      </c>
      <c r="AO71" s="727">
        <f>G71</f>
        <v>113105.52096800001</v>
      </c>
      <c r="AP71" s="727">
        <f>H71</f>
        <v>133398.91991699999</v>
      </c>
      <c r="AQ71" s="727">
        <f>I71</f>
        <v>112812.56775299998</v>
      </c>
      <c r="AR71" s="727">
        <f>J71</f>
        <v>120066</v>
      </c>
      <c r="AS71" s="727">
        <f>AR71</f>
        <v>120066</v>
      </c>
      <c r="AT71" s="727">
        <f t="shared" ref="AT71:AY71" si="70">AS71</f>
        <v>120066</v>
      </c>
      <c r="AU71" s="727">
        <f t="shared" si="70"/>
        <v>120066</v>
      </c>
      <c r="AV71" s="727">
        <f t="shared" si="70"/>
        <v>120066</v>
      </c>
      <c r="AW71" s="727">
        <f t="shared" si="70"/>
        <v>120066</v>
      </c>
      <c r="AX71" s="727">
        <f t="shared" si="70"/>
        <v>120066</v>
      </c>
      <c r="AY71" s="727">
        <f t="shared" si="70"/>
        <v>120066</v>
      </c>
      <c r="BB71" s="727">
        <f>SUMIFS('SAP BS'!G:G,'SAP BS'!$B:$B,'11. 추정 BS'!$C71)</f>
        <v>120584100630</v>
      </c>
      <c r="BC71" s="727">
        <f>SUMIFS('SAP BS'!L:L,'SAP BS'!$B:$B,'11. 추정 BS'!$C71)</f>
        <v>518479407</v>
      </c>
      <c r="BD71" s="727">
        <f t="shared" si="67"/>
        <v>120065621223</v>
      </c>
      <c r="BI71" s="727">
        <v>0</v>
      </c>
    </row>
    <row r="72" spans="2:61" ht="16.5" customHeight="1" x14ac:dyDescent="0.3">
      <c r="B72" s="745"/>
      <c r="C72" s="746" t="s">
        <v>146</v>
      </c>
      <c r="D72" s="744">
        <v>0</v>
      </c>
      <c r="E72" s="744">
        <v>0</v>
      </c>
      <c r="F72" s="744">
        <v>0</v>
      </c>
      <c r="G72" s="744">
        <v>0</v>
      </c>
      <c r="H72" s="744">
        <v>0</v>
      </c>
      <c r="I72" s="744">
        <v>0</v>
      </c>
      <c r="J72" s="744">
        <f t="shared" si="64"/>
        <v>0</v>
      </c>
      <c r="K72" s="744">
        <v>0</v>
      </c>
      <c r="L72" s="744">
        <v>0</v>
      </c>
      <c r="M72" s="744">
        <v>0</v>
      </c>
      <c r="N72" s="744">
        <v>0</v>
      </c>
      <c r="O72" s="744">
        <v>0</v>
      </c>
      <c r="P72" s="744">
        <v>0</v>
      </c>
      <c r="Q72" s="744">
        <v>0</v>
      </c>
      <c r="R72" s="757"/>
      <c r="S72" s="68"/>
      <c r="T72" s="734"/>
      <c r="AM72" s="727" t="s">
        <v>781</v>
      </c>
      <c r="AN72" s="727">
        <f>F90</f>
        <v>197192.31092300001</v>
      </c>
      <c r="AO72" s="727">
        <f>G90</f>
        <v>189304.61004699997</v>
      </c>
      <c r="AP72" s="727">
        <f>H90</f>
        <v>179852.07476199997</v>
      </c>
      <c r="AQ72" s="727">
        <f>I90</f>
        <v>202278.262132</v>
      </c>
      <c r="AR72" s="727">
        <f>J90</f>
        <v>200802</v>
      </c>
      <c r="AS72" s="727">
        <f>AS70-AS71</f>
        <v>173706.58127452893</v>
      </c>
      <c r="AT72" s="727">
        <f t="shared" ref="AT72:AY72" si="71">AT70-AT71</f>
        <v>156341.42248715501</v>
      </c>
      <c r="AU72" s="727">
        <f t="shared" si="71"/>
        <v>144904.34033172764</v>
      </c>
      <c r="AV72" s="727">
        <f t="shared" si="71"/>
        <v>137229.65031544768</v>
      </c>
      <c r="AW72" s="727">
        <f t="shared" si="71"/>
        <v>132012.97191527183</v>
      </c>
      <c r="AX72" s="727">
        <f t="shared" si="71"/>
        <v>128435.33487235376</v>
      </c>
      <c r="AY72" s="727">
        <f t="shared" si="71"/>
        <v>125966.5319338566</v>
      </c>
      <c r="BB72" s="727">
        <f>SUMIFS('SAP BS'!G:G,'SAP BS'!$B:$B,'11. 추정 BS'!$C72)</f>
        <v>0</v>
      </c>
      <c r="BC72" s="727">
        <f>SUMIFS('SAP BS'!L:L,'SAP BS'!$B:$B,'11. 추정 BS'!$C72)</f>
        <v>0</v>
      </c>
      <c r="BD72" s="727">
        <f t="shared" si="67"/>
        <v>0</v>
      </c>
      <c r="BI72" s="727">
        <v>0</v>
      </c>
    </row>
    <row r="73" spans="2:61" ht="16.5" customHeight="1" x14ac:dyDescent="0.3">
      <c r="B73" s="748"/>
      <c r="C73" s="749" t="s">
        <v>153</v>
      </c>
      <c r="D73" s="750">
        <f>SUM(D74:D78)</f>
        <v>709189.150777</v>
      </c>
      <c r="E73" s="750">
        <f t="shared" ref="E73:Q73" si="72">SUM(E74:E78)</f>
        <v>495809.95732500002</v>
      </c>
      <c r="F73" s="750">
        <f t="shared" si="72"/>
        <v>200573.720351</v>
      </c>
      <c r="G73" s="750">
        <f t="shared" si="72"/>
        <v>249881.05359699999</v>
      </c>
      <c r="H73" s="750">
        <f t="shared" si="72"/>
        <v>351657.171217</v>
      </c>
      <c r="I73" s="750">
        <f t="shared" si="72"/>
        <v>276666.68256400002</v>
      </c>
      <c r="J73" s="750">
        <f t="shared" si="72"/>
        <v>207799</v>
      </c>
      <c r="K73" s="750">
        <f t="shared" si="72"/>
        <v>313148.374047002</v>
      </c>
      <c r="L73" s="750">
        <f t="shared" si="72"/>
        <v>103299.37404700197</v>
      </c>
      <c r="M73" s="750">
        <f t="shared" si="72"/>
        <v>103299.37404700197</v>
      </c>
      <c r="N73" s="750">
        <f t="shared" si="72"/>
        <v>103299.37404700197</v>
      </c>
      <c r="O73" s="750">
        <f t="shared" si="72"/>
        <v>103299.37404700197</v>
      </c>
      <c r="P73" s="750">
        <f t="shared" si="72"/>
        <v>103299.37404700197</v>
      </c>
      <c r="Q73" s="750">
        <f t="shared" si="72"/>
        <v>103299.37404700197</v>
      </c>
      <c r="R73" s="733"/>
      <c r="S73" s="68"/>
      <c r="T73" s="734"/>
      <c r="AM73" s="727" t="s">
        <v>782</v>
      </c>
      <c r="AN73" s="754">
        <f>AN70/AN16</f>
        <v>0.59153276127152032</v>
      </c>
      <c r="AO73" s="754">
        <f>AO70/AO16</f>
        <v>0.62295109248537195</v>
      </c>
      <c r="AP73" s="754">
        <f>AP70/AP16</f>
        <v>0.70339123128333958</v>
      </c>
      <c r="AQ73" s="754">
        <f>AQ70/AQ16</f>
        <v>0.73415793536514695</v>
      </c>
      <c r="AR73" s="754">
        <f>AR70/AR16</f>
        <v>0.85017964452640615</v>
      </c>
      <c r="AS73" s="754">
        <f>AR73</f>
        <v>0.85017964452640615</v>
      </c>
      <c r="AT73" s="754">
        <f t="shared" ref="AT73:AY73" si="73">AR73</f>
        <v>0.85017964452640615</v>
      </c>
      <c r="AU73" s="754">
        <f t="shared" si="73"/>
        <v>0.85017964452640615</v>
      </c>
      <c r="AV73" s="754">
        <f t="shared" si="73"/>
        <v>0.85017964452640615</v>
      </c>
      <c r="AW73" s="754">
        <f t="shared" si="73"/>
        <v>0.85017964452640615</v>
      </c>
      <c r="AX73" s="754">
        <f t="shared" si="73"/>
        <v>0.85017964452640615</v>
      </c>
      <c r="AY73" s="754">
        <f t="shared" si="73"/>
        <v>0.85017964452640615</v>
      </c>
      <c r="BB73" s="727">
        <f>SUMIFS('SAP BS'!G:G,'SAP BS'!$B:$B,'11. 추정 BS'!$C73)</f>
        <v>207798898811</v>
      </c>
      <c r="BC73" s="727">
        <f>SUMIFS('SAP BS'!L:L,'SAP BS'!$B:$B,'11. 추정 BS'!$C73)</f>
        <v>0</v>
      </c>
      <c r="BD73" s="727">
        <f t="shared" si="67"/>
        <v>207798898811</v>
      </c>
      <c r="BE73" s="727" t="b">
        <f>BB73=SUM(BB74:BB78)</f>
        <v>1</v>
      </c>
      <c r="BF73" s="727" t="b">
        <f>BC73=SUM(BC74:BC78)</f>
        <v>1</v>
      </c>
      <c r="BG73" s="727" t="b">
        <f>BD73=SUM(BD74:BD78)</f>
        <v>1</v>
      </c>
      <c r="BI73" s="727">
        <v>0</v>
      </c>
    </row>
    <row r="74" spans="2:61" ht="16.5" customHeight="1" x14ac:dyDescent="0.3">
      <c r="B74" s="745"/>
      <c r="C74" s="746" t="s">
        <v>154</v>
      </c>
      <c r="D74" s="744">
        <v>235000</v>
      </c>
      <c r="E74" s="744">
        <v>120000</v>
      </c>
      <c r="F74" s="744">
        <v>0</v>
      </c>
      <c r="G74" s="744">
        <v>100000</v>
      </c>
      <c r="H74" s="744">
        <v>150000</v>
      </c>
      <c r="I74" s="744">
        <v>73700</v>
      </c>
      <c r="J74" s="744">
        <f t="shared" ref="J74:J84" si="74">ROUND(BD74/10^6,)</f>
        <v>0</v>
      </c>
      <c r="K74" s="744">
        <v>60286.922035001975</v>
      </c>
      <c r="L74" s="744">
        <f>K74-10000</f>
        <v>50286.922035001975</v>
      </c>
      <c r="M74" s="744">
        <f>L74</f>
        <v>50286.922035001975</v>
      </c>
      <c r="N74" s="744">
        <f>M74</f>
        <v>50286.922035001975</v>
      </c>
      <c r="O74" s="744">
        <f>N74</f>
        <v>50286.922035001975</v>
      </c>
      <c r="P74" s="744">
        <f>O74</f>
        <v>50286.922035001975</v>
      </c>
      <c r="Q74" s="744">
        <f>P74</f>
        <v>50286.922035001975</v>
      </c>
      <c r="R74" s="733" t="s">
        <v>709</v>
      </c>
      <c r="S74" s="68"/>
      <c r="T74" s="734" t="s">
        <v>8899</v>
      </c>
      <c r="BB74" s="727">
        <f>SUMIFS('SAP BS'!G:G,'SAP BS'!$B:$B,'11. 추정 BS'!$C74)</f>
        <v>0</v>
      </c>
      <c r="BC74" s="727">
        <f>SUMIFS('SAP BS'!L:L,'SAP BS'!$B:$B,'11. 추정 BS'!$C74)</f>
        <v>0</v>
      </c>
      <c r="BD74" s="727">
        <f t="shared" si="67"/>
        <v>0</v>
      </c>
      <c r="BI74" s="727">
        <v>0</v>
      </c>
    </row>
    <row r="75" spans="2:61" ht="16.5" customHeight="1" x14ac:dyDescent="0.3">
      <c r="B75" s="745"/>
      <c r="C75" s="746" t="s">
        <v>155</v>
      </c>
      <c r="D75" s="744">
        <v>0</v>
      </c>
      <c r="E75" s="744">
        <v>0</v>
      </c>
      <c r="F75" s="744">
        <v>0</v>
      </c>
      <c r="G75" s="744">
        <v>0</v>
      </c>
      <c r="H75" s="744">
        <v>0</v>
      </c>
      <c r="I75" s="744">
        <v>0</v>
      </c>
      <c r="J75" s="744">
        <f t="shared" si="74"/>
        <v>0</v>
      </c>
      <c r="K75" s="744">
        <v>0</v>
      </c>
      <c r="L75" s="744">
        <v>0</v>
      </c>
      <c r="M75" s="744">
        <v>0</v>
      </c>
      <c r="N75" s="744">
        <v>0</v>
      </c>
      <c r="O75" s="744">
        <v>0</v>
      </c>
      <c r="P75" s="744">
        <v>0</v>
      </c>
      <c r="Q75" s="744">
        <v>0</v>
      </c>
      <c r="R75" s="733" t="s">
        <v>709</v>
      </c>
      <c r="S75" s="68"/>
      <c r="T75" s="734"/>
      <c r="AM75" s="727" t="str">
        <f>C80</f>
        <v>(4)당기법인세 부채</v>
      </c>
      <c r="AN75" s="727">
        <f>F80</f>
        <v>35657.101554000001</v>
      </c>
      <c r="AO75" s="727">
        <f>G80</f>
        <v>24519.525725</v>
      </c>
      <c r="AP75" s="727">
        <f>H80</f>
        <v>2450.3451710000081</v>
      </c>
      <c r="AQ75" s="727">
        <f>'12. 추정 IS'!I108*50%</f>
        <v>-6001.6391110000004</v>
      </c>
      <c r="AR75" s="727">
        <f>'12. 추정 IS'!J108*50%</f>
        <v>-1922</v>
      </c>
      <c r="AS75" s="727">
        <f>'12. 추정 IS'!K108*50%</f>
        <v>10150.351571241525</v>
      </c>
      <c r="AT75" s="727">
        <f>'12. 추정 IS'!L108*50%</f>
        <v>14852.881724318075</v>
      </c>
      <c r="AU75" s="727">
        <f>'12. 추정 IS'!M108*50%</f>
        <v>15389.434969584567</v>
      </c>
      <c r="AV75" s="727">
        <f>'12. 추정 IS'!N108*50%</f>
        <v>15878.395844354103</v>
      </c>
      <c r="AW75" s="727">
        <f>'12. 추정 IS'!O108*50%</f>
        <v>18054.650451511749</v>
      </c>
      <c r="AX75" s="727">
        <f>'12. 추정 IS'!P108*50%</f>
        <v>19160.20767578268</v>
      </c>
      <c r="AY75" s="727">
        <f>'12. 추정 IS'!Q108*50%</f>
        <v>20594.759324108491</v>
      </c>
      <c r="BB75" s="727">
        <f>SUMIFS('SAP BS'!G:G,'SAP BS'!$B:$B,'11. 추정 BS'!$C75)</f>
        <v>0</v>
      </c>
      <c r="BC75" s="727">
        <f>SUMIFS('SAP BS'!L:L,'SAP BS'!$B:$B,'11. 추정 BS'!$C75)</f>
        <v>0</v>
      </c>
      <c r="BD75" s="727">
        <f t="shared" si="67"/>
        <v>0</v>
      </c>
      <c r="BI75" s="727">
        <v>0</v>
      </c>
    </row>
    <row r="76" spans="2:61" ht="16.5" customHeight="1" x14ac:dyDescent="0.3">
      <c r="B76" s="745"/>
      <c r="C76" s="746" t="s">
        <v>156</v>
      </c>
      <c r="D76" s="744">
        <v>109952.90139499999</v>
      </c>
      <c r="E76" s="744">
        <v>0</v>
      </c>
      <c r="F76" s="744">
        <v>199873.33850499999</v>
      </c>
      <c r="G76" s="744">
        <v>149881.05359699999</v>
      </c>
      <c r="H76" s="744">
        <v>199922.73583399999</v>
      </c>
      <c r="I76" s="744">
        <v>199905.23055199999</v>
      </c>
      <c r="J76" s="744">
        <f t="shared" si="74"/>
        <v>199818</v>
      </c>
      <c r="K76" s="744">
        <f t="shared" ref="K76:Q76" si="75">AS92</f>
        <v>249800</v>
      </c>
      <c r="L76" s="744">
        <f t="shared" si="75"/>
        <v>49951</v>
      </c>
      <c r="M76" s="744">
        <f t="shared" si="75"/>
        <v>49951</v>
      </c>
      <c r="N76" s="744">
        <f t="shared" si="75"/>
        <v>49951</v>
      </c>
      <c r="O76" s="744">
        <f t="shared" si="75"/>
        <v>49951</v>
      </c>
      <c r="P76" s="744">
        <f t="shared" si="75"/>
        <v>49951</v>
      </c>
      <c r="Q76" s="744">
        <f t="shared" si="75"/>
        <v>49951</v>
      </c>
      <c r="R76" s="733" t="s">
        <v>709</v>
      </c>
      <c r="S76" s="68"/>
      <c r="T76" s="734" t="s">
        <v>8899</v>
      </c>
      <c r="AM76" s="727" t="s">
        <v>783</v>
      </c>
      <c r="BB76" s="727">
        <f>SUMIFS('SAP BS'!G:G,'SAP BS'!$B:$B,'11. 추정 BS'!$C76)</f>
        <v>199818348230</v>
      </c>
      <c r="BC76" s="727">
        <f>SUMIFS('SAP BS'!L:L,'SAP BS'!$B:$B,'11. 추정 BS'!$C76)</f>
        <v>0</v>
      </c>
      <c r="BD76" s="727">
        <f t="shared" si="67"/>
        <v>199818348230</v>
      </c>
      <c r="BI76" s="727">
        <v>0</v>
      </c>
    </row>
    <row r="77" spans="2:61" ht="16.5" customHeight="1" x14ac:dyDescent="0.3">
      <c r="B77" s="745"/>
      <c r="C77" s="746" t="s">
        <v>157</v>
      </c>
      <c r="D77" s="744">
        <v>364236.24938199995</v>
      </c>
      <c r="E77" s="744">
        <v>375809.95732500002</v>
      </c>
      <c r="F77" s="744">
        <v>700.381846</v>
      </c>
      <c r="G77" s="744">
        <v>0</v>
      </c>
      <c r="H77" s="744">
        <v>1734.435383</v>
      </c>
      <c r="I77" s="744">
        <v>3061.4520120000002</v>
      </c>
      <c r="J77" s="744">
        <f t="shared" si="74"/>
        <v>7981</v>
      </c>
      <c r="K77" s="744">
        <v>3061.4520120000002</v>
      </c>
      <c r="L77" s="744">
        <v>3061.4520120000002</v>
      </c>
      <c r="M77" s="744">
        <v>3061.4520120000002</v>
      </c>
      <c r="N77" s="744">
        <f t="shared" ref="N77:Q79" si="76">M77</f>
        <v>3061.4520120000002</v>
      </c>
      <c r="O77" s="744">
        <f t="shared" si="76"/>
        <v>3061.4520120000002</v>
      </c>
      <c r="P77" s="744">
        <f t="shared" si="76"/>
        <v>3061.4520120000002</v>
      </c>
      <c r="Q77" s="744">
        <f t="shared" si="76"/>
        <v>3061.4520120000002</v>
      </c>
      <c r="R77" s="733" t="s">
        <v>709</v>
      </c>
      <c r="S77" s="68"/>
      <c r="T77" s="734" t="s">
        <v>8899</v>
      </c>
      <c r="AM77" s="747"/>
      <c r="AN77" s="747"/>
      <c r="AO77" s="747"/>
      <c r="AP77" s="747"/>
      <c r="AQ77" s="747"/>
      <c r="BB77" s="727">
        <f>SUMIFS('SAP BS'!G:G,'SAP BS'!$B:$B,'11. 추정 BS'!$C77)</f>
        <v>7980550581</v>
      </c>
      <c r="BC77" s="727">
        <f>SUMIFS('SAP BS'!L:L,'SAP BS'!$B:$B,'11. 추정 BS'!$C77)</f>
        <v>0</v>
      </c>
      <c r="BD77" s="727">
        <f t="shared" si="67"/>
        <v>7980550581</v>
      </c>
      <c r="BI77" s="727">
        <v>0</v>
      </c>
    </row>
    <row r="78" spans="2:61" ht="16.5" customHeight="1" x14ac:dyDescent="0.3">
      <c r="B78" s="745"/>
      <c r="C78" s="746" t="s">
        <v>158</v>
      </c>
      <c r="D78" s="744">
        <v>0</v>
      </c>
      <c r="E78" s="744">
        <v>0</v>
      </c>
      <c r="F78" s="744">
        <v>0</v>
      </c>
      <c r="G78" s="744">
        <v>0</v>
      </c>
      <c r="H78" s="744">
        <v>0</v>
      </c>
      <c r="I78" s="744">
        <v>0</v>
      </c>
      <c r="J78" s="744">
        <f t="shared" si="74"/>
        <v>0</v>
      </c>
      <c r="K78" s="744">
        <v>0</v>
      </c>
      <c r="L78" s="744">
        <v>0</v>
      </c>
      <c r="M78" s="744">
        <v>0</v>
      </c>
      <c r="N78" s="744">
        <v>0</v>
      </c>
      <c r="O78" s="744">
        <v>0</v>
      </c>
      <c r="P78" s="744">
        <v>0</v>
      </c>
      <c r="Q78" s="744">
        <v>0</v>
      </c>
      <c r="R78" s="733"/>
      <c r="S78" s="68"/>
      <c r="T78" s="734"/>
      <c r="AM78" s="727" t="s">
        <v>122</v>
      </c>
      <c r="AN78" s="727">
        <f t="shared" ref="AN78:AY78" si="77">F16+F41</f>
        <v>524669.91595000005</v>
      </c>
      <c r="AO78" s="727">
        <f t="shared" si="77"/>
        <v>485447.62929700001</v>
      </c>
      <c r="AP78" s="727">
        <f t="shared" si="77"/>
        <v>445343.90072999994</v>
      </c>
      <c r="AQ78" s="727">
        <f t="shared" si="77"/>
        <v>429186.711342</v>
      </c>
      <c r="AR78" s="727">
        <f t="shared" si="77"/>
        <v>377412</v>
      </c>
      <c r="AS78" s="727">
        <f t="shared" si="77"/>
        <v>345541.77245466207</v>
      </c>
      <c r="AT78" s="727">
        <f t="shared" si="77"/>
        <v>325116.49069312657</v>
      </c>
      <c r="AU78" s="727">
        <f t="shared" si="77"/>
        <v>311663.9430709139</v>
      </c>
      <c r="AV78" s="727">
        <f t="shared" si="77"/>
        <v>302636.80384723231</v>
      </c>
      <c r="AW78" s="727">
        <f t="shared" si="77"/>
        <v>296500.83195733628</v>
      </c>
      <c r="AX78" s="727">
        <f t="shared" si="77"/>
        <v>292292.73656720138</v>
      </c>
      <c r="AY78" s="727">
        <f t="shared" si="77"/>
        <v>289388.87624263152</v>
      </c>
      <c r="BB78" s="727">
        <f>SUMIFS('SAP BS'!G:G,'SAP BS'!$B:$B,'11. 추정 BS'!$C78)</f>
        <v>0</v>
      </c>
      <c r="BC78" s="727">
        <f>SUMIFS('SAP BS'!L:L,'SAP BS'!$B:$B,'11. 추정 BS'!$C78)</f>
        <v>0</v>
      </c>
      <c r="BD78" s="727">
        <f t="shared" si="67"/>
        <v>0</v>
      </c>
      <c r="BI78" s="727">
        <v>0</v>
      </c>
    </row>
    <row r="79" spans="2:61" ht="16.5" customHeight="1" x14ac:dyDescent="0.3">
      <c r="B79" s="748"/>
      <c r="C79" s="749" t="s">
        <v>159</v>
      </c>
      <c r="D79" s="750">
        <v>67431.046305999989</v>
      </c>
      <c r="E79" s="750">
        <v>69499.202793000004</v>
      </c>
      <c r="F79" s="750">
        <v>80412.089903999993</v>
      </c>
      <c r="G79" s="750">
        <v>77461.082633999991</v>
      </c>
      <c r="H79" s="750">
        <v>65660.549723000004</v>
      </c>
      <c r="I79" s="750">
        <v>91802.511797000014</v>
      </c>
      <c r="J79" s="750">
        <f t="shared" si="74"/>
        <v>81349</v>
      </c>
      <c r="K79" s="750">
        <v>72525.438558000009</v>
      </c>
      <c r="L79" s="750">
        <v>72525.438558000009</v>
      </c>
      <c r="M79" s="750">
        <v>72525.438558000009</v>
      </c>
      <c r="N79" s="750">
        <f t="shared" si="76"/>
        <v>72525.438558000009</v>
      </c>
      <c r="O79" s="750">
        <f t="shared" si="76"/>
        <v>72525.438558000009</v>
      </c>
      <c r="P79" s="750">
        <f t="shared" si="76"/>
        <v>72525.438558000009</v>
      </c>
      <c r="Q79" s="750">
        <f t="shared" si="76"/>
        <v>72525.438558000009</v>
      </c>
      <c r="R79" s="733" t="s">
        <v>224</v>
      </c>
      <c r="S79" s="68"/>
      <c r="T79" s="734" t="s">
        <v>8893</v>
      </c>
      <c r="AM79" s="727" t="s">
        <v>784</v>
      </c>
      <c r="AN79" s="727">
        <f>AN78+AN58</f>
        <v>1328053.5388480006</v>
      </c>
      <c r="AO79" s="727">
        <f t="shared" ref="AO79:AY79" si="78">AO78+AO58</f>
        <v>1419684.7446420004</v>
      </c>
      <c r="AP79" s="727">
        <f t="shared" si="78"/>
        <v>1518228.1913560007</v>
      </c>
      <c r="AQ79" s="727">
        <f t="shared" si="78"/>
        <v>1740458.5631030002</v>
      </c>
      <c r="AR79" s="727">
        <f>AR78+AR58</f>
        <v>1716882</v>
      </c>
      <c r="AS79" s="727">
        <f t="shared" si="78"/>
        <v>1721315.0040471416</v>
      </c>
      <c r="AT79" s="727">
        <f t="shared" si="78"/>
        <v>1738109.2951417849</v>
      </c>
      <c r="AU79" s="727">
        <f t="shared" si="78"/>
        <v>1762814.7939973613</v>
      </c>
      <c r="AV79" s="727">
        <f t="shared" si="78"/>
        <v>1794460.0804805842</v>
      </c>
      <c r="AW79" s="727">
        <f t="shared" si="78"/>
        <v>1830835.1307763075</v>
      </c>
      <c r="AX79" s="727">
        <f t="shared" si="78"/>
        <v>1874362.5843803547</v>
      </c>
      <c r="AY79" s="727">
        <f t="shared" si="78"/>
        <v>1921231.7080319291</v>
      </c>
      <c r="BB79" s="727">
        <f>SUMIFS('SAP BS'!G:G,'SAP BS'!$B:$B,'11. 추정 BS'!$C79)</f>
        <v>141153614020</v>
      </c>
      <c r="BC79" s="727">
        <f>SUMIFS('SAP BS'!L:L,'SAP BS'!$B:$B,'11. 추정 BS'!$C79)</f>
        <v>59804668783</v>
      </c>
      <c r="BD79" s="727">
        <f t="shared" si="67"/>
        <v>81348945237</v>
      </c>
      <c r="BI79" s="727">
        <v>8862</v>
      </c>
    </row>
    <row r="80" spans="2:61" ht="16.5" customHeight="1" x14ac:dyDescent="0.3">
      <c r="B80" s="748"/>
      <c r="C80" s="749" t="s">
        <v>160</v>
      </c>
      <c r="D80" s="750">
        <v>33665.059327999996</v>
      </c>
      <c r="E80" s="750">
        <v>29568.024300000005</v>
      </c>
      <c r="F80" s="750">
        <v>35657.101554000001</v>
      </c>
      <c r="G80" s="750">
        <v>24519.525725</v>
      </c>
      <c r="H80" s="750">
        <v>2450.3451710000081</v>
      </c>
      <c r="I80" s="750">
        <v>-29878.518245999985</v>
      </c>
      <c r="J80" s="750">
        <f t="shared" si="74"/>
        <v>-62052</v>
      </c>
      <c r="K80" s="750">
        <f t="shared" ref="K80:Q80" si="79">AS75</f>
        <v>10150.351571241525</v>
      </c>
      <c r="L80" s="750">
        <f t="shared" si="79"/>
        <v>14852.881724318075</v>
      </c>
      <c r="M80" s="750">
        <f t="shared" si="79"/>
        <v>15389.434969584567</v>
      </c>
      <c r="N80" s="750">
        <f t="shared" si="79"/>
        <v>15878.395844354103</v>
      </c>
      <c r="O80" s="750">
        <f t="shared" si="79"/>
        <v>18054.650451511749</v>
      </c>
      <c r="P80" s="750">
        <f t="shared" si="79"/>
        <v>19160.20767578268</v>
      </c>
      <c r="Q80" s="750">
        <f t="shared" si="79"/>
        <v>20594.759324108491</v>
      </c>
      <c r="R80" s="733" t="s">
        <v>224</v>
      </c>
      <c r="S80" s="68"/>
      <c r="T80" s="734" t="s">
        <v>785</v>
      </c>
      <c r="AM80" s="727" t="s">
        <v>786</v>
      </c>
      <c r="AO80" s="727">
        <f>AO79-AN79</f>
        <v>91631.205793999834</v>
      </c>
      <c r="AP80" s="727">
        <f t="shared" ref="AP80:AU80" si="80">AP79-AO79</f>
        <v>98543.446714000311</v>
      </c>
      <c r="AQ80" s="727">
        <f t="shared" si="80"/>
        <v>222230.37174699944</v>
      </c>
      <c r="AR80" s="727">
        <f t="shared" si="80"/>
        <v>-23576.563103000168</v>
      </c>
      <c r="AS80" s="727">
        <f t="shared" si="80"/>
        <v>4433.0040471416432</v>
      </c>
      <c r="AT80" s="727">
        <f t="shared" si="80"/>
        <v>16794.291094643297</v>
      </c>
      <c r="AU80" s="727">
        <f t="shared" si="80"/>
        <v>24705.498855576385</v>
      </c>
      <c r="AV80" s="727">
        <f>AV79-AU79</f>
        <v>31645.286483222852</v>
      </c>
      <c r="AW80" s="727">
        <f>AW79-AV79</f>
        <v>36375.050295723369</v>
      </c>
      <c r="AX80" s="727">
        <f>AX79-AW79</f>
        <v>43527.453604047187</v>
      </c>
      <c r="AY80" s="727">
        <f>AY79-AX79</f>
        <v>46869.123651574366</v>
      </c>
      <c r="BB80" s="727">
        <f>SUMIFS('SAP BS'!G:G,'SAP BS'!$B:$B,'11. 추정 BS'!$C80)</f>
        <v>21338836624</v>
      </c>
      <c r="BC80" s="727">
        <f>SUMIFS('SAP BS'!L:L,'SAP BS'!$B:$B,'11. 추정 BS'!$C80)</f>
        <v>83390973473</v>
      </c>
      <c r="BD80" s="727">
        <f t="shared" si="67"/>
        <v>-62052136849</v>
      </c>
      <c r="BI80" s="727">
        <v>0</v>
      </c>
    </row>
    <row r="81" spans="2:61" ht="16.5" customHeight="1" x14ac:dyDescent="0.3">
      <c r="B81" s="748"/>
      <c r="C81" s="749" t="s">
        <v>161</v>
      </c>
      <c r="D81" s="750">
        <v>0</v>
      </c>
      <c r="E81" s="750">
        <v>0</v>
      </c>
      <c r="F81" s="750">
        <v>0</v>
      </c>
      <c r="G81" s="750">
        <v>0</v>
      </c>
      <c r="H81" s="750">
        <v>0</v>
      </c>
      <c r="I81" s="750">
        <v>0</v>
      </c>
      <c r="J81" s="750">
        <f t="shared" si="74"/>
        <v>0</v>
      </c>
      <c r="K81" s="750">
        <v>0</v>
      </c>
      <c r="L81" s="750">
        <v>0</v>
      </c>
      <c r="M81" s="750">
        <v>0</v>
      </c>
      <c r="N81" s="750">
        <v>0</v>
      </c>
      <c r="O81" s="750">
        <v>0</v>
      </c>
      <c r="P81" s="750">
        <v>0</v>
      </c>
      <c r="Q81" s="750">
        <v>0</v>
      </c>
      <c r="R81" s="733"/>
      <c r="S81" s="68"/>
      <c r="T81" s="734"/>
      <c r="AM81" s="727" t="s">
        <v>787</v>
      </c>
      <c r="AO81" s="727">
        <f>(G83+G101)-(F83+F101)</f>
        <v>48508.062812999822</v>
      </c>
      <c r="AP81" s="727">
        <f>(H83+H101)-(G83+G101)</f>
        <v>61109.786700000055</v>
      </c>
      <c r="AQ81" s="727">
        <f>AQ83-AP83</f>
        <v>176585.17568200035</v>
      </c>
      <c r="AR81" s="727">
        <f t="shared" ref="AR81:AY81" si="81">AR83-AQ83</f>
        <v>-28003.334021000192</v>
      </c>
      <c r="AS81" s="727">
        <f t="shared" si="81"/>
        <v>2872.7612884789705</v>
      </c>
      <c r="AT81" s="727">
        <f t="shared" si="81"/>
        <v>10883.36234550667</v>
      </c>
      <c r="AU81" s="727">
        <f t="shared" si="81"/>
        <v>16010.136686120648</v>
      </c>
      <c r="AV81" s="727">
        <f t="shared" si="81"/>
        <v>20507.392505190801</v>
      </c>
      <c r="AW81" s="727">
        <f t="shared" si="81"/>
        <v>23572.465814330149</v>
      </c>
      <c r="AX81" s="727">
        <f t="shared" si="81"/>
        <v>28207.50497180433</v>
      </c>
      <c r="AY81" s="727">
        <f t="shared" si="81"/>
        <v>30373.038828601828</v>
      </c>
      <c r="BB81" s="727">
        <f>SUMIFS('SAP BS'!G:G,'SAP BS'!$B:$B,'11. 추정 BS'!$C81)</f>
        <v>0</v>
      </c>
      <c r="BC81" s="727">
        <f>SUMIFS('SAP BS'!L:L,'SAP BS'!$B:$B,'11. 추정 BS'!$C81)</f>
        <v>0</v>
      </c>
      <c r="BD81" s="727">
        <f t="shared" si="67"/>
        <v>0</v>
      </c>
      <c r="BI81" s="727">
        <v>0</v>
      </c>
    </row>
    <row r="82" spans="2:61" ht="16.5" customHeight="1" x14ac:dyDescent="0.3">
      <c r="B82" s="748"/>
      <c r="C82" s="749" t="s">
        <v>162</v>
      </c>
      <c r="D82" s="750">
        <v>0</v>
      </c>
      <c r="E82" s="750">
        <v>0</v>
      </c>
      <c r="F82" s="750">
        <v>0</v>
      </c>
      <c r="G82" s="750">
        <v>0</v>
      </c>
      <c r="H82" s="750">
        <v>0</v>
      </c>
      <c r="I82" s="750">
        <v>0</v>
      </c>
      <c r="J82" s="750">
        <f t="shared" si="74"/>
        <v>0</v>
      </c>
      <c r="K82" s="750">
        <v>0</v>
      </c>
      <c r="L82" s="750">
        <v>0</v>
      </c>
      <c r="M82" s="750">
        <v>0</v>
      </c>
      <c r="N82" s="750">
        <v>0</v>
      </c>
      <c r="O82" s="750">
        <v>0</v>
      </c>
      <c r="P82" s="750">
        <v>0</v>
      </c>
      <c r="Q82" s="750">
        <v>0</v>
      </c>
      <c r="R82" s="733"/>
      <c r="S82" s="68"/>
      <c r="T82" s="734"/>
      <c r="AM82" s="727" t="s">
        <v>788</v>
      </c>
      <c r="AO82" s="747">
        <f t="shared" ref="AO82:AY82" si="82">AO81/AO80</f>
        <v>0.52938365693945955</v>
      </c>
      <c r="AP82" s="747">
        <f t="shared" si="82"/>
        <v>0.62013039667018299</v>
      </c>
      <c r="AQ82" s="747">
        <f t="shared" si="82"/>
        <v>0.79460415016105734</v>
      </c>
      <c r="AR82" s="747">
        <f t="shared" si="82"/>
        <v>1.1877615027542632</v>
      </c>
      <c r="AS82" s="747">
        <f t="shared" si="82"/>
        <v>0.6480394012568742</v>
      </c>
      <c r="AT82" s="747">
        <f t="shared" si="82"/>
        <v>0.64803940125689641</v>
      </c>
      <c r="AU82" s="747">
        <f t="shared" si="82"/>
        <v>0.64803940125689596</v>
      </c>
      <c r="AV82" s="747">
        <f t="shared" si="82"/>
        <v>0.64803940125689985</v>
      </c>
      <c r="AW82" s="747">
        <f t="shared" si="82"/>
        <v>0.64803940125689874</v>
      </c>
      <c r="AX82" s="747">
        <f t="shared" si="82"/>
        <v>0.64803940125690218</v>
      </c>
      <c r="AY82" s="747">
        <f t="shared" si="82"/>
        <v>0.64803940125689929</v>
      </c>
      <c r="BB82" s="727">
        <f>SUMIFS('SAP BS'!G:G,'SAP BS'!$B:$B,'11. 추정 BS'!$C82)</f>
        <v>0</v>
      </c>
      <c r="BC82" s="727">
        <f>SUMIFS('SAP BS'!L:L,'SAP BS'!$B:$B,'11. 추정 BS'!$C82)</f>
        <v>0</v>
      </c>
      <c r="BD82" s="727">
        <f t="shared" si="67"/>
        <v>0</v>
      </c>
      <c r="BI82" s="727">
        <v>0</v>
      </c>
    </row>
    <row r="83" spans="2:61" ht="16.5" customHeight="1" x14ac:dyDescent="0.3">
      <c r="B83" s="748"/>
      <c r="C83" s="749" t="s">
        <v>789</v>
      </c>
      <c r="D83" s="750">
        <v>0</v>
      </c>
      <c r="E83" s="750">
        <v>0</v>
      </c>
      <c r="F83" s="750">
        <v>367726.38754799991</v>
      </c>
      <c r="G83" s="750">
        <v>379523.27347100002</v>
      </c>
      <c r="H83" s="750">
        <v>404149.28541399993</v>
      </c>
      <c r="I83" s="750">
        <v>431421.42733400007</v>
      </c>
      <c r="J83" s="750">
        <f t="shared" si="74"/>
        <v>443985</v>
      </c>
      <c r="K83" s="750">
        <f t="shared" ref="K83:Q83" si="83">AS84</f>
        <v>436449.74644733418</v>
      </c>
      <c r="L83" s="750">
        <f t="shared" si="83"/>
        <v>438930.64309742663</v>
      </c>
      <c r="M83" s="750">
        <f t="shared" si="83"/>
        <v>442580.2040705129</v>
      </c>
      <c r="N83" s="750">
        <f t="shared" si="83"/>
        <v>447254.92864120251</v>
      </c>
      <c r="O83" s="750">
        <f t="shared" si="83"/>
        <v>452628.34630539833</v>
      </c>
      <c r="P83" s="750">
        <f t="shared" si="83"/>
        <v>459058.33571220201</v>
      </c>
      <c r="Q83" s="750">
        <f t="shared" si="83"/>
        <v>465981.96536734392</v>
      </c>
      <c r="R83" s="733" t="s">
        <v>221</v>
      </c>
      <c r="S83" s="68"/>
      <c r="T83" s="734" t="s">
        <v>428</v>
      </c>
      <c r="AM83" s="727" t="s">
        <v>510</v>
      </c>
      <c r="AN83" s="727">
        <f>F83+F101</f>
        <v>1653574.308826</v>
      </c>
      <c r="AO83" s="727">
        <f>G83+G101</f>
        <v>1702082.3716389998</v>
      </c>
      <c r="AP83" s="727">
        <f>H83+H101</f>
        <v>1763192.1583389998</v>
      </c>
      <c r="AQ83" s="727">
        <f>I83+I101</f>
        <v>1939777.3340210002</v>
      </c>
      <c r="AR83" s="727">
        <f>J83+J101</f>
        <v>1911774</v>
      </c>
      <c r="AS83" s="727">
        <f t="shared" ref="AS83:AY83" si="84">AS80*AVERAGE($AO$82:$AQ$82)+AR83</f>
        <v>1914646.761288479</v>
      </c>
      <c r="AT83" s="727">
        <f t="shared" si="84"/>
        <v>1925530.1236339856</v>
      </c>
      <c r="AU83" s="727">
        <f t="shared" si="84"/>
        <v>1941540.2603201063</v>
      </c>
      <c r="AV83" s="727">
        <f t="shared" si="84"/>
        <v>1962047.6528252971</v>
      </c>
      <c r="AW83" s="727">
        <f t="shared" si="84"/>
        <v>1985620.1186396272</v>
      </c>
      <c r="AX83" s="727">
        <f t="shared" si="84"/>
        <v>2013827.6236114316</v>
      </c>
      <c r="AY83" s="727">
        <f t="shared" si="84"/>
        <v>2044200.6624400334</v>
      </c>
      <c r="BB83" s="727">
        <f>SUMIFS('SAP BS'!G:G,'SAP BS'!$B:$B,'11. 추정 BS'!$C83)</f>
        <v>444550829234</v>
      </c>
      <c r="BC83" s="727">
        <f>SUMIFS('SAP BS'!L:L,'SAP BS'!$B:$B,'11. 추정 BS'!$C83)</f>
        <v>565517091</v>
      </c>
      <c r="BD83" s="727">
        <f t="shared" si="67"/>
        <v>443985312143</v>
      </c>
      <c r="BI83" s="727">
        <v>0</v>
      </c>
    </row>
    <row r="84" spans="2:61" ht="16.5" customHeight="1" x14ac:dyDescent="0.3">
      <c r="B84" s="745"/>
      <c r="C84" s="751" t="s">
        <v>163</v>
      </c>
      <c r="D84" s="744">
        <v>0</v>
      </c>
      <c r="E84" s="744">
        <v>0</v>
      </c>
      <c r="F84" s="744">
        <v>0</v>
      </c>
      <c r="G84" s="744">
        <v>0</v>
      </c>
      <c r="H84" s="744">
        <v>0</v>
      </c>
      <c r="I84" s="744">
        <v>0</v>
      </c>
      <c r="J84" s="744">
        <f t="shared" si="74"/>
        <v>0</v>
      </c>
      <c r="K84" s="744">
        <v>0</v>
      </c>
      <c r="L84" s="744">
        <v>0</v>
      </c>
      <c r="M84" s="744">
        <v>0</v>
      </c>
      <c r="N84" s="744">
        <v>0</v>
      </c>
      <c r="O84" s="744">
        <v>0</v>
      </c>
      <c r="P84" s="744">
        <v>0</v>
      </c>
      <c r="Q84" s="744">
        <v>0</v>
      </c>
      <c r="R84" s="733"/>
      <c r="S84" s="68"/>
      <c r="T84" s="734"/>
      <c r="AM84" s="727" t="s">
        <v>790</v>
      </c>
      <c r="AN84" s="727">
        <f>F83</f>
        <v>367726.38754799991</v>
      </c>
      <c r="AO84" s="727">
        <f>G83</f>
        <v>379523.27347100002</v>
      </c>
      <c r="AP84" s="727">
        <f>H83</f>
        <v>404149.28541399993</v>
      </c>
      <c r="AQ84" s="727">
        <f>I83</f>
        <v>431421.42733400007</v>
      </c>
      <c r="AR84" s="727">
        <f>J83</f>
        <v>443985</v>
      </c>
      <c r="AS84" s="727">
        <f>AS83*AVERAGE($AP$86:$AR$86)</f>
        <v>436449.74644733418</v>
      </c>
      <c r="AT84" s="727">
        <f t="shared" ref="AT84:AY84" si="85">AT83*AVERAGE($AP$86:$AR$86)</f>
        <v>438930.64309742663</v>
      </c>
      <c r="AU84" s="727">
        <f t="shared" si="85"/>
        <v>442580.2040705129</v>
      </c>
      <c r="AV84" s="727">
        <f t="shared" si="85"/>
        <v>447254.92864120251</v>
      </c>
      <c r="AW84" s="727">
        <f t="shared" si="85"/>
        <v>452628.34630539833</v>
      </c>
      <c r="AX84" s="727">
        <f t="shared" si="85"/>
        <v>459058.33571220201</v>
      </c>
      <c r="AY84" s="727">
        <f t="shared" si="85"/>
        <v>465981.96536734392</v>
      </c>
      <c r="BB84" s="727">
        <f>SUMIFS('SAP BS'!G:G,'SAP BS'!$B:$B,'11. 추정 BS'!$C84)</f>
        <v>0</v>
      </c>
      <c r="BC84" s="727">
        <f>SUMIFS('SAP BS'!L:L,'SAP BS'!$B:$B,'11. 추정 BS'!$C84)</f>
        <v>0</v>
      </c>
      <c r="BD84" s="727">
        <f t="shared" si="67"/>
        <v>0</v>
      </c>
      <c r="BI84" s="727">
        <v>-8862</v>
      </c>
    </row>
    <row r="85" spans="2:61" ht="16.5" customHeight="1" x14ac:dyDescent="0.3">
      <c r="B85" s="745"/>
      <c r="C85" s="751" t="s">
        <v>164</v>
      </c>
      <c r="D85" s="744">
        <v>0</v>
      </c>
      <c r="E85" s="744">
        <v>0</v>
      </c>
      <c r="F85" s="744">
        <v>0</v>
      </c>
      <c r="G85" s="744">
        <v>0</v>
      </c>
      <c r="H85" s="744">
        <v>0</v>
      </c>
      <c r="I85" s="744">
        <v>0</v>
      </c>
      <c r="J85" s="744">
        <v>0</v>
      </c>
      <c r="K85" s="744">
        <v>0</v>
      </c>
      <c r="L85" s="744">
        <v>0</v>
      </c>
      <c r="M85" s="744">
        <v>0</v>
      </c>
      <c r="N85" s="744">
        <v>0</v>
      </c>
      <c r="O85" s="744">
        <v>0</v>
      </c>
      <c r="P85" s="744">
        <v>0</v>
      </c>
      <c r="Q85" s="744">
        <v>0</v>
      </c>
      <c r="R85" s="733"/>
      <c r="S85" s="68"/>
      <c r="T85" s="734"/>
      <c r="AM85" s="727" t="s">
        <v>791</v>
      </c>
      <c r="AN85" s="727">
        <f>+F101</f>
        <v>1285847.9212780001</v>
      </c>
      <c r="AO85" s="727">
        <f>+G101</f>
        <v>1322559.0981679999</v>
      </c>
      <c r="AP85" s="727">
        <f>+H101</f>
        <v>1359042.872925</v>
      </c>
      <c r="AQ85" s="727">
        <f>+I101</f>
        <v>1508355.9066870001</v>
      </c>
      <c r="AR85" s="727">
        <f>+J101</f>
        <v>1467789</v>
      </c>
      <c r="AS85" s="727">
        <f t="shared" ref="AS85:AY85" si="86">AS83-AS84</f>
        <v>1478197.0148411449</v>
      </c>
      <c r="AT85" s="727">
        <f t="shared" si="86"/>
        <v>1486599.4805365591</v>
      </c>
      <c r="AU85" s="727">
        <f t="shared" si="86"/>
        <v>1498960.0562495934</v>
      </c>
      <c r="AV85" s="727">
        <f t="shared" si="86"/>
        <v>1514792.7241840945</v>
      </c>
      <c r="AW85" s="727">
        <f t="shared" si="86"/>
        <v>1532991.772334229</v>
      </c>
      <c r="AX85" s="727">
        <f t="shared" si="86"/>
        <v>1554769.2878992297</v>
      </c>
      <c r="AY85" s="727">
        <f t="shared" si="86"/>
        <v>1578218.6970726894</v>
      </c>
      <c r="BB85" s="727">
        <f>SUMIFS('SAP BS'!G:G,'SAP BS'!$B:$B,'11. 추정 BS'!$C85)</f>
        <v>0</v>
      </c>
      <c r="BC85" s="727">
        <f>SUMIFS('SAP BS'!L:L,'SAP BS'!$B:$B,'11. 추정 BS'!$C85)</f>
        <v>0</v>
      </c>
      <c r="BD85" s="727">
        <f t="shared" si="67"/>
        <v>0</v>
      </c>
      <c r="BI85" s="727">
        <v>0</v>
      </c>
    </row>
    <row r="86" spans="2:61" ht="16.5" customHeight="1" x14ac:dyDescent="0.3">
      <c r="B86" s="693" t="s">
        <v>165</v>
      </c>
      <c r="C86" s="693"/>
      <c r="D86" s="693">
        <f t="shared" ref="D86:Q86" si="87">SUM(D87,D92,D96:D106)</f>
        <v>1932124.6457</v>
      </c>
      <c r="E86" s="693">
        <f t="shared" si="87"/>
        <v>2016626.5426839998</v>
      </c>
      <c r="F86" s="693">
        <f>SUM(F87,F92,F96:F106)</f>
        <v>3082175.8188120001</v>
      </c>
      <c r="G86" s="693">
        <f t="shared" si="87"/>
        <v>3328895.5322699999</v>
      </c>
      <c r="H86" s="693">
        <f t="shared" si="87"/>
        <v>3346684.1329690004</v>
      </c>
      <c r="I86" s="693">
        <f>SUM(I87,I92,I96:I106)</f>
        <v>3575505.3910199981</v>
      </c>
      <c r="J86" s="693">
        <f t="shared" si="87"/>
        <v>3558428</v>
      </c>
      <c r="K86" s="693">
        <f t="shared" si="87"/>
        <v>3364815.9920041487</v>
      </c>
      <c r="L86" s="693">
        <f t="shared" si="87"/>
        <v>3581569.5058056242</v>
      </c>
      <c r="M86" s="693">
        <f t="shared" si="87"/>
        <v>3603544.0497933715</v>
      </c>
      <c r="N86" s="693">
        <f t="shared" si="87"/>
        <v>3630869.2216441045</v>
      </c>
      <c r="O86" s="693">
        <f t="shared" si="87"/>
        <v>3661772.3743885723</v>
      </c>
      <c r="P86" s="693">
        <f t="shared" si="87"/>
        <v>3696912.5899386005</v>
      </c>
      <c r="Q86" s="693">
        <f t="shared" si="87"/>
        <v>3734905.1480533285</v>
      </c>
      <c r="R86" s="733"/>
      <c r="S86" s="68"/>
      <c r="T86" s="734"/>
      <c r="AM86" s="727" t="s">
        <v>792</v>
      </c>
      <c r="AN86" s="747">
        <f t="shared" ref="AN86:AY86" si="88">AN84/(SUM(AN84:AN85))</f>
        <v>0.22238274118390075</v>
      </c>
      <c r="AO86" s="747">
        <f t="shared" si="88"/>
        <v>0.22297585580746168</v>
      </c>
      <c r="AP86" s="747">
        <f t="shared" si="88"/>
        <v>0.22921454335114858</v>
      </c>
      <c r="AQ86" s="747">
        <f t="shared" si="88"/>
        <v>0.22240770616682001</v>
      </c>
      <c r="AR86" s="747">
        <f t="shared" si="88"/>
        <v>0.23223717866233143</v>
      </c>
      <c r="AS86" s="747">
        <f t="shared" si="88"/>
        <v>0.22795314272676667</v>
      </c>
      <c r="AT86" s="747">
        <f t="shared" si="88"/>
        <v>0.22795314272676664</v>
      </c>
      <c r="AU86" s="747">
        <f t="shared" si="88"/>
        <v>0.22795314272676667</v>
      </c>
      <c r="AV86" s="747">
        <f t="shared" si="88"/>
        <v>0.2279531427267667</v>
      </c>
      <c r="AW86" s="747">
        <f t="shared" si="88"/>
        <v>0.22795314272676667</v>
      </c>
      <c r="AX86" s="747">
        <f t="shared" si="88"/>
        <v>0.22795314272676667</v>
      </c>
      <c r="AY86" s="747">
        <f t="shared" si="88"/>
        <v>0.22795314272676667</v>
      </c>
      <c r="BB86" s="727">
        <f>SUMIFS('SAP BS'!G:G,'SAP BS'!$A:$A,$B86)</f>
        <v>2069602265370</v>
      </c>
      <c r="BC86" s="727">
        <f>SUMIFS('SAP BS'!L:L,'SAP BS'!$A:$A,'11. 추정 BS'!$B86)</f>
        <v>-1488825722529</v>
      </c>
      <c r="BD86" s="727">
        <f t="shared" si="67"/>
        <v>3558427987899</v>
      </c>
      <c r="BE86" s="727" t="b">
        <f>BB86=SUM(BB87,BB92,BB96,BB97,BB98,BB99,BB100,BB101,BB102,BB104,BB105,BB106)</f>
        <v>1</v>
      </c>
      <c r="BF86" s="727" t="b">
        <f>BC86=SUM(BC87,BC92,BC96,BC97,BC98,BC99,BC100,BC101,BC102,BC104,BC105,BC106)</f>
        <v>1</v>
      </c>
      <c r="BG86" s="727" t="b">
        <f>BD86=SUM(BD87,BD92,BD96,BD97,BD98,BD99,BD100,BD101,BD102,BD104,BD105,BD106)</f>
        <v>1</v>
      </c>
      <c r="BI86" s="727">
        <v>0</v>
      </c>
    </row>
    <row r="87" spans="2:61" ht="16.5" customHeight="1" x14ac:dyDescent="0.3">
      <c r="B87" s="748"/>
      <c r="C87" s="749" t="s">
        <v>166</v>
      </c>
      <c r="D87" s="750">
        <f>SUM(D88:D91)</f>
        <v>209444.92407800001</v>
      </c>
      <c r="E87" s="750">
        <f t="shared" ref="E87:Q87" si="89">SUM(E88:E91)</f>
        <v>207467.12481200005</v>
      </c>
      <c r="F87" s="750">
        <f t="shared" si="89"/>
        <v>202018.559985</v>
      </c>
      <c r="G87" s="750">
        <f t="shared" si="89"/>
        <v>194744.85079799997</v>
      </c>
      <c r="H87" s="750">
        <f t="shared" si="89"/>
        <v>186122.80575399997</v>
      </c>
      <c r="I87" s="750">
        <f t="shared" si="89"/>
        <v>210080.262132</v>
      </c>
      <c r="J87" s="750">
        <f t="shared" si="89"/>
        <v>209053</v>
      </c>
      <c r="K87" s="750">
        <f t="shared" si="89"/>
        <v>181508.58127452893</v>
      </c>
      <c r="L87" s="750">
        <f t="shared" si="89"/>
        <v>164143.42248715501</v>
      </c>
      <c r="M87" s="750">
        <f t="shared" si="89"/>
        <v>152706.34033172764</v>
      </c>
      <c r="N87" s="750">
        <f t="shared" si="89"/>
        <v>145031.65031544768</v>
      </c>
      <c r="O87" s="750">
        <f t="shared" si="89"/>
        <v>139814.97191527183</v>
      </c>
      <c r="P87" s="750">
        <f t="shared" si="89"/>
        <v>136237.33487235376</v>
      </c>
      <c r="Q87" s="750">
        <f t="shared" si="89"/>
        <v>133768.5319338566</v>
      </c>
      <c r="R87" s="733"/>
      <c r="S87" s="68"/>
      <c r="T87" s="734"/>
      <c r="BB87" s="727">
        <f>SUMIFS('SAP BS'!G:G,'SAP BS'!$B:$B,'11. 추정 BS'!$C87)</f>
        <v>212699258882</v>
      </c>
      <c r="BC87" s="727">
        <f>SUMIFS('SAP BS'!L:L,'SAP BS'!$B:$B,'11. 추정 BS'!$C87)</f>
        <v>3646383691</v>
      </c>
      <c r="BD87" s="727">
        <f t="shared" si="67"/>
        <v>209052875191</v>
      </c>
      <c r="BE87" s="727" t="b">
        <f>BB87=SUM(BB88:BB91)</f>
        <v>1</v>
      </c>
      <c r="BF87" s="727" t="b">
        <f>BC87=SUM(BC88:BC91)</f>
        <v>1</v>
      </c>
      <c r="BG87" s="727" t="b">
        <f>BD87=SUM(BD88:BD91)</f>
        <v>1</v>
      </c>
      <c r="BI87" s="727">
        <v>0</v>
      </c>
    </row>
    <row r="88" spans="2:61" ht="16.5" customHeight="1" x14ac:dyDescent="0.3">
      <c r="B88" s="745"/>
      <c r="C88" s="746" t="s">
        <v>167</v>
      </c>
      <c r="D88" s="744">
        <v>0</v>
      </c>
      <c r="E88" s="744">
        <v>0</v>
      </c>
      <c r="F88" s="744">
        <v>0</v>
      </c>
      <c r="G88" s="744">
        <v>0</v>
      </c>
      <c r="H88" s="744">
        <v>0</v>
      </c>
      <c r="I88" s="744">
        <v>0</v>
      </c>
      <c r="J88" s="744">
        <f>ROUND(BD88/10^6,)</f>
        <v>0</v>
      </c>
      <c r="K88" s="744">
        <v>0</v>
      </c>
      <c r="L88" s="744">
        <v>0</v>
      </c>
      <c r="M88" s="744">
        <v>0</v>
      </c>
      <c r="N88" s="744">
        <v>0</v>
      </c>
      <c r="O88" s="744">
        <v>0</v>
      </c>
      <c r="P88" s="744">
        <v>0</v>
      </c>
      <c r="Q88" s="744">
        <v>0</v>
      </c>
      <c r="R88" s="757"/>
      <c r="S88" s="68"/>
      <c r="T88" s="734"/>
      <c r="BB88" s="727">
        <f>SUMIFS('SAP BS'!G:G,'SAP BS'!$B:$B,'11. 추정 BS'!$C88)</f>
        <v>741772000</v>
      </c>
      <c r="BC88" s="727">
        <f>SUMIFS('SAP BS'!L:L,'SAP BS'!$B:$B,'11. 추정 BS'!$C88)</f>
        <v>741772000</v>
      </c>
      <c r="BD88" s="727">
        <f t="shared" si="67"/>
        <v>0</v>
      </c>
      <c r="BI88" s="727">
        <v>0</v>
      </c>
    </row>
    <row r="89" spans="2:61" ht="16.5" customHeight="1" x14ac:dyDescent="0.3">
      <c r="B89" s="745"/>
      <c r="C89" s="746" t="s">
        <v>168</v>
      </c>
      <c r="D89" s="744">
        <v>0</v>
      </c>
      <c r="E89" s="744">
        <v>0</v>
      </c>
      <c r="F89" s="744">
        <v>4826.2490619999999</v>
      </c>
      <c r="G89" s="744">
        <v>5440.2407509999994</v>
      </c>
      <c r="H89" s="744">
        <v>6270.7309919999998</v>
      </c>
      <c r="I89" s="744">
        <v>7802</v>
      </c>
      <c r="J89" s="744">
        <f>ROUND(BD89/10^6,)</f>
        <v>8251</v>
      </c>
      <c r="K89" s="744">
        <v>7802</v>
      </c>
      <c r="L89" s="744">
        <v>7802</v>
      </c>
      <c r="M89" s="744">
        <v>7802</v>
      </c>
      <c r="N89" s="744">
        <f>M89</f>
        <v>7802</v>
      </c>
      <c r="O89" s="744">
        <f>N89</f>
        <v>7802</v>
      </c>
      <c r="P89" s="744">
        <f>O89</f>
        <v>7802</v>
      </c>
      <c r="Q89" s="744">
        <f>P89</f>
        <v>7802</v>
      </c>
      <c r="R89" s="757" t="s">
        <v>223</v>
      </c>
      <c r="S89" s="68"/>
      <c r="T89" s="734" t="s">
        <v>8893</v>
      </c>
      <c r="AO89" s="727">
        <f t="shared" ref="AO89:AU89" si="90">AO83-AN83</f>
        <v>48508.062812999822</v>
      </c>
      <c r="AP89" s="727">
        <f t="shared" si="90"/>
        <v>61109.786700000055</v>
      </c>
      <c r="AQ89" s="727">
        <f t="shared" si="90"/>
        <v>176585.17568200035</v>
      </c>
      <c r="AR89" s="727">
        <f t="shared" si="90"/>
        <v>-28003.334021000192</v>
      </c>
      <c r="AS89" s="727">
        <f t="shared" si="90"/>
        <v>2872.7612884789705</v>
      </c>
      <c r="AT89" s="727">
        <f t="shared" si="90"/>
        <v>10883.36234550667</v>
      </c>
      <c r="AU89" s="727">
        <f t="shared" si="90"/>
        <v>16010.136686120648</v>
      </c>
      <c r="BB89" s="727">
        <f>SUMIFS('SAP BS'!G:G,'SAP BS'!$B:$B,'11. 추정 BS'!$C89)</f>
        <v>10864574181</v>
      </c>
      <c r="BC89" s="727">
        <f>SUMIFS('SAP BS'!L:L,'SAP BS'!$B:$B,'11. 추정 BS'!$C89)</f>
        <v>2613854185</v>
      </c>
      <c r="BD89" s="727">
        <f t="shared" si="67"/>
        <v>8250719996</v>
      </c>
      <c r="BI89" s="727">
        <v>0</v>
      </c>
    </row>
    <row r="90" spans="2:61" ht="16.5" customHeight="1" x14ac:dyDescent="0.3">
      <c r="B90" s="745"/>
      <c r="C90" s="746" t="s">
        <v>169</v>
      </c>
      <c r="D90" s="744">
        <v>209444.92407800001</v>
      </c>
      <c r="E90" s="744">
        <v>207467.12481200005</v>
      </c>
      <c r="F90" s="744">
        <v>197192.31092300001</v>
      </c>
      <c r="G90" s="744">
        <v>189304.61004699997</v>
      </c>
      <c r="H90" s="744">
        <v>179852.07476199997</v>
      </c>
      <c r="I90" s="744">
        <v>202278.262132</v>
      </c>
      <c r="J90" s="744">
        <f>ROUND(BD90/10^6,)</f>
        <v>200802</v>
      </c>
      <c r="K90" s="744">
        <f>AS72</f>
        <v>173706.58127452893</v>
      </c>
      <c r="L90" s="744">
        <f t="shared" ref="L90:Q90" si="91">AT72</f>
        <v>156341.42248715501</v>
      </c>
      <c r="M90" s="744">
        <f t="shared" si="91"/>
        <v>144904.34033172764</v>
      </c>
      <c r="N90" s="744">
        <f t="shared" si="91"/>
        <v>137229.65031544768</v>
      </c>
      <c r="O90" s="744">
        <f t="shared" si="91"/>
        <v>132012.97191527183</v>
      </c>
      <c r="P90" s="744">
        <f t="shared" si="91"/>
        <v>128435.33487235376</v>
      </c>
      <c r="Q90" s="744">
        <f t="shared" si="91"/>
        <v>125966.5319338566</v>
      </c>
      <c r="R90" s="757" t="s">
        <v>224</v>
      </c>
      <c r="S90" s="68"/>
      <c r="T90" s="734" t="s">
        <v>8874</v>
      </c>
      <c r="BB90" s="727">
        <f>SUMIFS('SAP BS'!G:G,'SAP BS'!$B:$B,'11. 추정 BS'!$C90)</f>
        <v>201092912701</v>
      </c>
      <c r="BC90" s="727">
        <f>SUMIFS('SAP BS'!L:L,'SAP BS'!$B:$B,'11. 추정 BS'!$C90)</f>
        <v>290757506</v>
      </c>
      <c r="BD90" s="727">
        <f t="shared" si="67"/>
        <v>200802155195</v>
      </c>
      <c r="BI90" s="727">
        <v>0</v>
      </c>
    </row>
    <row r="91" spans="2:61" ht="16.5" customHeight="1" x14ac:dyDescent="0.3">
      <c r="B91" s="745"/>
      <c r="C91" s="746" t="s">
        <v>170</v>
      </c>
      <c r="D91" s="744">
        <v>0</v>
      </c>
      <c r="E91" s="744">
        <v>0</v>
      </c>
      <c r="F91" s="744">
        <v>0</v>
      </c>
      <c r="G91" s="744">
        <v>0</v>
      </c>
      <c r="H91" s="744">
        <v>0</v>
      </c>
      <c r="I91" s="744">
        <v>0</v>
      </c>
      <c r="J91" s="744">
        <f>ROUND(BD91/10^6,)</f>
        <v>0</v>
      </c>
      <c r="K91" s="744">
        <v>0</v>
      </c>
      <c r="L91" s="744">
        <v>0</v>
      </c>
      <c r="M91" s="744">
        <v>0</v>
      </c>
      <c r="N91" s="744">
        <v>0</v>
      </c>
      <c r="O91" s="744">
        <v>0</v>
      </c>
      <c r="P91" s="744">
        <v>0</v>
      </c>
      <c r="Q91" s="744">
        <v>0</v>
      </c>
      <c r="R91" s="757"/>
      <c r="S91" s="68"/>
      <c r="T91" s="734"/>
      <c r="BB91" s="727">
        <f>SUMIFS('SAP BS'!G:G,'SAP BS'!$B:$B,'11. 추정 BS'!$C91)</f>
        <v>0</v>
      </c>
      <c r="BC91" s="727">
        <f>SUMIFS('SAP BS'!L:L,'SAP BS'!$B:$B,'11. 추정 BS'!$C91)</f>
        <v>0</v>
      </c>
      <c r="BD91" s="727">
        <f t="shared" si="67"/>
        <v>0</v>
      </c>
      <c r="BI91" s="727">
        <v>0</v>
      </c>
    </row>
    <row r="92" spans="2:61" ht="16.5" customHeight="1" x14ac:dyDescent="0.3">
      <c r="B92" s="748"/>
      <c r="C92" s="749" t="s">
        <v>171</v>
      </c>
      <c r="D92" s="750">
        <f>SUM(D93:D95)</f>
        <v>398857.21716200002</v>
      </c>
      <c r="E92" s="750">
        <f t="shared" ref="E92:Q92" si="92">SUM(E93:E95)</f>
        <v>548742.94124299998</v>
      </c>
      <c r="F92" s="750">
        <f t="shared" si="92"/>
        <v>349376.37311799999</v>
      </c>
      <c r="G92" s="750">
        <f t="shared" si="92"/>
        <v>449122.981653</v>
      </c>
      <c r="H92" s="750">
        <f t="shared" si="92"/>
        <v>399150.58127000002</v>
      </c>
      <c r="I92" s="750">
        <f t="shared" si="92"/>
        <v>399075.57000299997</v>
      </c>
      <c r="J92" s="750">
        <f t="shared" si="92"/>
        <v>299436</v>
      </c>
      <c r="K92" s="750">
        <f t="shared" si="92"/>
        <v>149851</v>
      </c>
      <c r="L92" s="750">
        <f t="shared" si="92"/>
        <v>300000</v>
      </c>
      <c r="M92" s="750">
        <f t="shared" si="92"/>
        <v>250000</v>
      </c>
      <c r="N92" s="750">
        <f t="shared" si="92"/>
        <v>200000</v>
      </c>
      <c r="O92" s="750">
        <f t="shared" si="92"/>
        <v>150000</v>
      </c>
      <c r="P92" s="750">
        <f t="shared" si="92"/>
        <v>100000</v>
      </c>
      <c r="Q92" s="750">
        <f t="shared" si="92"/>
        <v>50000</v>
      </c>
      <c r="R92" s="733"/>
      <c r="S92" s="68"/>
      <c r="T92" s="734"/>
      <c r="AM92" s="727" t="s">
        <v>156</v>
      </c>
      <c r="AN92" s="727">
        <f>F76</f>
        <v>199873.33850499999</v>
      </c>
      <c r="AO92" s="727">
        <f>G76</f>
        <v>149881.05359699999</v>
      </c>
      <c r="AP92" s="727">
        <f>H76</f>
        <v>199922.73583399999</v>
      </c>
      <c r="AQ92" s="727">
        <f>I76</f>
        <v>199905.23055199999</v>
      </c>
      <c r="AR92" s="727">
        <f>200000-25</f>
        <v>199975</v>
      </c>
      <c r="AS92" s="727">
        <f>250000-200</f>
        <v>249800</v>
      </c>
      <c r="AT92" s="727">
        <v>49951</v>
      </c>
      <c r="AU92" s="727">
        <f>AT92</f>
        <v>49951</v>
      </c>
      <c r="AV92" s="727">
        <f>AU92</f>
        <v>49951</v>
      </c>
      <c r="AW92" s="727">
        <f>AV92</f>
        <v>49951</v>
      </c>
      <c r="AX92" s="727">
        <f>AW92</f>
        <v>49951</v>
      </c>
      <c r="AY92" s="727">
        <f>AX92</f>
        <v>49951</v>
      </c>
      <c r="BB92" s="727">
        <f>SUMIFS('SAP BS'!G:G,'SAP BS'!$B:$B,'11. 추정 BS'!$C92)</f>
        <v>299436415590</v>
      </c>
      <c r="BC92" s="727">
        <f>SUMIFS('SAP BS'!L:L,'SAP BS'!$B:$B,'11. 추정 BS'!$C92)</f>
        <v>0</v>
      </c>
      <c r="BD92" s="727">
        <f t="shared" si="67"/>
        <v>299436415590</v>
      </c>
      <c r="BE92" s="727" t="b">
        <f>BB92=SUM(BB93:BB95)</f>
        <v>1</v>
      </c>
      <c r="BF92" s="727" t="b">
        <f>BC92=SUM(BC93:BC95)</f>
        <v>1</v>
      </c>
      <c r="BG92" s="727" t="b">
        <f>BD92=SUM(BD93:BD95)</f>
        <v>1</v>
      </c>
      <c r="BI92" s="727">
        <v>0</v>
      </c>
    </row>
    <row r="93" spans="2:61" ht="16.5" customHeight="1" x14ac:dyDescent="0.3">
      <c r="B93" s="745"/>
      <c r="C93" s="746" t="s">
        <v>172</v>
      </c>
      <c r="D93" s="744">
        <v>0</v>
      </c>
      <c r="E93" s="744">
        <v>0</v>
      </c>
      <c r="F93" s="744">
        <v>0</v>
      </c>
      <c r="G93" s="744">
        <v>0</v>
      </c>
      <c r="H93" s="744">
        <v>0</v>
      </c>
      <c r="I93" s="744">
        <v>0</v>
      </c>
      <c r="J93" s="744">
        <f t="shared" ref="J93:J102" si="93">ROUND(BD93/10^6,)</f>
        <v>0</v>
      </c>
      <c r="K93" s="744">
        <v>0</v>
      </c>
      <c r="L93" s="744">
        <v>0</v>
      </c>
      <c r="M93" s="744">
        <v>0</v>
      </c>
      <c r="N93" s="744">
        <v>0</v>
      </c>
      <c r="O93" s="744">
        <v>0</v>
      </c>
      <c r="P93" s="744">
        <v>0</v>
      </c>
      <c r="Q93" s="744">
        <v>0</v>
      </c>
      <c r="R93" s="733" t="s">
        <v>709</v>
      </c>
      <c r="S93" s="68"/>
      <c r="T93" s="734"/>
      <c r="AM93" s="727" t="s">
        <v>793</v>
      </c>
      <c r="AN93" s="727">
        <f>F94</f>
        <v>349376.37311799999</v>
      </c>
      <c r="AO93" s="727">
        <f>G94</f>
        <v>449122.981653</v>
      </c>
      <c r="AP93" s="727">
        <f>H94</f>
        <v>399150.58127000002</v>
      </c>
      <c r="AQ93" s="727">
        <f>I94</f>
        <v>399075.57000299997</v>
      </c>
      <c r="AR93" s="727">
        <v>299185.09183200001</v>
      </c>
      <c r="AS93" s="727">
        <f>499351+300-AS92-100000</f>
        <v>149851</v>
      </c>
      <c r="AT93" s="727">
        <f>AS94-AT92+300-50000</f>
        <v>300000</v>
      </c>
      <c r="AU93" s="727">
        <f>AT93-50000</f>
        <v>250000</v>
      </c>
      <c r="AV93" s="727">
        <f>AU93-50000</f>
        <v>200000</v>
      </c>
      <c r="AW93" s="727">
        <f>AV93-50000</f>
        <v>150000</v>
      </c>
      <c r="AX93" s="727">
        <f>AW93-50000</f>
        <v>100000</v>
      </c>
      <c r="AY93" s="727">
        <f>AX93-50000</f>
        <v>50000</v>
      </c>
      <c r="BB93" s="727">
        <f>SUMIFS('SAP BS'!G:G,'SAP BS'!$B:$B,'11. 추정 BS'!$C93)</f>
        <v>0</v>
      </c>
      <c r="BC93" s="727">
        <f>SUMIFS('SAP BS'!L:L,'SAP BS'!$B:$B,'11. 추정 BS'!$C93)</f>
        <v>0</v>
      </c>
      <c r="BD93" s="727">
        <f t="shared" si="67"/>
        <v>0</v>
      </c>
      <c r="BI93" s="727">
        <v>0</v>
      </c>
    </row>
    <row r="94" spans="2:61" ht="16.5" customHeight="1" x14ac:dyDescent="0.3">
      <c r="B94" s="745"/>
      <c r="C94" s="746" t="s">
        <v>173</v>
      </c>
      <c r="D94" s="744">
        <v>398857.21716200002</v>
      </c>
      <c r="E94" s="744">
        <v>548742.94124299998</v>
      </c>
      <c r="F94" s="744">
        <v>349376.37311799999</v>
      </c>
      <c r="G94" s="744">
        <v>449122.981653</v>
      </c>
      <c r="H94" s="744">
        <v>399150.58127000002</v>
      </c>
      <c r="I94" s="744">
        <v>399075.57000299997</v>
      </c>
      <c r="J94" s="744">
        <f t="shared" si="93"/>
        <v>299436</v>
      </c>
      <c r="K94" s="744">
        <f t="shared" ref="K94:Q94" si="94">AS93</f>
        <v>149851</v>
      </c>
      <c r="L94" s="744">
        <f t="shared" si="94"/>
        <v>300000</v>
      </c>
      <c r="M94" s="744">
        <f t="shared" si="94"/>
        <v>250000</v>
      </c>
      <c r="N94" s="744">
        <f t="shared" si="94"/>
        <v>200000</v>
      </c>
      <c r="O94" s="744">
        <f t="shared" si="94"/>
        <v>150000</v>
      </c>
      <c r="P94" s="744">
        <f t="shared" si="94"/>
        <v>100000</v>
      </c>
      <c r="Q94" s="744">
        <f t="shared" si="94"/>
        <v>50000</v>
      </c>
      <c r="R94" s="733" t="s">
        <v>709</v>
      </c>
      <c r="S94" s="68"/>
      <c r="T94" s="734" t="s">
        <v>8899</v>
      </c>
      <c r="AM94" s="727" t="s">
        <v>527</v>
      </c>
      <c r="AN94" s="727">
        <f t="shared" ref="AN94:AY94" si="95">SUM(AN92:AN93)</f>
        <v>549249.71162299998</v>
      </c>
      <c r="AO94" s="727">
        <f t="shared" si="95"/>
        <v>599004.03524999996</v>
      </c>
      <c r="AP94" s="727">
        <f t="shared" si="95"/>
        <v>599073.31710400002</v>
      </c>
      <c r="AQ94" s="727">
        <f t="shared" si="95"/>
        <v>598980.80055499997</v>
      </c>
      <c r="AR94" s="727">
        <f t="shared" si="95"/>
        <v>499160.09183200001</v>
      </c>
      <c r="AS94" s="727">
        <f t="shared" si="95"/>
        <v>399651</v>
      </c>
      <c r="AT94" s="727">
        <f t="shared" si="95"/>
        <v>349951</v>
      </c>
      <c r="AU94" s="727">
        <f t="shared" si="95"/>
        <v>299951</v>
      </c>
      <c r="AV94" s="727">
        <f t="shared" si="95"/>
        <v>249951</v>
      </c>
      <c r="AW94" s="727">
        <f t="shared" si="95"/>
        <v>199951</v>
      </c>
      <c r="AX94" s="727">
        <f t="shared" si="95"/>
        <v>149951</v>
      </c>
      <c r="AY94" s="727">
        <f t="shared" si="95"/>
        <v>99951</v>
      </c>
      <c r="BB94" s="727">
        <f>SUMIFS('SAP BS'!G:G,'SAP BS'!$B:$B,'11. 추정 BS'!$C94)</f>
        <v>299436415590</v>
      </c>
      <c r="BC94" s="727">
        <f>SUMIFS('SAP BS'!L:L,'SAP BS'!$B:$B,'11. 추정 BS'!$C94)</f>
        <v>0</v>
      </c>
      <c r="BD94" s="727">
        <f t="shared" si="67"/>
        <v>299436415590</v>
      </c>
      <c r="BI94" s="727">
        <v>0</v>
      </c>
    </row>
    <row r="95" spans="2:61" ht="16.5" customHeight="1" x14ac:dyDescent="0.3">
      <c r="B95" s="745"/>
      <c r="C95" s="746" t="s">
        <v>174</v>
      </c>
      <c r="D95" s="744">
        <v>0</v>
      </c>
      <c r="E95" s="744">
        <v>0</v>
      </c>
      <c r="F95" s="744">
        <v>0</v>
      </c>
      <c r="G95" s="744">
        <v>0</v>
      </c>
      <c r="H95" s="744">
        <v>0</v>
      </c>
      <c r="I95" s="744">
        <v>0</v>
      </c>
      <c r="J95" s="744">
        <f t="shared" si="93"/>
        <v>0</v>
      </c>
      <c r="K95" s="744">
        <v>0</v>
      </c>
      <c r="L95" s="744">
        <v>0</v>
      </c>
      <c r="M95" s="744">
        <v>0</v>
      </c>
      <c r="N95" s="744">
        <v>0</v>
      </c>
      <c r="O95" s="744">
        <v>0</v>
      </c>
      <c r="P95" s="744">
        <v>0</v>
      </c>
      <c r="Q95" s="744">
        <v>0</v>
      </c>
      <c r="R95" s="733"/>
      <c r="S95" s="68"/>
      <c r="T95" s="734"/>
      <c r="BB95" s="727">
        <f>SUMIFS('SAP BS'!G:G,'SAP BS'!$B:$B,'11. 추정 BS'!$C95)</f>
        <v>0</v>
      </c>
      <c r="BC95" s="727">
        <f>SUMIFS('SAP BS'!L:L,'SAP BS'!$B:$B,'11. 추정 BS'!$C95)</f>
        <v>0</v>
      </c>
      <c r="BD95" s="727">
        <f t="shared" si="67"/>
        <v>0</v>
      </c>
      <c r="BI95" s="727">
        <v>0</v>
      </c>
    </row>
    <row r="96" spans="2:61" ht="16.5" customHeight="1" x14ac:dyDescent="0.3">
      <c r="B96" s="748"/>
      <c r="C96" s="749" t="s">
        <v>175</v>
      </c>
      <c r="D96" s="750">
        <v>1509.2224590000001</v>
      </c>
      <c r="E96" s="750">
        <v>0</v>
      </c>
      <c r="F96" s="750">
        <v>1148.6537699999999</v>
      </c>
      <c r="G96" s="750">
        <v>1017.586889</v>
      </c>
      <c r="H96" s="750">
        <v>0</v>
      </c>
      <c r="I96" s="750">
        <v>7500.8124680000001</v>
      </c>
      <c r="J96" s="750">
        <f t="shared" si="93"/>
        <v>3948</v>
      </c>
      <c r="K96" s="750">
        <v>379.67767393150598</v>
      </c>
      <c r="L96" s="750">
        <f t="shared" ref="L96:Q100" si="96">K96</f>
        <v>379.67767393150598</v>
      </c>
      <c r="M96" s="750">
        <f t="shared" si="96"/>
        <v>379.67767393150598</v>
      </c>
      <c r="N96" s="750">
        <f t="shared" si="96"/>
        <v>379.67767393150598</v>
      </c>
      <c r="O96" s="750">
        <f t="shared" si="96"/>
        <v>379.67767393150598</v>
      </c>
      <c r="P96" s="750">
        <f t="shared" si="96"/>
        <v>379.67767393150598</v>
      </c>
      <c r="Q96" s="750">
        <f t="shared" si="96"/>
        <v>379.67767393150598</v>
      </c>
      <c r="R96" s="733" t="s">
        <v>224</v>
      </c>
      <c r="S96" s="68"/>
      <c r="T96" s="734" t="s">
        <v>8899</v>
      </c>
      <c r="BB96" s="727">
        <f>SUMIFS('SAP BS'!G:G,'SAP BS'!$B:$B,'11. 추정 BS'!$C96)</f>
        <v>3947690530</v>
      </c>
      <c r="BC96" s="727">
        <f>SUMIFS('SAP BS'!L:L,'SAP BS'!$B:$B,'11. 추정 BS'!$C96)</f>
        <v>0</v>
      </c>
      <c r="BD96" s="727">
        <f t="shared" si="67"/>
        <v>3947690530</v>
      </c>
      <c r="BI96" s="727">
        <v>0</v>
      </c>
    </row>
    <row r="97" spans="2:61" ht="16.5" customHeight="1" x14ac:dyDescent="0.3">
      <c r="B97" s="748"/>
      <c r="C97" s="749" t="s">
        <v>176</v>
      </c>
      <c r="D97" s="750">
        <v>10350.091396000003</v>
      </c>
      <c r="E97" s="750">
        <v>10443.566547</v>
      </c>
      <c r="F97" s="750">
        <v>15449.479421</v>
      </c>
      <c r="G97" s="750">
        <v>14858.658597999998</v>
      </c>
      <c r="H97" s="750">
        <v>14723.050880000001</v>
      </c>
      <c r="I97" s="750">
        <v>15943.928682</v>
      </c>
      <c r="J97" s="750">
        <f t="shared" si="93"/>
        <v>15250</v>
      </c>
      <c r="K97" s="750">
        <v>16145.468832004342</v>
      </c>
      <c r="L97" s="750">
        <v>16501.919925004346</v>
      </c>
      <c r="M97" s="750">
        <v>16858.371018004345</v>
      </c>
      <c r="N97" s="750">
        <f t="shared" si="96"/>
        <v>16858.371018004345</v>
      </c>
      <c r="O97" s="750">
        <f t="shared" si="96"/>
        <v>16858.371018004345</v>
      </c>
      <c r="P97" s="750">
        <f t="shared" si="96"/>
        <v>16858.371018004345</v>
      </c>
      <c r="Q97" s="750">
        <f t="shared" si="96"/>
        <v>16858.371018004345</v>
      </c>
      <c r="R97" s="733" t="s">
        <v>224</v>
      </c>
      <c r="S97" s="68"/>
      <c r="T97" s="734" t="s">
        <v>8899</v>
      </c>
      <c r="BB97" s="727">
        <f>SUMIFS('SAP BS'!G:G,'SAP BS'!$B:$B,'11. 추정 BS'!$C97)</f>
        <v>15261883423</v>
      </c>
      <c r="BC97" s="727">
        <f>SUMIFS('SAP BS'!L:L,'SAP BS'!$B:$B,'11. 추정 BS'!$C97)</f>
        <v>11806087</v>
      </c>
      <c r="BD97" s="727">
        <f t="shared" si="67"/>
        <v>15250077336</v>
      </c>
      <c r="BI97" s="727">
        <v>0</v>
      </c>
    </row>
    <row r="98" spans="2:61" ht="16.5" customHeight="1" x14ac:dyDescent="0.3">
      <c r="B98" s="748"/>
      <c r="C98" s="749" t="s">
        <v>177</v>
      </c>
      <c r="D98" s="750">
        <v>-4591.3288329999896</v>
      </c>
      <c r="E98" s="750">
        <v>-4073.9256549999959</v>
      </c>
      <c r="F98" s="750">
        <v>90801.398635000005</v>
      </c>
      <c r="G98" s="750">
        <v>72385.562718000001</v>
      </c>
      <c r="H98" s="750">
        <v>37675.281088000018</v>
      </c>
      <c r="I98" s="750">
        <v>-4230.8419429999922</v>
      </c>
      <c r="J98" s="750">
        <f t="shared" si="93"/>
        <v>-14398</v>
      </c>
      <c r="K98" s="750">
        <v>-20388.478207999993</v>
      </c>
      <c r="L98" s="750">
        <v>-20388.478207999993</v>
      </c>
      <c r="M98" s="750">
        <v>-20388.478207999993</v>
      </c>
      <c r="N98" s="750">
        <f t="shared" si="96"/>
        <v>-20388.478207999993</v>
      </c>
      <c r="O98" s="750">
        <f t="shared" si="96"/>
        <v>-20388.478207999993</v>
      </c>
      <c r="P98" s="750">
        <f t="shared" si="96"/>
        <v>-20388.478207999993</v>
      </c>
      <c r="Q98" s="750">
        <f t="shared" si="96"/>
        <v>-20388.478207999993</v>
      </c>
      <c r="R98" s="733" t="s">
        <v>224</v>
      </c>
      <c r="S98" s="68"/>
      <c r="T98" s="734" t="s">
        <v>8899</v>
      </c>
      <c r="BB98" s="727">
        <f>SUMIFS('SAP BS'!G:G,'SAP BS'!$B:$B,'11. 추정 BS'!$C98)</f>
        <v>33873734004</v>
      </c>
      <c r="BC98" s="727">
        <f>SUMIFS('SAP BS'!L:L,'SAP BS'!$B:$B,'11. 추정 BS'!$C98)</f>
        <v>48271829616</v>
      </c>
      <c r="BD98" s="727">
        <f t="shared" si="67"/>
        <v>-14398095612</v>
      </c>
      <c r="BI98" s="727">
        <v>0</v>
      </c>
    </row>
    <row r="99" spans="2:61" ht="16.5" customHeight="1" x14ac:dyDescent="0.3">
      <c r="B99" s="748"/>
      <c r="C99" s="749" t="s">
        <v>178</v>
      </c>
      <c r="D99" s="750">
        <v>3555.1025769999251</v>
      </c>
      <c r="E99" s="750">
        <v>-3445.7873749999276</v>
      </c>
      <c r="F99" s="750">
        <v>0</v>
      </c>
      <c r="G99" s="750">
        <v>0</v>
      </c>
      <c r="H99" s="750">
        <v>0</v>
      </c>
      <c r="I99" s="750">
        <v>0</v>
      </c>
      <c r="J99" s="750">
        <f t="shared" si="93"/>
        <v>0</v>
      </c>
      <c r="K99" s="750">
        <v>0</v>
      </c>
      <c r="L99" s="750">
        <v>0</v>
      </c>
      <c r="M99" s="750">
        <v>0</v>
      </c>
      <c r="N99" s="750">
        <v>0</v>
      </c>
      <c r="O99" s="750">
        <v>0</v>
      </c>
      <c r="P99" s="750">
        <v>0</v>
      </c>
      <c r="Q99" s="750">
        <v>0</v>
      </c>
      <c r="R99" s="733" t="s">
        <v>224</v>
      </c>
      <c r="S99" s="68"/>
      <c r="T99" s="734"/>
      <c r="BB99" s="727">
        <f>SUMIFS('SAP BS'!G:G,'SAP BS'!$B:$B,'11. 추정 BS'!$C99)</f>
        <v>0</v>
      </c>
      <c r="BC99" s="727">
        <f>SUMIFS('SAP BS'!L:L,'SAP BS'!$B:$B,'11. 추정 BS'!$C99)</f>
        <v>0</v>
      </c>
      <c r="BD99" s="727">
        <f t="shared" si="67"/>
        <v>0</v>
      </c>
      <c r="BI99" s="727">
        <v>0</v>
      </c>
    </row>
    <row r="100" spans="2:61" ht="16.5" customHeight="1" x14ac:dyDescent="0.3">
      <c r="B100" s="748"/>
      <c r="C100" s="749" t="s">
        <v>179</v>
      </c>
      <c r="D100" s="750">
        <v>8690.572051000001</v>
      </c>
      <c r="E100" s="750">
        <v>5990.7703619999993</v>
      </c>
      <c r="F100" s="750">
        <v>7163.5932490000005</v>
      </c>
      <c r="G100" s="750">
        <v>9178.8644230000009</v>
      </c>
      <c r="H100" s="750">
        <v>10471.944395</v>
      </c>
      <c r="I100" s="750">
        <v>16813.221134999996</v>
      </c>
      <c r="J100" s="750">
        <f t="shared" si="93"/>
        <v>36269</v>
      </c>
      <c r="K100" s="750">
        <v>19303.613664</v>
      </c>
      <c r="L100" s="750">
        <v>19303.613664</v>
      </c>
      <c r="M100" s="750">
        <v>19303.613664</v>
      </c>
      <c r="N100" s="750">
        <f t="shared" si="96"/>
        <v>19303.613664</v>
      </c>
      <c r="O100" s="750">
        <f t="shared" si="96"/>
        <v>19303.613664</v>
      </c>
      <c r="P100" s="750">
        <f t="shared" si="96"/>
        <v>19303.613664</v>
      </c>
      <c r="Q100" s="750">
        <f t="shared" si="96"/>
        <v>19303.613664</v>
      </c>
      <c r="R100" s="733" t="s">
        <v>224</v>
      </c>
      <c r="S100" s="68"/>
      <c r="T100" s="734" t="s">
        <v>8893</v>
      </c>
      <c r="BB100" s="727">
        <f>SUMIFS('SAP BS'!G:G,'SAP BS'!$B:$B,'11. 추정 BS'!$C100)</f>
        <v>36269354797</v>
      </c>
      <c r="BC100" s="727">
        <f>SUMIFS('SAP BS'!L:L,'SAP BS'!$B:$B,'11. 추정 BS'!$C100)</f>
        <v>0</v>
      </c>
      <c r="BD100" s="727">
        <f t="shared" si="67"/>
        <v>36269354797</v>
      </c>
      <c r="BI100" s="727">
        <v>0</v>
      </c>
    </row>
    <row r="101" spans="2:61" ht="16.5" customHeight="1" x14ac:dyDescent="0.3">
      <c r="B101" s="748"/>
      <c r="C101" s="749" t="s">
        <v>180</v>
      </c>
      <c r="D101" s="750">
        <v>1304308.8448100002</v>
      </c>
      <c r="E101" s="750">
        <v>1251501.8527500001</v>
      </c>
      <c r="F101" s="750">
        <v>1285847.9212780001</v>
      </c>
      <c r="G101" s="750">
        <v>1322559.0981679999</v>
      </c>
      <c r="H101" s="750">
        <v>1359042.872925</v>
      </c>
      <c r="I101" s="750">
        <v>1508355.9066870001</v>
      </c>
      <c r="J101" s="750">
        <f t="shared" si="93"/>
        <v>1467789</v>
      </c>
      <c r="K101" s="750">
        <f t="shared" ref="K101:Q101" si="97">AS85</f>
        <v>1478197.0148411449</v>
      </c>
      <c r="L101" s="750">
        <f t="shared" si="97"/>
        <v>1486599.4805365591</v>
      </c>
      <c r="M101" s="750">
        <f t="shared" si="97"/>
        <v>1498960.0562495934</v>
      </c>
      <c r="N101" s="750">
        <f t="shared" si="97"/>
        <v>1514792.7241840945</v>
      </c>
      <c r="O101" s="750">
        <f t="shared" si="97"/>
        <v>1532991.772334229</v>
      </c>
      <c r="P101" s="750">
        <f t="shared" si="97"/>
        <v>1554769.2878992297</v>
      </c>
      <c r="Q101" s="750">
        <f t="shared" si="97"/>
        <v>1578218.6970726894</v>
      </c>
      <c r="R101" s="733" t="s">
        <v>221</v>
      </c>
      <c r="S101" s="68"/>
      <c r="T101" s="734" t="s">
        <v>428</v>
      </c>
      <c r="BB101" s="727">
        <f>SUMIFS('SAP BS'!G:G,'SAP BS'!$B:$B,'11. 추정 BS'!$C101)</f>
        <v>1468113928144</v>
      </c>
      <c r="BC101" s="727">
        <f>SUMIFS('SAP BS'!L:L,'SAP BS'!$B:$B,'11. 추정 BS'!$C101)</f>
        <v>324906229</v>
      </c>
      <c r="BD101" s="727">
        <f t="shared" si="67"/>
        <v>1467789021915</v>
      </c>
      <c r="BI101" s="727">
        <v>0</v>
      </c>
    </row>
    <row r="102" spans="2:61" ht="16.5" customHeight="1" x14ac:dyDescent="0.3">
      <c r="B102" s="748"/>
      <c r="C102" s="749" t="s">
        <v>181</v>
      </c>
      <c r="D102" s="750">
        <v>7.6397554948925972E-11</v>
      </c>
      <c r="E102" s="750">
        <v>-1.3824319466948509E-10</v>
      </c>
      <c r="F102" s="750">
        <v>1130369.8393560001</v>
      </c>
      <c r="G102" s="750">
        <v>1265027.9290229999</v>
      </c>
      <c r="H102" s="750">
        <v>1339497.596657</v>
      </c>
      <c r="I102" s="750">
        <f>1421965.784584+0.747271997854114</f>
        <v>1421966.5318559979</v>
      </c>
      <c r="J102" s="750">
        <f t="shared" si="93"/>
        <v>1541081</v>
      </c>
      <c r="K102" s="750">
        <f>-'8. 추정 BS'!K37</f>
        <v>1539819.1139265387</v>
      </c>
      <c r="L102" s="750">
        <f>-'8. 추정 BS'!L37</f>
        <v>1615029.8697269741</v>
      </c>
      <c r="M102" s="750">
        <f>-'8. 추정 BS'!M37</f>
        <v>1685724.4690641146</v>
      </c>
      <c r="N102" s="750">
        <f>-'8. 추정 BS'!N37</f>
        <v>1754891.6629966265</v>
      </c>
      <c r="O102" s="750">
        <f>-'8. 추정 BS'!O37</f>
        <v>1822812.4459911357</v>
      </c>
      <c r="P102" s="750">
        <f>-'8. 추정 BS'!P37</f>
        <v>1889752.783019081</v>
      </c>
      <c r="Q102" s="750">
        <f>-'8. 추정 BS'!Q37</f>
        <v>1956764.7348988464</v>
      </c>
      <c r="R102" s="733" t="s">
        <v>709</v>
      </c>
      <c r="S102" s="68"/>
      <c r="T102" s="734" t="s">
        <v>8905</v>
      </c>
      <c r="BB102" s="727">
        <f>SUMIFS('SAP BS'!G:G,'SAP BS'!$B:$B,'11. 추정 BS'!$C102)</f>
        <v>0</v>
      </c>
      <c r="BC102" s="727">
        <f>SUMIFS('SAP BS'!L:L,'SAP BS'!$B:$B,'11. 추정 BS'!$C102)</f>
        <v>-1541080648152</v>
      </c>
      <c r="BD102" s="727">
        <f t="shared" si="67"/>
        <v>1541080648152</v>
      </c>
      <c r="BI102" s="727">
        <v>0</v>
      </c>
    </row>
    <row r="103" spans="2:61" ht="16.5" customHeight="1" x14ac:dyDescent="0.3">
      <c r="B103" s="745"/>
      <c r="C103" s="746" t="s">
        <v>762</v>
      </c>
      <c r="D103" s="758"/>
      <c r="E103" s="758"/>
      <c r="F103" s="758">
        <v>0</v>
      </c>
      <c r="G103" s="758">
        <v>0</v>
      </c>
      <c r="H103" s="758">
        <v>0</v>
      </c>
      <c r="I103" s="758">
        <v>0</v>
      </c>
      <c r="J103" s="758">
        <v>0</v>
      </c>
      <c r="K103" s="758">
        <v>0</v>
      </c>
      <c r="L103" s="758">
        <v>0</v>
      </c>
      <c r="M103" s="758">
        <v>0</v>
      </c>
      <c r="N103" s="758">
        <v>0</v>
      </c>
      <c r="O103" s="758">
        <v>0</v>
      </c>
      <c r="P103" s="758">
        <v>0</v>
      </c>
      <c r="Q103" s="758">
        <v>0</v>
      </c>
      <c r="R103" s="733" t="s">
        <v>709</v>
      </c>
      <c r="S103" s="68"/>
      <c r="T103" s="734"/>
      <c r="BB103" s="727">
        <f>SUMIFS('SAP BS'!G:G,'SAP BS'!$B:$B,'11. 추정 BS'!$C103)</f>
        <v>0</v>
      </c>
      <c r="BC103" s="727">
        <f>SUMIFS('SAP BS'!L:L,'SAP BS'!$B:$B,'11. 추정 BS'!$C103)</f>
        <v>0</v>
      </c>
      <c r="BD103" s="727">
        <f t="shared" si="67"/>
        <v>0</v>
      </c>
      <c r="BI103" s="727">
        <v>0</v>
      </c>
    </row>
    <row r="104" spans="2:61" ht="16.5" customHeight="1" x14ac:dyDescent="0.3">
      <c r="B104" s="745"/>
      <c r="C104" s="751" t="s">
        <v>182</v>
      </c>
      <c r="D104" s="744">
        <v>0</v>
      </c>
      <c r="E104" s="744">
        <v>0</v>
      </c>
      <c r="F104" s="744">
        <v>0</v>
      </c>
      <c r="G104" s="744">
        <v>0</v>
      </c>
      <c r="H104" s="744">
        <v>0</v>
      </c>
      <c r="I104" s="744">
        <v>0</v>
      </c>
      <c r="J104" s="744">
        <v>0</v>
      </c>
      <c r="K104" s="744">
        <v>0</v>
      </c>
      <c r="L104" s="744">
        <v>0</v>
      </c>
      <c r="M104" s="744">
        <v>0</v>
      </c>
      <c r="N104" s="744">
        <v>0</v>
      </c>
      <c r="O104" s="744">
        <v>0</v>
      </c>
      <c r="P104" s="744">
        <v>0</v>
      </c>
      <c r="Q104" s="744">
        <v>0</v>
      </c>
      <c r="R104" s="733"/>
      <c r="S104" s="68"/>
      <c r="T104" s="734"/>
      <c r="BB104" s="727">
        <f>SUMIFS('SAP BS'!G:G,'SAP BS'!$B:$B,'11. 추정 BS'!$C104)</f>
        <v>0</v>
      </c>
      <c r="BC104" s="727">
        <f>SUMIFS('SAP BS'!L:L,'SAP BS'!$B:$B,'11. 추정 BS'!$C104)</f>
        <v>0</v>
      </c>
      <c r="BD104" s="727">
        <f t="shared" si="67"/>
        <v>0</v>
      </c>
      <c r="BI104" s="727">
        <v>0</v>
      </c>
    </row>
    <row r="105" spans="2:61" ht="16.5" customHeight="1" x14ac:dyDescent="0.3">
      <c r="B105" s="745"/>
      <c r="C105" s="751" t="s">
        <v>183</v>
      </c>
      <c r="D105" s="744">
        <v>0</v>
      </c>
      <c r="E105" s="744">
        <v>0</v>
      </c>
      <c r="F105" s="744">
        <v>0</v>
      </c>
      <c r="G105" s="744">
        <v>0</v>
      </c>
      <c r="H105" s="744">
        <v>0</v>
      </c>
      <c r="I105" s="744">
        <v>0</v>
      </c>
      <c r="J105" s="744">
        <v>0</v>
      </c>
      <c r="K105" s="744">
        <v>0</v>
      </c>
      <c r="L105" s="744">
        <v>0</v>
      </c>
      <c r="M105" s="744">
        <v>0</v>
      </c>
      <c r="N105" s="744">
        <v>0</v>
      </c>
      <c r="O105" s="744">
        <v>0</v>
      </c>
      <c r="P105" s="744">
        <v>0</v>
      </c>
      <c r="Q105" s="744">
        <v>0</v>
      </c>
      <c r="R105" s="733"/>
      <c r="S105" s="68"/>
      <c r="T105" s="734"/>
      <c r="BB105" s="727">
        <f>SUMIFS('SAP BS'!G:G,'SAP BS'!$B:$B,'11. 추정 BS'!$C105)</f>
        <v>0</v>
      </c>
      <c r="BC105" s="727">
        <f>SUMIFS('SAP BS'!L:L,'SAP BS'!$B:$B,'11. 추정 BS'!$C105)</f>
        <v>0</v>
      </c>
      <c r="BD105" s="727">
        <f t="shared" si="67"/>
        <v>0</v>
      </c>
      <c r="BI105" s="727">
        <v>0</v>
      </c>
    </row>
    <row r="106" spans="2:61" ht="16.5" customHeight="1" x14ac:dyDescent="0.3">
      <c r="B106" s="745"/>
      <c r="C106" s="751" t="s">
        <v>184</v>
      </c>
      <c r="D106" s="744">
        <v>0</v>
      </c>
      <c r="E106" s="744">
        <v>0</v>
      </c>
      <c r="F106" s="744">
        <v>0</v>
      </c>
      <c r="G106" s="744">
        <v>0</v>
      </c>
      <c r="H106" s="744">
        <v>0</v>
      </c>
      <c r="I106" s="744">
        <v>0</v>
      </c>
      <c r="J106" s="744">
        <v>0</v>
      </c>
      <c r="K106" s="744">
        <v>0</v>
      </c>
      <c r="L106" s="744">
        <v>0</v>
      </c>
      <c r="M106" s="744">
        <v>0</v>
      </c>
      <c r="N106" s="744">
        <v>0</v>
      </c>
      <c r="O106" s="744">
        <v>0</v>
      </c>
      <c r="P106" s="744">
        <v>0</v>
      </c>
      <c r="Q106" s="744">
        <v>0</v>
      </c>
      <c r="R106" s="733"/>
      <c r="S106" s="68"/>
      <c r="T106" s="734"/>
      <c r="BB106" s="727">
        <f>SUMIFS('SAP BS'!G:G,'SAP BS'!$B:$B,'11. 추정 BS'!$C106)</f>
        <v>0</v>
      </c>
      <c r="BC106" s="727">
        <f>SUMIFS('SAP BS'!L:L,'SAP BS'!$B:$B,'11. 추정 BS'!$C106)</f>
        <v>0</v>
      </c>
      <c r="BD106" s="727">
        <f t="shared" si="67"/>
        <v>0</v>
      </c>
      <c r="BI106" s="727">
        <v>0</v>
      </c>
    </row>
    <row r="107" spans="2:61" ht="16.5" customHeight="1" x14ac:dyDescent="0.3">
      <c r="B107" s="693" t="s">
        <v>185</v>
      </c>
      <c r="C107" s="693"/>
      <c r="D107" s="693">
        <f>SUM(D108,D114,D118,D122,D127)</f>
        <v>2180734.7364750011</v>
      </c>
      <c r="E107" s="693">
        <f t="shared" ref="E107:Q107" si="98">SUM(E108,E114,E118,E122,E127)</f>
        <v>2317469.272983002</v>
      </c>
      <c r="F107" s="693">
        <f t="shared" si="98"/>
        <v>2679589.108593001</v>
      </c>
      <c r="G107" s="693">
        <f t="shared" si="98"/>
        <v>2547211.7466430007</v>
      </c>
      <c r="H107" s="693">
        <f t="shared" si="98"/>
        <v>2475469.9330030009</v>
      </c>
      <c r="I107" s="693">
        <f t="shared" si="98"/>
        <v>1521409.0828840025</v>
      </c>
      <c r="J107" s="693">
        <f t="shared" si="98"/>
        <v>1578069.9999999995</v>
      </c>
      <c r="K107" s="693">
        <f t="shared" si="98"/>
        <v>1608009.5639256283</v>
      </c>
      <c r="L107" s="693">
        <f t="shared" si="98"/>
        <v>1643741.8891077202</v>
      </c>
      <c r="M107" s="693">
        <f t="shared" si="98"/>
        <v>1671812.432140324</v>
      </c>
      <c r="N107" s="693">
        <f t="shared" si="98"/>
        <v>1703329.0523884266</v>
      </c>
      <c r="O107" s="693">
        <f t="shared" si="98"/>
        <v>1748056.7386879798</v>
      </c>
      <c r="P107" s="693">
        <f t="shared" si="98"/>
        <v>1794879.1471032135</v>
      </c>
      <c r="Q107" s="693">
        <f t="shared" si="98"/>
        <v>1848453.2509682898</v>
      </c>
      <c r="R107" s="733"/>
      <c r="S107" s="68"/>
      <c r="T107" s="734"/>
      <c r="BB107" s="727">
        <f>SUMIFS('SAP BS'!G:G,'SAP BS'!$A:$A,$B107)</f>
        <v>3325039720919</v>
      </c>
      <c r="BC107" s="727">
        <f>SUMIFS('SAP BS'!L:L,'SAP BS'!$A:$A,'11. 추정 BS'!$B107)</f>
        <v>1746969932395</v>
      </c>
      <c r="BD107" s="727">
        <f t="shared" si="67"/>
        <v>1578069788524</v>
      </c>
      <c r="BE107" s="727" t="b">
        <f>BB107=SUM(BB108,BB114,BB118,BB122,BB127)</f>
        <v>1</v>
      </c>
      <c r="BF107" s="727" t="b">
        <f>BC107=SUM(BC108,BC114,BC118,BC122,BC127)</f>
        <v>1</v>
      </c>
      <c r="BG107" s="727" t="b">
        <f>BD107=SUM(BD108,BD114,BD118,BD122,BD127)</f>
        <v>1</v>
      </c>
      <c r="BI107" s="727">
        <v>-1.0000000004656613</v>
      </c>
    </row>
    <row r="108" spans="2:61" ht="16.5" customHeight="1" x14ac:dyDescent="0.3">
      <c r="B108" s="748" t="s">
        <v>186</v>
      </c>
      <c r="C108" s="749"/>
      <c r="D108" s="750">
        <f>SUM(D109:D113)</f>
        <v>77000</v>
      </c>
      <c r="E108" s="750">
        <f t="shared" ref="E108:Q108" si="99">SUM(E109:E113)</f>
        <v>77000</v>
      </c>
      <c r="F108" s="750">
        <f>SUM(F109:F113)</f>
        <v>77000.000000000015</v>
      </c>
      <c r="G108" s="750">
        <f t="shared" si="99"/>
        <v>77000.000000000015</v>
      </c>
      <c r="H108" s="750">
        <f t="shared" si="99"/>
        <v>77000.000000000015</v>
      </c>
      <c r="I108" s="750">
        <f t="shared" si="99"/>
        <v>55889.493000000002</v>
      </c>
      <c r="J108" s="750">
        <f t="shared" si="99"/>
        <v>55889</v>
      </c>
      <c r="K108" s="750">
        <f t="shared" si="99"/>
        <v>55889.493000000002</v>
      </c>
      <c r="L108" s="750">
        <f t="shared" si="99"/>
        <v>55889.493000000002</v>
      </c>
      <c r="M108" s="750">
        <f t="shared" si="99"/>
        <v>55889.493000000002</v>
      </c>
      <c r="N108" s="750">
        <f t="shared" si="99"/>
        <v>55889.493000000002</v>
      </c>
      <c r="O108" s="750">
        <f t="shared" si="99"/>
        <v>55889.493000000002</v>
      </c>
      <c r="P108" s="750">
        <f t="shared" si="99"/>
        <v>55889.493000000002</v>
      </c>
      <c r="Q108" s="750">
        <f t="shared" si="99"/>
        <v>55889.493000000002</v>
      </c>
      <c r="R108" s="733"/>
      <c r="S108" s="68"/>
      <c r="T108" s="734"/>
      <c r="BB108" s="727">
        <f>SUMIFS('SAP BS'!G:G,'SAP BS'!$A:$A,$B108)</f>
        <v>83607415000</v>
      </c>
      <c r="BC108" s="727">
        <f>SUMIFS('SAP BS'!L:L,'SAP BS'!$A:$A,'11. 추정 BS'!$B108)</f>
        <v>27717922000</v>
      </c>
      <c r="BD108" s="727">
        <f t="shared" si="67"/>
        <v>55889493000</v>
      </c>
      <c r="BE108" s="727" t="b">
        <f>BB108=SUM(BB109:BB113)</f>
        <v>1</v>
      </c>
      <c r="BF108" s="727" t="b">
        <f>BC108=SUM(BC109:BC113)</f>
        <v>1</v>
      </c>
      <c r="BG108" s="727" t="b">
        <f>BD108=SUM(BD109:BD113)</f>
        <v>1</v>
      </c>
      <c r="BI108" s="727">
        <v>0</v>
      </c>
    </row>
    <row r="109" spans="2:61" ht="16.5" customHeight="1" x14ac:dyDescent="0.3">
      <c r="B109" s="745"/>
      <c r="C109" s="751" t="s">
        <v>187</v>
      </c>
      <c r="D109" s="744">
        <v>77000</v>
      </c>
      <c r="E109" s="744">
        <v>77000</v>
      </c>
      <c r="F109" s="744">
        <v>104717.92200000001</v>
      </c>
      <c r="G109" s="744">
        <v>104717.92200000001</v>
      </c>
      <c r="H109" s="744">
        <v>104717.92200000001</v>
      </c>
      <c r="I109" s="744">
        <v>83607.415000000008</v>
      </c>
      <c r="J109" s="744">
        <f>ROUND(BD109/10^6,)</f>
        <v>83607</v>
      </c>
      <c r="K109" s="744">
        <v>83607.415000000008</v>
      </c>
      <c r="L109" s="744">
        <v>83607.415000000008</v>
      </c>
      <c r="M109" s="744">
        <v>83607.415000000008</v>
      </c>
      <c r="N109" s="744">
        <v>83607.415000000008</v>
      </c>
      <c r="O109" s="744">
        <v>83607.415000000008</v>
      </c>
      <c r="P109" s="744">
        <v>83607.415000000008</v>
      </c>
      <c r="Q109" s="744">
        <v>83607.415000000008</v>
      </c>
      <c r="R109" s="733" t="s">
        <v>744</v>
      </c>
      <c r="S109" s="68"/>
      <c r="T109" s="734" t="s">
        <v>8906</v>
      </c>
      <c r="BB109" s="727">
        <f>SUMIFS('SAP BS'!G:G,'SAP BS'!$B:$B,'11. 추정 BS'!$C109)</f>
        <v>83607415000</v>
      </c>
      <c r="BC109" s="727">
        <f>SUMIFS('SAP BS'!L:L,'SAP BS'!$B:$B,'11. 추정 BS'!$C109)</f>
        <v>0</v>
      </c>
      <c r="BD109" s="727">
        <f t="shared" si="67"/>
        <v>83607415000</v>
      </c>
      <c r="BI109" s="727">
        <v>0</v>
      </c>
    </row>
    <row r="110" spans="2:61" ht="16.5" customHeight="1" x14ac:dyDescent="0.3">
      <c r="B110" s="745"/>
      <c r="C110" s="751" t="s">
        <v>188</v>
      </c>
      <c r="D110" s="744">
        <v>0</v>
      </c>
      <c r="E110" s="744">
        <v>0</v>
      </c>
      <c r="F110" s="744">
        <v>0</v>
      </c>
      <c r="G110" s="744">
        <v>0</v>
      </c>
      <c r="H110" s="744">
        <v>0</v>
      </c>
      <c r="I110" s="744">
        <v>0</v>
      </c>
      <c r="J110" s="744">
        <f>ROUND(BD110/10^6,)</f>
        <v>0</v>
      </c>
      <c r="K110" s="744">
        <v>0</v>
      </c>
      <c r="L110" s="744">
        <v>0</v>
      </c>
      <c r="M110" s="744">
        <v>0</v>
      </c>
      <c r="N110" s="744">
        <v>0</v>
      </c>
      <c r="O110" s="744">
        <v>0</v>
      </c>
      <c r="P110" s="744">
        <v>0</v>
      </c>
      <c r="Q110" s="744">
        <v>0</v>
      </c>
      <c r="R110" s="733" t="s">
        <v>744</v>
      </c>
      <c r="S110" s="68"/>
      <c r="T110" s="734"/>
      <c r="BB110" s="727">
        <f>SUMIFS('SAP BS'!G:G,'SAP BS'!$B:$B,'11. 추정 BS'!$C110)</f>
        <v>0</v>
      </c>
      <c r="BC110" s="727">
        <f>SUMIFS('SAP BS'!L:L,'SAP BS'!$B:$B,'11. 추정 BS'!$C110)</f>
        <v>0</v>
      </c>
      <c r="BD110" s="727">
        <f t="shared" si="67"/>
        <v>0</v>
      </c>
      <c r="BI110" s="727">
        <v>0</v>
      </c>
    </row>
    <row r="111" spans="2:61" ht="16.5" customHeight="1" x14ac:dyDescent="0.3">
      <c r="B111" s="745"/>
      <c r="C111" s="751" t="s">
        <v>189</v>
      </c>
      <c r="D111" s="744">
        <v>0</v>
      </c>
      <c r="E111" s="744">
        <v>0</v>
      </c>
      <c r="F111" s="744">
        <v>77000</v>
      </c>
      <c r="G111" s="744">
        <v>77000</v>
      </c>
      <c r="H111" s="744">
        <v>77000</v>
      </c>
      <c r="I111" s="744">
        <v>77000</v>
      </c>
      <c r="J111" s="744">
        <f>ROUND(BD111/10^6,)</f>
        <v>77000</v>
      </c>
      <c r="K111" s="744">
        <v>77000</v>
      </c>
      <c r="L111" s="744">
        <v>77000</v>
      </c>
      <c r="M111" s="744">
        <v>77000</v>
      </c>
      <c r="N111" s="744">
        <v>77000</v>
      </c>
      <c r="O111" s="744">
        <v>77000</v>
      </c>
      <c r="P111" s="744">
        <v>77000</v>
      </c>
      <c r="Q111" s="744">
        <v>77000</v>
      </c>
      <c r="R111" s="733" t="s">
        <v>225</v>
      </c>
      <c r="S111" s="68"/>
      <c r="T111" s="734" t="s">
        <v>794</v>
      </c>
      <c r="BB111" s="727">
        <f>SUMIFS('SAP BS'!G:G,'SAP BS'!$B:$B,'11. 추정 BS'!$C111)</f>
        <v>104717922000</v>
      </c>
      <c r="BC111" s="727">
        <f>SUMIFS('SAP BS'!L:L,'SAP BS'!$B:$B,'11. 추정 BS'!$C111)</f>
        <v>27717922000</v>
      </c>
      <c r="BD111" s="727">
        <f t="shared" si="67"/>
        <v>77000000000</v>
      </c>
      <c r="BI111" s="727">
        <v>0</v>
      </c>
    </row>
    <row r="112" spans="2:61" ht="16.5" customHeight="1" x14ac:dyDescent="0.3">
      <c r="B112" s="745"/>
      <c r="C112" s="751" t="s">
        <v>190</v>
      </c>
      <c r="D112" s="744">
        <v>0</v>
      </c>
      <c r="E112" s="744">
        <v>0</v>
      </c>
      <c r="F112" s="744">
        <v>-104717.92200000001</v>
      </c>
      <c r="G112" s="744">
        <v>-104717.92200000001</v>
      </c>
      <c r="H112" s="744">
        <v>-104717.92200000001</v>
      </c>
      <c r="I112" s="744">
        <v>-104717.92200000001</v>
      </c>
      <c r="J112" s="744">
        <f>ROUND(BD112/10^6,)</f>
        <v>-104718</v>
      </c>
      <c r="K112" s="744">
        <v>-104717.92200000001</v>
      </c>
      <c r="L112" s="744">
        <v>-104717.92200000001</v>
      </c>
      <c r="M112" s="744">
        <v>-104717.92200000001</v>
      </c>
      <c r="N112" s="744">
        <v>-104717.92200000001</v>
      </c>
      <c r="O112" s="744">
        <v>-104717.92200000001</v>
      </c>
      <c r="P112" s="744">
        <v>-104717.92200000001</v>
      </c>
      <c r="Q112" s="744">
        <v>-104717.92200000001</v>
      </c>
      <c r="R112" s="733" t="s">
        <v>225</v>
      </c>
      <c r="S112" s="68"/>
      <c r="T112" s="734" t="s">
        <v>794</v>
      </c>
      <c r="BB112" s="727">
        <f>SUMIFS('SAP BS'!G:G,'SAP BS'!$B:$B,'11. 추정 BS'!$C112)</f>
        <v>-104717922000</v>
      </c>
      <c r="BC112" s="727">
        <f>SUMIFS('SAP BS'!L:L,'SAP BS'!$B:$B,'11. 추정 BS'!$C112)</f>
        <v>0</v>
      </c>
      <c r="BD112" s="727">
        <f t="shared" si="67"/>
        <v>-104717922000</v>
      </c>
      <c r="BI112" s="727">
        <v>0</v>
      </c>
    </row>
    <row r="113" spans="2:61" ht="16.5" customHeight="1" x14ac:dyDescent="0.3">
      <c r="B113" s="745"/>
      <c r="C113" s="751" t="s">
        <v>191</v>
      </c>
      <c r="D113" s="744">
        <v>0</v>
      </c>
      <c r="E113" s="744">
        <v>0</v>
      </c>
      <c r="F113" s="744">
        <v>0</v>
      </c>
      <c r="G113" s="744">
        <v>0</v>
      </c>
      <c r="H113" s="744">
        <v>0</v>
      </c>
      <c r="I113" s="744">
        <v>0</v>
      </c>
      <c r="J113" s="744">
        <f>ROUND(BD113/10^6,)</f>
        <v>0</v>
      </c>
      <c r="K113" s="744">
        <v>0</v>
      </c>
      <c r="L113" s="744">
        <v>0</v>
      </c>
      <c r="M113" s="744">
        <v>0</v>
      </c>
      <c r="N113" s="744">
        <v>0</v>
      </c>
      <c r="O113" s="744">
        <v>0</v>
      </c>
      <c r="P113" s="744">
        <v>0</v>
      </c>
      <c r="Q113" s="744">
        <v>0</v>
      </c>
      <c r="R113" s="733"/>
      <c r="S113" s="68"/>
      <c r="T113" s="734"/>
      <c r="BB113" s="727">
        <f>SUMIFS('SAP BS'!G:G,'SAP BS'!$B:$B,'11. 추정 BS'!$C113)</f>
        <v>0</v>
      </c>
      <c r="BC113" s="727">
        <f>SUMIFS('SAP BS'!L:L,'SAP BS'!$B:$B,'11. 추정 BS'!$C113)</f>
        <v>0</v>
      </c>
      <c r="BD113" s="727">
        <f t="shared" si="67"/>
        <v>0</v>
      </c>
      <c r="BI113" s="727">
        <v>0</v>
      </c>
    </row>
    <row r="114" spans="2:61" ht="16.5" customHeight="1" x14ac:dyDescent="0.3">
      <c r="B114" s="748" t="s">
        <v>192</v>
      </c>
      <c r="C114" s="749"/>
      <c r="D114" s="750">
        <f>SUM(D115:D117)</f>
        <v>152112.70104099999</v>
      </c>
      <c r="E114" s="750">
        <f t="shared" ref="E114:Q114" si="100">SUM(E115:E117)</f>
        <v>152112.70104099999</v>
      </c>
      <c r="F114" s="750">
        <f t="shared" si="100"/>
        <v>1195692.464341</v>
      </c>
      <c r="G114" s="750">
        <f t="shared" si="100"/>
        <v>1195692.464341</v>
      </c>
      <c r="H114" s="750">
        <f t="shared" si="100"/>
        <v>1195692.464341</v>
      </c>
      <c r="I114" s="750">
        <f t="shared" si="100"/>
        <v>966458.25086299994</v>
      </c>
      <c r="J114" s="750">
        <f t="shared" si="100"/>
        <v>966458</v>
      </c>
      <c r="K114" s="750">
        <f t="shared" si="100"/>
        <v>966458</v>
      </c>
      <c r="L114" s="750">
        <f t="shared" si="100"/>
        <v>966458</v>
      </c>
      <c r="M114" s="750">
        <f t="shared" si="100"/>
        <v>966458</v>
      </c>
      <c r="N114" s="750">
        <f t="shared" si="100"/>
        <v>966458</v>
      </c>
      <c r="O114" s="750">
        <f t="shared" si="100"/>
        <v>966458</v>
      </c>
      <c r="P114" s="750">
        <f t="shared" si="100"/>
        <v>966458</v>
      </c>
      <c r="Q114" s="750">
        <f t="shared" si="100"/>
        <v>966458</v>
      </c>
      <c r="R114" s="733"/>
      <c r="S114" s="68"/>
      <c r="T114" s="734"/>
      <c r="BB114" s="727">
        <f>SUMIFS('SAP BS'!G:G,'SAP BS'!$A:$A,$B114)</f>
        <v>966458250863</v>
      </c>
      <c r="BC114" s="727">
        <f>SUMIFS('SAP BS'!L:L,'SAP BS'!$A:$A,'11. 추정 BS'!$B114)</f>
        <v>0</v>
      </c>
      <c r="BD114" s="727">
        <f t="shared" si="67"/>
        <v>966458250863</v>
      </c>
      <c r="BE114" s="727" t="b">
        <f>BB114=SUM(BB115:BB117)</f>
        <v>1</v>
      </c>
      <c r="BF114" s="727" t="b">
        <f>BC114=SUM(BC115:BC117)</f>
        <v>1</v>
      </c>
      <c r="BG114" s="727" t="b">
        <f>BD114=SUM(BD115:BD117)</f>
        <v>1</v>
      </c>
      <c r="BI114" s="727">
        <v>0</v>
      </c>
    </row>
    <row r="115" spans="2:61" ht="16.5" customHeight="1" x14ac:dyDescent="0.3">
      <c r="B115" s="745"/>
      <c r="C115" s="751" t="s">
        <v>193</v>
      </c>
      <c r="D115" s="744">
        <v>152112.70104099999</v>
      </c>
      <c r="E115" s="744">
        <v>152112.70104099999</v>
      </c>
      <c r="F115" s="744">
        <v>1195692.464341</v>
      </c>
      <c r="G115" s="744">
        <v>1195692.464341</v>
      </c>
      <c r="H115" s="744">
        <v>1195692.464341</v>
      </c>
      <c r="I115" s="744">
        <v>966458.25086299994</v>
      </c>
      <c r="J115" s="744">
        <f>ROUND(BD115/10^6,)</f>
        <v>966458</v>
      </c>
      <c r="K115" s="744">
        <f t="shared" ref="K115:Q115" si="101">J115</f>
        <v>966458</v>
      </c>
      <c r="L115" s="744">
        <f t="shared" si="101"/>
        <v>966458</v>
      </c>
      <c r="M115" s="744">
        <f t="shared" si="101"/>
        <v>966458</v>
      </c>
      <c r="N115" s="744">
        <f t="shared" si="101"/>
        <v>966458</v>
      </c>
      <c r="O115" s="744">
        <f t="shared" si="101"/>
        <v>966458</v>
      </c>
      <c r="P115" s="744">
        <f t="shared" si="101"/>
        <v>966458</v>
      </c>
      <c r="Q115" s="744">
        <f t="shared" si="101"/>
        <v>966458</v>
      </c>
      <c r="R115" s="733" t="s">
        <v>225</v>
      </c>
      <c r="S115" s="68"/>
      <c r="T115" s="734" t="s">
        <v>8906</v>
      </c>
      <c r="BB115" s="727">
        <f>SUMIFS('SAP BS'!G:G,'SAP BS'!$B:$B,'11. 추정 BS'!$C115)</f>
        <v>966458250863</v>
      </c>
      <c r="BC115" s="727">
        <f>SUMIFS('SAP BS'!L:L,'SAP BS'!$B:$B,'11. 추정 BS'!$C115)</f>
        <v>0</v>
      </c>
      <c r="BD115" s="727">
        <f t="shared" si="67"/>
        <v>966458250863</v>
      </c>
      <c r="BI115" s="727">
        <v>0</v>
      </c>
    </row>
    <row r="116" spans="2:61" ht="16.5" customHeight="1" x14ac:dyDescent="0.3">
      <c r="B116" s="745"/>
      <c r="C116" s="751" t="s">
        <v>194</v>
      </c>
      <c r="D116" s="744">
        <v>0</v>
      </c>
      <c r="E116" s="744">
        <v>0</v>
      </c>
      <c r="F116" s="744">
        <v>0</v>
      </c>
      <c r="G116" s="744">
        <v>0</v>
      </c>
      <c r="H116" s="744">
        <v>0</v>
      </c>
      <c r="I116" s="744">
        <v>0</v>
      </c>
      <c r="J116" s="744">
        <f>ROUND(BD116/10^6,)</f>
        <v>0</v>
      </c>
      <c r="K116" s="744">
        <v>0</v>
      </c>
      <c r="L116" s="744">
        <v>0</v>
      </c>
      <c r="M116" s="744">
        <v>0</v>
      </c>
      <c r="N116" s="744">
        <v>0</v>
      </c>
      <c r="O116" s="744">
        <v>0</v>
      </c>
      <c r="P116" s="744">
        <v>0</v>
      </c>
      <c r="Q116" s="744">
        <v>0</v>
      </c>
      <c r="R116" s="733" t="s">
        <v>225</v>
      </c>
      <c r="S116" s="68"/>
      <c r="T116" s="734"/>
      <c r="BB116" s="727">
        <f>SUMIFS('SAP BS'!G:G,'SAP BS'!$B:$B,'11. 추정 BS'!$C116)</f>
        <v>0</v>
      </c>
      <c r="BC116" s="727">
        <f>SUMIFS('SAP BS'!L:L,'SAP BS'!$B:$B,'11. 추정 BS'!$C116)</f>
        <v>0</v>
      </c>
      <c r="BD116" s="727">
        <f t="shared" si="67"/>
        <v>0</v>
      </c>
      <c r="BI116" s="727">
        <v>0</v>
      </c>
    </row>
    <row r="117" spans="2:61" ht="16.5" customHeight="1" x14ac:dyDescent="0.3">
      <c r="B117" s="745"/>
      <c r="C117" s="751" t="s">
        <v>195</v>
      </c>
      <c r="D117" s="744">
        <v>0</v>
      </c>
      <c r="E117" s="744">
        <v>0</v>
      </c>
      <c r="F117" s="744">
        <v>0</v>
      </c>
      <c r="G117" s="744">
        <v>0</v>
      </c>
      <c r="H117" s="744">
        <v>0</v>
      </c>
      <c r="I117" s="744">
        <v>0</v>
      </c>
      <c r="J117" s="744">
        <f>ROUND(BD117/10^6,)</f>
        <v>0</v>
      </c>
      <c r="K117" s="744">
        <v>0</v>
      </c>
      <c r="L117" s="744">
        <v>0</v>
      </c>
      <c r="M117" s="744">
        <v>0</v>
      </c>
      <c r="N117" s="744">
        <v>0</v>
      </c>
      <c r="O117" s="744">
        <v>0</v>
      </c>
      <c r="P117" s="744">
        <v>0</v>
      </c>
      <c r="Q117" s="744">
        <v>0</v>
      </c>
      <c r="R117" s="733" t="s">
        <v>225</v>
      </c>
      <c r="S117" s="68"/>
      <c r="T117" s="734"/>
      <c r="BB117" s="727">
        <f>SUMIFS('SAP BS'!G:G,'SAP BS'!$B:$B,'11. 추정 BS'!$C117)</f>
        <v>0</v>
      </c>
      <c r="BC117" s="727">
        <f>SUMIFS('SAP BS'!L:L,'SAP BS'!$B:$B,'11. 추정 BS'!$C117)</f>
        <v>0</v>
      </c>
      <c r="BD117" s="727">
        <f t="shared" si="67"/>
        <v>0</v>
      </c>
      <c r="BI117" s="727">
        <v>0</v>
      </c>
    </row>
    <row r="118" spans="2:61" ht="16.5" customHeight="1" x14ac:dyDescent="0.3">
      <c r="B118" s="748" t="s">
        <v>196</v>
      </c>
      <c r="C118" s="749"/>
      <c r="D118" s="750">
        <f>SUM(D119:D121)</f>
        <v>-68.546079000000006</v>
      </c>
      <c r="E118" s="750">
        <f t="shared" ref="E118:Q118" si="102">SUM(E119:E121)</f>
        <v>-68.546079000000006</v>
      </c>
      <c r="F118" s="750">
        <f t="shared" si="102"/>
        <v>-98183.617004000014</v>
      </c>
      <c r="G118" s="750">
        <f t="shared" si="102"/>
        <v>-98183.617004000014</v>
      </c>
      <c r="H118" s="750">
        <f t="shared" si="102"/>
        <v>-68183.615271000002</v>
      </c>
      <c r="I118" s="750">
        <f t="shared" si="102"/>
        <v>-601533.94997199997</v>
      </c>
      <c r="J118" s="750">
        <f t="shared" si="102"/>
        <v>-601534</v>
      </c>
      <c r="K118" s="750">
        <f t="shared" si="102"/>
        <v>-601534</v>
      </c>
      <c r="L118" s="750">
        <f t="shared" si="102"/>
        <v>-601534</v>
      </c>
      <c r="M118" s="750">
        <f t="shared" si="102"/>
        <v>-601534</v>
      </c>
      <c r="N118" s="750">
        <f t="shared" si="102"/>
        <v>-601534</v>
      </c>
      <c r="O118" s="750">
        <f t="shared" si="102"/>
        <v>-601534</v>
      </c>
      <c r="P118" s="750">
        <f t="shared" si="102"/>
        <v>-601534</v>
      </c>
      <c r="Q118" s="750">
        <f t="shared" si="102"/>
        <v>-601534</v>
      </c>
      <c r="R118" s="733"/>
      <c r="S118" s="68"/>
      <c r="T118" s="734"/>
      <c r="BB118" s="727">
        <f>SUMIFS('SAP BS'!G:G,'SAP BS'!$A:$A,$B118)</f>
        <v>-601533949972</v>
      </c>
      <c r="BC118" s="727">
        <f>SUMIFS('SAP BS'!L:L,'SAP BS'!$A:$A,'11. 추정 BS'!$B118)</f>
        <v>0</v>
      </c>
      <c r="BD118" s="727">
        <f t="shared" si="67"/>
        <v>-601533949972</v>
      </c>
      <c r="BE118" s="727" t="b">
        <f>BB118=SUM(BB119:BB121)</f>
        <v>1</v>
      </c>
      <c r="BF118" s="727" t="b">
        <f>BC118=SUM(BC119:BC121)</f>
        <v>1</v>
      </c>
      <c r="BG118" s="727" t="b">
        <f>BD118=SUM(BD119:BD121)</f>
        <v>1</v>
      </c>
      <c r="BI118" s="727">
        <v>0</v>
      </c>
    </row>
    <row r="119" spans="2:61" ht="16.5" customHeight="1" x14ac:dyDescent="0.3">
      <c r="B119" s="745"/>
      <c r="C119" s="751" t="s">
        <v>197</v>
      </c>
      <c r="D119" s="744">
        <v>0</v>
      </c>
      <c r="E119" s="744">
        <v>0</v>
      </c>
      <c r="F119" s="744">
        <v>-98115.070925000007</v>
      </c>
      <c r="G119" s="744">
        <v>-98115.070925000007</v>
      </c>
      <c r="H119" s="744">
        <v>-68115.069191999995</v>
      </c>
      <c r="I119" s="744">
        <v>-19449.357065</v>
      </c>
      <c r="J119" s="744">
        <f>ROUND(BD119/10^6,)</f>
        <v>-19449</v>
      </c>
      <c r="K119" s="744">
        <f t="shared" ref="K119:Q120" si="103">J119</f>
        <v>-19449</v>
      </c>
      <c r="L119" s="744">
        <f t="shared" si="103"/>
        <v>-19449</v>
      </c>
      <c r="M119" s="744">
        <f t="shared" si="103"/>
        <v>-19449</v>
      </c>
      <c r="N119" s="744">
        <f t="shared" si="103"/>
        <v>-19449</v>
      </c>
      <c r="O119" s="744">
        <f t="shared" si="103"/>
        <v>-19449</v>
      </c>
      <c r="P119" s="744">
        <f t="shared" si="103"/>
        <v>-19449</v>
      </c>
      <c r="Q119" s="744">
        <f t="shared" si="103"/>
        <v>-19449</v>
      </c>
      <c r="R119" s="733" t="s">
        <v>225</v>
      </c>
      <c r="S119" s="68"/>
      <c r="T119" s="734" t="s">
        <v>794</v>
      </c>
      <c r="BB119" s="727">
        <f>SUMIFS('SAP BS'!G:G,'SAP BS'!$B:$B,'11. 추정 BS'!$C119)</f>
        <v>-19449357065</v>
      </c>
      <c r="BC119" s="727">
        <f>SUMIFS('SAP BS'!L:L,'SAP BS'!$B:$B,'11. 추정 BS'!$C119)</f>
        <v>0</v>
      </c>
      <c r="BD119" s="727">
        <f t="shared" si="67"/>
        <v>-19449357065</v>
      </c>
      <c r="BI119" s="727">
        <v>0</v>
      </c>
    </row>
    <row r="120" spans="2:61" ht="16.5" customHeight="1" x14ac:dyDescent="0.3">
      <c r="B120" s="745"/>
      <c r="C120" s="751" t="s">
        <v>198</v>
      </c>
      <c r="D120" s="744">
        <v>-68.546079000000006</v>
      </c>
      <c r="E120" s="744">
        <v>-68.546079000000006</v>
      </c>
      <c r="F120" s="744">
        <v>-68.546079000000006</v>
      </c>
      <c r="G120" s="744">
        <v>-68.546079000000006</v>
      </c>
      <c r="H120" s="744">
        <v>-68.546079000000006</v>
      </c>
      <c r="I120" s="744">
        <v>-582084.59290699998</v>
      </c>
      <c r="J120" s="744">
        <f>ROUND(BD120/10^6,)</f>
        <v>-582085</v>
      </c>
      <c r="K120" s="744">
        <f t="shared" si="103"/>
        <v>-582085</v>
      </c>
      <c r="L120" s="744">
        <f t="shared" si="103"/>
        <v>-582085</v>
      </c>
      <c r="M120" s="744">
        <f t="shared" si="103"/>
        <v>-582085</v>
      </c>
      <c r="N120" s="744">
        <f t="shared" si="103"/>
        <v>-582085</v>
      </c>
      <c r="O120" s="744">
        <f t="shared" si="103"/>
        <v>-582085</v>
      </c>
      <c r="P120" s="744">
        <f t="shared" si="103"/>
        <v>-582085</v>
      </c>
      <c r="Q120" s="744">
        <f t="shared" si="103"/>
        <v>-582085</v>
      </c>
      <c r="R120" s="733" t="s">
        <v>225</v>
      </c>
      <c r="S120" s="68"/>
      <c r="T120" s="734" t="s">
        <v>8906</v>
      </c>
      <c r="BB120" s="727">
        <f>SUMIFS('SAP BS'!G:G,'SAP BS'!$B:$B,'11. 추정 BS'!$C120)</f>
        <v>-582084592907</v>
      </c>
      <c r="BC120" s="727">
        <f>SUMIFS('SAP BS'!L:L,'SAP BS'!$B:$B,'11. 추정 BS'!$C120)</f>
        <v>0</v>
      </c>
      <c r="BD120" s="727">
        <f t="shared" si="67"/>
        <v>-582084592907</v>
      </c>
      <c r="BI120" s="727">
        <v>0</v>
      </c>
    </row>
    <row r="121" spans="2:61" ht="16.5" customHeight="1" x14ac:dyDescent="0.3">
      <c r="B121" s="745"/>
      <c r="C121" s="751" t="s">
        <v>199</v>
      </c>
      <c r="D121" s="744">
        <v>0</v>
      </c>
      <c r="E121" s="744">
        <v>0</v>
      </c>
      <c r="F121" s="744">
        <v>0</v>
      </c>
      <c r="G121" s="744">
        <v>0</v>
      </c>
      <c r="H121" s="744">
        <v>0</v>
      </c>
      <c r="I121" s="744">
        <v>0</v>
      </c>
      <c r="J121" s="744">
        <f>ROUND(BD121/10^6,)</f>
        <v>0</v>
      </c>
      <c r="K121" s="744">
        <v>0</v>
      </c>
      <c r="L121" s="744">
        <v>0</v>
      </c>
      <c r="M121" s="744">
        <v>0</v>
      </c>
      <c r="N121" s="744">
        <v>0</v>
      </c>
      <c r="O121" s="744">
        <v>0</v>
      </c>
      <c r="P121" s="744">
        <v>0</v>
      </c>
      <c r="Q121" s="744">
        <v>0</v>
      </c>
      <c r="R121" s="733" t="s">
        <v>225</v>
      </c>
      <c r="S121" s="68"/>
      <c r="T121" s="734"/>
      <c r="BB121" s="727">
        <f>SUMIFS('SAP BS'!G:G,'SAP BS'!$B:$B,'11. 추정 BS'!$C121)</f>
        <v>0</v>
      </c>
      <c r="BC121" s="727">
        <f>SUMIFS('SAP BS'!L:L,'SAP BS'!$B:$B,'11. 추정 BS'!$C121)</f>
        <v>0</v>
      </c>
      <c r="BD121" s="727">
        <f t="shared" si="67"/>
        <v>0</v>
      </c>
      <c r="BI121" s="727">
        <v>0</v>
      </c>
    </row>
    <row r="122" spans="2:61" ht="16.5" customHeight="1" x14ac:dyDescent="0.3">
      <c r="B122" s="748" t="s">
        <v>200</v>
      </c>
      <c r="C122" s="749"/>
      <c r="D122" s="750">
        <f>SUM(D123:D126)</f>
        <v>-8168.2381359999999</v>
      </c>
      <c r="E122" s="750">
        <f t="shared" ref="E122:Q122" si="104">SUM(E123:E126)</f>
        <v>-1815.014811</v>
      </c>
      <c r="F122" s="750">
        <f t="shared" si="104"/>
        <v>15430.326933999997</v>
      </c>
      <c r="G122" s="750">
        <f t="shared" si="104"/>
        <v>44980.655660000011</v>
      </c>
      <c r="H122" s="750">
        <f t="shared" si="104"/>
        <v>62127.204758999993</v>
      </c>
      <c r="I122" s="750">
        <f t="shared" si="104"/>
        <v>86173.492345999999</v>
      </c>
      <c r="J122" s="750">
        <f t="shared" si="104"/>
        <v>125771</v>
      </c>
      <c r="K122" s="750">
        <f t="shared" si="104"/>
        <v>125771</v>
      </c>
      <c r="L122" s="750">
        <f t="shared" si="104"/>
        <v>125771</v>
      </c>
      <c r="M122" s="750">
        <f t="shared" si="104"/>
        <v>125771</v>
      </c>
      <c r="N122" s="750">
        <f t="shared" si="104"/>
        <v>125771</v>
      </c>
      <c r="O122" s="750">
        <f t="shared" si="104"/>
        <v>125771</v>
      </c>
      <c r="P122" s="750">
        <f t="shared" si="104"/>
        <v>125771</v>
      </c>
      <c r="Q122" s="750">
        <f t="shared" si="104"/>
        <v>125771</v>
      </c>
      <c r="R122" s="733"/>
      <c r="S122" s="68"/>
      <c r="T122" s="734"/>
      <c r="BB122" s="727">
        <f>SUMIFS('SAP BS'!G:G,'SAP BS'!$A:$A,$B122)</f>
        <v>125770589507</v>
      </c>
      <c r="BC122" s="727">
        <f>SUMIFS('SAP BS'!L:L,'SAP BS'!$A:$A,'11. 추정 BS'!$B122)</f>
        <v>0</v>
      </c>
      <c r="BD122" s="727">
        <f t="shared" si="67"/>
        <v>125770589507</v>
      </c>
      <c r="BE122" s="727" t="b">
        <f>BB122=SUM(BB123:BB126)</f>
        <v>1</v>
      </c>
      <c r="BF122" s="727" t="b">
        <f>BC122=SUM(BC123:BC126)</f>
        <v>1</v>
      </c>
      <c r="BG122" s="727" t="b">
        <f>BD122=SUM(BD123:BD126)</f>
        <v>1</v>
      </c>
      <c r="BI122" s="727">
        <v>0</v>
      </c>
    </row>
    <row r="123" spans="2:61" ht="16.5" customHeight="1" x14ac:dyDescent="0.3">
      <c r="B123" s="745"/>
      <c r="C123" s="751" t="s">
        <v>201</v>
      </c>
      <c r="D123" s="744">
        <v>-8168.2381359999999</v>
      </c>
      <c r="E123" s="744">
        <v>-1815.014811</v>
      </c>
      <c r="F123" s="744">
        <v>15430.326933999997</v>
      </c>
      <c r="G123" s="744">
        <v>44980.655660000011</v>
      </c>
      <c r="H123" s="744">
        <v>62127.204758999993</v>
      </c>
      <c r="I123" s="744">
        <v>86173.492345999999</v>
      </c>
      <c r="J123" s="744">
        <f t="shared" ref="J123:J129" si="105">ROUND(BD123/10^6,)</f>
        <v>125771</v>
      </c>
      <c r="K123" s="744">
        <f t="shared" ref="K123:Q123" si="106">J123</f>
        <v>125771</v>
      </c>
      <c r="L123" s="744">
        <f t="shared" si="106"/>
        <v>125771</v>
      </c>
      <c r="M123" s="744">
        <f t="shared" si="106"/>
        <v>125771</v>
      </c>
      <c r="N123" s="744">
        <f t="shared" si="106"/>
        <v>125771</v>
      </c>
      <c r="O123" s="744">
        <f t="shared" si="106"/>
        <v>125771</v>
      </c>
      <c r="P123" s="744">
        <f t="shared" si="106"/>
        <v>125771</v>
      </c>
      <c r="Q123" s="744">
        <f t="shared" si="106"/>
        <v>125771</v>
      </c>
      <c r="R123" s="733" t="s">
        <v>225</v>
      </c>
      <c r="S123" s="68"/>
      <c r="T123" s="734" t="s">
        <v>8893</v>
      </c>
      <c r="BB123" s="727">
        <f>SUMIFS('SAP BS'!G:G,'SAP BS'!$B:$B,'11. 추정 BS'!$C123)</f>
        <v>125770589507</v>
      </c>
      <c r="BC123" s="727">
        <f>SUMIFS('SAP BS'!L:L,'SAP BS'!$B:$B,'11. 추정 BS'!$C123)</f>
        <v>0</v>
      </c>
      <c r="BD123" s="727">
        <f t="shared" si="67"/>
        <v>125770589507</v>
      </c>
      <c r="BI123" s="727">
        <v>0</v>
      </c>
    </row>
    <row r="124" spans="2:61" ht="16.5" customHeight="1" x14ac:dyDescent="0.3">
      <c r="B124" s="745"/>
      <c r="C124" s="751" t="s">
        <v>202</v>
      </c>
      <c r="D124" s="744">
        <v>0</v>
      </c>
      <c r="E124" s="744">
        <v>0</v>
      </c>
      <c r="F124" s="744">
        <v>0</v>
      </c>
      <c r="G124" s="744">
        <v>0</v>
      </c>
      <c r="H124" s="744">
        <v>0</v>
      </c>
      <c r="I124" s="744">
        <v>0</v>
      </c>
      <c r="J124" s="744">
        <f t="shared" si="105"/>
        <v>0</v>
      </c>
      <c r="K124" s="744">
        <v>0</v>
      </c>
      <c r="L124" s="744">
        <v>0</v>
      </c>
      <c r="M124" s="744">
        <v>0</v>
      </c>
      <c r="N124" s="744">
        <v>0</v>
      </c>
      <c r="O124" s="744">
        <v>0</v>
      </c>
      <c r="P124" s="744">
        <v>0</v>
      </c>
      <c r="Q124" s="744">
        <v>0</v>
      </c>
      <c r="R124" s="733" t="s">
        <v>225</v>
      </c>
      <c r="S124" s="68"/>
      <c r="T124" s="734"/>
      <c r="BB124" s="727">
        <f>SUMIFS('SAP BS'!G:G,'SAP BS'!$B:$B,'11. 추정 BS'!$C124)</f>
        <v>0</v>
      </c>
      <c r="BC124" s="727">
        <f>SUMIFS('SAP BS'!L:L,'SAP BS'!$B:$B,'11. 추정 BS'!$C124)</f>
        <v>0</v>
      </c>
      <c r="BD124" s="727">
        <f t="shared" si="67"/>
        <v>0</v>
      </c>
      <c r="BI124" s="727">
        <v>0</v>
      </c>
    </row>
    <row r="125" spans="2:61" ht="16.5" customHeight="1" x14ac:dyDescent="0.3">
      <c r="B125" s="745"/>
      <c r="C125" s="751" t="s">
        <v>203</v>
      </c>
      <c r="D125" s="744">
        <v>0</v>
      </c>
      <c r="E125" s="744">
        <v>0</v>
      </c>
      <c r="F125" s="744">
        <v>0</v>
      </c>
      <c r="G125" s="744">
        <v>0</v>
      </c>
      <c r="H125" s="744">
        <v>0</v>
      </c>
      <c r="I125" s="744">
        <v>0</v>
      </c>
      <c r="J125" s="744">
        <f t="shared" si="105"/>
        <v>0</v>
      </c>
      <c r="K125" s="744">
        <v>0</v>
      </c>
      <c r="L125" s="744">
        <v>0</v>
      </c>
      <c r="M125" s="744">
        <v>0</v>
      </c>
      <c r="N125" s="744">
        <v>0</v>
      </c>
      <c r="O125" s="744">
        <v>0</v>
      </c>
      <c r="P125" s="744">
        <v>0</v>
      </c>
      <c r="Q125" s="744">
        <v>0</v>
      </c>
      <c r="R125" s="733" t="s">
        <v>225</v>
      </c>
      <c r="S125" s="68"/>
      <c r="T125" s="734"/>
      <c r="BB125" s="727">
        <f>SUMIFS('SAP BS'!G:G,'SAP BS'!$B:$B,'11. 추정 BS'!$C125)</f>
        <v>0</v>
      </c>
      <c r="BC125" s="727">
        <f>SUMIFS('SAP BS'!L:L,'SAP BS'!$B:$B,'11. 추정 BS'!$C125)</f>
        <v>0</v>
      </c>
      <c r="BD125" s="727">
        <f t="shared" si="67"/>
        <v>0</v>
      </c>
      <c r="BI125" s="727">
        <v>0</v>
      </c>
    </row>
    <row r="126" spans="2:61" ht="16.5" customHeight="1" x14ac:dyDescent="0.3">
      <c r="B126" s="745"/>
      <c r="C126" s="751" t="s">
        <v>204</v>
      </c>
      <c r="D126" s="744">
        <v>0</v>
      </c>
      <c r="E126" s="744">
        <v>0</v>
      </c>
      <c r="F126" s="744">
        <v>0</v>
      </c>
      <c r="G126" s="744">
        <v>0</v>
      </c>
      <c r="H126" s="744">
        <v>0</v>
      </c>
      <c r="I126" s="744">
        <v>0</v>
      </c>
      <c r="J126" s="744">
        <f t="shared" si="105"/>
        <v>0</v>
      </c>
      <c r="K126" s="744">
        <v>0</v>
      </c>
      <c r="L126" s="744">
        <v>0</v>
      </c>
      <c r="M126" s="744">
        <v>0</v>
      </c>
      <c r="N126" s="744">
        <v>0</v>
      </c>
      <c r="O126" s="744">
        <v>0</v>
      </c>
      <c r="P126" s="744">
        <v>0</v>
      </c>
      <c r="Q126" s="744">
        <v>0</v>
      </c>
      <c r="R126" s="733" t="s">
        <v>225</v>
      </c>
      <c r="S126" s="68"/>
      <c r="T126" s="734"/>
      <c r="BB126" s="727">
        <f>SUMIFS('SAP BS'!G:G,'SAP BS'!$B:$B,'11. 추정 BS'!$C126)</f>
        <v>0</v>
      </c>
      <c r="BC126" s="727">
        <f>SUMIFS('SAP BS'!L:L,'SAP BS'!$B:$B,'11. 추정 BS'!$C126)</f>
        <v>0</v>
      </c>
      <c r="BD126" s="727">
        <f t="shared" si="67"/>
        <v>0</v>
      </c>
      <c r="BI126" s="727">
        <v>0</v>
      </c>
    </row>
    <row r="127" spans="2:61" ht="16.5" customHeight="1" x14ac:dyDescent="0.3">
      <c r="B127" s="748" t="s">
        <v>205</v>
      </c>
      <c r="C127" s="749"/>
      <c r="D127" s="750">
        <f>SUM(D128:D130,D137:D138)</f>
        <v>1959858.8196490011</v>
      </c>
      <c r="E127" s="750">
        <f t="shared" ref="E127:Q127" si="107">SUM(E128:E130,E137:E138)</f>
        <v>2090240.1328320019</v>
      </c>
      <c r="F127" s="750">
        <f t="shared" si="107"/>
        <v>1489649.9343220014</v>
      </c>
      <c r="G127" s="750">
        <f t="shared" si="107"/>
        <v>1327722.243646001</v>
      </c>
      <c r="H127" s="750">
        <f t="shared" si="107"/>
        <v>1208833.8791740006</v>
      </c>
      <c r="I127" s="750">
        <f t="shared" si="107"/>
        <v>1014421.7966470025</v>
      </c>
      <c r="J127" s="750">
        <f t="shared" si="107"/>
        <v>1031485.9999999995</v>
      </c>
      <c r="K127" s="750">
        <f t="shared" si="107"/>
        <v>1061425.0709256283</v>
      </c>
      <c r="L127" s="750">
        <f t="shared" si="107"/>
        <v>1097157.3961077202</v>
      </c>
      <c r="M127" s="750">
        <f t="shared" si="107"/>
        <v>1125227.939140324</v>
      </c>
      <c r="N127" s="750">
        <f t="shared" si="107"/>
        <v>1156744.5593884266</v>
      </c>
      <c r="O127" s="750">
        <f t="shared" si="107"/>
        <v>1201472.2456879797</v>
      </c>
      <c r="P127" s="750">
        <f t="shared" si="107"/>
        <v>1248294.6541032135</v>
      </c>
      <c r="Q127" s="750">
        <f t="shared" si="107"/>
        <v>1301868.7579682898</v>
      </c>
      <c r="R127" s="733"/>
      <c r="S127" s="68"/>
      <c r="T127" s="118" t="s">
        <v>8885</v>
      </c>
      <c r="BB127" s="727">
        <f>SUMIFS('SAP BS'!G:G,'SAP BS'!$A:$A,$B127)</f>
        <v>2750737415521</v>
      </c>
      <c r="BC127" s="727">
        <f>SUMIFS('SAP BS'!L:L,'SAP BS'!$A:$A,'11. 추정 BS'!$B127)</f>
        <v>1719252010395</v>
      </c>
      <c r="BD127" s="727">
        <f t="shared" si="67"/>
        <v>1031485405126</v>
      </c>
      <c r="BE127" s="727" t="b">
        <f>BB127=SUM(BB128:BB130,BB137)</f>
        <v>1</v>
      </c>
      <c r="BF127" s="727" t="b">
        <f>BC127=SUM(BC128:BC130,BC137)</f>
        <v>1</v>
      </c>
      <c r="BG127" s="727" t="b">
        <f>BD127=SUM(BD128:BD130,BD137)</f>
        <v>1</v>
      </c>
      <c r="BI127" s="727">
        <v>-1.0000000004656613</v>
      </c>
    </row>
    <row r="128" spans="2:61" ht="16.5" customHeight="1" x14ac:dyDescent="0.3">
      <c r="B128" s="745"/>
      <c r="C128" s="751" t="s">
        <v>206</v>
      </c>
      <c r="D128" s="744">
        <v>0</v>
      </c>
      <c r="E128" s="744">
        <v>0</v>
      </c>
      <c r="F128" s="744">
        <v>42850</v>
      </c>
      <c r="G128" s="744">
        <v>55111.603000000003</v>
      </c>
      <c r="H128" s="744">
        <v>56708.961000000003</v>
      </c>
      <c r="I128" s="744">
        <v>56708.961000000003</v>
      </c>
      <c r="J128" s="744">
        <f t="shared" si="105"/>
        <v>56709</v>
      </c>
      <c r="K128" s="744">
        <v>56708.961000000003</v>
      </c>
      <c r="L128" s="744">
        <v>56708.961000000003</v>
      </c>
      <c r="M128" s="744">
        <v>56708.961000000003</v>
      </c>
      <c r="N128" s="744">
        <f t="shared" ref="N128:Q129" si="108">M128</f>
        <v>56708.961000000003</v>
      </c>
      <c r="O128" s="744">
        <f t="shared" si="108"/>
        <v>56708.961000000003</v>
      </c>
      <c r="P128" s="744">
        <f t="shared" si="108"/>
        <v>56708.961000000003</v>
      </c>
      <c r="Q128" s="744">
        <f t="shared" si="108"/>
        <v>56708.961000000003</v>
      </c>
      <c r="R128" s="733" t="s">
        <v>225</v>
      </c>
      <c r="S128" s="68"/>
      <c r="T128" s="734"/>
      <c r="BB128" s="727">
        <f>SUMIFS('SAP BS'!G:G,'SAP BS'!$B:$B,'11. 추정 BS'!$C128)</f>
        <v>56708961000</v>
      </c>
      <c r="BC128" s="727">
        <f>SUMIFS('SAP BS'!L:L,'SAP BS'!$B:$B,'11. 추정 BS'!$C128)</f>
        <v>0</v>
      </c>
      <c r="BD128" s="727">
        <f t="shared" si="67"/>
        <v>56708961000</v>
      </c>
      <c r="BI128" s="727">
        <v>0</v>
      </c>
    </row>
    <row r="129" spans="1:61" ht="16.5" customHeight="1" x14ac:dyDescent="0.3">
      <c r="B129" s="745"/>
      <c r="C129" s="751" t="s">
        <v>207</v>
      </c>
      <c r="D129" s="744">
        <v>322827.61</v>
      </c>
      <c r="E129" s="744">
        <v>322827.61</v>
      </c>
      <c r="F129" s="744">
        <v>279977.61</v>
      </c>
      <c r="G129" s="744">
        <v>279977.61</v>
      </c>
      <c r="H129" s="744">
        <v>279977.61</v>
      </c>
      <c r="I129" s="744">
        <v>279977.61</v>
      </c>
      <c r="J129" s="744">
        <f t="shared" si="105"/>
        <v>279978</v>
      </c>
      <c r="K129" s="744">
        <v>279977.61</v>
      </c>
      <c r="L129" s="744">
        <v>279977.61</v>
      </c>
      <c r="M129" s="744">
        <v>279977.61</v>
      </c>
      <c r="N129" s="744">
        <f t="shared" si="108"/>
        <v>279977.61</v>
      </c>
      <c r="O129" s="744">
        <f t="shared" si="108"/>
        <v>279977.61</v>
      </c>
      <c r="P129" s="744">
        <f t="shared" si="108"/>
        <v>279977.61</v>
      </c>
      <c r="Q129" s="744">
        <f t="shared" si="108"/>
        <v>279977.61</v>
      </c>
      <c r="R129" s="733" t="s">
        <v>225</v>
      </c>
      <c r="S129" s="68"/>
      <c r="T129" s="734"/>
      <c r="BB129" s="727">
        <f>SUMIFS('SAP BS'!G:G,'SAP BS'!$B:$B,'11. 추정 BS'!$C129)</f>
        <v>279977610000</v>
      </c>
      <c r="BC129" s="727">
        <f>SUMIFS('SAP BS'!L:L,'SAP BS'!$B:$B,'11. 추정 BS'!$C129)</f>
        <v>0</v>
      </c>
      <c r="BD129" s="727">
        <f t="shared" si="67"/>
        <v>279977610000</v>
      </c>
      <c r="BI129" s="727">
        <v>0</v>
      </c>
    </row>
    <row r="130" spans="1:61" ht="16.5" customHeight="1" x14ac:dyDescent="0.3">
      <c r="B130" s="745"/>
      <c r="C130" s="751" t="s">
        <v>208</v>
      </c>
      <c r="D130" s="744">
        <f t="shared" ref="D130:Q130" si="109">SUM(D131:D136)</f>
        <v>1637031.2096490012</v>
      </c>
      <c r="E130" s="744">
        <f>SUM(E131:E136)</f>
        <v>1767412.5228320018</v>
      </c>
      <c r="F130" s="744">
        <f>SUM(F131:F136)</f>
        <v>2425771.3510500016</v>
      </c>
      <c r="G130" s="744">
        <f>SUM(G131:G136)</f>
        <v>2251582.057374001</v>
      </c>
      <c r="H130" s="744">
        <f>SUM(H131:H136)</f>
        <v>2131096.3349020006</v>
      </c>
      <c r="I130" s="744">
        <f t="shared" si="109"/>
        <v>1936684.2523750025</v>
      </c>
      <c r="J130" s="744">
        <f t="shared" si="109"/>
        <v>1953747.9999999995</v>
      </c>
      <c r="K130" s="744">
        <f t="shared" si="109"/>
        <v>1983687.4999256283</v>
      </c>
      <c r="L130" s="744">
        <f t="shared" si="109"/>
        <v>2019419.82510772</v>
      </c>
      <c r="M130" s="744">
        <f t="shared" si="109"/>
        <v>2047490.368140324</v>
      </c>
      <c r="N130" s="744">
        <f t="shared" si="109"/>
        <v>2079006.9883884266</v>
      </c>
      <c r="O130" s="744">
        <f t="shared" si="109"/>
        <v>2123734.6746879797</v>
      </c>
      <c r="P130" s="744">
        <f t="shared" si="109"/>
        <v>2170557.0831032135</v>
      </c>
      <c r="Q130" s="744">
        <f t="shared" si="109"/>
        <v>2224131.1869682898</v>
      </c>
      <c r="R130" s="733" t="s">
        <v>225</v>
      </c>
      <c r="S130" s="68"/>
      <c r="T130" s="734"/>
      <c r="BB130" s="727">
        <f>SUMIFS('SAP BS'!G:G,'SAP BS'!$B:$B,'11. 추정 BS'!$C130)</f>
        <v>2414050844521</v>
      </c>
      <c r="BC130" s="727">
        <f>SUMIFS('SAP BS'!L:L,'SAP BS'!$B:$B,'11. 추정 BS'!$C130)</f>
        <v>460302983667</v>
      </c>
      <c r="BD130" s="727">
        <f t="shared" si="67"/>
        <v>1953747860854</v>
      </c>
      <c r="BE130" s="727" t="b">
        <f>BB130=SUM(BB131:BB136)</f>
        <v>1</v>
      </c>
      <c r="BF130" s="727" t="b">
        <f>BC130=SUM(BC131:BC136)</f>
        <v>1</v>
      </c>
      <c r="BG130" s="727" t="b">
        <f>BD130=SUM(BD131:BD136)</f>
        <v>1</v>
      </c>
      <c r="BI130" s="727">
        <v>-1.0000000004656613</v>
      </c>
    </row>
    <row r="131" spans="1:61" ht="16.5" customHeight="1" x14ac:dyDescent="0.3">
      <c r="B131" s="745"/>
      <c r="C131" s="746" t="s">
        <v>209</v>
      </c>
      <c r="D131" s="744">
        <v>1551206.249445</v>
      </c>
      <c r="E131" s="744">
        <v>1637031.2096490012</v>
      </c>
      <c r="F131" s="744">
        <f>E130+48262.850935</f>
        <v>1815675.3737670018</v>
      </c>
      <c r="G131" s="744">
        <f>F131+F134+F135-G128+F128+F137-G137</f>
        <v>2436379.6144500012</v>
      </c>
      <c r="H131" s="744">
        <f>G131+G134+G135-H128+G128+G137-H137+71165.1247179974</f>
        <v>2316409.2237569983</v>
      </c>
      <c r="I131" s="744">
        <f>H130+14785.548337</f>
        <v>2145881.8832390006</v>
      </c>
      <c r="J131" s="744">
        <f>I130+50709.542624997</f>
        <v>1987393.7949999995</v>
      </c>
      <c r="K131" s="744">
        <f t="shared" ref="K131:Q131" si="110">J130</f>
        <v>1953747.9999999995</v>
      </c>
      <c r="L131" s="744">
        <f t="shared" si="110"/>
        <v>1983687.4999256283</v>
      </c>
      <c r="M131" s="744">
        <f t="shared" si="110"/>
        <v>2019419.82510772</v>
      </c>
      <c r="N131" s="744">
        <f t="shared" si="110"/>
        <v>2047490.368140324</v>
      </c>
      <c r="O131" s="744">
        <f t="shared" si="110"/>
        <v>2079006.9883884266</v>
      </c>
      <c r="P131" s="744">
        <f t="shared" si="110"/>
        <v>2123734.6746879797</v>
      </c>
      <c r="Q131" s="744">
        <f t="shared" si="110"/>
        <v>2170557.0831032135</v>
      </c>
      <c r="R131" s="733"/>
      <c r="S131" s="68"/>
      <c r="T131" s="734"/>
      <c r="BB131" s="727">
        <f>SUMIFS('SAP BS'!G:G,'SAP BS'!$B:$B,'11. 추정 BS'!$C131)</f>
        <v>2326092153919</v>
      </c>
      <c r="BC131" s="727">
        <f>SUMIFS('SAP BS'!L:L,'SAP BS'!$B:$B,'11. 추정 BS'!$C131)</f>
        <v>380480059860</v>
      </c>
      <c r="BD131" s="727">
        <f t="shared" si="67"/>
        <v>1945612094059</v>
      </c>
      <c r="BI131" s="727">
        <v>14875.79499999946</v>
      </c>
    </row>
    <row r="132" spans="1:61" ht="16.5" customHeight="1" x14ac:dyDescent="0.3">
      <c r="B132" s="745"/>
      <c r="C132" s="746" t="s">
        <v>757</v>
      </c>
      <c r="D132" s="744">
        <v>25267.910752</v>
      </c>
      <c r="E132" s="744">
        <v>0</v>
      </c>
      <c r="F132" s="744">
        <v>0</v>
      </c>
      <c r="G132" s="744">
        <v>0</v>
      </c>
      <c r="H132" s="744">
        <v>0</v>
      </c>
      <c r="I132" s="744">
        <v>0</v>
      </c>
      <c r="J132" s="744">
        <v>0</v>
      </c>
      <c r="K132" s="744">
        <v>0</v>
      </c>
      <c r="L132" s="744">
        <v>0</v>
      </c>
      <c r="M132" s="744">
        <v>0</v>
      </c>
      <c r="N132" s="744">
        <v>0</v>
      </c>
      <c r="O132" s="744">
        <v>0</v>
      </c>
      <c r="P132" s="744">
        <v>0</v>
      </c>
      <c r="Q132" s="744">
        <v>0</v>
      </c>
      <c r="R132" s="733"/>
      <c r="S132" s="68"/>
      <c r="T132" s="734"/>
      <c r="BB132" s="727">
        <f>SUMIFS('SAP BS'!G:G,'SAP BS'!$B:$B,'11. 추정 BS'!$C132)</f>
        <v>0</v>
      </c>
      <c r="BC132" s="727">
        <f>SUMIFS('SAP BS'!L:L,'SAP BS'!$B:$B,'11. 추정 BS'!$C132)</f>
        <v>0</v>
      </c>
      <c r="BD132" s="727">
        <f t="shared" si="67"/>
        <v>0</v>
      </c>
      <c r="BI132" s="727">
        <v>0</v>
      </c>
    </row>
    <row r="133" spans="1:61" ht="16.5" customHeight="1" x14ac:dyDescent="0.3">
      <c r="B133" s="745"/>
      <c r="C133" s="746" t="s">
        <v>210</v>
      </c>
      <c r="D133" s="744">
        <v>-3676.6347019999998</v>
      </c>
      <c r="E133" s="744">
        <v>5221.6409130000002</v>
      </c>
      <c r="F133" s="744">
        <v>-22869.866399999999</v>
      </c>
      <c r="G133" s="744">
        <v>4740.6003350000001</v>
      </c>
      <c r="H133" s="744">
        <v>-8429.9410200000002</v>
      </c>
      <c r="I133" s="744">
        <v>853.19391299999995</v>
      </c>
      <c r="J133" s="744">
        <f>ROUND(BD133/10^6,)</f>
        <v>6074</v>
      </c>
      <c r="K133" s="744">
        <v>0</v>
      </c>
      <c r="L133" s="744">
        <v>0</v>
      </c>
      <c r="M133" s="744">
        <v>0</v>
      </c>
      <c r="N133" s="744">
        <v>0</v>
      </c>
      <c r="O133" s="744">
        <v>0</v>
      </c>
      <c r="P133" s="744">
        <v>0</v>
      </c>
      <c r="Q133" s="744">
        <v>0</v>
      </c>
      <c r="R133" s="733"/>
      <c r="S133" s="68"/>
      <c r="T133" s="734"/>
      <c r="BB133" s="727">
        <f>SUMIFS('SAP BS'!G:G,'SAP BS'!$B:$B,'11. 추정 BS'!$C133)</f>
        <v>3841897881</v>
      </c>
      <c r="BC133" s="727">
        <f>SUMIFS('SAP BS'!L:L,'SAP BS'!$B:$B,'11. 추정 BS'!$C133)</f>
        <v>-2231787335</v>
      </c>
      <c r="BD133" s="727">
        <f t="shared" ref="BD133:BD140" si="111">BB133-BC133</f>
        <v>6073685216</v>
      </c>
      <c r="BI133" s="727">
        <v>0</v>
      </c>
    </row>
    <row r="134" spans="1:61" ht="16.5" customHeight="1" x14ac:dyDescent="0.3">
      <c r="B134" s="745"/>
      <c r="C134" s="746" t="s">
        <v>211</v>
      </c>
      <c r="D134" s="744">
        <v>114283.68415400127</v>
      </c>
      <c r="E134" s="744">
        <v>182909.67227000039</v>
      </c>
      <c r="F134" s="744">
        <f>'12. 추정 IS'!F111</f>
        <v>702265.84368299972</v>
      </c>
      <c r="G134" s="744">
        <f>'12. 추정 IS'!G111</f>
        <v>-66922.127411000241</v>
      </c>
      <c r="H134" s="732">
        <f>'12. 추정 IS'!H111</f>
        <v>-142634.22429199782</v>
      </c>
      <c r="I134" s="732">
        <f>'12. 추정 IS'!I111</f>
        <v>-158331.69677699826</v>
      </c>
      <c r="J134" s="732">
        <f>'12. 추정 IS'!J111</f>
        <v>2063</v>
      </c>
      <c r="K134" s="732">
        <f>'12. 추정 IS'!K111</f>
        <v>63586.499925628712</v>
      </c>
      <c r="L134" s="732">
        <f>'12. 추정 IS'!L111</f>
        <v>93045.325182091736</v>
      </c>
      <c r="M134" s="732">
        <f>'12. 추정 IS'!M111</f>
        <v>96406.543032604139</v>
      </c>
      <c r="N134" s="732">
        <f>'12. 추정 IS'!N111</f>
        <v>99469.620248102554</v>
      </c>
      <c r="O134" s="732">
        <f>'12. 추정 IS'!O111</f>
        <v>113102.68629955292</v>
      </c>
      <c r="P134" s="744">
        <f>'12. 추정 IS'!P111</f>
        <v>120028.40841523364</v>
      </c>
      <c r="Q134" s="744">
        <f>'12. 추정 IS'!Q111</f>
        <v>129015.10386507631</v>
      </c>
      <c r="R134" s="733"/>
      <c r="S134" s="68"/>
      <c r="T134" s="734"/>
      <c r="BB134" s="727">
        <f>SUMIFS('SAP BS'!G:G,'SAP BS'!$B:$B,'11. 추정 BS'!$C134)</f>
        <v>84116792721</v>
      </c>
      <c r="BC134" s="727">
        <f>SUMIFS('SAP BS'!L:L,'SAP BS'!$B:$B,'11. 추정 BS'!$C134)</f>
        <v>82054711142</v>
      </c>
      <c r="BD134" s="727">
        <f t="shared" si="111"/>
        <v>2062081579</v>
      </c>
      <c r="BI134" s="727">
        <v>26906</v>
      </c>
    </row>
    <row r="135" spans="1:61" ht="16.5" customHeight="1" x14ac:dyDescent="0.3">
      <c r="B135" s="745"/>
      <c r="C135" s="746" t="s">
        <v>232</v>
      </c>
      <c r="D135" s="744">
        <v>-50050</v>
      </c>
      <c r="E135" s="744">
        <v>-57750</v>
      </c>
      <c r="F135" s="744">
        <v>-69300</v>
      </c>
      <c r="G135" s="744">
        <v>-122616.03</v>
      </c>
      <c r="H135" s="732">
        <v>-43937.410750000003</v>
      </c>
      <c r="I135" s="732">
        <v>-51719.127999999997</v>
      </c>
      <c r="J135" s="732">
        <v>-41782.794999999998</v>
      </c>
      <c r="K135" s="732">
        <f>-K162</f>
        <v>-33647</v>
      </c>
      <c r="L135" s="732">
        <f t="shared" ref="L135:Q135" si="112">-L162</f>
        <v>-57313</v>
      </c>
      <c r="M135" s="732">
        <f t="shared" si="112"/>
        <v>-68336</v>
      </c>
      <c r="N135" s="732">
        <f t="shared" si="112"/>
        <v>-67953</v>
      </c>
      <c r="O135" s="732">
        <f t="shared" si="112"/>
        <v>-68375</v>
      </c>
      <c r="P135" s="732">
        <f t="shared" si="112"/>
        <v>-73206</v>
      </c>
      <c r="Q135" s="732">
        <f t="shared" si="112"/>
        <v>-75441</v>
      </c>
      <c r="R135" s="733"/>
      <c r="S135" s="68"/>
      <c r="T135" s="734"/>
      <c r="BB135" s="727">
        <f>SUMIFS('SAP BS'!G:G,'SAP BS'!$B:$B,'11. 추정 BS'!$C135)</f>
        <v>0</v>
      </c>
      <c r="BC135" s="727">
        <f>SUMIFS('SAP BS'!L:L,'SAP BS'!$B:$B,'11. 추정 BS'!$C135)</f>
        <v>0</v>
      </c>
      <c r="BD135" s="727">
        <f t="shared" si="111"/>
        <v>0</v>
      </c>
      <c r="BI135" s="727">
        <v>-41782.794999999998</v>
      </c>
    </row>
    <row r="136" spans="1:61" ht="16.5" customHeight="1" x14ac:dyDescent="0.3">
      <c r="B136" s="745"/>
      <c r="C136" s="746" t="s">
        <v>795</v>
      </c>
      <c r="D136" s="744">
        <v>0</v>
      </c>
      <c r="E136" s="744">
        <v>0</v>
      </c>
      <c r="F136" s="744">
        <v>0</v>
      </c>
      <c r="G136" s="744">
        <v>0</v>
      </c>
      <c r="H136" s="732">
        <v>9688.6872070000009</v>
      </c>
      <c r="I136" s="732">
        <v>0</v>
      </c>
      <c r="J136" s="732">
        <v>0</v>
      </c>
      <c r="K136" s="732">
        <v>0</v>
      </c>
      <c r="L136" s="732">
        <v>0</v>
      </c>
      <c r="M136" s="732">
        <v>0</v>
      </c>
      <c r="N136" s="732">
        <v>0</v>
      </c>
      <c r="O136" s="732">
        <v>0</v>
      </c>
      <c r="P136" s="744">
        <v>0</v>
      </c>
      <c r="Q136" s="744">
        <v>0</v>
      </c>
      <c r="R136" s="733"/>
      <c r="S136" s="68"/>
      <c r="T136" s="734"/>
      <c r="BB136" s="727">
        <f>SUMIFS('SAP BS'!G:G,'SAP BS'!$B:$B,'11. 추정 BS'!$C136)</f>
        <v>0</v>
      </c>
      <c r="BC136" s="727">
        <f>SUMIFS('SAP BS'!L:L,'SAP BS'!$B:$B,'11. 추정 BS'!$C136)</f>
        <v>0</v>
      </c>
      <c r="BD136" s="727">
        <f t="shared" si="111"/>
        <v>0</v>
      </c>
      <c r="BI136" s="727">
        <v>0</v>
      </c>
    </row>
    <row r="137" spans="1:61" ht="16.5" customHeight="1" x14ac:dyDescent="0.3">
      <c r="B137" s="745"/>
      <c r="C137" s="751" t="s">
        <v>212</v>
      </c>
      <c r="D137" s="744">
        <v>0</v>
      </c>
      <c r="E137" s="744">
        <v>0</v>
      </c>
      <c r="F137" s="744">
        <v>-1258949.026728</v>
      </c>
      <c r="G137" s="744">
        <v>-1258949.026728</v>
      </c>
      <c r="H137" s="732">
        <f t="shared" ref="H137:Q138" si="113">G137</f>
        <v>-1258949.026728</v>
      </c>
      <c r="I137" s="732">
        <f t="shared" si="113"/>
        <v>-1258949.026728</v>
      </c>
      <c r="J137" s="732">
        <f>ROUND(BD137/10^6,)</f>
        <v>-1258949</v>
      </c>
      <c r="K137" s="732">
        <f t="shared" si="113"/>
        <v>-1258949</v>
      </c>
      <c r="L137" s="732">
        <f t="shared" si="113"/>
        <v>-1258949</v>
      </c>
      <c r="M137" s="732">
        <f t="shared" si="113"/>
        <v>-1258949</v>
      </c>
      <c r="N137" s="732">
        <f t="shared" si="113"/>
        <v>-1258949</v>
      </c>
      <c r="O137" s="732">
        <f>N137</f>
        <v>-1258949</v>
      </c>
      <c r="P137" s="744">
        <f>O137</f>
        <v>-1258949</v>
      </c>
      <c r="Q137" s="744">
        <f>P137</f>
        <v>-1258949</v>
      </c>
      <c r="R137" s="733" t="s">
        <v>225</v>
      </c>
      <c r="S137" s="68"/>
      <c r="T137" s="734"/>
      <c r="BB137" s="727">
        <f>SUMIFS('SAP BS'!G:G,'SAP BS'!$B:$B,'11. 추정 BS'!$C137)</f>
        <v>0</v>
      </c>
      <c r="BC137" s="727">
        <f>SUMIFS('SAP BS'!L:L,'SAP BS'!$B:$B,'11. 추정 BS'!$C137)</f>
        <v>1258949026728</v>
      </c>
      <c r="BD137" s="727">
        <f t="shared" si="111"/>
        <v>-1258949026728</v>
      </c>
      <c r="BI137" s="727">
        <v>0</v>
      </c>
    </row>
    <row r="138" spans="1:61" ht="16.5" customHeight="1" x14ac:dyDescent="0.3">
      <c r="B138" s="745"/>
      <c r="C138" s="751" t="s">
        <v>213</v>
      </c>
      <c r="D138" s="744">
        <v>0</v>
      </c>
      <c r="E138" s="744">
        <v>0</v>
      </c>
      <c r="F138" s="744">
        <v>0</v>
      </c>
      <c r="G138" s="744">
        <v>0</v>
      </c>
      <c r="H138" s="744">
        <v>0</v>
      </c>
      <c r="I138" s="744">
        <v>0</v>
      </c>
      <c r="J138" s="744">
        <v>0</v>
      </c>
      <c r="K138" s="744">
        <v>0</v>
      </c>
      <c r="L138" s="744">
        <v>0</v>
      </c>
      <c r="M138" s="744">
        <v>0</v>
      </c>
      <c r="N138" s="744">
        <f t="shared" si="113"/>
        <v>0</v>
      </c>
      <c r="O138" s="744">
        <f t="shared" si="113"/>
        <v>0</v>
      </c>
      <c r="P138" s="744">
        <f t="shared" si="113"/>
        <v>0</v>
      </c>
      <c r="Q138" s="744">
        <f t="shared" si="113"/>
        <v>0</v>
      </c>
      <c r="R138" s="733" t="s">
        <v>225</v>
      </c>
      <c r="S138" s="68"/>
      <c r="T138" s="734"/>
      <c r="BB138" s="727">
        <f>SUMIFS('SAP BS'!G:G,'SAP BS'!$B:$B,'11. 추정 BS'!$C138)</f>
        <v>0</v>
      </c>
      <c r="BC138" s="727">
        <f>SUMIFS('SAP BS'!L:L,'SAP BS'!$B:$B,'11. 추정 BS'!$C138)</f>
        <v>0</v>
      </c>
      <c r="BD138" s="727">
        <f t="shared" si="111"/>
        <v>0</v>
      </c>
      <c r="BI138" s="727">
        <v>0</v>
      </c>
    </row>
    <row r="139" spans="1:61" ht="16.5" customHeight="1" x14ac:dyDescent="0.3">
      <c r="B139" s="745" t="s">
        <v>214</v>
      </c>
      <c r="C139" s="751"/>
      <c r="D139" s="744">
        <f>SUM(D140)</f>
        <v>0</v>
      </c>
      <c r="E139" s="744">
        <f t="shared" ref="E139:Q139" si="114">SUM(E140)</f>
        <v>0</v>
      </c>
      <c r="F139" s="744">
        <f t="shared" si="114"/>
        <v>0</v>
      </c>
      <c r="G139" s="744">
        <f t="shared" si="114"/>
        <v>0</v>
      </c>
      <c r="H139" s="744">
        <f t="shared" si="114"/>
        <v>0</v>
      </c>
      <c r="I139" s="744">
        <f t="shared" si="114"/>
        <v>0</v>
      </c>
      <c r="J139" s="744">
        <f t="shared" si="114"/>
        <v>0</v>
      </c>
      <c r="K139" s="744">
        <f t="shared" si="114"/>
        <v>0</v>
      </c>
      <c r="L139" s="744">
        <f t="shared" si="114"/>
        <v>0</v>
      </c>
      <c r="M139" s="744">
        <f t="shared" si="114"/>
        <v>0</v>
      </c>
      <c r="N139" s="744">
        <f t="shared" si="114"/>
        <v>0</v>
      </c>
      <c r="O139" s="744">
        <f t="shared" si="114"/>
        <v>0</v>
      </c>
      <c r="P139" s="744">
        <f t="shared" si="114"/>
        <v>0</v>
      </c>
      <c r="Q139" s="744">
        <f t="shared" si="114"/>
        <v>0</v>
      </c>
      <c r="R139" s="733"/>
      <c r="S139" s="68"/>
      <c r="T139" s="734"/>
      <c r="BB139" s="727">
        <f>SUMIFS('SAP BS'!G:G,'SAP BS'!$B:$B,'11. 추정 BS'!$C139)</f>
        <v>0</v>
      </c>
      <c r="BC139" s="727">
        <f>SUMIFS('SAP BS'!L:L,'SAP BS'!$B:$B,'11. 추정 BS'!$C139)</f>
        <v>0</v>
      </c>
      <c r="BD139" s="727">
        <f t="shared" si="111"/>
        <v>0</v>
      </c>
      <c r="BI139" s="727">
        <v>0</v>
      </c>
    </row>
    <row r="140" spans="1:61" ht="16.5" customHeight="1" x14ac:dyDescent="0.3">
      <c r="B140" s="745"/>
      <c r="C140" s="751" t="s">
        <v>214</v>
      </c>
      <c r="D140" s="744">
        <v>0</v>
      </c>
      <c r="E140" s="744">
        <v>0</v>
      </c>
      <c r="F140" s="744">
        <v>0</v>
      </c>
      <c r="G140" s="744">
        <v>0</v>
      </c>
      <c r="H140" s="744">
        <v>0</v>
      </c>
      <c r="I140" s="744">
        <v>0</v>
      </c>
      <c r="J140" s="744">
        <v>0</v>
      </c>
      <c r="K140" s="744">
        <v>0</v>
      </c>
      <c r="L140" s="744">
        <v>0</v>
      </c>
      <c r="M140" s="744">
        <v>0</v>
      </c>
      <c r="N140" s="744">
        <v>0</v>
      </c>
      <c r="O140" s="744">
        <v>0</v>
      </c>
      <c r="P140" s="744">
        <v>0</v>
      </c>
      <c r="Q140" s="744">
        <v>0</v>
      </c>
      <c r="R140" s="733" t="s">
        <v>225</v>
      </c>
      <c r="S140" s="68"/>
      <c r="T140" s="734"/>
      <c r="BB140" s="727">
        <f>SUMIFS('SAP BS'!G:G,'SAP BS'!$B:$B,'11. 추정 BS'!$C140)</f>
        <v>0</v>
      </c>
      <c r="BC140" s="727">
        <f>SUMIFS('SAP BS'!L:L,'SAP BS'!$B:$B,'11. 추정 BS'!$C140)</f>
        <v>0</v>
      </c>
      <c r="BD140" s="727">
        <f t="shared" si="111"/>
        <v>0</v>
      </c>
      <c r="BI140" s="727">
        <v>0</v>
      </c>
    </row>
    <row r="141" spans="1:61" ht="16.5" customHeight="1" x14ac:dyDescent="0.3">
      <c r="B141" s="693" t="s">
        <v>215</v>
      </c>
      <c r="C141" s="693"/>
      <c r="D141" s="693">
        <f t="shared" ref="D141:Q141" si="115">SUM(D62,D107)</f>
        <v>5577338.8116420014</v>
      </c>
      <c r="E141" s="693">
        <f t="shared" si="115"/>
        <v>5595872.5495700017</v>
      </c>
      <c r="F141" s="693">
        <f t="shared" si="115"/>
        <v>7078312.1736330008</v>
      </c>
      <c r="G141" s="693">
        <f t="shared" si="115"/>
        <v>7322404.9857780002</v>
      </c>
      <c r="H141" s="693">
        <f t="shared" si="115"/>
        <v>7595442.1563220015</v>
      </c>
      <c r="I141" s="693">
        <f t="shared" si="115"/>
        <v>6555887.8453790005</v>
      </c>
      <c r="J141" s="693">
        <f t="shared" si="115"/>
        <v>6557548</v>
      </c>
      <c r="K141" s="693">
        <f t="shared" si="115"/>
        <v>6526857.0273456452</v>
      </c>
      <c r="L141" s="693">
        <f t="shared" si="115"/>
        <v>6591364.684615585</v>
      </c>
      <c r="M141" s="693">
        <f t="shared" si="115"/>
        <v>6654670.9863675516</v>
      </c>
      <c r="N141" s="693">
        <f t="shared" si="115"/>
        <v>6733700.5566479061</v>
      </c>
      <c r="O141" s="693">
        <f t="shared" si="115"/>
        <v>6831160.9504486341</v>
      </c>
      <c r="P141" s="693">
        <f t="shared" si="115"/>
        <v>6935270.9696632298</v>
      </c>
      <c r="Q141" s="693">
        <f t="shared" si="115"/>
        <v>7052170.2134310436</v>
      </c>
      <c r="R141" s="733"/>
      <c r="S141" s="68"/>
      <c r="T141" s="734"/>
      <c r="BB141" s="727">
        <f>SUM(BB62,BB107)</f>
        <v>7121336855838</v>
      </c>
      <c r="BC141" s="727">
        <f>SUM(BC62,BC107)</f>
        <v>563789756818</v>
      </c>
      <c r="BD141" s="727">
        <f>SUM(BD62,BD107)</f>
        <v>6557547099020</v>
      </c>
      <c r="BI141" s="727">
        <v>-1</v>
      </c>
    </row>
    <row r="142" spans="1:61" ht="16.5" customHeight="1" x14ac:dyDescent="0.3">
      <c r="S142" s="68"/>
      <c r="BB142" s="727" t="b">
        <f>BB141=BB4</f>
        <v>1</v>
      </c>
      <c r="BC142" s="727" t="b">
        <f>BC141=BC4</f>
        <v>1</v>
      </c>
      <c r="BD142" s="727" t="b">
        <f>BD141=BD4</f>
        <v>1</v>
      </c>
    </row>
    <row r="143" spans="1:61" ht="16.5" hidden="1" customHeight="1" outlineLevel="1" x14ac:dyDescent="0.3">
      <c r="A143" s="728"/>
      <c r="B143" s="725"/>
      <c r="C143" s="725" t="s">
        <v>796</v>
      </c>
      <c r="D143" s="725">
        <f t="shared" ref="D143:Q143" si="116">D141-D4</f>
        <v>0</v>
      </c>
      <c r="E143" s="759">
        <f t="shared" si="116"/>
        <v>0</v>
      </c>
      <c r="F143" s="760">
        <f>F141-F4</f>
        <v>0</v>
      </c>
      <c r="G143" s="760">
        <f t="shared" si="116"/>
        <v>-2.0299999043345451E-2</v>
      </c>
      <c r="H143" s="726">
        <f t="shared" si="116"/>
        <v>0</v>
      </c>
      <c r="I143" s="726">
        <f t="shared" si="116"/>
        <v>0</v>
      </c>
      <c r="J143" s="726">
        <f>J141-J4</f>
        <v>0</v>
      </c>
      <c r="K143" s="726">
        <f t="shared" si="116"/>
        <v>0</v>
      </c>
      <c r="L143" s="726">
        <f t="shared" si="116"/>
        <v>0</v>
      </c>
      <c r="M143" s="726">
        <f t="shared" si="116"/>
        <v>0</v>
      </c>
      <c r="N143" s="726">
        <f t="shared" si="116"/>
        <v>0</v>
      </c>
      <c r="O143" s="726">
        <f t="shared" si="116"/>
        <v>0</v>
      </c>
      <c r="P143" s="726">
        <f t="shared" si="116"/>
        <v>0</v>
      </c>
      <c r="Q143" s="726">
        <f t="shared" si="116"/>
        <v>0</v>
      </c>
      <c r="R143" s="725"/>
      <c r="S143" s="68"/>
    </row>
    <row r="144" spans="1:61" ht="16.5" hidden="1" customHeight="1" outlineLevel="1" x14ac:dyDescent="0.3">
      <c r="A144" s="728"/>
      <c r="B144" s="761"/>
      <c r="C144" s="761" t="s">
        <v>797</v>
      </c>
      <c r="D144" s="761">
        <f t="shared" ref="D144:Q144" si="117">D18+D143</f>
        <v>0</v>
      </c>
      <c r="E144" s="761">
        <f t="shared" si="117"/>
        <v>1.862645149230957E-9</v>
      </c>
      <c r="F144" s="762">
        <f t="shared" si="117"/>
        <v>0</v>
      </c>
      <c r="G144" s="762">
        <f t="shared" si="117"/>
        <v>-2.0299999043345451E-2</v>
      </c>
      <c r="H144" s="762">
        <f t="shared" si="117"/>
        <v>0</v>
      </c>
      <c r="I144" s="762">
        <f>I18+I143</f>
        <v>0</v>
      </c>
      <c r="J144" s="762">
        <f>J18+J143</f>
        <v>0</v>
      </c>
      <c r="K144" s="762">
        <f>K18+K143</f>
        <v>225380.08088294632</v>
      </c>
      <c r="L144" s="762">
        <f t="shared" si="117"/>
        <v>295156.65722148743</v>
      </c>
      <c r="M144" s="762">
        <f t="shared" si="117"/>
        <v>348230.1448612744</v>
      </c>
      <c r="N144" s="762">
        <f t="shared" si="117"/>
        <v>337322.39569235611</v>
      </c>
      <c r="O144" s="762">
        <f t="shared" si="117"/>
        <v>339116.0844827228</v>
      </c>
      <c r="P144" s="762">
        <f t="shared" si="117"/>
        <v>334719.89283245063</v>
      </c>
      <c r="Q144" s="762">
        <f t="shared" si="117"/>
        <v>333353.93055979843</v>
      </c>
      <c r="R144" s="761"/>
      <c r="S144" s="68"/>
    </row>
    <row r="145" spans="1:19" ht="16.5" hidden="1" customHeight="1" outlineLevel="1" x14ac:dyDescent="0.3">
      <c r="A145" s="728"/>
      <c r="S145" s="68"/>
    </row>
    <row r="146" spans="1:19" ht="16.5" hidden="1" customHeight="1" outlineLevel="1" x14ac:dyDescent="0.3">
      <c r="A146" s="728"/>
      <c r="D146" s="667"/>
      <c r="E146" s="763"/>
      <c r="H146" s="764"/>
      <c r="I146" s="667"/>
      <c r="J146" s="667"/>
      <c r="K146" s="667"/>
      <c r="L146" s="667"/>
      <c r="M146" s="667"/>
      <c r="N146" s="667"/>
      <c r="O146" s="667"/>
      <c r="P146" s="667"/>
      <c r="Q146" s="667"/>
    </row>
    <row r="147" spans="1:19" ht="16.5" hidden="1" customHeight="1" outlineLevel="1" x14ac:dyDescent="0.3">
      <c r="A147" s="728"/>
      <c r="I147" s="754">
        <f>I135/I134</f>
        <v>0.32665050051755351</v>
      </c>
      <c r="J147" s="754">
        <f>J135/J134</f>
        <v>-20.253414929714008</v>
      </c>
      <c r="K147" s="754">
        <f>K135/K134</f>
        <v>-0.52915320137692445</v>
      </c>
      <c r="L147" s="754">
        <f>L135/L134</f>
        <v>-0.61596861409036086</v>
      </c>
      <c r="M147" s="754">
        <f>M135/M134</f>
        <v>-0.7088315569710778</v>
      </c>
      <c r="N147" s="754"/>
      <c r="O147" s="754"/>
      <c r="P147" s="754"/>
      <c r="Q147" s="754"/>
    </row>
    <row r="148" spans="1:19" ht="16.5" hidden="1" customHeight="1" outlineLevel="1" x14ac:dyDescent="0.3">
      <c r="A148" s="728"/>
    </row>
    <row r="149" spans="1:19" ht="16.5" hidden="1" customHeight="1" outlineLevel="1" x14ac:dyDescent="0.3">
      <c r="A149" s="728"/>
      <c r="C149" s="727" t="s">
        <v>798</v>
      </c>
      <c r="J149" s="727">
        <v>99205.873606074718</v>
      </c>
      <c r="K149" s="727">
        <v>293049.59763787157</v>
      </c>
      <c r="L149" s="727">
        <v>380705.38173798757</v>
      </c>
      <c r="M149" s="727">
        <v>731110.62890700018</v>
      </c>
      <c r="N149" s="727">
        <v>731110.62890700018</v>
      </c>
      <c r="O149" s="727">
        <v>731110.62890700018</v>
      </c>
      <c r="P149" s="727">
        <v>731110.62890700018</v>
      </c>
      <c r="Q149" s="727">
        <v>731110.62890700018</v>
      </c>
    </row>
    <row r="150" spans="1:19" ht="16.5" hidden="1" customHeight="1" outlineLevel="1" x14ac:dyDescent="0.3">
      <c r="A150" s="728"/>
      <c r="G150" s="755"/>
      <c r="H150" s="755"/>
      <c r="I150" s="755"/>
    </row>
    <row r="151" spans="1:19" hidden="1" outlineLevel="1" x14ac:dyDescent="0.3">
      <c r="A151" s="728"/>
    </row>
    <row r="152" spans="1:19" hidden="1" outlineLevel="1" x14ac:dyDescent="0.3">
      <c r="A152" s="728"/>
    </row>
    <row r="153" spans="1:19" hidden="1" outlineLevel="1" x14ac:dyDescent="0.3">
      <c r="A153" s="728"/>
    </row>
    <row r="154" spans="1:19" hidden="1" outlineLevel="1" x14ac:dyDescent="0.3">
      <c r="A154" s="728"/>
    </row>
    <row r="155" spans="1:19" hidden="1" outlineLevel="1" x14ac:dyDescent="0.3">
      <c r="A155" s="728"/>
      <c r="I155" s="727" t="s">
        <v>8934</v>
      </c>
    </row>
    <row r="156" spans="1:19" hidden="1" outlineLevel="1" x14ac:dyDescent="0.3">
      <c r="A156" s="728"/>
      <c r="I156" s="727" t="s">
        <v>8935</v>
      </c>
    </row>
    <row r="157" spans="1:19" hidden="1" outlineLevel="1" x14ac:dyDescent="0.3">
      <c r="A157" s="728"/>
      <c r="I157" s="727" t="s">
        <v>8936</v>
      </c>
    </row>
    <row r="158" spans="1:19" hidden="1" outlineLevel="1" x14ac:dyDescent="0.3">
      <c r="A158" s="728"/>
      <c r="J158" s="727">
        <f>J3</f>
        <v>2025</v>
      </c>
      <c r="K158" s="727">
        <f t="shared" ref="K158:Q158" si="118">K3</f>
        <v>2026</v>
      </c>
      <c r="L158" s="727">
        <f t="shared" si="118"/>
        <v>2027</v>
      </c>
      <c r="M158" s="727">
        <f t="shared" si="118"/>
        <v>2028</v>
      </c>
      <c r="N158" s="727">
        <f t="shared" si="118"/>
        <v>2029</v>
      </c>
      <c r="O158" s="727">
        <f t="shared" si="118"/>
        <v>2030</v>
      </c>
      <c r="P158" s="727">
        <f t="shared" si="118"/>
        <v>2031</v>
      </c>
      <c r="Q158" s="727">
        <f t="shared" si="118"/>
        <v>2032</v>
      </c>
    </row>
    <row r="159" spans="1:19" hidden="1" outlineLevel="1" x14ac:dyDescent="0.3">
      <c r="A159" s="728"/>
      <c r="J159" s="727">
        <f>'6. 첨부_추정손익계산서'!H48</f>
        <v>84116.796480999037</v>
      </c>
      <c r="K159" s="727">
        <f>'6. 첨부_추정손익계산서'!I48</f>
        <v>143282.28240457986</v>
      </c>
      <c r="L159" s="727">
        <f>'6. 첨부_추정손익계산서'!J48</f>
        <v>170841.24238794463</v>
      </c>
      <c r="M159" s="727">
        <f>'6. 첨부_추정손익계산서'!K48</f>
        <v>169883.7172446459</v>
      </c>
      <c r="N159" s="727">
        <f>'6. 첨부_추정손익계산서'!L48</f>
        <v>170937.61215993963</v>
      </c>
      <c r="O159" s="727">
        <f>'6. 첨부_추정손익계산서'!M48</f>
        <v>183016.09160568332</v>
      </c>
      <c r="P159" s="727">
        <f>'6. 첨부_추정손익계산서'!N48</f>
        <v>188603.31551434268</v>
      </c>
      <c r="Q159" s="727">
        <f>'6. 첨부_추정손익계산서'!O48</f>
        <v>197161.85946132502</v>
      </c>
    </row>
    <row r="160" spans="1:19" hidden="1" outlineLevel="1" x14ac:dyDescent="0.3">
      <c r="A160" s="728"/>
      <c r="I160" s="727" t="s">
        <v>8937</v>
      </c>
    </row>
    <row r="161" spans="1:17" hidden="1" outlineLevel="1" x14ac:dyDescent="0.3">
      <c r="A161" s="728"/>
      <c r="I161" s="727" t="s">
        <v>8938</v>
      </c>
    </row>
    <row r="162" spans="1:17" hidden="1" outlineLevel="1" x14ac:dyDescent="0.3">
      <c r="A162" s="728"/>
      <c r="K162" s="727">
        <f>ROUND(J159*40%,0)</f>
        <v>33647</v>
      </c>
      <c r="L162" s="727">
        <f t="shared" ref="L162:Q162" si="119">ROUND(K159*40%,0)</f>
        <v>57313</v>
      </c>
      <c r="M162" s="727">
        <f t="shared" si="119"/>
        <v>68336</v>
      </c>
      <c r="N162" s="727">
        <f t="shared" si="119"/>
        <v>67953</v>
      </c>
      <c r="O162" s="727">
        <f t="shared" si="119"/>
        <v>68375</v>
      </c>
      <c r="P162" s="727">
        <f t="shared" si="119"/>
        <v>73206</v>
      </c>
      <c r="Q162" s="727">
        <f t="shared" si="119"/>
        <v>75441</v>
      </c>
    </row>
    <row r="163" spans="1:17" collapsed="1" x14ac:dyDescent="0.3"/>
  </sheetData>
  <mergeCells count="2">
    <mergeCell ref="B1:T1"/>
    <mergeCell ref="B3:C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17C03-2C40-481C-B942-D139A9B52B30}">
  <sheetPr codeName="Sheet18">
    <tabColor theme="0" tint="-0.499984740745262"/>
  </sheetPr>
  <dimension ref="A1:BL172"/>
  <sheetViews>
    <sheetView topLeftCell="B1" zoomScale="85" zoomScaleNormal="85" workbookViewId="0">
      <selection activeCell="B1" sqref="B1:T1"/>
    </sheetView>
  </sheetViews>
  <sheetFormatPr defaultColWidth="9" defaultRowHeight="13.5" outlineLevelRow="1" outlineLevelCol="1" x14ac:dyDescent="0.3"/>
  <cols>
    <col min="1" max="1" width="9" style="727" hidden="1" customWidth="1" outlineLevel="1"/>
    <col min="2" max="2" width="11.75" style="727" customWidth="1" collapsed="1"/>
    <col min="3" max="3" width="19.5" style="727" customWidth="1"/>
    <col min="4" max="5" width="10.625" style="727" hidden="1" customWidth="1" outlineLevel="1"/>
    <col min="6" max="6" width="10.625" style="727" hidden="1" customWidth="1" outlineLevel="1" collapsed="1"/>
    <col min="7" max="7" width="10.625" style="727" hidden="1" customWidth="1" outlineLevel="1"/>
    <col min="8" max="8" width="10.625" style="727" customWidth="1" collapsed="1"/>
    <col min="9" max="17" width="10.625" style="727" customWidth="1"/>
    <col min="18" max="18" width="10.625" style="731" hidden="1" customWidth="1" outlineLevel="1"/>
    <col min="19" max="19" width="2.25" style="731" customWidth="1" collapsed="1"/>
    <col min="20" max="20" width="49.625" style="731" customWidth="1"/>
    <col min="21" max="21" width="1.625" style="727" customWidth="1"/>
    <col min="22" max="22" width="10.625" style="731" hidden="1" customWidth="1" outlineLevel="1"/>
    <col min="23" max="23" width="22.625" style="727" hidden="1" customWidth="1" outlineLevel="1"/>
    <col min="24" max="37" width="14.625" style="727" hidden="1" customWidth="1" outlineLevel="1"/>
    <col min="38" max="38" width="7.625" style="727" hidden="1" customWidth="1" outlineLevel="1"/>
    <col min="39" max="43" width="19.625" style="727" hidden="1" customWidth="1" outlineLevel="1"/>
    <col min="44" max="48" width="14.625" style="727" hidden="1" customWidth="1" outlineLevel="1"/>
    <col min="49" max="49" width="11.125" style="727" hidden="1" customWidth="1" outlineLevel="1"/>
    <col min="50" max="50" width="7.625" style="727" hidden="1" customWidth="1" outlineLevel="1"/>
    <col min="51" max="51" width="55.625" style="727" hidden="1" customWidth="1" outlineLevel="1"/>
    <col min="52" max="52" width="30.75" style="727" hidden="1" customWidth="1" outlineLevel="1"/>
    <col min="53" max="55" width="19.625" style="727" hidden="1" customWidth="1" outlineLevel="1"/>
    <col min="56" max="56" width="18.125" style="727" hidden="1" customWidth="1" outlineLevel="1"/>
    <col min="57" max="57" width="19.625" style="727" hidden="1" customWidth="1" outlineLevel="1"/>
    <col min="58" max="58" width="5.75" style="727" hidden="1" customWidth="1" outlineLevel="1"/>
    <col min="59" max="61" width="9.125" style="727" hidden="1" customWidth="1" outlineLevel="1"/>
    <col min="62" max="62" width="9" style="727" collapsed="1"/>
    <col min="63" max="16384" width="9" style="727"/>
  </cols>
  <sheetData>
    <row r="1" spans="1:64" ht="31.5" x14ac:dyDescent="0.3">
      <c r="B1" s="1150" t="s">
        <v>799</v>
      </c>
      <c r="C1" s="1151"/>
      <c r="D1" s="1151"/>
      <c r="E1" s="1151"/>
      <c r="F1" s="1151"/>
      <c r="G1" s="1151"/>
      <c r="H1" s="1151"/>
      <c r="I1" s="1151"/>
      <c r="J1" s="1151"/>
      <c r="K1" s="1151"/>
      <c r="L1" s="1151"/>
      <c r="M1" s="1151"/>
      <c r="N1" s="1151"/>
      <c r="O1" s="1151"/>
      <c r="P1" s="1151"/>
      <c r="Q1" s="1151"/>
      <c r="R1" s="1151"/>
      <c r="S1" s="1151"/>
      <c r="T1" s="1151"/>
    </row>
    <row r="2" spans="1:64" ht="16.5" hidden="1" customHeight="1" outlineLevel="1" x14ac:dyDescent="0.3">
      <c r="A2" s="728"/>
      <c r="B2" s="765" t="s">
        <v>800</v>
      </c>
      <c r="C2" s="766"/>
      <c r="D2" s="766"/>
      <c r="E2" s="766"/>
      <c r="F2" s="766"/>
      <c r="G2" s="766"/>
      <c r="H2" s="766"/>
      <c r="I2" s="766"/>
      <c r="J2" s="766"/>
      <c r="K2" s="766"/>
      <c r="L2" s="766"/>
      <c r="M2" s="766"/>
      <c r="N2" s="766"/>
      <c r="O2" s="766"/>
      <c r="P2" s="766"/>
      <c r="Q2" s="766"/>
      <c r="R2" s="766"/>
      <c r="S2" s="766"/>
      <c r="T2" s="766"/>
    </row>
    <row r="3" spans="1:64" ht="16.5" hidden="1" customHeight="1" outlineLevel="1" x14ac:dyDescent="0.3">
      <c r="A3" s="728"/>
      <c r="B3" s="765" t="s">
        <v>801</v>
      </c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766"/>
      <c r="O3" s="766"/>
      <c r="P3" s="766"/>
      <c r="Q3" s="766"/>
      <c r="R3" s="766"/>
      <c r="S3" s="766"/>
      <c r="T3" s="767"/>
    </row>
    <row r="4" spans="1:64" ht="16.5" hidden="1" customHeight="1" outlineLevel="1" x14ac:dyDescent="0.3">
      <c r="A4" s="728"/>
      <c r="B4" s="765" t="s">
        <v>802</v>
      </c>
      <c r="C4" s="766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766"/>
      <c r="O4" s="766"/>
      <c r="P4" s="766"/>
      <c r="Q4" s="766"/>
      <c r="R4" s="766"/>
      <c r="S4" s="766"/>
      <c r="T4" s="767"/>
    </row>
    <row r="5" spans="1:64" ht="16.5" hidden="1" customHeight="1" outlineLevel="1" x14ac:dyDescent="0.3">
      <c r="A5" s="728"/>
      <c r="B5" s="765" t="s">
        <v>803</v>
      </c>
      <c r="C5" s="766"/>
      <c r="D5" s="766"/>
      <c r="E5" s="766"/>
      <c r="F5" s="766"/>
      <c r="G5" s="766"/>
      <c r="H5" s="766"/>
      <c r="I5" s="766"/>
      <c r="J5" s="766"/>
      <c r="K5" s="766"/>
      <c r="L5" s="766"/>
      <c r="M5" s="766"/>
      <c r="N5" s="766"/>
      <c r="O5" s="766"/>
      <c r="P5" s="766"/>
      <c r="Q5" s="766"/>
      <c r="R5" s="766"/>
      <c r="S5" s="766"/>
      <c r="T5" s="768"/>
    </row>
    <row r="6" spans="1:64" ht="16.5" hidden="1" customHeight="1" outlineLevel="1" x14ac:dyDescent="0.3">
      <c r="A6" s="728"/>
      <c r="B6" s="765"/>
      <c r="C6" s="766"/>
      <c r="D6" s="766"/>
      <c r="E6" s="766"/>
      <c r="F6" s="766"/>
      <c r="G6" s="766"/>
      <c r="H6" s="766"/>
      <c r="I6" s="766"/>
      <c r="J6" s="766"/>
      <c r="K6" s="766"/>
      <c r="L6" s="766"/>
      <c r="M6" s="766"/>
      <c r="N6" s="766"/>
      <c r="O6" s="766"/>
      <c r="P6" s="766"/>
      <c r="Q6" s="766"/>
      <c r="R6" s="766"/>
      <c r="S6" s="766"/>
      <c r="T6" s="768"/>
    </row>
    <row r="7" spans="1:64" ht="16.5" hidden="1" customHeight="1" outlineLevel="1" x14ac:dyDescent="0.3">
      <c r="A7" s="728"/>
      <c r="B7" s="765" t="s">
        <v>804</v>
      </c>
      <c r="C7" s="766"/>
      <c r="D7" s="766"/>
      <c r="E7" s="766"/>
      <c r="F7" s="767"/>
      <c r="G7" s="767"/>
      <c r="H7" s="767"/>
      <c r="I7" s="767"/>
      <c r="J7" s="767"/>
      <c r="K7" s="767"/>
      <c r="L7" s="766"/>
      <c r="M7" s="766"/>
      <c r="N7" s="766"/>
      <c r="O7" s="766"/>
      <c r="P7" s="766"/>
      <c r="Q7" s="766"/>
      <c r="R7" s="766"/>
      <c r="S7" s="766"/>
      <c r="T7" s="769"/>
    </row>
    <row r="8" spans="1:64" ht="16.5" hidden="1" customHeight="1" outlineLevel="1" x14ac:dyDescent="0.3">
      <c r="A8" s="728"/>
      <c r="B8" s="765" t="s">
        <v>805</v>
      </c>
      <c r="C8" s="766"/>
      <c r="D8" s="766"/>
      <c r="E8" s="766"/>
      <c r="F8" s="766"/>
      <c r="G8" s="770"/>
      <c r="H8" s="766"/>
      <c r="I8" s="766"/>
      <c r="J8" s="766"/>
      <c r="L8" s="766"/>
      <c r="M8" s="766"/>
      <c r="N8" s="766"/>
      <c r="O8" s="766"/>
      <c r="P8" s="766"/>
      <c r="Q8" s="766"/>
      <c r="R8" s="766"/>
      <c r="S8" s="766"/>
      <c r="T8" s="771"/>
    </row>
    <row r="9" spans="1:64" ht="16.5" hidden="1" customHeight="1" outlineLevel="1" x14ac:dyDescent="0.3">
      <c r="A9" s="728"/>
      <c r="B9" s="765" t="s">
        <v>806</v>
      </c>
      <c r="C9" s="766"/>
      <c r="D9" s="766"/>
      <c r="E9" s="766"/>
      <c r="F9" s="766"/>
      <c r="G9" s="770"/>
      <c r="H9" s="766"/>
      <c r="I9" s="766"/>
      <c r="J9" s="766"/>
      <c r="K9" s="771"/>
      <c r="L9" s="766"/>
      <c r="M9" s="766"/>
      <c r="N9" s="766"/>
      <c r="O9" s="766"/>
      <c r="P9" s="766"/>
      <c r="Q9" s="772"/>
      <c r="R9" s="766"/>
      <c r="S9" s="766"/>
      <c r="T9" s="771"/>
    </row>
    <row r="10" spans="1:64" ht="16.5" hidden="1" customHeight="1" outlineLevel="1" x14ac:dyDescent="0.3">
      <c r="A10" s="728"/>
      <c r="B10" s="765" t="s">
        <v>807</v>
      </c>
      <c r="C10" s="766"/>
      <c r="D10" s="766"/>
      <c r="E10" s="766"/>
      <c r="F10" s="767"/>
      <c r="G10" s="767"/>
      <c r="H10" s="767"/>
      <c r="I10" s="767"/>
      <c r="J10" s="767"/>
      <c r="K10" s="767"/>
      <c r="L10" s="767"/>
      <c r="M10" s="767"/>
      <c r="N10" s="766"/>
      <c r="O10" s="766"/>
      <c r="P10" s="766"/>
      <c r="Q10" s="766"/>
      <c r="R10" s="766"/>
      <c r="S10" s="766"/>
      <c r="T10" s="766"/>
    </row>
    <row r="11" spans="1:64" ht="16.5" hidden="1" customHeight="1" outlineLevel="1" x14ac:dyDescent="0.3">
      <c r="A11" s="728"/>
      <c r="B11" s="765" t="s">
        <v>808</v>
      </c>
      <c r="C11" s="766"/>
      <c r="D11" s="766"/>
      <c r="E11" s="766"/>
      <c r="F11" s="766"/>
      <c r="R11" s="766"/>
      <c r="S11" s="766"/>
      <c r="T11" s="766"/>
    </row>
    <row r="12" spans="1:64" ht="16.5" customHeight="1" collapsed="1" x14ac:dyDescent="0.3">
      <c r="A12" s="728"/>
      <c r="D12" s="728"/>
      <c r="E12" s="728"/>
      <c r="F12" s="857"/>
      <c r="G12" s="858"/>
      <c r="H12" s="773"/>
      <c r="I12" s="773"/>
      <c r="J12" s="773"/>
      <c r="K12" s="879">
        <v>0.94267107689534702</v>
      </c>
      <c r="L12" s="773"/>
      <c r="M12" s="773"/>
      <c r="N12" s="773"/>
      <c r="O12" s="773"/>
      <c r="P12" s="773"/>
      <c r="Q12" s="792" t="s">
        <v>429</v>
      </c>
      <c r="R12" s="227"/>
      <c r="S12" s="68"/>
      <c r="V12" s="774"/>
      <c r="W12" s="728"/>
      <c r="X12" s="728"/>
      <c r="Y12" s="728"/>
      <c r="Z12" s="728"/>
      <c r="AA12" s="728"/>
      <c r="AB12" s="728"/>
      <c r="AC12" s="728"/>
      <c r="AD12" s="728"/>
      <c r="AE12" s="728"/>
      <c r="AF12" s="728"/>
      <c r="AG12" s="728"/>
      <c r="AH12" s="728"/>
      <c r="AI12" s="728"/>
      <c r="AJ12" s="728"/>
      <c r="AK12" s="728"/>
      <c r="AL12" s="728"/>
      <c r="AM12" s="728"/>
      <c r="AN12" s="728"/>
      <c r="AO12" s="728"/>
      <c r="AP12" s="728"/>
      <c r="AQ12" s="728"/>
      <c r="AR12" s="728"/>
      <c r="AS12" s="728"/>
      <c r="AT12" s="728"/>
      <c r="AU12" s="728"/>
      <c r="AV12" s="728"/>
      <c r="AW12" s="728"/>
      <c r="AX12" s="728"/>
      <c r="AY12" s="728"/>
      <c r="AZ12" s="928"/>
      <c r="BA12" s="928"/>
      <c r="BB12" s="928" t="s">
        <v>8978</v>
      </c>
      <c r="BC12" s="928" t="s">
        <v>8978</v>
      </c>
      <c r="BD12" s="928"/>
      <c r="BE12" s="928"/>
      <c r="BF12" s="928"/>
      <c r="BG12" s="728"/>
      <c r="BH12" s="728"/>
      <c r="BI12" s="728"/>
    </row>
    <row r="13" spans="1:64" ht="16.5" customHeight="1" x14ac:dyDescent="0.3">
      <c r="B13" s="1164" t="s">
        <v>234</v>
      </c>
      <c r="C13" s="1164"/>
      <c r="D13" s="999">
        <v>2019</v>
      </c>
      <c r="E13" s="999">
        <v>2020</v>
      </c>
      <c r="F13" s="999">
        <v>2021</v>
      </c>
      <c r="G13" s="999">
        <v>2022</v>
      </c>
      <c r="H13" s="999">
        <v>2023</v>
      </c>
      <c r="I13" s="999">
        <v>2024</v>
      </c>
      <c r="J13" s="999">
        <v>2025</v>
      </c>
      <c r="K13" s="999">
        <v>2026</v>
      </c>
      <c r="L13" s="999">
        <v>2027</v>
      </c>
      <c r="M13" s="999">
        <v>2028</v>
      </c>
      <c r="N13" s="999">
        <v>2029</v>
      </c>
      <c r="O13" s="999">
        <v>2030</v>
      </c>
      <c r="P13" s="999">
        <v>2031</v>
      </c>
      <c r="Q13" s="999">
        <v>2032</v>
      </c>
      <c r="R13" s="775" t="s">
        <v>734</v>
      </c>
      <c r="S13" s="766"/>
      <c r="T13" s="775" t="s">
        <v>566</v>
      </c>
      <c r="V13" s="724" t="s">
        <v>734</v>
      </c>
      <c r="W13" s="724"/>
      <c r="X13" s="724">
        <v>2019</v>
      </c>
      <c r="Y13" s="724">
        <v>2020</v>
      </c>
      <c r="Z13" s="724">
        <v>2021</v>
      </c>
      <c r="AA13" s="724">
        <v>2022</v>
      </c>
      <c r="AB13" s="724">
        <v>2023</v>
      </c>
      <c r="AC13" s="724">
        <v>2024</v>
      </c>
      <c r="AD13" s="724">
        <v>2025</v>
      </c>
      <c r="AE13" s="724">
        <v>2026</v>
      </c>
      <c r="AF13" s="724">
        <v>2027</v>
      </c>
      <c r="AG13" s="724">
        <v>2028</v>
      </c>
      <c r="AH13" s="724">
        <v>2029</v>
      </c>
      <c r="AI13" s="724">
        <v>2030</v>
      </c>
      <c r="AJ13" s="724">
        <v>2031</v>
      </c>
      <c r="AK13" s="724">
        <v>2032</v>
      </c>
      <c r="AZ13" s="928" t="s">
        <v>8979</v>
      </c>
      <c r="BA13" s="928" t="s">
        <v>8856</v>
      </c>
      <c r="BB13" s="928" t="s">
        <v>8980</v>
      </c>
      <c r="BC13" s="928" t="s">
        <v>8981</v>
      </c>
      <c r="BD13" s="928" t="s">
        <v>897</v>
      </c>
      <c r="BE13" s="928" t="s">
        <v>8863</v>
      </c>
      <c r="BF13" s="928"/>
    </row>
    <row r="14" spans="1:64" ht="16.5" customHeight="1" x14ac:dyDescent="0.3">
      <c r="B14" s="1165" t="s">
        <v>809</v>
      </c>
      <c r="C14" s="1166"/>
      <c r="D14" s="812">
        <f>SUM(D16:D18)</f>
        <v>10693133.84371</v>
      </c>
      <c r="E14" s="812">
        <f t="shared" ref="E14:Q14" si="0">SUM(E16:E18)</f>
        <v>10629440.631007198</v>
      </c>
      <c r="F14" s="812">
        <f t="shared" si="0"/>
        <v>10880113.016329</v>
      </c>
      <c r="G14" s="812">
        <f t="shared" si="0"/>
        <v>11705969.894966986</v>
      </c>
      <c r="H14" s="812">
        <f t="shared" si="0"/>
        <v>12277954.360386999</v>
      </c>
      <c r="I14" s="812">
        <f t="shared" si="0"/>
        <v>13075497.069406999</v>
      </c>
      <c r="J14" s="812">
        <f t="shared" si="0"/>
        <v>13571475.521969002</v>
      </c>
      <c r="K14" s="812">
        <f t="shared" si="0"/>
        <v>13925805.992212018</v>
      </c>
      <c r="L14" s="812">
        <f t="shared" si="0"/>
        <v>14192931.083514186</v>
      </c>
      <c r="M14" s="812">
        <f t="shared" si="0"/>
        <v>14469126.905753646</v>
      </c>
      <c r="N14" s="812">
        <f t="shared" si="0"/>
        <v>14770167.372883584</v>
      </c>
      <c r="O14" s="812">
        <f t="shared" si="0"/>
        <v>15077573.727062423</v>
      </c>
      <c r="P14" s="812">
        <f t="shared" si="0"/>
        <v>15419816.970878428</v>
      </c>
      <c r="Q14" s="812">
        <f t="shared" si="0"/>
        <v>15792523.927243352</v>
      </c>
      <c r="R14" s="757" t="s">
        <v>736</v>
      </c>
      <c r="S14" s="766"/>
      <c r="T14" s="776" t="s">
        <v>8907</v>
      </c>
      <c r="V14" s="733" t="s">
        <v>736</v>
      </c>
      <c r="W14" s="732" t="s">
        <v>810</v>
      </c>
      <c r="X14" s="732">
        <f t="shared" ref="X14:AK16" si="1">SUMIF($R$14:$R$111,$V14,D$14:D$111)</f>
        <v>10693133.84371</v>
      </c>
      <c r="Y14" s="732">
        <f t="shared" si="1"/>
        <v>10629440.631007198</v>
      </c>
      <c r="Z14" s="732">
        <f t="shared" si="1"/>
        <v>10880113.016329</v>
      </c>
      <c r="AA14" s="732">
        <f t="shared" si="1"/>
        <v>11705969.894966986</v>
      </c>
      <c r="AB14" s="732">
        <f t="shared" si="1"/>
        <v>12277954.360386999</v>
      </c>
      <c r="AC14" s="732">
        <f t="shared" si="1"/>
        <v>13075497.069406999</v>
      </c>
      <c r="AD14" s="732">
        <f t="shared" si="1"/>
        <v>13571475.521969002</v>
      </c>
      <c r="AE14" s="732">
        <f t="shared" si="1"/>
        <v>13925805.992212018</v>
      </c>
      <c r="AF14" s="732">
        <f t="shared" si="1"/>
        <v>14192931.083514186</v>
      </c>
      <c r="AG14" s="732">
        <f t="shared" si="1"/>
        <v>14469126.905753646</v>
      </c>
      <c r="AH14" s="732">
        <f t="shared" si="1"/>
        <v>14770167.372883584</v>
      </c>
      <c r="AI14" s="732">
        <f t="shared" si="1"/>
        <v>15077573.727062423</v>
      </c>
      <c r="AJ14" s="732">
        <f t="shared" si="1"/>
        <v>15419816.970878428</v>
      </c>
      <c r="AK14" s="732">
        <f t="shared" si="1"/>
        <v>15792523.927243352</v>
      </c>
      <c r="AM14" s="724" t="s">
        <v>360</v>
      </c>
      <c r="AN14" s="724" t="s">
        <v>361</v>
      </c>
      <c r="AO14" s="724" t="s">
        <v>362</v>
      </c>
      <c r="AP14" s="724" t="s">
        <v>363</v>
      </c>
      <c r="AQ14" s="724" t="s">
        <v>398</v>
      </c>
      <c r="AR14" s="724">
        <v>2027</v>
      </c>
      <c r="AS14" s="724">
        <v>2028</v>
      </c>
      <c r="AT14" s="724">
        <v>2029</v>
      </c>
      <c r="AU14" s="724">
        <v>2030</v>
      </c>
      <c r="AV14" s="724">
        <v>2031</v>
      </c>
      <c r="AW14" s="724">
        <v>2032</v>
      </c>
      <c r="BA14" s="735"/>
      <c r="BB14" s="735"/>
      <c r="BC14" s="735"/>
      <c r="BL14" s="735"/>
    </row>
    <row r="15" spans="1:64" ht="16.5" customHeight="1" x14ac:dyDescent="0.3">
      <c r="B15" s="859" t="s">
        <v>283</v>
      </c>
      <c r="C15" s="860"/>
      <c r="D15" s="814"/>
      <c r="E15" s="861">
        <f>(E14-D14)/D14</f>
        <v>-5.9564589421339355E-3</v>
      </c>
      <c r="F15" s="861">
        <f t="shared" ref="F15:Q15" si="2">(F14-E14)/E14</f>
        <v>2.35828388363696E-2</v>
      </c>
      <c r="G15" s="861">
        <f t="shared" si="2"/>
        <v>7.5905174642812143E-2</v>
      </c>
      <c r="H15" s="861">
        <f t="shared" si="2"/>
        <v>4.8862629115929951E-2</v>
      </c>
      <c r="I15" s="861">
        <f t="shared" si="2"/>
        <v>6.4957295459018266E-2</v>
      </c>
      <c r="J15" s="861">
        <f t="shared" si="2"/>
        <v>3.7931900403423521E-2</v>
      </c>
      <c r="K15" s="861">
        <f t="shared" si="2"/>
        <v>2.6108470642668087E-2</v>
      </c>
      <c r="L15" s="861">
        <f t="shared" si="2"/>
        <v>1.9182020161099246E-2</v>
      </c>
      <c r="M15" s="861">
        <f t="shared" si="2"/>
        <v>1.9460097467835658E-2</v>
      </c>
      <c r="N15" s="861">
        <f t="shared" si="2"/>
        <v>2.0805710606507266E-2</v>
      </c>
      <c r="O15" s="861">
        <f t="shared" si="2"/>
        <v>2.0812652045040663E-2</v>
      </c>
      <c r="P15" s="861">
        <f t="shared" si="2"/>
        <v>2.2698827411582793E-2</v>
      </c>
      <c r="Q15" s="861">
        <f t="shared" si="2"/>
        <v>2.4170647230690956E-2</v>
      </c>
      <c r="R15" s="777"/>
      <c r="S15" s="766"/>
      <c r="T15" s="778"/>
      <c r="V15" s="733" t="s">
        <v>216</v>
      </c>
      <c r="W15" s="732" t="s">
        <v>811</v>
      </c>
      <c r="X15" s="732">
        <f t="shared" si="1"/>
        <v>8621105.9773960002</v>
      </c>
      <c r="Y15" s="732">
        <f t="shared" si="1"/>
        <v>8569243.3398080003</v>
      </c>
      <c r="Z15" s="732">
        <f t="shared" si="1"/>
        <v>8715328.7297590002</v>
      </c>
      <c r="AA15" s="732">
        <f t="shared" si="1"/>
        <v>9330023.0902379993</v>
      </c>
      <c r="AB15" s="732">
        <f t="shared" si="1"/>
        <v>9755829.6800590046</v>
      </c>
      <c r="AC15" s="732">
        <f t="shared" si="1"/>
        <v>10325953.037656</v>
      </c>
      <c r="AD15" s="732">
        <f t="shared" si="1"/>
        <v>10725534</v>
      </c>
      <c r="AE15" s="732">
        <f t="shared" si="1"/>
        <v>10972581.755030418</v>
      </c>
      <c r="AF15" s="732">
        <f t="shared" si="1"/>
        <v>11162056.045430969</v>
      </c>
      <c r="AG15" s="732">
        <f t="shared" si="1"/>
        <v>11362310.430980613</v>
      </c>
      <c r="AH15" s="732">
        <f t="shared" si="1"/>
        <v>11583060.023459554</v>
      </c>
      <c r="AI15" s="732">
        <f t="shared" si="1"/>
        <v>11812050.73934936</v>
      </c>
      <c r="AJ15" s="732">
        <f t="shared" si="1"/>
        <v>12068915.710667491</v>
      </c>
      <c r="AK15" s="732">
        <f t="shared" si="1"/>
        <v>12350844.760973234</v>
      </c>
      <c r="AS15" s="728"/>
      <c r="AT15" s="728"/>
      <c r="AU15" s="728"/>
      <c r="AV15" s="728"/>
      <c r="AW15" s="728"/>
      <c r="BA15" s="735"/>
      <c r="BB15" s="735"/>
      <c r="BC15" s="735"/>
      <c r="BL15" s="735"/>
    </row>
    <row r="16" spans="1:64" ht="16.5" customHeight="1" x14ac:dyDescent="0.3">
      <c r="B16" s="862"/>
      <c r="C16" s="863" t="s">
        <v>86</v>
      </c>
      <c r="D16" s="815">
        <v>8778057.5266270004</v>
      </c>
      <c r="E16" s="744">
        <v>8872633.4817921985</v>
      </c>
      <c r="F16" s="744">
        <v>9225773.9875439983</v>
      </c>
      <c r="G16" s="744">
        <v>9999794.8134819996</v>
      </c>
      <c r="H16" s="744">
        <v>10591560.039654</v>
      </c>
      <c r="I16" s="744">
        <v>11200703.284840999</v>
      </c>
      <c r="J16" s="744">
        <v>11533068.437318003</v>
      </c>
      <c r="K16" s="744">
        <f>K129*100</f>
        <v>11714321.646862537</v>
      </c>
      <c r="L16" s="744">
        <f t="shared" ref="K16:Q17" si="3">L129*100</f>
        <v>12030675.433917729</v>
      </c>
      <c r="M16" s="744">
        <f t="shared" si="3"/>
        <v>12269503.689718679</v>
      </c>
      <c r="N16" s="744">
        <f t="shared" si="3"/>
        <v>12486046.661101555</v>
      </c>
      <c r="O16" s="744">
        <f t="shared" si="3"/>
        <v>12709697.53925449</v>
      </c>
      <c r="P16" s="744">
        <f t="shared" si="3"/>
        <v>12968927.326765751</v>
      </c>
      <c r="Q16" s="744">
        <f t="shared" si="3"/>
        <v>13282581.880321715</v>
      </c>
      <c r="R16" s="757"/>
      <c r="S16" s="766"/>
      <c r="T16" s="776"/>
      <c r="V16" s="733" t="s">
        <v>217</v>
      </c>
      <c r="W16" s="732" t="s">
        <v>812</v>
      </c>
      <c r="X16" s="732">
        <f t="shared" si="1"/>
        <v>6792417.8848399995</v>
      </c>
      <c r="Y16" s="732">
        <f t="shared" si="1"/>
        <v>6768038.416712</v>
      </c>
      <c r="Z16" s="732">
        <f t="shared" si="1"/>
        <v>6991831.8753980007</v>
      </c>
      <c r="AA16" s="732">
        <f t="shared" si="1"/>
        <v>7522688.3692529993</v>
      </c>
      <c r="AB16" s="732">
        <f t="shared" si="1"/>
        <v>7836897.9117230019</v>
      </c>
      <c r="AC16" s="732">
        <f t="shared" si="1"/>
        <v>8333322.0477119992</v>
      </c>
      <c r="AD16" s="732">
        <f t="shared" si="1"/>
        <v>8671279</v>
      </c>
      <c r="AE16" s="732">
        <f t="shared" si="1"/>
        <v>8869388.0895608906</v>
      </c>
      <c r="AF16" s="732">
        <f t="shared" si="1"/>
        <v>9043459.5662013851</v>
      </c>
      <c r="AG16" s="732">
        <f t="shared" si="1"/>
        <v>9224207.7350209337</v>
      </c>
      <c r="AH16" s="732">
        <f t="shared" si="1"/>
        <v>9420667.215561064</v>
      </c>
      <c r="AI16" s="732">
        <f t="shared" si="1"/>
        <v>9610801.9657664374</v>
      </c>
      <c r="AJ16" s="732">
        <f t="shared" si="1"/>
        <v>9822695.321559133</v>
      </c>
      <c r="AK16" s="732">
        <f t="shared" si="1"/>
        <v>10053692.627560558</v>
      </c>
      <c r="AM16" s="864">
        <f>G16/$G$14</f>
        <v>0.85424743982824003</v>
      </c>
      <c r="AN16" s="864">
        <f>H16/$H$14</f>
        <v>0.86264859183921538</v>
      </c>
      <c r="AO16" s="864">
        <f>I16/$I$14</f>
        <v>0.85661778098268304</v>
      </c>
      <c r="AP16" s="864">
        <f>J16/$J$14</f>
        <v>0.84980210284789581</v>
      </c>
      <c r="AQ16" s="864">
        <f>K16/$K$14</f>
        <v>0.84119523519240103</v>
      </c>
      <c r="AR16" s="864">
        <f t="shared" ref="AR16:AV18" si="4">(G16-F16)/F16</f>
        <v>8.3897657473836956E-2</v>
      </c>
      <c r="AS16" s="804">
        <f t="shared" si="4"/>
        <v>5.9177736864577057E-2</v>
      </c>
      <c r="AT16" s="804">
        <f t="shared" si="4"/>
        <v>5.7512136352568764E-2</v>
      </c>
      <c r="AU16" s="804">
        <f t="shared" si="4"/>
        <v>2.9673596739842729E-2</v>
      </c>
      <c r="AV16" s="804">
        <f t="shared" si="4"/>
        <v>1.5715957165228094E-2</v>
      </c>
      <c r="AW16" s="728"/>
      <c r="BA16" s="735"/>
      <c r="BB16" s="735"/>
      <c r="BC16" s="735"/>
      <c r="BL16" s="735"/>
    </row>
    <row r="17" spans="2:64" ht="16.5" customHeight="1" x14ac:dyDescent="0.3">
      <c r="B17" s="745"/>
      <c r="C17" s="751" t="s">
        <v>813</v>
      </c>
      <c r="D17" s="744">
        <v>1609853.3502449999</v>
      </c>
      <c r="E17" s="744">
        <v>1419295.5982550001</v>
      </c>
      <c r="F17" s="744">
        <v>1347581.66454</v>
      </c>
      <c r="G17" s="744">
        <v>1459579.0705160003</v>
      </c>
      <c r="H17" s="744">
        <v>1613942.7756449999</v>
      </c>
      <c r="I17" s="744">
        <v>1823126.639194</v>
      </c>
      <c r="J17" s="744">
        <v>1995069.7345420001</v>
      </c>
      <c r="K17" s="744">
        <f t="shared" si="3"/>
        <v>2163024.975322451</v>
      </c>
      <c r="L17" s="744">
        <f t="shared" si="3"/>
        <v>2111485.9761171592</v>
      </c>
      <c r="M17" s="744">
        <f t="shared" si="3"/>
        <v>2148239.8452225216</v>
      </c>
      <c r="N17" s="744">
        <f t="shared" si="3"/>
        <v>2232737.340969584</v>
      </c>
      <c r="O17" s="744">
        <f t="shared" si="3"/>
        <v>2316492.8169954871</v>
      </c>
      <c r="P17" s="744">
        <f t="shared" si="3"/>
        <v>2399506.2733002305</v>
      </c>
      <c r="Q17" s="744">
        <f t="shared" si="3"/>
        <v>2458558.676109191</v>
      </c>
      <c r="R17" s="757"/>
      <c r="S17" s="766"/>
      <c r="T17" s="776"/>
      <c r="V17" s="733"/>
      <c r="W17" s="732" t="s">
        <v>814</v>
      </c>
      <c r="X17" s="732">
        <f>X15-X16</f>
        <v>1828688.0925560007</v>
      </c>
      <c r="Y17" s="732">
        <f t="shared" ref="Y17:AK17" si="5">Y15-Y16</f>
        <v>1801204.9230960002</v>
      </c>
      <c r="Z17" s="732">
        <f t="shared" si="5"/>
        <v>1723496.8543609995</v>
      </c>
      <c r="AA17" s="732">
        <f t="shared" si="5"/>
        <v>1807334.720985</v>
      </c>
      <c r="AB17" s="732">
        <f t="shared" si="5"/>
        <v>1918931.7683360027</v>
      </c>
      <c r="AC17" s="732">
        <f t="shared" si="5"/>
        <v>1992630.9899440007</v>
      </c>
      <c r="AD17" s="732">
        <f t="shared" si="5"/>
        <v>2054255</v>
      </c>
      <c r="AE17" s="732">
        <f t="shared" si="5"/>
        <v>2103193.6654695272</v>
      </c>
      <c r="AF17" s="732">
        <f t="shared" si="5"/>
        <v>2118596.4792295843</v>
      </c>
      <c r="AG17" s="732">
        <f t="shared" si="5"/>
        <v>2138102.6959596798</v>
      </c>
      <c r="AH17" s="732">
        <f t="shared" si="5"/>
        <v>2162392.8078984898</v>
      </c>
      <c r="AI17" s="732">
        <f t="shared" si="5"/>
        <v>2201248.7735829223</v>
      </c>
      <c r="AJ17" s="732">
        <f t="shared" si="5"/>
        <v>2246220.389108358</v>
      </c>
      <c r="AK17" s="732">
        <f t="shared" si="5"/>
        <v>2297152.1334126759</v>
      </c>
      <c r="AM17" s="864">
        <f>G17/$G$14</f>
        <v>0.12468672682504936</v>
      </c>
      <c r="AN17" s="864">
        <f>H17/$H$14</f>
        <v>0.13145046220827691</v>
      </c>
      <c r="AO17" s="864">
        <f>I17/$I$14</f>
        <v>0.13943077112223945</v>
      </c>
      <c r="AP17" s="864">
        <f>J17/$J$14</f>
        <v>0.14700462977017165</v>
      </c>
      <c r="AQ17" s="864">
        <f>K17/$K$14</f>
        <v>0.15532493965032393</v>
      </c>
      <c r="AR17" s="864">
        <f t="shared" si="4"/>
        <v>8.3109921218934665E-2</v>
      </c>
      <c r="AS17" s="804">
        <f t="shared" si="4"/>
        <v>0.10575905632466212</v>
      </c>
      <c r="AT17" s="804">
        <f t="shared" si="4"/>
        <v>0.12961045875086952</v>
      </c>
      <c r="AU17" s="804">
        <f t="shared" si="4"/>
        <v>9.4312206103255497E-2</v>
      </c>
      <c r="AV17" s="804">
        <f t="shared" si="4"/>
        <v>8.4185147953741907E-2</v>
      </c>
      <c r="AW17" s="728"/>
      <c r="BA17" s="735"/>
      <c r="BB17" s="735"/>
      <c r="BC17" s="735"/>
      <c r="BL17" s="735"/>
    </row>
    <row r="18" spans="2:64" ht="16.5" customHeight="1" x14ac:dyDescent="0.3">
      <c r="B18" s="745"/>
      <c r="C18" s="751" t="s">
        <v>14</v>
      </c>
      <c r="D18" s="744">
        <v>305222.96683800028</v>
      </c>
      <c r="E18" s="744">
        <v>337511.55096000002</v>
      </c>
      <c r="F18" s="744">
        <v>306757.36424500146</v>
      </c>
      <c r="G18" s="744">
        <v>246596.01096898597</v>
      </c>
      <c r="H18" s="744">
        <v>72451.545087999519</v>
      </c>
      <c r="I18" s="744">
        <v>51667.145372000006</v>
      </c>
      <c r="J18" s="744">
        <v>43337.350108999759</v>
      </c>
      <c r="K18" s="744">
        <f t="shared" ref="K18:Q18" si="6">SUM(K132:K135)*100</f>
        <v>48459.370027030469</v>
      </c>
      <c r="L18" s="744">
        <f t="shared" si="6"/>
        <v>50769.673479298152</v>
      </c>
      <c r="M18" s="744">
        <f t="shared" si="6"/>
        <v>51383.370812445763</v>
      </c>
      <c r="N18" s="744">
        <f t="shared" si="6"/>
        <v>51383.370812445763</v>
      </c>
      <c r="O18" s="744">
        <f t="shared" si="6"/>
        <v>51383.370812445763</v>
      </c>
      <c r="P18" s="744">
        <f t="shared" si="6"/>
        <v>51383.370812445763</v>
      </c>
      <c r="Q18" s="744">
        <f t="shared" si="6"/>
        <v>51383.370812445763</v>
      </c>
      <c r="R18" s="757"/>
      <c r="S18" s="766"/>
      <c r="T18" s="776" t="s">
        <v>8908</v>
      </c>
      <c r="V18" s="733"/>
      <c r="W18" s="732" t="s">
        <v>815</v>
      </c>
      <c r="X18" s="732">
        <f>SUM(X19:X22)</f>
        <v>1648362.6757419999</v>
      </c>
      <c r="Y18" s="732">
        <f t="shared" ref="Y18:AK18" si="7">SUM(Y19:Y22)</f>
        <v>1541448.1983089999</v>
      </c>
      <c r="Z18" s="732">
        <f t="shared" si="7"/>
        <v>1566813.5414220002</v>
      </c>
      <c r="AA18" s="732">
        <f t="shared" si="7"/>
        <v>1693492.006793</v>
      </c>
      <c r="AB18" s="732">
        <f t="shared" si="7"/>
        <v>1720859.1512070005</v>
      </c>
      <c r="AC18" s="732">
        <f t="shared" si="7"/>
        <v>1847088.6245600004</v>
      </c>
      <c r="AD18" s="732">
        <f t="shared" si="7"/>
        <v>1857371</v>
      </c>
      <c r="AE18" s="732">
        <f t="shared" si="7"/>
        <v>1922387.4348531046</v>
      </c>
      <c r="AF18" s="732">
        <f t="shared" si="7"/>
        <v>1936128.894012722</v>
      </c>
      <c r="AG18" s="732">
        <f t="shared" si="7"/>
        <v>1956083.7741729636</v>
      </c>
      <c r="AH18" s="732">
        <f t="shared" si="7"/>
        <v>1971494.1892730186</v>
      </c>
      <c r="AI18" s="732">
        <f t="shared" si="7"/>
        <v>1999186.8633368583</v>
      </c>
      <c r="AJ18" s="732">
        <f t="shared" si="7"/>
        <v>2032140.6700845286</v>
      </c>
      <c r="AK18" s="732">
        <f t="shared" si="7"/>
        <v>2070863.1692363233</v>
      </c>
      <c r="AM18" s="864">
        <f>G18/$G$14</f>
        <v>2.1065833346710604E-2</v>
      </c>
      <c r="AN18" s="864">
        <f>H18/$H$14</f>
        <v>5.9009459525076668E-3</v>
      </c>
      <c r="AO18" s="864">
        <f>I18/$I$14</f>
        <v>3.9514478950774768E-3</v>
      </c>
      <c r="AP18" s="864">
        <f>J18/$J$14</f>
        <v>3.1932673819325586E-3</v>
      </c>
      <c r="AQ18" s="864">
        <f>K18/$K$14</f>
        <v>3.4798251572750105E-3</v>
      </c>
      <c r="AR18" s="864">
        <f t="shared" si="4"/>
        <v>-0.19612032273157012</v>
      </c>
      <c r="AS18" s="804">
        <f t="shared" si="4"/>
        <v>-0.70619336134714827</v>
      </c>
      <c r="AT18" s="804">
        <f t="shared" si="4"/>
        <v>-0.28687310520092868</v>
      </c>
      <c r="AU18" s="804">
        <f t="shared" si="4"/>
        <v>-0.16122035005081617</v>
      </c>
      <c r="AV18" s="804">
        <f t="shared" si="4"/>
        <v>0.11818950409169186</v>
      </c>
      <c r="AW18" s="728"/>
      <c r="BA18" s="735"/>
      <c r="BB18" s="735"/>
      <c r="BC18" s="735"/>
      <c r="BL18" s="735"/>
    </row>
    <row r="19" spans="2:64" ht="16.5" customHeight="1" x14ac:dyDescent="0.3">
      <c r="B19" s="1165" t="s">
        <v>58</v>
      </c>
      <c r="C19" s="1166"/>
      <c r="D19" s="812">
        <f t="shared" ref="D19:Q19" si="8">SUM(D21:D29)</f>
        <v>8621105.9773960002</v>
      </c>
      <c r="E19" s="812">
        <f t="shared" si="8"/>
        <v>8569243.3398080003</v>
      </c>
      <c r="F19" s="812">
        <f t="shared" si="8"/>
        <v>8715328.7297590002</v>
      </c>
      <c r="G19" s="812">
        <f t="shared" si="8"/>
        <v>9330023.0902379993</v>
      </c>
      <c r="H19" s="812">
        <f t="shared" si="8"/>
        <v>9755829.6800590046</v>
      </c>
      <c r="I19" s="812">
        <f t="shared" si="8"/>
        <v>10325953.037656</v>
      </c>
      <c r="J19" s="812">
        <f t="shared" si="8"/>
        <v>10725534</v>
      </c>
      <c r="K19" s="812">
        <f t="shared" si="8"/>
        <v>10972581.755030418</v>
      </c>
      <c r="L19" s="812">
        <f t="shared" si="8"/>
        <v>11162056.045430969</v>
      </c>
      <c r="M19" s="812">
        <f t="shared" si="8"/>
        <v>11362310.430980613</v>
      </c>
      <c r="N19" s="812">
        <f t="shared" si="8"/>
        <v>11583060.023459554</v>
      </c>
      <c r="O19" s="812">
        <f t="shared" si="8"/>
        <v>11812050.73934936</v>
      </c>
      <c r="P19" s="812">
        <f t="shared" si="8"/>
        <v>12068915.710667491</v>
      </c>
      <c r="Q19" s="812">
        <f t="shared" si="8"/>
        <v>12350844.760973234</v>
      </c>
      <c r="R19" s="757"/>
      <c r="S19" s="766"/>
      <c r="T19" s="776"/>
      <c r="V19" s="733" t="s">
        <v>709</v>
      </c>
      <c r="W19" s="865" t="s">
        <v>297</v>
      </c>
      <c r="X19" s="732">
        <f t="shared" ref="X19:AK22" si="9">SUMIF($R$14:$R$111,$V19,D$14:D$111)</f>
        <v>467270.69091899996</v>
      </c>
      <c r="Y19" s="732">
        <f t="shared" si="9"/>
        <v>415554.23751599999</v>
      </c>
      <c r="Z19" s="732">
        <f t="shared" si="9"/>
        <v>416976.45033099997</v>
      </c>
      <c r="AA19" s="732">
        <f t="shared" si="9"/>
        <v>513052.63166800002</v>
      </c>
      <c r="AB19" s="732">
        <f t="shared" si="9"/>
        <v>457669.1451250001</v>
      </c>
      <c r="AC19" s="732">
        <f t="shared" si="9"/>
        <v>472242.00545699988</v>
      </c>
      <c r="AD19" s="732">
        <f t="shared" si="9"/>
        <v>478150</v>
      </c>
      <c r="AE19" s="732">
        <f t="shared" si="9"/>
        <v>498525.60561691772</v>
      </c>
      <c r="AF19" s="732">
        <f t="shared" si="9"/>
        <v>503783.97630713991</v>
      </c>
      <c r="AG19" s="732">
        <f t="shared" si="9"/>
        <v>511831.62144795404</v>
      </c>
      <c r="AH19" s="732">
        <f t="shared" si="9"/>
        <v>524032.27820968913</v>
      </c>
      <c r="AI19" s="732">
        <f t="shared" si="9"/>
        <v>533185.00535329746</v>
      </c>
      <c r="AJ19" s="732">
        <f t="shared" si="9"/>
        <v>544597.57518057502</v>
      </c>
      <c r="AK19" s="732">
        <f t="shared" si="9"/>
        <v>557350.72006237635</v>
      </c>
      <c r="AS19" s="728"/>
      <c r="AT19" s="728"/>
      <c r="AU19" s="728"/>
      <c r="AV19" s="728"/>
      <c r="AW19" s="728"/>
      <c r="AZ19" s="928">
        <f>BA19+BB19</f>
        <v>11774643877.003</v>
      </c>
      <c r="BA19" s="727">
        <f>SUMIFS('전사합(개별)'!V:V,'전사합(개별)'!A:A,'12. 추정 IS'!B19)</f>
        <v>11774643877.003</v>
      </c>
      <c r="BB19" s="928">
        <f>SUMIFS(SI본사부담!$V:$V,SI본사부담!$A:$A,'12. 추정 IS'!$B19)</f>
        <v>0</v>
      </c>
      <c r="BD19" s="727">
        <f>SUMIFS(홈쇼핑!V:V,홈쇼핑!A:A,'12. 추정 IS'!B19)</f>
        <v>1049110187.706</v>
      </c>
      <c r="BE19" s="727">
        <f>AZ19-BD19</f>
        <v>10725533689.297001</v>
      </c>
      <c r="BF19" s="727" t="b">
        <f>AZ19=SUM(AZ20:AZ29)</f>
        <v>1</v>
      </c>
      <c r="BG19" s="727" t="b">
        <f>BA19=SUM(BA20:BA29)</f>
        <v>1</v>
      </c>
      <c r="BH19" s="727" t="b">
        <f>BD19=SUM(BD20:BD29)</f>
        <v>1</v>
      </c>
      <c r="BI19" s="727" t="b">
        <f>BE19=SUM(BE20:BE29)</f>
        <v>1</v>
      </c>
      <c r="BL19" s="735"/>
    </row>
    <row r="20" spans="2:64" ht="16.5" customHeight="1" x14ac:dyDescent="0.3">
      <c r="B20" s="859" t="s">
        <v>283</v>
      </c>
      <c r="C20" s="866"/>
      <c r="D20" s="861"/>
      <c r="E20" s="861">
        <f>(E19-D19)/D19</f>
        <v>-6.0157754380911815E-3</v>
      </c>
      <c r="F20" s="861">
        <f>(F19-E19)/E19</f>
        <v>1.7047641682943867E-2</v>
      </c>
      <c r="G20" s="861">
        <f t="shared" ref="G20:Q20" si="10">(G19-F19)/F19</f>
        <v>7.0530255316714474E-2</v>
      </c>
      <c r="H20" s="861">
        <f t="shared" si="10"/>
        <v>4.5638321116967716E-2</v>
      </c>
      <c r="I20" s="861">
        <f t="shared" si="10"/>
        <v>5.8439248766543363E-2</v>
      </c>
      <c r="J20" s="861">
        <f t="shared" si="10"/>
        <v>3.8696763474212484E-2</v>
      </c>
      <c r="K20" s="861">
        <f t="shared" si="10"/>
        <v>2.3033608865574227E-2</v>
      </c>
      <c r="L20" s="861">
        <f t="shared" si="10"/>
        <v>1.7267977093329608E-2</v>
      </c>
      <c r="M20" s="861">
        <f t="shared" si="10"/>
        <v>1.7940636092005229E-2</v>
      </c>
      <c r="N20" s="861">
        <f t="shared" si="10"/>
        <v>1.942823106443578E-2</v>
      </c>
      <c r="O20" s="861">
        <f t="shared" si="10"/>
        <v>1.9769449128816001E-2</v>
      </c>
      <c r="P20" s="861">
        <f t="shared" si="10"/>
        <v>2.1746009815420089E-2</v>
      </c>
      <c r="Q20" s="861">
        <f t="shared" si="10"/>
        <v>2.3359931999239244E-2</v>
      </c>
      <c r="R20" s="777"/>
      <c r="S20" s="766"/>
      <c r="T20" s="779"/>
      <c r="V20" s="733" t="s">
        <v>221</v>
      </c>
      <c r="W20" s="865" t="s">
        <v>816</v>
      </c>
      <c r="X20" s="732">
        <f t="shared" si="9"/>
        <v>497395.99170100008</v>
      </c>
      <c r="Y20" s="732">
        <f t="shared" si="9"/>
        <v>492106.02045299998</v>
      </c>
      <c r="Z20" s="732">
        <f t="shared" si="9"/>
        <v>522842.89728700003</v>
      </c>
      <c r="AA20" s="732">
        <f t="shared" si="9"/>
        <v>587181.67956600001</v>
      </c>
      <c r="AB20" s="732">
        <f t="shared" si="9"/>
        <v>647497.75242500019</v>
      </c>
      <c r="AC20" s="732">
        <f t="shared" si="9"/>
        <v>698239.81558800011</v>
      </c>
      <c r="AD20" s="732">
        <f t="shared" si="9"/>
        <v>677580</v>
      </c>
      <c r="AE20" s="732">
        <f t="shared" si="9"/>
        <v>679982.81032087735</v>
      </c>
      <c r="AF20" s="732">
        <f t="shared" si="9"/>
        <v>691045.05334635882</v>
      </c>
      <c r="AG20" s="732">
        <f t="shared" si="9"/>
        <v>698836.40173604211</v>
      </c>
      <c r="AH20" s="732">
        <f t="shared" si="9"/>
        <v>708520.95038828882</v>
      </c>
      <c r="AI20" s="732">
        <f t="shared" si="9"/>
        <v>717281.38132215443</v>
      </c>
      <c r="AJ20" s="732">
        <f t="shared" si="9"/>
        <v>726507.07907218055</v>
      </c>
      <c r="AK20" s="732">
        <f t="shared" si="9"/>
        <v>736262.99776399671</v>
      </c>
      <c r="AM20" s="727">
        <v>12061649791.162188</v>
      </c>
      <c r="AN20" s="727">
        <v>12845657000</v>
      </c>
      <c r="AO20" s="727">
        <v>13642088000</v>
      </c>
      <c r="AP20" s="727">
        <v>14446971000</v>
      </c>
      <c r="AQ20" s="727">
        <v>15256001000</v>
      </c>
      <c r="AS20" s="728"/>
      <c r="AT20" s="728"/>
      <c r="AU20" s="728"/>
      <c r="AV20" s="728"/>
      <c r="AW20" s="728"/>
      <c r="AZ20" s="928">
        <f t="shared" ref="AZ20:AZ83" si="11">BA20+BB20</f>
        <v>0</v>
      </c>
      <c r="BB20" s="928"/>
      <c r="BL20" s="735"/>
    </row>
    <row r="21" spans="2:64" ht="16.5" customHeight="1" x14ac:dyDescent="0.3">
      <c r="B21" s="745"/>
      <c r="C21" s="751" t="s">
        <v>0</v>
      </c>
      <c r="D21" s="744">
        <v>7933824.3859770009</v>
      </c>
      <c r="E21" s="744">
        <v>7774600.0970949996</v>
      </c>
      <c r="F21" s="744">
        <v>7956257.306659</v>
      </c>
      <c r="G21" s="744">
        <v>8512673.0652849991</v>
      </c>
      <c r="H21" s="744">
        <v>8892112.5077230036</v>
      </c>
      <c r="I21" s="744">
        <v>9473767.5988299996</v>
      </c>
      <c r="J21" s="744">
        <f>ROUND(BE21/10^3,)</f>
        <v>9835823</v>
      </c>
      <c r="K21" s="744">
        <f>J21*(1+K$15)</f>
        <v>10092621.29604198</v>
      </c>
      <c r="L21" s="744">
        <f t="shared" ref="L21:Q21" si="12">K21*(1+L$15)</f>
        <v>10286218.161220998</v>
      </c>
      <c r="M21" s="744">
        <f t="shared" si="12"/>
        <v>10486388.969213778</v>
      </c>
      <c r="N21" s="744">
        <f t="shared" si="12"/>
        <v>10704565.743414508</v>
      </c>
      <c r="O21" s="744">
        <f t="shared" si="12"/>
        <v>10927356.145525457</v>
      </c>
      <c r="P21" s="744">
        <f t="shared" si="12"/>
        <v>11175394.316737637</v>
      </c>
      <c r="Q21" s="744">
        <f t="shared" si="12"/>
        <v>11445510.830431372</v>
      </c>
      <c r="R21" s="757" t="s">
        <v>216</v>
      </c>
      <c r="S21" s="766"/>
      <c r="T21" s="704" t="s">
        <v>8909</v>
      </c>
      <c r="V21" s="733" t="s">
        <v>222</v>
      </c>
      <c r="W21" s="865" t="s">
        <v>817</v>
      </c>
      <c r="X21" s="732">
        <f t="shared" si="9"/>
        <v>163279.74884899997</v>
      </c>
      <c r="Y21" s="732">
        <f t="shared" si="9"/>
        <v>137460.37678500003</v>
      </c>
      <c r="Z21" s="732">
        <f t="shared" si="9"/>
        <v>143416.88441099998</v>
      </c>
      <c r="AA21" s="732">
        <f t="shared" si="9"/>
        <v>121590.336427</v>
      </c>
      <c r="AB21" s="732">
        <f t="shared" si="9"/>
        <v>142657.01262200001</v>
      </c>
      <c r="AC21" s="732">
        <f t="shared" si="9"/>
        <v>151233.53979400001</v>
      </c>
      <c r="AD21" s="732">
        <f t="shared" si="9"/>
        <v>145121</v>
      </c>
      <c r="AE21" s="732">
        <f t="shared" si="9"/>
        <v>199121.8075854936</v>
      </c>
      <c r="AF21" s="732">
        <f t="shared" si="9"/>
        <v>189939.81598242023</v>
      </c>
      <c r="AG21" s="732">
        <f t="shared" si="9"/>
        <v>187781.81463997171</v>
      </c>
      <c r="AH21" s="732">
        <f t="shared" si="9"/>
        <v>171075.12006711689</v>
      </c>
      <c r="AI21" s="732">
        <f t="shared" si="9"/>
        <v>170237.88150407767</v>
      </c>
      <c r="AJ21" s="732">
        <f t="shared" si="9"/>
        <v>170883.49707163035</v>
      </c>
      <c r="AK21" s="732">
        <f t="shared" si="9"/>
        <v>175002.48122179878</v>
      </c>
      <c r="AM21" s="727">
        <f>AM20*AM16</f>
        <v>10303633454.205124</v>
      </c>
      <c r="AN21" s="727">
        <f>AN20*AN16</f>
        <v>11081287922.299561</v>
      </c>
      <c r="AO21" s="727">
        <f>AO20*AO16</f>
        <v>11686055150.530489</v>
      </c>
      <c r="AP21" s="727">
        <f>AP20*AP16</f>
        <v>12277066335.582569</v>
      </c>
      <c r="AQ21" s="727">
        <f>AQ20*AQ16</f>
        <v>12833275349.290504</v>
      </c>
      <c r="AR21" s="727">
        <f t="shared" ref="AR21:AV23" si="13">AM21/1000</f>
        <v>10303633.454205124</v>
      </c>
      <c r="AS21" s="728">
        <f t="shared" si="13"/>
        <v>11081287.92229956</v>
      </c>
      <c r="AT21" s="728">
        <f t="shared" si="13"/>
        <v>11686055.150530489</v>
      </c>
      <c r="AU21" s="728">
        <f t="shared" si="13"/>
        <v>12277066.335582569</v>
      </c>
      <c r="AV21" s="728">
        <f t="shared" si="13"/>
        <v>12833275.349290505</v>
      </c>
      <c r="AW21" s="728"/>
      <c r="AZ21" s="928">
        <f t="shared" si="11"/>
        <v>10074150810.122002</v>
      </c>
      <c r="BA21" s="727">
        <f>SUMIFS('전사합(개별)'!V:V,'전사합(개별)'!B:B,'12. 추정 IS'!C21)</f>
        <v>10074150810.122002</v>
      </c>
      <c r="BB21" s="928">
        <f>SUMIFS(SI본사부담!$V:$V,SI본사부담!$B:$B,'12. 추정 IS'!$C21)</f>
        <v>0</v>
      </c>
      <c r="BD21" s="727">
        <f>SUMIFS(홈쇼핑!V:V,홈쇼핑!B:B,'12. 추정 IS'!C21)</f>
        <v>238328251.35300002</v>
      </c>
      <c r="BE21" s="727">
        <f t="shared" ref="BE21:BE84" si="14">AZ21-BD21</f>
        <v>9835822558.769001</v>
      </c>
      <c r="BL21" s="735"/>
    </row>
    <row r="22" spans="2:64" ht="16.5" customHeight="1" x14ac:dyDescent="0.3">
      <c r="B22" s="745"/>
      <c r="C22" s="751" t="s">
        <v>1</v>
      </c>
      <c r="D22" s="744">
        <v>-239074.08704000001</v>
      </c>
      <c r="E22" s="744">
        <v>-185865.17164499999</v>
      </c>
      <c r="F22" s="744">
        <v>-194728.88143499999</v>
      </c>
      <c r="G22" s="744">
        <v>-172393.00896000001</v>
      </c>
      <c r="H22" s="744">
        <v>-166002.43033900001</v>
      </c>
      <c r="I22" s="744">
        <v>-187058.30703299999</v>
      </c>
      <c r="J22" s="744">
        <f t="shared" ref="J22:J29" si="15">ROUND(BE22/10^3,)</f>
        <v>-172066</v>
      </c>
      <c r="K22" s="744">
        <f t="shared" ref="K22:Q23" si="16">J22*(1+K$15)</f>
        <v>-176558.38010960133</v>
      </c>
      <c r="L22" s="744">
        <f t="shared" si="16"/>
        <v>-179945.12651647473</v>
      </c>
      <c r="M22" s="744">
        <f t="shared" si="16"/>
        <v>-183446.87621734734</v>
      </c>
      <c r="N22" s="744">
        <f t="shared" si="16"/>
        <v>-187263.6188355932</v>
      </c>
      <c r="O22" s="744">
        <f t="shared" si="16"/>
        <v>-191161.07137511353</v>
      </c>
      <c r="P22" s="744">
        <f t="shared" si="16"/>
        <v>-195500.20354207046</v>
      </c>
      <c r="Q22" s="744">
        <f t="shared" si="16"/>
        <v>-200225.56999541415</v>
      </c>
      <c r="R22" s="757" t="s">
        <v>216</v>
      </c>
      <c r="S22" s="766"/>
      <c r="T22" s="776"/>
      <c r="V22" s="733" t="s">
        <v>223</v>
      </c>
      <c r="W22" s="865" t="s">
        <v>489</v>
      </c>
      <c r="X22" s="732">
        <f t="shared" si="9"/>
        <v>520416.24427299999</v>
      </c>
      <c r="Y22" s="732">
        <f t="shared" si="9"/>
        <v>496327.56355499994</v>
      </c>
      <c r="Z22" s="732">
        <f t="shared" si="9"/>
        <v>483577.30939299997</v>
      </c>
      <c r="AA22" s="732">
        <f t="shared" si="9"/>
        <v>471667.35913200001</v>
      </c>
      <c r="AB22" s="732">
        <f t="shared" si="9"/>
        <v>473035.24103500007</v>
      </c>
      <c r="AC22" s="732">
        <f t="shared" si="9"/>
        <v>525373.26372100005</v>
      </c>
      <c r="AD22" s="732">
        <f t="shared" si="9"/>
        <v>556520</v>
      </c>
      <c r="AE22" s="732">
        <f t="shared" si="9"/>
        <v>544757.21132981591</v>
      </c>
      <c r="AF22" s="732">
        <f t="shared" si="9"/>
        <v>551360.04837680305</v>
      </c>
      <c r="AG22" s="732">
        <f t="shared" si="9"/>
        <v>557633.93634899578</v>
      </c>
      <c r="AH22" s="732">
        <f t="shared" si="9"/>
        <v>567865.84060792392</v>
      </c>
      <c r="AI22" s="732">
        <f t="shared" si="9"/>
        <v>578482.59515732888</v>
      </c>
      <c r="AJ22" s="732">
        <f t="shared" si="9"/>
        <v>590152.51876014285</v>
      </c>
      <c r="AK22" s="732">
        <f t="shared" si="9"/>
        <v>602246.97018815146</v>
      </c>
      <c r="AM22" s="727">
        <f>AM20*AM17</f>
        <v>1503927632.5700533</v>
      </c>
      <c r="AN22" s="727">
        <f>AN20*AN17</f>
        <v>1688567550.0189879</v>
      </c>
      <c r="AO22" s="727">
        <f>AO20*AO17</f>
        <v>1902126849.5574493</v>
      </c>
      <c r="AP22" s="727">
        <f>AP20*AP17</f>
        <v>2123771623.1554065</v>
      </c>
      <c r="AQ22" s="727">
        <f>AQ20*AQ17</f>
        <v>2369637434.6302814</v>
      </c>
      <c r="AR22" s="727">
        <f t="shared" si="13"/>
        <v>1503927.6325700535</v>
      </c>
      <c r="AS22" s="728">
        <f t="shared" si="13"/>
        <v>1688567.5500189879</v>
      </c>
      <c r="AT22" s="728">
        <f t="shared" si="13"/>
        <v>1902126.8495574493</v>
      </c>
      <c r="AU22" s="728">
        <f t="shared" si="13"/>
        <v>2123771.6231554067</v>
      </c>
      <c r="AV22" s="728">
        <f t="shared" si="13"/>
        <v>2369637.4346302813</v>
      </c>
      <c r="AW22" s="728"/>
      <c r="AZ22" s="928">
        <f t="shared" si="11"/>
        <v>-172066258.74599999</v>
      </c>
      <c r="BA22" s="727">
        <f>SUMIFS('전사합(개별)'!V:V,'전사합(개별)'!B:B,'12. 추정 IS'!C22)</f>
        <v>-172066258.74599999</v>
      </c>
      <c r="BB22" s="928">
        <f>SUMIFS(SI본사부담!$V:$V,SI본사부담!$B:$B,'12. 추정 IS'!$C22)</f>
        <v>0</v>
      </c>
      <c r="BD22" s="727">
        <f>SUMIFS(홈쇼핑!V:V,홈쇼핑!B:B,'12. 추정 IS'!C22)</f>
        <v>0</v>
      </c>
      <c r="BE22" s="727">
        <f t="shared" si="14"/>
        <v>-172066258.74599999</v>
      </c>
      <c r="BL22" s="735"/>
    </row>
    <row r="23" spans="2:64" ht="16.5" customHeight="1" x14ac:dyDescent="0.3">
      <c r="B23" s="745"/>
      <c r="C23" s="751" t="s">
        <v>59</v>
      </c>
      <c r="D23" s="744">
        <v>-113243.63212899999</v>
      </c>
      <c r="E23" s="744">
        <v>-109690.82596100001</v>
      </c>
      <c r="F23" s="744">
        <v>-119577.34546500001</v>
      </c>
      <c r="G23" s="744">
        <v>-144776.659958</v>
      </c>
      <c r="H23" s="744">
        <v>-146626.77945700003</v>
      </c>
      <c r="I23" s="744">
        <v>-153990.88138899996</v>
      </c>
      <c r="J23" s="744">
        <f t="shared" si="15"/>
        <v>-147477</v>
      </c>
      <c r="K23" s="744">
        <f t="shared" si="16"/>
        <v>-151327.39892496879</v>
      </c>
      <c r="L23" s="744">
        <f t="shared" si="16"/>
        <v>-154230.16414207424</v>
      </c>
      <c r="M23" s="744">
        <f t="shared" si="16"/>
        <v>-157231.49816875928</v>
      </c>
      <c r="N23" s="744">
        <f t="shared" si="16"/>
        <v>-160502.81121788605</v>
      </c>
      <c r="O23" s="744">
        <f t="shared" si="16"/>
        <v>-163843.30038001476</v>
      </c>
      <c r="P23" s="744">
        <f t="shared" si="16"/>
        <v>-167562.35117788482</v>
      </c>
      <c r="Q23" s="744">
        <f t="shared" si="16"/>
        <v>-171612.44165735063</v>
      </c>
      <c r="R23" s="757" t="s">
        <v>216</v>
      </c>
      <c r="S23" s="766"/>
      <c r="T23" s="776"/>
      <c r="V23" s="733"/>
      <c r="W23" s="732" t="s">
        <v>818</v>
      </c>
      <c r="X23" s="732">
        <f>X17-X18</f>
        <v>180325.41681400081</v>
      </c>
      <c r="Y23" s="732">
        <f t="shared" ref="Y23:AK23" si="17">Y17-Y18</f>
        <v>259756.72478700033</v>
      </c>
      <c r="Z23" s="732">
        <f t="shared" si="17"/>
        <v>156683.31293899938</v>
      </c>
      <c r="AA23" s="732">
        <f t="shared" si="17"/>
        <v>113842.71419199998</v>
      </c>
      <c r="AB23" s="732">
        <f t="shared" si="17"/>
        <v>198072.61712900223</v>
      </c>
      <c r="AC23" s="732">
        <f t="shared" si="17"/>
        <v>145542.36538400035</v>
      </c>
      <c r="AD23" s="732">
        <f t="shared" si="17"/>
        <v>196884</v>
      </c>
      <c r="AE23" s="732">
        <f t="shared" si="17"/>
        <v>180806.2306164226</v>
      </c>
      <c r="AF23" s="732">
        <f t="shared" si="17"/>
        <v>182467.58521686238</v>
      </c>
      <c r="AG23" s="732">
        <f t="shared" si="17"/>
        <v>182018.92178671621</v>
      </c>
      <c r="AH23" s="732">
        <f t="shared" si="17"/>
        <v>190898.61862547114</v>
      </c>
      <c r="AI23" s="732">
        <f t="shared" si="17"/>
        <v>202061.91024606396</v>
      </c>
      <c r="AJ23" s="732">
        <f t="shared" si="17"/>
        <v>214079.71902382933</v>
      </c>
      <c r="AK23" s="732">
        <f t="shared" si="17"/>
        <v>226288.9641763526</v>
      </c>
      <c r="AM23" s="727">
        <f>AM20*AM18</f>
        <v>254088704.38700941</v>
      </c>
      <c r="AN23" s="727">
        <f>AN20*AN18</f>
        <v>75801527.681451783</v>
      </c>
      <c r="AO23" s="727">
        <f>AO20*AO18</f>
        <v>53905999.912061706</v>
      </c>
      <c r="AP23" s="727">
        <f>AP20*AP18</f>
        <v>46133041.262025595</v>
      </c>
      <c r="AQ23" s="727">
        <f>AQ20*AQ18</f>
        <v>53088216.079212718</v>
      </c>
      <c r="AR23" s="727">
        <f t="shared" si="13"/>
        <v>254088.70438700941</v>
      </c>
      <c r="AS23" s="728">
        <f t="shared" si="13"/>
        <v>75801.527681451786</v>
      </c>
      <c r="AT23" s="728">
        <f t="shared" si="13"/>
        <v>53905.999912061707</v>
      </c>
      <c r="AU23" s="728">
        <f t="shared" si="13"/>
        <v>46133.041262025596</v>
      </c>
      <c r="AV23" s="728">
        <f t="shared" si="13"/>
        <v>53088.216079212718</v>
      </c>
      <c r="AW23" s="728"/>
      <c r="AZ23" s="928">
        <f t="shared" si="11"/>
        <v>-151575110.43400002</v>
      </c>
      <c r="BA23" s="727">
        <f>SUMIFS('전사합(개별)'!V:V,'전사합(개별)'!B:B,'12. 추정 IS'!C23)</f>
        <v>-151575110.43400002</v>
      </c>
      <c r="BB23" s="928">
        <f>SUMIFS(SI본사부담!$V:$V,SI본사부담!$B:$B,'12. 추정 IS'!$C23)</f>
        <v>0</v>
      </c>
      <c r="BD23" s="727">
        <f>SUMIFS(홈쇼핑!V:V,홈쇼핑!B:B,'12. 추정 IS'!C23)</f>
        <v>-4098163.0260000001</v>
      </c>
      <c r="BE23" s="727">
        <f t="shared" si="14"/>
        <v>-147476947.40800002</v>
      </c>
      <c r="BL23" s="735"/>
    </row>
    <row r="24" spans="2:64" ht="16.5" customHeight="1" x14ac:dyDescent="0.3">
      <c r="B24" s="745"/>
      <c r="C24" s="751" t="s">
        <v>2</v>
      </c>
      <c r="D24" s="744">
        <v>1957.2021179999999</v>
      </c>
      <c r="E24" s="744">
        <v>0</v>
      </c>
      <c r="F24" s="744">
        <v>0</v>
      </c>
      <c r="G24" s="744">
        <v>0</v>
      </c>
      <c r="H24" s="744">
        <v>0</v>
      </c>
      <c r="I24" s="744">
        <v>0</v>
      </c>
      <c r="J24" s="744">
        <f t="shared" si="15"/>
        <v>0</v>
      </c>
      <c r="K24" s="744">
        <v>0</v>
      </c>
      <c r="L24" s="744">
        <v>0</v>
      </c>
      <c r="M24" s="744">
        <v>0</v>
      </c>
      <c r="N24" s="744">
        <v>0</v>
      </c>
      <c r="O24" s="744">
        <v>0</v>
      </c>
      <c r="P24" s="744">
        <v>0</v>
      </c>
      <c r="Q24" s="744">
        <v>0</v>
      </c>
      <c r="R24" s="757" t="s">
        <v>216</v>
      </c>
      <c r="S24" s="766"/>
      <c r="T24" s="776"/>
      <c r="V24" s="733"/>
      <c r="W24" s="732" t="s">
        <v>819</v>
      </c>
      <c r="X24" s="732">
        <f t="shared" ref="X24:AE24" si="18">SUM(X25:X27)</f>
        <v>89794.992033000017</v>
      </c>
      <c r="Y24" s="732">
        <f t="shared" si="18"/>
        <v>103236.47491400001</v>
      </c>
      <c r="Z24" s="732">
        <f t="shared" si="18"/>
        <v>753592.57043499989</v>
      </c>
      <c r="AA24" s="732">
        <f t="shared" si="18"/>
        <v>189268.99296599999</v>
      </c>
      <c r="AB24" s="732">
        <f t="shared" si="18"/>
        <v>140017.76165399997</v>
      </c>
      <c r="AC24" s="732">
        <f t="shared" si="18"/>
        <v>160049.56030099999</v>
      </c>
      <c r="AD24" s="732">
        <f t="shared" si="18"/>
        <v>151698</v>
      </c>
      <c r="AE24" s="732">
        <f t="shared" si="18"/>
        <v>80128.396753275694</v>
      </c>
      <c r="AF24" s="732">
        <f t="shared" ref="AF24:AK24" si="19">SUM(AF25:AF27)</f>
        <v>95919.90685383747</v>
      </c>
      <c r="AG24" s="732">
        <f t="shared" si="19"/>
        <v>103050.87595056643</v>
      </c>
      <c r="AH24" s="732">
        <f t="shared" si="19"/>
        <v>104083.19748036207</v>
      </c>
      <c r="AI24" s="732">
        <f t="shared" si="19"/>
        <v>106242.14108134755</v>
      </c>
      <c r="AJ24" s="732">
        <f t="shared" si="19"/>
        <v>104513.0557627587</v>
      </c>
      <c r="AK24" s="732">
        <f t="shared" si="19"/>
        <v>104946.13144148946</v>
      </c>
      <c r="AZ24" s="928">
        <f t="shared" si="11"/>
        <v>0</v>
      </c>
      <c r="BA24" s="727">
        <f>SUMIFS('전사합(개별)'!V:V,'전사합(개별)'!B:B,'12. 추정 IS'!C24)</f>
        <v>0</v>
      </c>
      <c r="BB24" s="928">
        <f>SUMIFS(SI본사부담!$V:$V,SI본사부담!$B:$B,'12. 추정 IS'!$C24)</f>
        <v>0</v>
      </c>
      <c r="BD24" s="727">
        <f>SUMIFS(홈쇼핑!V:V,홈쇼핑!B:B,'12. 추정 IS'!C24)</f>
        <v>0</v>
      </c>
      <c r="BE24" s="727">
        <f t="shared" si="14"/>
        <v>0</v>
      </c>
      <c r="BL24" s="735"/>
    </row>
    <row r="25" spans="2:64" ht="16.5" customHeight="1" x14ac:dyDescent="0.3">
      <c r="B25" s="745"/>
      <c r="C25" s="751" t="s">
        <v>3</v>
      </c>
      <c r="D25" s="744">
        <v>887603.28438600001</v>
      </c>
      <c r="E25" s="744">
        <v>915579.85097000003</v>
      </c>
      <c r="F25" s="744">
        <v>877865.15577800001</v>
      </c>
      <c r="G25" s="744">
        <v>945029.32138900005</v>
      </c>
      <c r="H25" s="744">
        <v>754652.55865799927</v>
      </c>
      <c r="I25" s="744">
        <v>742184.26991699997</v>
      </c>
      <c r="J25" s="744">
        <f t="shared" si="15"/>
        <v>1008120</v>
      </c>
      <c r="K25" s="744">
        <f t="shared" ref="K25:Q25" si="20">J25*(1+AQ25)</f>
        <v>997512.66934282263</v>
      </c>
      <c r="L25" s="744">
        <f t="shared" si="20"/>
        <v>990009.48589066486</v>
      </c>
      <c r="M25" s="744">
        <f t="shared" si="20"/>
        <v>985532.76903841714</v>
      </c>
      <c r="N25" s="744">
        <f t="shared" si="20"/>
        <v>984032.89372737578</v>
      </c>
      <c r="O25" s="744">
        <f t="shared" si="20"/>
        <v>985487.39974708366</v>
      </c>
      <c r="P25" s="744">
        <f t="shared" si="20"/>
        <v>989900.51788172638</v>
      </c>
      <c r="Q25" s="744">
        <f t="shared" si="20"/>
        <v>997303.09998572397</v>
      </c>
      <c r="R25" s="757" t="s">
        <v>216</v>
      </c>
      <c r="S25" s="766"/>
      <c r="T25" s="778"/>
      <c r="V25" s="733" t="s">
        <v>744</v>
      </c>
      <c r="W25" s="865" t="s">
        <v>820</v>
      </c>
      <c r="X25" s="732">
        <f t="shared" ref="X25:AK27" si="21">SUMIF($R$14:$R$111,$V25,D$14:D$111)</f>
        <v>1428.6924750000001</v>
      </c>
      <c r="Y25" s="732">
        <f t="shared" si="21"/>
        <v>2071.4127939999998</v>
      </c>
      <c r="Z25" s="732">
        <f t="shared" si="21"/>
        <v>17104.831460000001</v>
      </c>
      <c r="AA25" s="732">
        <f t="shared" si="21"/>
        <v>602.803316</v>
      </c>
      <c r="AB25" s="732">
        <f t="shared" si="21"/>
        <v>2133.0977069999999</v>
      </c>
      <c r="AC25" s="732">
        <f t="shared" si="21"/>
        <v>12202.504114000001</v>
      </c>
      <c r="AD25" s="732">
        <f t="shared" si="21"/>
        <v>6116</v>
      </c>
      <c r="AE25" s="732">
        <f t="shared" si="21"/>
        <v>10550.289764374216</v>
      </c>
      <c r="AF25" s="732">
        <f t="shared" si="21"/>
        <v>27153.573203370284</v>
      </c>
      <c r="AG25" s="732">
        <f t="shared" si="21"/>
        <v>27454.185860945545</v>
      </c>
      <c r="AH25" s="732">
        <f t="shared" si="21"/>
        <v>21719.349609563349</v>
      </c>
      <c r="AI25" s="732">
        <f t="shared" si="21"/>
        <v>25442.369557959726</v>
      </c>
      <c r="AJ25" s="732">
        <f t="shared" si="21"/>
        <v>24871.968342822875</v>
      </c>
      <c r="AK25" s="732">
        <f t="shared" si="21"/>
        <v>24011.229170115319</v>
      </c>
      <c r="AM25" s="755">
        <f>G25/F25-1</f>
        <v>7.6508522030899417E-2</v>
      </c>
      <c r="AN25" s="755">
        <f>H25/G25-1</f>
        <v>-0.20145064118347755</v>
      </c>
      <c r="AO25" s="755">
        <f>I25/H25-1</f>
        <v>-1.6521892886935508E-2</v>
      </c>
      <c r="AP25" s="755">
        <f>AO25+0.3%</f>
        <v>-1.3521892886935508E-2</v>
      </c>
      <c r="AQ25" s="755">
        <f t="shared" ref="AQ25:AW25" si="22">AP25+0.3%</f>
        <v>-1.0521892886935509E-2</v>
      </c>
      <c r="AR25" s="755">
        <f t="shared" si="22"/>
        <v>-7.5218928869355091E-3</v>
      </c>
      <c r="AS25" s="755">
        <f t="shared" si="22"/>
        <v>-4.521892886935509E-3</v>
      </c>
      <c r="AT25" s="755">
        <f t="shared" si="22"/>
        <v>-1.5218928869355089E-3</v>
      </c>
      <c r="AU25" s="755">
        <f t="shared" si="22"/>
        <v>1.4781071130644911E-3</v>
      </c>
      <c r="AV25" s="755">
        <f t="shared" si="22"/>
        <v>4.4781071130644912E-3</v>
      </c>
      <c r="AW25" s="755">
        <f t="shared" si="22"/>
        <v>7.4781071130644913E-3</v>
      </c>
      <c r="AZ25" s="928">
        <f t="shared" si="11"/>
        <v>1008120302.0160005</v>
      </c>
      <c r="BA25" s="727">
        <f>SUMIFS('전사합(개별)'!V:V,'전사합(개별)'!B:B,'12. 추정 IS'!C25)</f>
        <v>1008120302.0160005</v>
      </c>
      <c r="BB25" s="928">
        <f>SUMIFS(SI본사부담!$V:$V,SI본사부담!$B:$B,'12. 추정 IS'!$C25)</f>
        <v>0</v>
      </c>
      <c r="BD25" s="727">
        <f>SUMIFS(홈쇼핑!V:V,홈쇼핑!B:B,'12. 추정 IS'!C25)</f>
        <v>0</v>
      </c>
      <c r="BE25" s="727">
        <f t="shared" si="14"/>
        <v>1008120302.0160005</v>
      </c>
      <c r="BL25" s="735"/>
    </row>
    <row r="26" spans="2:64" ht="16.5" customHeight="1" x14ac:dyDescent="0.3">
      <c r="B26" s="745"/>
      <c r="C26" s="751" t="s">
        <v>60</v>
      </c>
      <c r="D26" s="744">
        <v>0</v>
      </c>
      <c r="E26" s="744">
        <v>0</v>
      </c>
      <c r="F26" s="744">
        <v>0</v>
      </c>
      <c r="G26" s="744">
        <v>0</v>
      </c>
      <c r="H26" s="744">
        <v>0</v>
      </c>
      <c r="I26" s="744">
        <v>0</v>
      </c>
      <c r="J26" s="744">
        <f t="shared" si="15"/>
        <v>0</v>
      </c>
      <c r="K26" s="744">
        <v>0</v>
      </c>
      <c r="L26" s="744">
        <v>0</v>
      </c>
      <c r="M26" s="744">
        <v>0</v>
      </c>
      <c r="N26" s="744">
        <v>0</v>
      </c>
      <c r="O26" s="744">
        <v>0</v>
      </c>
      <c r="P26" s="744">
        <v>0</v>
      </c>
      <c r="Q26" s="744">
        <v>0</v>
      </c>
      <c r="R26" s="757" t="s">
        <v>216</v>
      </c>
      <c r="S26" s="766"/>
      <c r="T26" s="776"/>
      <c r="V26" s="733" t="s">
        <v>225</v>
      </c>
      <c r="W26" s="865" t="s">
        <v>494</v>
      </c>
      <c r="X26" s="732">
        <f t="shared" si="21"/>
        <v>0</v>
      </c>
      <c r="Y26" s="732">
        <f t="shared" si="21"/>
        <v>0</v>
      </c>
      <c r="Z26" s="732">
        <f t="shared" si="21"/>
        <v>28359.628100999998</v>
      </c>
      <c r="AA26" s="732">
        <f t="shared" si="21"/>
        <v>14673.927170999999</v>
      </c>
      <c r="AB26" s="732">
        <f t="shared" si="21"/>
        <v>0</v>
      </c>
      <c r="AC26" s="732">
        <f t="shared" si="21"/>
        <v>1052.0385900000001</v>
      </c>
      <c r="AD26" s="732">
        <f t="shared" si="21"/>
        <v>9180</v>
      </c>
      <c r="AE26" s="732">
        <f t="shared" si="21"/>
        <v>-162.95277600000006</v>
      </c>
      <c r="AF26" s="732">
        <f t="shared" si="21"/>
        <v>-162.95277600000006</v>
      </c>
      <c r="AG26" s="732">
        <f t="shared" si="21"/>
        <v>-162.95277600000006</v>
      </c>
      <c r="AH26" s="732">
        <f t="shared" si="21"/>
        <v>0</v>
      </c>
      <c r="AI26" s="732">
        <f t="shared" si="21"/>
        <v>0</v>
      </c>
      <c r="AJ26" s="732">
        <f t="shared" si="21"/>
        <v>0</v>
      </c>
      <c r="AK26" s="732">
        <f t="shared" si="21"/>
        <v>0</v>
      </c>
      <c r="AZ26" s="928">
        <f t="shared" si="11"/>
        <v>0</v>
      </c>
      <c r="BA26" s="727">
        <f>SUMIFS('전사합(개별)'!V:V,'전사합(개별)'!B:B,'12. 추정 IS'!C26)</f>
        <v>0</v>
      </c>
      <c r="BB26" s="928">
        <f>SUMIFS(SI본사부담!$V:$V,SI본사부담!$B:$B,'12. 추정 IS'!$C26)</f>
        <v>0</v>
      </c>
      <c r="BD26" s="727">
        <f>SUMIFS(홈쇼핑!V:V,홈쇼핑!B:B,'12. 추정 IS'!C26)</f>
        <v>0</v>
      </c>
      <c r="BE26" s="727">
        <f t="shared" si="14"/>
        <v>0</v>
      </c>
      <c r="BL26" s="735"/>
    </row>
    <row r="27" spans="2:64" ht="16.5" customHeight="1" x14ac:dyDescent="0.3">
      <c r="B27" s="745"/>
      <c r="C27" s="751" t="s">
        <v>4</v>
      </c>
      <c r="D27" s="744">
        <v>78520.020843999999</v>
      </c>
      <c r="E27" s="744">
        <v>80116.811395000012</v>
      </c>
      <c r="F27" s="744">
        <v>83129.366704999993</v>
      </c>
      <c r="G27" s="744">
        <v>95573.427169000002</v>
      </c>
      <c r="H27" s="744">
        <v>112741.153802</v>
      </c>
      <c r="I27" s="744">
        <v>120932.01437099998</v>
      </c>
      <c r="J27" s="744">
        <f t="shared" si="15"/>
        <v>120379</v>
      </c>
      <c r="K27" s="744">
        <v>130420.20407921282</v>
      </c>
      <c r="L27" s="744">
        <v>137481.52924078409</v>
      </c>
      <c r="M27" s="744">
        <v>145619.8534352007</v>
      </c>
      <c r="N27" s="744">
        <v>153871.59183545082</v>
      </c>
      <c r="O27" s="744">
        <v>162785.41569452666</v>
      </c>
      <c r="P27" s="744">
        <v>172112.71067355885</v>
      </c>
      <c r="Q27" s="744">
        <v>182028.83663068461</v>
      </c>
      <c r="R27" s="757" t="s">
        <v>216</v>
      </c>
      <c r="S27" s="766"/>
      <c r="T27" s="776"/>
      <c r="V27" s="733" t="s">
        <v>229</v>
      </c>
      <c r="W27" s="865" t="s">
        <v>726</v>
      </c>
      <c r="X27" s="732">
        <f t="shared" si="21"/>
        <v>88366.299558000013</v>
      </c>
      <c r="Y27" s="732">
        <f t="shared" si="21"/>
        <v>101165.06212</v>
      </c>
      <c r="Z27" s="732">
        <f t="shared" si="21"/>
        <v>708128.11087399989</v>
      </c>
      <c r="AA27" s="732">
        <f t="shared" si="21"/>
        <v>173992.262479</v>
      </c>
      <c r="AB27" s="732">
        <f t="shared" si="21"/>
        <v>137884.66394699996</v>
      </c>
      <c r="AC27" s="732">
        <f t="shared" si="21"/>
        <v>146795.017597</v>
      </c>
      <c r="AD27" s="732">
        <f t="shared" si="21"/>
        <v>136402</v>
      </c>
      <c r="AE27" s="732">
        <f t="shared" si="21"/>
        <v>69741.059764901482</v>
      </c>
      <c r="AF27" s="732">
        <f t="shared" si="21"/>
        <v>68929.286426467181</v>
      </c>
      <c r="AG27" s="732">
        <f t="shared" si="21"/>
        <v>75759.642865620888</v>
      </c>
      <c r="AH27" s="732">
        <f t="shared" si="21"/>
        <v>82363.847870798723</v>
      </c>
      <c r="AI27" s="732">
        <f t="shared" si="21"/>
        <v>80799.771523387826</v>
      </c>
      <c r="AJ27" s="732">
        <f t="shared" si="21"/>
        <v>79641.087419935822</v>
      </c>
      <c r="AK27" s="732">
        <f t="shared" si="21"/>
        <v>80934.902271374143</v>
      </c>
      <c r="AZ27" s="928">
        <f t="shared" si="11"/>
        <v>123534050.37199999</v>
      </c>
      <c r="BA27" s="727">
        <f>SUMIFS('전사합(개별)'!V:V,'전사합(개별)'!B:B,'12. 추정 IS'!C27)</f>
        <v>123534050.37199999</v>
      </c>
      <c r="BB27" s="928">
        <f>SUMIFS(SI본사부담!$V:$V,SI본사부담!$B:$B,'12. 추정 IS'!$C27)</f>
        <v>0</v>
      </c>
      <c r="BD27" s="727">
        <f>SUMIFS(홈쇼핑!V:V,홈쇼핑!B:B,'12. 추정 IS'!C27)</f>
        <v>3155098.6270000003</v>
      </c>
      <c r="BE27" s="727">
        <f t="shared" si="14"/>
        <v>120378951.74499999</v>
      </c>
      <c r="BL27" s="735"/>
    </row>
    <row r="28" spans="2:64" ht="16.5" customHeight="1" x14ac:dyDescent="0.3">
      <c r="B28" s="745"/>
      <c r="C28" s="751" t="s">
        <v>61</v>
      </c>
      <c r="D28" s="744">
        <v>0</v>
      </c>
      <c r="E28" s="744">
        <v>0</v>
      </c>
      <c r="F28" s="744">
        <v>0</v>
      </c>
      <c r="G28" s="744">
        <v>0</v>
      </c>
      <c r="H28" s="744">
        <v>223112.67815399999</v>
      </c>
      <c r="I28" s="744">
        <v>241252.53451</v>
      </c>
      <c r="J28" s="744">
        <f t="shared" si="15"/>
        <v>0</v>
      </c>
      <c r="K28" s="744">
        <v>0</v>
      </c>
      <c r="L28" s="744">
        <v>0</v>
      </c>
      <c r="M28" s="744">
        <v>0</v>
      </c>
      <c r="N28" s="744">
        <v>0</v>
      </c>
      <c r="O28" s="744">
        <v>0</v>
      </c>
      <c r="P28" s="744">
        <v>0</v>
      </c>
      <c r="Q28" s="744">
        <v>0</v>
      </c>
      <c r="R28" s="757" t="s">
        <v>216</v>
      </c>
      <c r="S28" s="766"/>
      <c r="T28" s="776"/>
      <c r="V28" s="733"/>
      <c r="W28" s="732" t="s">
        <v>821</v>
      </c>
      <c r="X28" s="732">
        <f t="shared" ref="X28:AE28" si="23">SUM(X29:X31)</f>
        <v>112897.433024</v>
      </c>
      <c r="Y28" s="732">
        <f t="shared" si="23"/>
        <v>104420.52753300001</v>
      </c>
      <c r="Z28" s="732">
        <f t="shared" si="23"/>
        <v>154479.76465599998</v>
      </c>
      <c r="AA28" s="732">
        <f t="shared" si="23"/>
        <v>356684.63119300007</v>
      </c>
      <c r="AB28" s="732">
        <f t="shared" si="23"/>
        <v>403856.843268</v>
      </c>
      <c r="AC28" s="732">
        <f t="shared" si="23"/>
        <v>475926.90068399999</v>
      </c>
      <c r="AD28" s="732">
        <f t="shared" si="23"/>
        <v>350363</v>
      </c>
      <c r="AE28" s="732">
        <f t="shared" si="23"/>
        <v>177047.42430158678</v>
      </c>
      <c r="AF28" s="732">
        <f t="shared" ref="AF28:AK28" si="24">SUM(AF29:AF31)</f>
        <v>155636.40343997173</v>
      </c>
      <c r="AG28" s="732">
        <f t="shared" si="24"/>
        <v>157884.38476550957</v>
      </c>
      <c r="AH28" s="732">
        <f t="shared" si="24"/>
        <v>163755.40416902266</v>
      </c>
      <c r="AI28" s="732">
        <f t="shared" si="24"/>
        <v>159092.06412483464</v>
      </c>
      <c r="AJ28" s="732">
        <f t="shared" si="24"/>
        <v>160243.95101978898</v>
      </c>
      <c r="AK28" s="732">
        <f t="shared" si="24"/>
        <v>161030.47310454876</v>
      </c>
      <c r="AZ28" s="928">
        <f t="shared" si="11"/>
        <v>259595401.273</v>
      </c>
      <c r="BA28" s="727">
        <f>SUMIFS('전사합(개별)'!V:V,'전사합(개별)'!B:B,'12. 추정 IS'!C28)</f>
        <v>259595401.273</v>
      </c>
      <c r="BB28" s="928">
        <f>SUMIFS(SI본사부담!$V:$V,SI본사부담!$B:$B,'12. 추정 IS'!$C28)</f>
        <v>0</v>
      </c>
      <c r="BD28" s="727">
        <f>SUMIFS(홈쇼핑!V:V,홈쇼핑!B:B,'12. 추정 IS'!C28)</f>
        <v>259595401.273</v>
      </c>
      <c r="BE28" s="727">
        <f t="shared" si="14"/>
        <v>0</v>
      </c>
      <c r="BL28" s="735"/>
    </row>
    <row r="29" spans="2:64" ht="16.5" customHeight="1" x14ac:dyDescent="0.3">
      <c r="B29" s="745"/>
      <c r="C29" s="751" t="s">
        <v>5</v>
      </c>
      <c r="D29" s="744">
        <v>71518.803240000008</v>
      </c>
      <c r="E29" s="744">
        <v>94502.577954000008</v>
      </c>
      <c r="F29" s="744">
        <v>112383.127517</v>
      </c>
      <c r="G29" s="744">
        <v>93916.945313000004</v>
      </c>
      <c r="H29" s="744">
        <v>85839.99151800001</v>
      </c>
      <c r="I29" s="744">
        <v>88865.808450000011</v>
      </c>
      <c r="J29" s="744">
        <f t="shared" si="15"/>
        <v>80755</v>
      </c>
      <c r="K29" s="744">
        <v>79913.364600970803</v>
      </c>
      <c r="L29" s="744">
        <v>82522.159737072085</v>
      </c>
      <c r="M29" s="744">
        <v>85447.213679322536</v>
      </c>
      <c r="N29" s="744">
        <v>88356.224535697547</v>
      </c>
      <c r="O29" s="744">
        <v>91426.150137418794</v>
      </c>
      <c r="P29" s="744">
        <v>94570.720094523305</v>
      </c>
      <c r="Q29" s="744">
        <v>97840.005578217664</v>
      </c>
      <c r="R29" s="757" t="s">
        <v>216</v>
      </c>
      <c r="S29" s="766"/>
      <c r="T29" s="776"/>
      <c r="V29" s="733" t="s">
        <v>822</v>
      </c>
      <c r="W29" s="865" t="s">
        <v>823</v>
      </c>
      <c r="X29" s="732">
        <f t="shared" ref="X29:AK31" si="25">SUMIF($R$14:$R$111,$V29,D$14:D$111)</f>
        <v>29160.483480000003</v>
      </c>
      <c r="Y29" s="732">
        <f t="shared" si="25"/>
        <v>19306.331939</v>
      </c>
      <c r="Z29" s="732">
        <f t="shared" si="25"/>
        <v>8628.5362480000003</v>
      </c>
      <c r="AA29" s="732">
        <f t="shared" si="25"/>
        <v>8579.0016930000002</v>
      </c>
      <c r="AB29" s="732">
        <f t="shared" si="25"/>
        <v>8337.5742089999985</v>
      </c>
      <c r="AC29" s="732">
        <f t="shared" si="25"/>
        <v>22583.967929000002</v>
      </c>
      <c r="AD29" s="732">
        <f t="shared" si="25"/>
        <v>9553</v>
      </c>
      <c r="AE29" s="732">
        <f t="shared" si="25"/>
        <v>16920.436030211538</v>
      </c>
      <c r="AF29" s="732">
        <f t="shared" si="25"/>
        <v>13566.267556315304</v>
      </c>
      <c r="AG29" s="732">
        <f t="shared" si="25"/>
        <v>13066.099688296825</v>
      </c>
      <c r="AH29" s="732">
        <f t="shared" si="25"/>
        <v>14446.934424941222</v>
      </c>
      <c r="AI29" s="732">
        <f t="shared" si="25"/>
        <v>13693.100556517784</v>
      </c>
      <c r="AJ29" s="732">
        <f t="shared" si="25"/>
        <v>13735.378223251944</v>
      </c>
      <c r="AK29" s="732">
        <f t="shared" si="25"/>
        <v>13958.471068236984</v>
      </c>
      <c r="AZ29" s="928">
        <f t="shared" si="11"/>
        <v>632884682.39999986</v>
      </c>
      <c r="BA29" s="727">
        <f>SUMIFS('전사합(개별)'!V:V,'전사합(개별)'!B:B,'12. 추정 IS'!C29)</f>
        <v>632884682.39999986</v>
      </c>
      <c r="BB29" s="928">
        <f>SUMIFS(SI본사부담!$V:$V,SI본사부담!$B:$B,'12. 추정 IS'!$C29)</f>
        <v>0</v>
      </c>
      <c r="BD29" s="727">
        <f>SUMIFS(홈쇼핑!V:V,홈쇼핑!B:B,'12. 추정 IS'!C29)</f>
        <v>552129599.47899997</v>
      </c>
      <c r="BE29" s="727">
        <f t="shared" si="14"/>
        <v>80755082.920999885</v>
      </c>
      <c r="BL29" s="735"/>
    </row>
    <row r="30" spans="2:64" ht="16.5" customHeight="1" x14ac:dyDescent="0.3">
      <c r="B30" s="1165" t="s">
        <v>6</v>
      </c>
      <c r="C30" s="1166"/>
      <c r="D30" s="812">
        <f t="shared" ref="D30:Q30" si="26">SUM(D32:D39)</f>
        <v>6792417.8848399995</v>
      </c>
      <c r="E30" s="812">
        <f t="shared" si="26"/>
        <v>6768038.416712</v>
      </c>
      <c r="F30" s="812">
        <f t="shared" si="26"/>
        <v>6991831.8753980007</v>
      </c>
      <c r="G30" s="812">
        <f t="shared" si="26"/>
        <v>7522688.3692529993</v>
      </c>
      <c r="H30" s="812">
        <f t="shared" si="26"/>
        <v>7836897.9117230019</v>
      </c>
      <c r="I30" s="812">
        <f t="shared" si="26"/>
        <v>8333322.0477119992</v>
      </c>
      <c r="J30" s="812">
        <f t="shared" si="26"/>
        <v>8671279</v>
      </c>
      <c r="K30" s="812">
        <f t="shared" si="26"/>
        <v>8869388.0895608906</v>
      </c>
      <c r="L30" s="812">
        <f t="shared" si="26"/>
        <v>9043459.5662013851</v>
      </c>
      <c r="M30" s="812">
        <f t="shared" si="26"/>
        <v>9224207.7350209337</v>
      </c>
      <c r="N30" s="812">
        <f t="shared" si="26"/>
        <v>9420667.215561064</v>
      </c>
      <c r="O30" s="812">
        <f t="shared" si="26"/>
        <v>9610801.9657664374</v>
      </c>
      <c r="P30" s="812">
        <f t="shared" si="26"/>
        <v>9822695.321559133</v>
      </c>
      <c r="Q30" s="812">
        <f t="shared" si="26"/>
        <v>10053692.627560558</v>
      </c>
      <c r="R30" s="757"/>
      <c r="S30" s="766"/>
      <c r="T30" s="776"/>
      <c r="V30" s="733" t="s">
        <v>228</v>
      </c>
      <c r="W30" s="865" t="s">
        <v>491</v>
      </c>
      <c r="X30" s="732">
        <f t="shared" si="25"/>
        <v>728.62706000000003</v>
      </c>
      <c r="Y30" s="732">
        <f t="shared" si="25"/>
        <v>3918.4150490000002</v>
      </c>
      <c r="Z30" s="732">
        <f t="shared" si="25"/>
        <v>1214.5052049999999</v>
      </c>
      <c r="AA30" s="732">
        <f t="shared" si="25"/>
        <v>0</v>
      </c>
      <c r="AB30" s="732">
        <f t="shared" si="25"/>
        <v>11191.715326</v>
      </c>
      <c r="AC30" s="732">
        <f t="shared" si="25"/>
        <v>0</v>
      </c>
      <c r="AD30" s="732">
        <f t="shared" si="25"/>
        <v>0</v>
      </c>
      <c r="AE30" s="732">
        <f t="shared" si="25"/>
        <v>0</v>
      </c>
      <c r="AF30" s="732">
        <f t="shared" si="25"/>
        <v>0</v>
      </c>
      <c r="AG30" s="732">
        <f t="shared" si="25"/>
        <v>0</v>
      </c>
      <c r="AH30" s="732">
        <f t="shared" si="25"/>
        <v>0</v>
      </c>
      <c r="AI30" s="732">
        <f t="shared" si="25"/>
        <v>0</v>
      </c>
      <c r="AJ30" s="732">
        <f t="shared" si="25"/>
        <v>0</v>
      </c>
      <c r="AK30" s="732">
        <f t="shared" si="25"/>
        <v>0</v>
      </c>
      <c r="AZ30" s="928">
        <f t="shared" si="11"/>
        <v>8902467317.4400005</v>
      </c>
      <c r="BA30" s="727">
        <f>SUMIFS('전사합(개별)'!V:V,'전사합(개별)'!A:A,'12. 추정 IS'!B30)</f>
        <v>8902467317.4400005</v>
      </c>
      <c r="BB30" s="928">
        <f>SUMIFS(SI본사부담!$V:$V,SI본사부담!$A:$A,'12. 추정 IS'!$B30)</f>
        <v>0</v>
      </c>
      <c r="BD30" s="727">
        <f>SUMIFS(홈쇼핑!V:V,홈쇼핑!A:A,'12. 추정 IS'!B30)</f>
        <v>231188447.45399997</v>
      </c>
      <c r="BE30" s="727">
        <f t="shared" si="14"/>
        <v>8671278869.9860001</v>
      </c>
      <c r="BF30" s="727" t="b">
        <f>AZ30=SUM(AZ31:AZ39)</f>
        <v>1</v>
      </c>
      <c r="BG30" s="727" t="b">
        <f>BA30=SUM(BA31:BA39)</f>
        <v>1</v>
      </c>
      <c r="BH30" s="727" t="b">
        <f>BD30=SUM(BD31:BD39)</f>
        <v>1</v>
      </c>
      <c r="BI30" s="727" t="b">
        <f>BE30=SUM(BE31:BE39)</f>
        <v>1</v>
      </c>
      <c r="BL30" s="735"/>
    </row>
    <row r="31" spans="2:64" ht="16.5" customHeight="1" x14ac:dyDescent="0.3">
      <c r="B31" s="867" t="s">
        <v>824</v>
      </c>
      <c r="C31" s="868"/>
      <c r="D31" s="861">
        <f t="shared" ref="D31:Q31" si="27">D30/D19</f>
        <v>0.78788242513771367</v>
      </c>
      <c r="E31" s="861">
        <f t="shared" si="27"/>
        <v>0.78980583796371018</v>
      </c>
      <c r="F31" s="861">
        <f t="shared" si="27"/>
        <v>0.80224534176478979</v>
      </c>
      <c r="G31" s="861">
        <f t="shared" si="27"/>
        <v>0.80628829066071506</v>
      </c>
      <c r="H31" s="861">
        <f t="shared" si="27"/>
        <v>0.80330409290987159</v>
      </c>
      <c r="I31" s="861">
        <f t="shared" si="27"/>
        <v>0.80702691725621778</v>
      </c>
      <c r="J31" s="861">
        <f t="shared" si="27"/>
        <v>0.80847060854965358</v>
      </c>
      <c r="K31" s="861">
        <f t="shared" si="27"/>
        <v>0.80832280748281404</v>
      </c>
      <c r="L31" s="861">
        <f t="shared" si="27"/>
        <v>0.81019657394599787</v>
      </c>
      <c r="M31" s="861">
        <f t="shared" si="27"/>
        <v>0.81182500610704111</v>
      </c>
      <c r="N31" s="861">
        <f t="shared" si="27"/>
        <v>0.81331420164283663</v>
      </c>
      <c r="O31" s="861">
        <f t="shared" si="27"/>
        <v>0.81364380985514007</v>
      </c>
      <c r="P31" s="861">
        <f t="shared" si="27"/>
        <v>0.8138838282611448</v>
      </c>
      <c r="Q31" s="861">
        <f t="shared" si="27"/>
        <v>0.81400850080544107</v>
      </c>
      <c r="R31" s="757"/>
      <c r="S31" s="766"/>
      <c r="T31" s="776"/>
      <c r="V31" s="733" t="s">
        <v>230</v>
      </c>
      <c r="W31" s="865" t="s">
        <v>317</v>
      </c>
      <c r="X31" s="732">
        <f t="shared" si="25"/>
        <v>83008.322483999989</v>
      </c>
      <c r="Y31" s="732">
        <f t="shared" si="25"/>
        <v>81195.780545000016</v>
      </c>
      <c r="Z31" s="732">
        <f t="shared" si="25"/>
        <v>144636.72320299997</v>
      </c>
      <c r="AA31" s="732">
        <f t="shared" si="25"/>
        <v>348105.62950000004</v>
      </c>
      <c r="AB31" s="732">
        <f t="shared" si="25"/>
        <v>384327.55373300001</v>
      </c>
      <c r="AC31" s="732">
        <f t="shared" si="25"/>
        <v>453342.93275500002</v>
      </c>
      <c r="AD31" s="732">
        <f t="shared" si="25"/>
        <v>340810</v>
      </c>
      <c r="AE31" s="732">
        <f t="shared" si="25"/>
        <v>160126.98827137524</v>
      </c>
      <c r="AF31" s="732">
        <f t="shared" si="25"/>
        <v>142070.13588365642</v>
      </c>
      <c r="AG31" s="732">
        <f t="shared" si="25"/>
        <v>144818.28507721276</v>
      </c>
      <c r="AH31" s="732">
        <f t="shared" si="25"/>
        <v>149308.46974408143</v>
      </c>
      <c r="AI31" s="732">
        <f t="shared" si="25"/>
        <v>145398.96356831686</v>
      </c>
      <c r="AJ31" s="732">
        <f t="shared" si="25"/>
        <v>146508.57279653705</v>
      </c>
      <c r="AK31" s="732">
        <f t="shared" si="25"/>
        <v>147072.00203631178</v>
      </c>
      <c r="AZ31" s="928">
        <f t="shared" si="11"/>
        <v>0</v>
      </c>
      <c r="BB31" s="928"/>
      <c r="BE31" s="727">
        <f t="shared" si="14"/>
        <v>0</v>
      </c>
      <c r="BL31" s="735"/>
    </row>
    <row r="32" spans="2:64" ht="16.5" customHeight="1" x14ac:dyDescent="0.3">
      <c r="B32" s="745"/>
      <c r="C32" s="751" t="s">
        <v>7</v>
      </c>
      <c r="D32" s="744">
        <v>6706563.8716679988</v>
      </c>
      <c r="E32" s="744">
        <v>6673093.9258430004</v>
      </c>
      <c r="F32" s="744">
        <v>7366903.5515029998</v>
      </c>
      <c r="G32" s="744">
        <v>7966320.2310180003</v>
      </c>
      <c r="H32" s="744">
        <v>8367012.681543001</v>
      </c>
      <c r="I32" s="744">
        <v>8935183.5320929997</v>
      </c>
      <c r="J32" s="744">
        <f t="shared" ref="J32:J39" si="28">ROUND(BE32/10^3,)</f>
        <v>9304933</v>
      </c>
      <c r="K32" s="744">
        <f>K21*K12</f>
        <v>9514022.1858368069</v>
      </c>
      <c r="L32" s="744">
        <f t="shared" ref="L32:Q32" si="29">(K$32/K$21)*L21</f>
        <v>9696520.3512186743</v>
      </c>
      <c r="M32" s="744">
        <f t="shared" si="29"/>
        <v>9885215.5823522396</v>
      </c>
      <c r="N32" s="744">
        <f t="shared" si="29"/>
        <v>10090884.517041596</v>
      </c>
      <c r="O32" s="744">
        <f t="shared" si="29"/>
        <v>10300902.585321471</v>
      </c>
      <c r="P32" s="744">
        <f t="shared" si="29"/>
        <v>10534720.995289208</v>
      </c>
      <c r="Q32" s="744">
        <f t="shared" si="29"/>
        <v>10789352.020140098</v>
      </c>
      <c r="R32" s="757" t="s">
        <v>217</v>
      </c>
      <c r="S32" s="766"/>
      <c r="T32" s="704" t="s">
        <v>8909</v>
      </c>
      <c r="V32" s="733"/>
      <c r="W32" s="732" t="s">
        <v>825</v>
      </c>
      <c r="X32" s="732">
        <f t="shared" ref="X32:AK32" si="30">X23+X24-X28</f>
        <v>157222.9758230008</v>
      </c>
      <c r="Y32" s="732">
        <f t="shared" si="30"/>
        <v>258572.67216800034</v>
      </c>
      <c r="Z32" s="732">
        <f t="shared" si="30"/>
        <v>755796.11871799931</v>
      </c>
      <c r="AA32" s="732">
        <f t="shared" si="30"/>
        <v>-53572.924035000091</v>
      </c>
      <c r="AB32" s="732">
        <f t="shared" si="30"/>
        <v>-65766.464484997792</v>
      </c>
      <c r="AC32" s="732">
        <f t="shared" si="30"/>
        <v>-170334.97499899962</v>
      </c>
      <c r="AD32" s="732">
        <f t="shared" si="30"/>
        <v>-1781</v>
      </c>
      <c r="AE32" s="732">
        <f t="shared" si="30"/>
        <v>83887.203068111528</v>
      </c>
      <c r="AF32" s="732">
        <f t="shared" si="30"/>
        <v>122751.08863072813</v>
      </c>
      <c r="AG32" s="732">
        <f t="shared" si="30"/>
        <v>127185.41297177307</v>
      </c>
      <c r="AH32" s="732">
        <f t="shared" si="30"/>
        <v>131226.41193681056</v>
      </c>
      <c r="AI32" s="732">
        <f t="shared" si="30"/>
        <v>149211.98720257686</v>
      </c>
      <c r="AJ32" s="732">
        <f t="shared" si="30"/>
        <v>158348.82376679906</v>
      </c>
      <c r="AK32" s="732">
        <f t="shared" si="30"/>
        <v>170204.62251329329</v>
      </c>
      <c r="AZ32" s="928">
        <f t="shared" si="11"/>
        <v>9444412993.9559994</v>
      </c>
      <c r="BA32" s="727">
        <f>SUMIFS('전사합(개별)'!V:V,'전사합(개별)'!B:B,'12. 추정 IS'!C32)</f>
        <v>9444412993.9559994</v>
      </c>
      <c r="BB32" s="928">
        <f>SUMIFS(SI본사부담!$V:$V,SI본사부담!$B:$B,'12. 추정 IS'!$C32)</f>
        <v>0</v>
      </c>
      <c r="BD32" s="727">
        <f>SUMIFS(홈쇼핑!V:V,홈쇼핑!B:B,'12. 추정 IS'!C32)</f>
        <v>139480347.35999998</v>
      </c>
      <c r="BE32" s="727">
        <f t="shared" si="14"/>
        <v>9304932646.5959988</v>
      </c>
      <c r="BL32" s="735"/>
    </row>
    <row r="33" spans="2:64" ht="16.5" customHeight="1" x14ac:dyDescent="0.3">
      <c r="B33" s="745"/>
      <c r="C33" s="751" t="s">
        <v>62</v>
      </c>
      <c r="D33" s="744">
        <v>3479.3266940000003</v>
      </c>
      <c r="E33" s="744">
        <v>14504.520076000001</v>
      </c>
      <c r="F33" s="744">
        <v>-464267.98694899998</v>
      </c>
      <c r="G33" s="744">
        <v>-537415.45705800003</v>
      </c>
      <c r="H33" s="744">
        <v>-634740.40771599999</v>
      </c>
      <c r="I33" s="744">
        <v>-727520.31414599996</v>
      </c>
      <c r="J33" s="744">
        <f t="shared" si="28"/>
        <v>-750694</v>
      </c>
      <c r="K33" s="744">
        <f>(J$33/J$21)*K21</f>
        <v>-770293.47226062708</v>
      </c>
      <c r="L33" s="744">
        <f>(K$33/K$21)*L21</f>
        <v>-785069.25717549364</v>
      </c>
      <c r="M33" s="744">
        <f>(L$33/L$21)*M21</f>
        <v>-800346.78143912996</v>
      </c>
      <c r="N33" s="744">
        <f>(M$33/M$21)*N21</f>
        <v>-816998.56495860184</v>
      </c>
      <c r="O33" s="744">
        <f>(N$33/N$21-0.1%)*O21</f>
        <v>-844929.82795790839</v>
      </c>
      <c r="P33" s="744">
        <f>(O$33/O$21-0.1%)*P21</f>
        <v>-875284.13861436083</v>
      </c>
      <c r="Q33" s="744">
        <f>(P$33/P$21-0.1%)*Q21</f>
        <v>-907885.83358585916</v>
      </c>
      <c r="R33" s="757" t="s">
        <v>217</v>
      </c>
      <c r="S33" s="766"/>
      <c r="T33" s="776"/>
      <c r="V33" s="733" t="s">
        <v>826</v>
      </c>
      <c r="W33" s="732" t="s">
        <v>827</v>
      </c>
      <c r="X33" s="732">
        <f t="shared" ref="X33:AK33" si="31">SUMIF($R$14:$R$111,$V33,D$14:D$111)</f>
        <v>42939.291668999998</v>
      </c>
      <c r="Y33" s="732">
        <f t="shared" si="31"/>
        <v>75662.99989799998</v>
      </c>
      <c r="Z33" s="732">
        <f t="shared" si="31"/>
        <v>53530.275034999999</v>
      </c>
      <c r="AA33" s="732">
        <f t="shared" si="31"/>
        <v>4550.9993780000004</v>
      </c>
      <c r="AB33" s="732">
        <f t="shared" si="31"/>
        <v>17289.079564000007</v>
      </c>
      <c r="AC33" s="732">
        <f t="shared" si="31"/>
        <v>-12003.278222000001</v>
      </c>
      <c r="AD33" s="732">
        <f t="shared" si="31"/>
        <v>-3844</v>
      </c>
      <c r="AE33" s="732">
        <f t="shared" si="31"/>
        <v>20300.703142483049</v>
      </c>
      <c r="AF33" s="732">
        <f t="shared" si="31"/>
        <v>29705.763448636149</v>
      </c>
      <c r="AG33" s="732">
        <f t="shared" si="31"/>
        <v>30778.869939169133</v>
      </c>
      <c r="AH33" s="732">
        <f t="shared" si="31"/>
        <v>31756.791688708206</v>
      </c>
      <c r="AI33" s="732">
        <f t="shared" si="31"/>
        <v>36109.300903023497</v>
      </c>
      <c r="AJ33" s="732">
        <f t="shared" si="31"/>
        <v>38320.41535156536</v>
      </c>
      <c r="AK33" s="732">
        <f t="shared" si="31"/>
        <v>41189.518648216981</v>
      </c>
      <c r="AZ33" s="928">
        <f t="shared" si="11"/>
        <v>-750693776.91400015</v>
      </c>
      <c r="BA33" s="727">
        <f>SUMIFS('전사합(개별)'!V:V,'전사합(개별)'!B:B,'12. 추정 IS'!C33)</f>
        <v>-750693776.91400015</v>
      </c>
      <c r="BB33" s="928">
        <f>SUMIFS(SI본사부담!$V:$V,SI본사부담!$B:$B,'12. 추정 IS'!$C33)</f>
        <v>0</v>
      </c>
      <c r="BD33" s="727">
        <f>SUMIFS(홈쇼핑!V:V,홈쇼핑!B:B,'12. 추정 IS'!C33)</f>
        <v>0</v>
      </c>
      <c r="BE33" s="727">
        <f t="shared" si="14"/>
        <v>-750693776.91400015</v>
      </c>
      <c r="BL33" s="735"/>
    </row>
    <row r="34" spans="2:64" ht="16.5" customHeight="1" x14ac:dyDescent="0.3">
      <c r="B34" s="745"/>
      <c r="C34" s="751" t="s">
        <v>63</v>
      </c>
      <c r="D34" s="744">
        <v>973.41022900000007</v>
      </c>
      <c r="E34" s="744">
        <v>0</v>
      </c>
      <c r="F34" s="744">
        <v>0</v>
      </c>
      <c r="G34" s="744">
        <v>0</v>
      </c>
      <c r="H34" s="744">
        <v>0</v>
      </c>
      <c r="I34" s="744">
        <v>0</v>
      </c>
      <c r="J34" s="744">
        <f t="shared" si="28"/>
        <v>0</v>
      </c>
      <c r="K34" s="744">
        <v>0</v>
      </c>
      <c r="L34" s="744">
        <v>0</v>
      </c>
      <c r="M34" s="744">
        <v>0</v>
      </c>
      <c r="N34" s="744">
        <v>0</v>
      </c>
      <c r="O34" s="744">
        <v>0</v>
      </c>
      <c r="P34" s="744">
        <v>0</v>
      </c>
      <c r="Q34" s="744">
        <v>0</v>
      </c>
      <c r="R34" s="757" t="s">
        <v>217</v>
      </c>
      <c r="S34" s="766"/>
      <c r="T34" s="776"/>
      <c r="V34" s="733"/>
      <c r="W34" s="727" t="s">
        <v>420</v>
      </c>
      <c r="X34" s="727">
        <f>X32-X33</f>
        <v>114283.6841540008</v>
      </c>
      <c r="Y34" s="727">
        <f t="shared" ref="Y34:AG34" si="32">Y32-Y33</f>
        <v>182909.67227000036</v>
      </c>
      <c r="Z34" s="727">
        <f t="shared" si="32"/>
        <v>702265.84368299926</v>
      </c>
      <c r="AA34" s="727">
        <f t="shared" si="32"/>
        <v>-58123.923413000091</v>
      </c>
      <c r="AB34" s="727">
        <f t="shared" si="32"/>
        <v>-83055.544048997806</v>
      </c>
      <c r="AC34" s="727">
        <f t="shared" si="32"/>
        <v>-158331.69677699963</v>
      </c>
      <c r="AD34" s="727">
        <f t="shared" si="32"/>
        <v>2063</v>
      </c>
      <c r="AE34" s="727">
        <f t="shared" si="32"/>
        <v>63586.499925628479</v>
      </c>
      <c r="AF34" s="727">
        <f t="shared" si="32"/>
        <v>93045.325182091983</v>
      </c>
      <c r="AG34" s="727">
        <f t="shared" si="32"/>
        <v>96406.543032603935</v>
      </c>
      <c r="AH34" s="727">
        <f>AH32-AH33</f>
        <v>99469.62024810235</v>
      </c>
      <c r="AI34" s="727">
        <f>AI32-AI33</f>
        <v>113102.68629955336</v>
      </c>
      <c r="AJ34" s="727">
        <f>AJ32-AJ33</f>
        <v>120028.4084152337</v>
      </c>
      <c r="AK34" s="727">
        <f>AK32-AK33</f>
        <v>129015.10386507631</v>
      </c>
      <c r="AZ34" s="928">
        <f t="shared" si="11"/>
        <v>0</v>
      </c>
      <c r="BA34" s="727">
        <f>SUMIFS('전사합(개별)'!V:V,'전사합(개별)'!B:B,'12. 추정 IS'!C34)</f>
        <v>0</v>
      </c>
      <c r="BB34" s="928">
        <f>SUMIFS(SI본사부담!$V:$V,SI본사부담!$B:$B,'12. 추정 IS'!$C34)</f>
        <v>0</v>
      </c>
      <c r="BD34" s="727">
        <f>SUMIFS(홈쇼핑!V:V,홈쇼핑!B:B,'12. 추정 IS'!C34)</f>
        <v>0</v>
      </c>
      <c r="BE34" s="727">
        <f t="shared" si="14"/>
        <v>0</v>
      </c>
      <c r="BL34" s="735"/>
    </row>
    <row r="35" spans="2:64" ht="16.5" customHeight="1" x14ac:dyDescent="0.3">
      <c r="B35" s="745"/>
      <c r="C35" s="751" t="s">
        <v>8</v>
      </c>
      <c r="D35" s="744">
        <v>0</v>
      </c>
      <c r="E35" s="744">
        <v>2661.6375869999997</v>
      </c>
      <c r="F35" s="744">
        <v>4425.591152</v>
      </c>
      <c r="G35" s="744">
        <v>1622.3867459999999</v>
      </c>
      <c r="H35" s="744">
        <v>0</v>
      </c>
      <c r="I35" s="744">
        <v>12883.983666</v>
      </c>
      <c r="J35" s="744">
        <f t="shared" si="28"/>
        <v>4916</v>
      </c>
      <c r="K35" s="744">
        <f t="shared" ref="K35:Q35" si="33">J35/J25*K25</f>
        <v>4864.2743745678254</v>
      </c>
      <c r="L35" s="744">
        <f t="shared" si="33"/>
        <v>4827.6858237496608</v>
      </c>
      <c r="M35" s="744">
        <f t="shared" si="33"/>
        <v>4805.8555455628875</v>
      </c>
      <c r="N35" s="744">
        <f t="shared" si="33"/>
        <v>4798.5415481924565</v>
      </c>
      <c r="O35" s="744">
        <f t="shared" si="33"/>
        <v>4805.6343065871752</v>
      </c>
      <c r="P35" s="744">
        <f t="shared" si="33"/>
        <v>4827.1544517582888</v>
      </c>
      <c r="Q35" s="744">
        <f t="shared" si="33"/>
        <v>4863.2524297998434</v>
      </c>
      <c r="R35" s="757" t="s">
        <v>217</v>
      </c>
      <c r="S35" s="766"/>
      <c r="T35" s="776" t="s">
        <v>8911</v>
      </c>
      <c r="V35" s="733" t="s">
        <v>423</v>
      </c>
      <c r="W35" s="727" t="s">
        <v>421</v>
      </c>
      <c r="X35" s="732">
        <f t="shared" ref="X35:AK35" si="34">SUMIF($R$14:$R$111,$V35,D$14:D$111)</f>
        <v>0</v>
      </c>
      <c r="Y35" s="732">
        <f t="shared" si="34"/>
        <v>0</v>
      </c>
      <c r="Z35" s="732">
        <f t="shared" si="34"/>
        <v>0</v>
      </c>
      <c r="AA35" s="732">
        <f t="shared" si="34"/>
        <v>-8798.2039980000009</v>
      </c>
      <c r="AB35" s="732">
        <f t="shared" si="34"/>
        <v>-59578.680243000003</v>
      </c>
      <c r="AC35" s="732">
        <f t="shared" si="34"/>
        <v>0</v>
      </c>
      <c r="AD35" s="732">
        <f t="shared" si="34"/>
        <v>0</v>
      </c>
      <c r="AE35" s="732">
        <f t="shared" si="34"/>
        <v>0</v>
      </c>
      <c r="AF35" s="732">
        <f t="shared" si="34"/>
        <v>0</v>
      </c>
      <c r="AG35" s="732">
        <f t="shared" si="34"/>
        <v>0</v>
      </c>
      <c r="AH35" s="732">
        <f t="shared" si="34"/>
        <v>0</v>
      </c>
      <c r="AI35" s="732">
        <f t="shared" si="34"/>
        <v>0</v>
      </c>
      <c r="AJ35" s="732">
        <f t="shared" si="34"/>
        <v>0</v>
      </c>
      <c r="AK35" s="732">
        <f t="shared" si="34"/>
        <v>0</v>
      </c>
      <c r="AZ35" s="928">
        <f t="shared" si="11"/>
        <v>4915992.0869999994</v>
      </c>
      <c r="BA35" s="727">
        <f>SUMIFS('전사합(개별)'!V:V,'전사합(개별)'!B:B,'12. 추정 IS'!C35)</f>
        <v>4915992.0869999994</v>
      </c>
      <c r="BB35" s="928">
        <f>SUMIFS(SI본사부담!$V:$V,SI본사부담!$B:$B,'12. 추정 IS'!$C35)</f>
        <v>0</v>
      </c>
      <c r="BD35" s="727">
        <f>SUMIFS(홈쇼핑!V:V,홈쇼핑!B:B,'12. 추정 IS'!C35)</f>
        <v>0</v>
      </c>
      <c r="BE35" s="727">
        <f t="shared" si="14"/>
        <v>4915992.0869999994</v>
      </c>
      <c r="BL35" s="735"/>
    </row>
    <row r="36" spans="2:64" ht="16.5" customHeight="1" x14ac:dyDescent="0.3">
      <c r="B36" s="745"/>
      <c r="C36" s="751" t="s">
        <v>64</v>
      </c>
      <c r="D36" s="744">
        <v>0</v>
      </c>
      <c r="E36" s="744">
        <v>0</v>
      </c>
      <c r="F36" s="744">
        <v>0</v>
      </c>
      <c r="G36" s="744">
        <v>0</v>
      </c>
      <c r="H36" s="744">
        <v>0</v>
      </c>
      <c r="I36" s="744">
        <v>0</v>
      </c>
      <c r="J36" s="744">
        <f t="shared" si="28"/>
        <v>0</v>
      </c>
      <c r="K36" s="744">
        <v>0</v>
      </c>
      <c r="L36" s="744">
        <v>0</v>
      </c>
      <c r="M36" s="744">
        <v>0</v>
      </c>
      <c r="N36" s="744">
        <v>0</v>
      </c>
      <c r="O36" s="744">
        <v>0</v>
      </c>
      <c r="P36" s="744">
        <v>0</v>
      </c>
      <c r="Q36" s="744">
        <v>0</v>
      </c>
      <c r="R36" s="757" t="s">
        <v>217</v>
      </c>
      <c r="S36" s="766"/>
      <c r="T36" s="776"/>
      <c r="V36" s="733"/>
      <c r="W36" s="732" t="s">
        <v>422</v>
      </c>
      <c r="X36" s="732">
        <f>SUM(X34:X35)</f>
        <v>114283.6841540008</v>
      </c>
      <c r="Y36" s="732">
        <f t="shared" ref="Y36:AG36" si="35">SUM(Y34:Y35)</f>
        <v>182909.67227000036</v>
      </c>
      <c r="Z36" s="732">
        <f t="shared" si="35"/>
        <v>702265.84368299926</v>
      </c>
      <c r="AA36" s="732">
        <f t="shared" si="35"/>
        <v>-66922.127411000096</v>
      </c>
      <c r="AB36" s="732">
        <f t="shared" si="35"/>
        <v>-142634.22429199782</v>
      </c>
      <c r="AC36" s="732">
        <f t="shared" si="35"/>
        <v>-158331.69677699963</v>
      </c>
      <c r="AD36" s="732">
        <f t="shared" si="35"/>
        <v>2063</v>
      </c>
      <c r="AE36" s="732">
        <f t="shared" si="35"/>
        <v>63586.499925628479</v>
      </c>
      <c r="AF36" s="732">
        <f t="shared" si="35"/>
        <v>93045.325182091983</v>
      </c>
      <c r="AG36" s="732">
        <f t="shared" si="35"/>
        <v>96406.543032603935</v>
      </c>
      <c r="AH36" s="732">
        <f>SUM(AH34:AH35)</f>
        <v>99469.62024810235</v>
      </c>
      <c r="AI36" s="732">
        <f>SUM(AI34:AI35)</f>
        <v>113102.68629955336</v>
      </c>
      <c r="AJ36" s="732">
        <f>SUM(AJ34:AJ35)</f>
        <v>120028.4084152337</v>
      </c>
      <c r="AK36" s="732">
        <f>SUM(AK34:AK35)</f>
        <v>129015.10386507631</v>
      </c>
      <c r="AZ36" s="928">
        <f t="shared" si="11"/>
        <v>0</v>
      </c>
      <c r="BA36" s="727">
        <f>SUMIFS('전사합(개별)'!V:V,'전사합(개별)'!B:B,'12. 추정 IS'!C36)</f>
        <v>0</v>
      </c>
      <c r="BB36" s="928">
        <f>SUMIFS(SI본사부담!$V:$V,SI본사부담!$B:$B,'12. 추정 IS'!$C36)</f>
        <v>0</v>
      </c>
      <c r="BD36" s="727">
        <f>SUMIFS(홈쇼핑!V:V,홈쇼핑!B:B,'12. 추정 IS'!C36)</f>
        <v>0</v>
      </c>
      <c r="BE36" s="727">
        <f t="shared" si="14"/>
        <v>0</v>
      </c>
      <c r="BL36" s="735"/>
    </row>
    <row r="37" spans="2:64" ht="16.5" customHeight="1" x14ac:dyDescent="0.3">
      <c r="B37" s="745"/>
      <c r="C37" s="751" t="s">
        <v>9</v>
      </c>
      <c r="D37" s="744">
        <v>79033.273016999985</v>
      </c>
      <c r="E37" s="744">
        <v>74613.152562999996</v>
      </c>
      <c r="F37" s="744">
        <v>80719.705430000002</v>
      </c>
      <c r="G37" s="744">
        <v>87258.784776999993</v>
      </c>
      <c r="H37" s="744">
        <v>99268.603581000003</v>
      </c>
      <c r="I37" s="744">
        <v>106192.10180600001</v>
      </c>
      <c r="J37" s="744">
        <f t="shared" si="28"/>
        <v>104861</v>
      </c>
      <c r="K37" s="744">
        <f t="shared" ref="K37:Q37" si="36">J37/J27*K27</f>
        <v>113607.79720674151</v>
      </c>
      <c r="L37" s="744">
        <f t="shared" si="36"/>
        <v>119758.85027885146</v>
      </c>
      <c r="M37" s="744">
        <f t="shared" si="36"/>
        <v>126848.06694746243</v>
      </c>
      <c r="N37" s="744">
        <f t="shared" si="36"/>
        <v>134036.07765023143</v>
      </c>
      <c r="O37" s="744">
        <f t="shared" si="36"/>
        <v>141800.82468822435</v>
      </c>
      <c r="P37" s="744">
        <f t="shared" si="36"/>
        <v>149925.74247950269</v>
      </c>
      <c r="Q37" s="744">
        <f t="shared" si="36"/>
        <v>158563.58532576461</v>
      </c>
      <c r="R37" s="757" t="s">
        <v>217</v>
      </c>
      <c r="S37" s="766"/>
      <c r="T37" s="776" t="s">
        <v>8911</v>
      </c>
      <c r="V37" s="727"/>
      <c r="AZ37" s="928">
        <f t="shared" si="11"/>
        <v>104861393.17600001</v>
      </c>
      <c r="BA37" s="727">
        <f>SUMIFS('전사합(개별)'!V:V,'전사합(개별)'!B:B,'12. 추정 IS'!C37)</f>
        <v>104861393.17600001</v>
      </c>
      <c r="BB37" s="928">
        <f>SUMIFS(SI본사부담!$V:$V,SI본사부담!$B:$B,'12. 추정 IS'!$C37)</f>
        <v>0</v>
      </c>
      <c r="BD37" s="727">
        <f>SUMIFS(홈쇼핑!V:V,홈쇼핑!B:B,'12. 추정 IS'!C37)</f>
        <v>0</v>
      </c>
      <c r="BE37" s="727">
        <f t="shared" si="14"/>
        <v>104861393.17600001</v>
      </c>
      <c r="BL37" s="735"/>
    </row>
    <row r="38" spans="2:64" ht="16.5" customHeight="1" x14ac:dyDescent="0.3">
      <c r="B38" s="745"/>
      <c r="C38" s="751" t="s">
        <v>65</v>
      </c>
      <c r="D38" s="744">
        <v>0</v>
      </c>
      <c r="E38" s="744">
        <v>0</v>
      </c>
      <c r="F38" s="744">
        <v>0</v>
      </c>
      <c r="G38" s="744">
        <v>0</v>
      </c>
      <c r="H38" s="744">
        <v>0</v>
      </c>
      <c r="I38" s="744">
        <v>0</v>
      </c>
      <c r="J38" s="744">
        <f t="shared" si="28"/>
        <v>0</v>
      </c>
      <c r="K38" s="744">
        <v>0</v>
      </c>
      <c r="L38" s="744">
        <v>0</v>
      </c>
      <c r="M38" s="744">
        <v>0</v>
      </c>
      <c r="N38" s="744">
        <v>0</v>
      </c>
      <c r="O38" s="744">
        <v>0</v>
      </c>
      <c r="P38" s="744">
        <v>0</v>
      </c>
      <c r="Q38" s="744">
        <v>0</v>
      </c>
      <c r="R38" s="757" t="s">
        <v>217</v>
      </c>
      <c r="S38" s="766"/>
      <c r="T38" s="776"/>
      <c r="V38" s="725"/>
      <c r="W38" s="725"/>
      <c r="X38" s="725">
        <f t="shared" ref="X38:AK38" si="37">D111-X36</f>
        <v>4.6566128730773926E-10</v>
      </c>
      <c r="Y38" s="725">
        <f t="shared" si="37"/>
        <v>0</v>
      </c>
      <c r="Z38" s="725">
        <f t="shared" si="37"/>
        <v>0</v>
      </c>
      <c r="AA38" s="725">
        <f t="shared" si="37"/>
        <v>-1.4551915228366852E-10</v>
      </c>
      <c r="AB38" s="725">
        <f t="shared" si="37"/>
        <v>0</v>
      </c>
      <c r="AC38" s="725">
        <f t="shared" si="37"/>
        <v>1.3678800314664841E-9</v>
      </c>
      <c r="AD38" s="725">
        <f t="shared" si="37"/>
        <v>0</v>
      </c>
      <c r="AE38" s="725">
        <f t="shared" si="37"/>
        <v>2.3283064365386963E-10</v>
      </c>
      <c r="AF38" s="725">
        <f t="shared" si="37"/>
        <v>-2.4738255888223648E-10</v>
      </c>
      <c r="AG38" s="725">
        <f t="shared" si="37"/>
        <v>2.0372681319713593E-10</v>
      </c>
      <c r="AH38" s="725">
        <f t="shared" si="37"/>
        <v>2.0372681319713593E-10</v>
      </c>
      <c r="AI38" s="725">
        <f t="shared" si="37"/>
        <v>-4.3655745685100555E-10</v>
      </c>
      <c r="AJ38" s="725">
        <f t="shared" si="37"/>
        <v>0</v>
      </c>
      <c r="AK38" s="725">
        <f t="shared" si="37"/>
        <v>0</v>
      </c>
      <c r="AZ38" s="928">
        <f t="shared" si="11"/>
        <v>0</v>
      </c>
      <c r="BA38" s="727">
        <f>SUMIFS('전사합(개별)'!V:V,'전사합(개별)'!B:B,'12. 추정 IS'!C38)</f>
        <v>0</v>
      </c>
      <c r="BB38" s="928">
        <f>SUMIFS(SI본사부담!$V:$V,SI본사부담!$B:$B,'12. 추정 IS'!$C38)</f>
        <v>0</v>
      </c>
      <c r="BD38" s="727">
        <f>SUMIFS(홈쇼핑!V:V,홈쇼핑!B:B,'12. 추정 IS'!C38)</f>
        <v>0</v>
      </c>
      <c r="BE38" s="727">
        <f t="shared" si="14"/>
        <v>0</v>
      </c>
      <c r="BL38" s="735"/>
    </row>
    <row r="39" spans="2:64" ht="16.5" customHeight="1" x14ac:dyDescent="0.3">
      <c r="B39" s="745"/>
      <c r="C39" s="751" t="s">
        <v>10</v>
      </c>
      <c r="D39" s="744">
        <v>2368.003232</v>
      </c>
      <c r="E39" s="744">
        <v>3165.1806430000001</v>
      </c>
      <c r="F39" s="744">
        <v>4051.0142620000001</v>
      </c>
      <c r="G39" s="744">
        <v>4902.4237700000003</v>
      </c>
      <c r="H39" s="744">
        <v>5357.034314999999</v>
      </c>
      <c r="I39" s="744">
        <v>6582.7442929999997</v>
      </c>
      <c r="J39" s="744">
        <f t="shared" si="28"/>
        <v>7263</v>
      </c>
      <c r="K39" s="744">
        <f>J39/J29*K29</f>
        <v>7187.3044034035165</v>
      </c>
      <c r="L39" s="744">
        <f t="shared" ref="L39:Q39" si="38">K39/K29*L29</f>
        <v>7421.9360556046631</v>
      </c>
      <c r="M39" s="744">
        <f t="shared" si="38"/>
        <v>7685.0116147968492</v>
      </c>
      <c r="N39" s="744">
        <f t="shared" si="38"/>
        <v>7946.6442796454867</v>
      </c>
      <c r="O39" s="744">
        <f t="shared" si="38"/>
        <v>8222.7494080623201</v>
      </c>
      <c r="P39" s="744">
        <f t="shared" si="38"/>
        <v>8505.5679530248617</v>
      </c>
      <c r="Q39" s="744">
        <f t="shared" si="38"/>
        <v>8799.6032507534492</v>
      </c>
      <c r="R39" s="757" t="s">
        <v>217</v>
      </c>
      <c r="S39" s="766"/>
      <c r="T39" s="776"/>
      <c r="V39" s="765"/>
      <c r="AZ39" s="928">
        <f t="shared" si="11"/>
        <v>98970715.134999976</v>
      </c>
      <c r="BA39" s="727">
        <f>SUMIFS('전사합(개별)'!V:V,'전사합(개별)'!B:B,'12. 추정 IS'!C39)</f>
        <v>98970715.134999976</v>
      </c>
      <c r="BB39" s="928">
        <f>SUMIFS(SI본사부담!$V:$V,SI본사부담!$B:$B,'12. 추정 IS'!$C39)</f>
        <v>0</v>
      </c>
      <c r="BD39" s="727">
        <f>SUMIFS(홈쇼핑!V:V,홈쇼핑!B:B,'12. 추정 IS'!C39)</f>
        <v>91708100.093999982</v>
      </c>
      <c r="BE39" s="727">
        <f t="shared" si="14"/>
        <v>7262615.0409999937</v>
      </c>
      <c r="BL39" s="735"/>
    </row>
    <row r="40" spans="2:64" ht="16.5" customHeight="1" x14ac:dyDescent="0.3">
      <c r="B40" s="1165" t="s">
        <v>11</v>
      </c>
      <c r="C40" s="1166"/>
      <c r="D40" s="812">
        <f>D19-D30</f>
        <v>1828688.0925560007</v>
      </c>
      <c r="E40" s="812">
        <f t="shared" ref="E40:Q40" si="39">E19-E30</f>
        <v>1801204.9230960002</v>
      </c>
      <c r="F40" s="812">
        <f t="shared" si="39"/>
        <v>1723496.8543609995</v>
      </c>
      <c r="G40" s="812">
        <f t="shared" si="39"/>
        <v>1807334.720985</v>
      </c>
      <c r="H40" s="812">
        <f t="shared" si="39"/>
        <v>1918931.7683360027</v>
      </c>
      <c r="I40" s="812">
        <f t="shared" si="39"/>
        <v>1992630.9899440007</v>
      </c>
      <c r="J40" s="812">
        <f t="shared" si="39"/>
        <v>2054255</v>
      </c>
      <c r="K40" s="812">
        <f t="shared" si="39"/>
        <v>2103193.6654695272</v>
      </c>
      <c r="L40" s="812">
        <f t="shared" si="39"/>
        <v>2118596.4792295843</v>
      </c>
      <c r="M40" s="812">
        <f t="shared" si="39"/>
        <v>2138102.6959596798</v>
      </c>
      <c r="N40" s="812">
        <f t="shared" si="39"/>
        <v>2162392.8078984898</v>
      </c>
      <c r="O40" s="812">
        <f t="shared" si="39"/>
        <v>2201248.7735829223</v>
      </c>
      <c r="P40" s="812">
        <f t="shared" si="39"/>
        <v>2246220.389108358</v>
      </c>
      <c r="Q40" s="812">
        <f t="shared" si="39"/>
        <v>2297152.1334126759</v>
      </c>
      <c r="R40" s="757"/>
      <c r="S40" s="766"/>
      <c r="T40" s="776"/>
      <c r="V40" s="765"/>
      <c r="W40" s="732" t="s">
        <v>810</v>
      </c>
      <c r="X40" s="869"/>
      <c r="Y40" s="870">
        <f t="shared" ref="Y40:AK55" si="40">Y14-X14</f>
        <v>-63693.212702801451</v>
      </c>
      <c r="Z40" s="870">
        <f t="shared" si="40"/>
        <v>250672.38532180153</v>
      </c>
      <c r="AA40" s="870">
        <f t="shared" si="40"/>
        <v>825856.87863798626</v>
      </c>
      <c r="AB40" s="870">
        <f t="shared" si="40"/>
        <v>571984.46542001329</v>
      </c>
      <c r="AC40" s="870">
        <f t="shared" si="40"/>
        <v>797542.70901999995</v>
      </c>
      <c r="AD40" s="870">
        <f t="shared" si="40"/>
        <v>495978.45256200247</v>
      </c>
      <c r="AE40" s="870">
        <f t="shared" si="40"/>
        <v>354330.47024301626</v>
      </c>
      <c r="AF40" s="870">
        <f t="shared" si="40"/>
        <v>267125.09130216762</v>
      </c>
      <c r="AG40" s="870">
        <f t="shared" si="40"/>
        <v>276195.82223946042</v>
      </c>
      <c r="AH40" s="870">
        <f t="shared" si="40"/>
        <v>301040.4671299383</v>
      </c>
      <c r="AI40" s="870">
        <f t="shared" si="40"/>
        <v>307406.35417883843</v>
      </c>
      <c r="AJ40" s="870">
        <f t="shared" si="40"/>
        <v>342243.24381600507</v>
      </c>
      <c r="AK40" s="870">
        <f t="shared" si="40"/>
        <v>372706.95636492409</v>
      </c>
      <c r="AZ40" s="928">
        <f t="shared" si="11"/>
        <v>2872176559.5629997</v>
      </c>
      <c r="BA40" s="727">
        <f>SUMIFS('전사합(개별)'!V:V,'전사합(개별)'!A:A,'12. 추정 IS'!B40)</f>
        <v>2872176559.5629997</v>
      </c>
      <c r="BB40" s="928">
        <f>SUMIFS(SI본사부담!$V:$V,SI본사부담!$A:$A,'12. 추정 IS'!$B40)</f>
        <v>0</v>
      </c>
      <c r="BD40" s="727">
        <f>SUMIFS(홈쇼핑!V:V,홈쇼핑!A:A,'12. 추정 IS'!B40)</f>
        <v>817921740.25199997</v>
      </c>
      <c r="BE40" s="727">
        <f t="shared" si="14"/>
        <v>2054254819.3109999</v>
      </c>
      <c r="BF40" s="727" t="b">
        <f>AZ19-AZ30=AZ40</f>
        <v>1</v>
      </c>
      <c r="BG40" s="727" t="b">
        <f>BA19-BA30=BA40</f>
        <v>1</v>
      </c>
      <c r="BH40" s="727" t="b">
        <f>BD19-BD30=BD40</f>
        <v>1</v>
      </c>
      <c r="BI40" s="727" t="b">
        <f>BE19-BE30=BE40</f>
        <v>1</v>
      </c>
      <c r="BL40" s="735"/>
    </row>
    <row r="41" spans="2:64" ht="16.5" customHeight="1" x14ac:dyDescent="0.3">
      <c r="B41" s="1165" t="s">
        <v>12</v>
      </c>
      <c r="C41" s="1166"/>
      <c r="D41" s="812">
        <f>SUM(D42,D47)</f>
        <v>1648362.6757419994</v>
      </c>
      <c r="E41" s="812">
        <f t="shared" ref="E41:Q41" si="41">SUM(E42,E47)</f>
        <v>1541448.1983089999</v>
      </c>
      <c r="F41" s="812">
        <f t="shared" si="41"/>
        <v>1566813.5414219997</v>
      </c>
      <c r="G41" s="812">
        <f t="shared" si="41"/>
        <v>1693492.0067930003</v>
      </c>
      <c r="H41" s="812">
        <f t="shared" si="41"/>
        <v>1720859.1512070005</v>
      </c>
      <c r="I41" s="812">
        <f t="shared" si="41"/>
        <v>1847088.624559999</v>
      </c>
      <c r="J41" s="812">
        <f t="shared" si="41"/>
        <v>1857371</v>
      </c>
      <c r="K41" s="812">
        <f>SUM(K42,K47)</f>
        <v>1922387.4348531044</v>
      </c>
      <c r="L41" s="812">
        <f t="shared" si="41"/>
        <v>1936128.8940127222</v>
      </c>
      <c r="M41" s="812">
        <f t="shared" si="41"/>
        <v>1956083.7741729633</v>
      </c>
      <c r="N41" s="812">
        <f t="shared" si="41"/>
        <v>1971494.1892730184</v>
      </c>
      <c r="O41" s="812">
        <f t="shared" si="41"/>
        <v>1999186.8633368588</v>
      </c>
      <c r="P41" s="812">
        <f t="shared" si="41"/>
        <v>2032140.6700845286</v>
      </c>
      <c r="Q41" s="812">
        <f t="shared" si="41"/>
        <v>2070863.1692363233</v>
      </c>
      <c r="R41" s="757"/>
      <c r="S41" s="766"/>
      <c r="T41" s="776"/>
      <c r="V41" s="780"/>
      <c r="W41" s="732" t="s">
        <v>811</v>
      </c>
      <c r="X41" s="871"/>
      <c r="Y41" s="870">
        <f t="shared" si="40"/>
        <v>-51862.637587999925</v>
      </c>
      <c r="Z41" s="870">
        <f t="shared" si="40"/>
        <v>146085.38995099999</v>
      </c>
      <c r="AA41" s="870">
        <f t="shared" si="40"/>
        <v>614694.36047899909</v>
      </c>
      <c r="AB41" s="870">
        <f t="shared" si="40"/>
        <v>425806.58982100524</v>
      </c>
      <c r="AC41" s="870">
        <f t="shared" si="40"/>
        <v>570123.35759699531</v>
      </c>
      <c r="AD41" s="870">
        <f t="shared" si="40"/>
        <v>399580.96234400012</v>
      </c>
      <c r="AE41" s="870">
        <f t="shared" si="40"/>
        <v>247047.75503041781</v>
      </c>
      <c r="AF41" s="870">
        <f t="shared" si="40"/>
        <v>189474.29040055163</v>
      </c>
      <c r="AG41" s="870">
        <f t="shared" si="40"/>
        <v>200254.38554964401</v>
      </c>
      <c r="AH41" s="870">
        <f t="shared" si="40"/>
        <v>220749.59247894026</v>
      </c>
      <c r="AI41" s="870">
        <f t="shared" si="40"/>
        <v>228990.71588980593</v>
      </c>
      <c r="AJ41" s="870">
        <f t="shared" si="40"/>
        <v>256864.97131813131</v>
      </c>
      <c r="AK41" s="870">
        <f t="shared" si="40"/>
        <v>281929.05030574277</v>
      </c>
      <c r="AZ41" s="928">
        <f t="shared" si="11"/>
        <v>2582279840.0889993</v>
      </c>
      <c r="BA41" s="727">
        <f>SUMIFS('전사합(개별)'!V:V,'전사합(개별)'!A:A,'12. 추정 IS'!B41)</f>
        <v>2581904008.9499993</v>
      </c>
      <c r="BB41" s="928">
        <f>SUMIFS(SI본사부담!$V:$V,SI본사부담!$A:$A,'12. 추정 IS'!$B41)</f>
        <v>375831.13900000008</v>
      </c>
      <c r="BC41" s="727">
        <v>6868925.3660000004</v>
      </c>
      <c r="BD41" s="727">
        <f>SUMIFS(홈쇼핑!V:V,홈쇼핑!A:A,'12. 추정 IS'!B41)</f>
        <v>724909088.18100011</v>
      </c>
      <c r="BE41" s="727">
        <f t="shared" si="14"/>
        <v>1857370751.907999</v>
      </c>
      <c r="BF41" s="727" t="b">
        <f>AZ41=AZ42+AZ47</f>
        <v>1</v>
      </c>
      <c r="BG41" s="727" t="b">
        <f>BA41=BA42+BA47</f>
        <v>1</v>
      </c>
      <c r="BH41" s="727" t="b">
        <f>BD41=BD42+BD47</f>
        <v>1</v>
      </c>
      <c r="BI41" s="727" t="b">
        <f>BE41=BE42+BE47</f>
        <v>1</v>
      </c>
      <c r="BL41" s="735"/>
    </row>
    <row r="42" spans="2:64" ht="16.5" customHeight="1" x14ac:dyDescent="0.3">
      <c r="B42" s="748" t="s">
        <v>66</v>
      </c>
      <c r="C42" s="749"/>
      <c r="D42" s="750">
        <f>SUM(D43:D46)</f>
        <v>423673.79051199998</v>
      </c>
      <c r="E42" s="750">
        <f t="shared" ref="E42:Q42" si="42">SUM(E43:E46)</f>
        <v>365715.24124800001</v>
      </c>
      <c r="F42" s="750">
        <f t="shared" si="42"/>
        <v>355424.99031799997</v>
      </c>
      <c r="G42" s="750">
        <f t="shared" si="42"/>
        <v>427268.48391800001</v>
      </c>
      <c r="H42" s="750">
        <f t="shared" si="42"/>
        <v>415133.31060900009</v>
      </c>
      <c r="I42" s="750">
        <f t="shared" si="42"/>
        <v>429958.05437199993</v>
      </c>
      <c r="J42" s="750">
        <f t="shared" si="42"/>
        <v>437106</v>
      </c>
      <c r="K42" s="750">
        <f t="shared" si="42"/>
        <v>459095.32703300007</v>
      </c>
      <c r="L42" s="750">
        <f t="shared" si="42"/>
        <v>463908.56439500005</v>
      </c>
      <c r="M42" s="750">
        <f t="shared" si="42"/>
        <v>471986.89051200001</v>
      </c>
      <c r="N42" s="750">
        <f t="shared" si="42"/>
        <v>483838.182072</v>
      </c>
      <c r="O42" s="750">
        <f t="shared" si="42"/>
        <v>492855.54196700006</v>
      </c>
      <c r="P42" s="750">
        <f t="shared" si="42"/>
        <v>504053.57319000002</v>
      </c>
      <c r="Q42" s="750">
        <f t="shared" si="42"/>
        <v>516597.010878</v>
      </c>
      <c r="R42" s="757"/>
      <c r="S42" s="766"/>
      <c r="T42" s="778" t="s">
        <v>828</v>
      </c>
      <c r="W42" s="732" t="s">
        <v>812</v>
      </c>
      <c r="X42" s="732"/>
      <c r="Y42" s="870">
        <f t="shared" si="40"/>
        <v>-24379.468127999455</v>
      </c>
      <c r="Z42" s="870">
        <f t="shared" si="40"/>
        <v>223793.45868600067</v>
      </c>
      <c r="AA42" s="872">
        <f t="shared" si="40"/>
        <v>530856.49385499861</v>
      </c>
      <c r="AB42" s="872">
        <f t="shared" si="40"/>
        <v>314209.54247000255</v>
      </c>
      <c r="AC42" s="870">
        <f t="shared" si="40"/>
        <v>496424.1359889973</v>
      </c>
      <c r="AD42" s="870">
        <f t="shared" si="40"/>
        <v>337956.95228800084</v>
      </c>
      <c r="AE42" s="870">
        <f t="shared" si="40"/>
        <v>198109.08956089057</v>
      </c>
      <c r="AF42" s="870">
        <f t="shared" si="40"/>
        <v>174071.47664049454</v>
      </c>
      <c r="AG42" s="870">
        <f t="shared" si="40"/>
        <v>180748.16881954856</v>
      </c>
      <c r="AH42" s="870">
        <f t="shared" si="40"/>
        <v>196459.48054013029</v>
      </c>
      <c r="AI42" s="870">
        <f t="shared" si="40"/>
        <v>190134.75020537339</v>
      </c>
      <c r="AJ42" s="870">
        <f t="shared" si="40"/>
        <v>211893.35579269566</v>
      </c>
      <c r="AK42" s="870">
        <f t="shared" si="40"/>
        <v>230997.30600142479</v>
      </c>
      <c r="AZ42" s="928">
        <f t="shared" si="11"/>
        <v>523012369.94500005</v>
      </c>
      <c r="BA42" s="727">
        <f>SUMIFS('전사합(개별)'!V:V,'전사합(개별)'!B:B,'12. 추정 IS'!B42)</f>
        <v>522695464.86200005</v>
      </c>
      <c r="BB42" s="928">
        <f>SUMIFS(SI본사부담!$V:$V,SI본사부담!$B:$B,'12. 추정 IS'!$B42)</f>
        <v>316905.08300000004</v>
      </c>
      <c r="BD42" s="727">
        <f>SUMIFS(홈쇼핑!V:V,홈쇼핑!B:B,'12. 추정 IS'!B42)</f>
        <v>85905775.024999991</v>
      </c>
      <c r="BE42" s="727">
        <f t="shared" si="14"/>
        <v>437106594.92000008</v>
      </c>
      <c r="BF42" s="727" t="b">
        <f>AZ42=SUM(AZ43:AZ46)</f>
        <v>1</v>
      </c>
      <c r="BG42" s="727" t="b">
        <f>BA42=SUM(BA43:BA46)</f>
        <v>1</v>
      </c>
      <c r="BH42" s="727" t="b">
        <f>BD42=SUM(BD43:BD46)</f>
        <v>1</v>
      </c>
      <c r="BI42" s="727" t="b">
        <f>BE42=SUM(BE43:BE46)</f>
        <v>1</v>
      </c>
      <c r="BL42" s="735"/>
    </row>
    <row r="43" spans="2:64" ht="16.5" customHeight="1" x14ac:dyDescent="0.3">
      <c r="B43" s="745"/>
      <c r="C43" s="751" t="s">
        <v>13</v>
      </c>
      <c r="D43" s="744">
        <v>305258.18086899997</v>
      </c>
      <c r="E43" s="744">
        <v>267328.610093</v>
      </c>
      <c r="F43" s="744">
        <v>256537.794846</v>
      </c>
      <c r="G43" s="744">
        <v>307320.42270699999</v>
      </c>
      <c r="H43" s="744">
        <v>311722.84127200011</v>
      </c>
      <c r="I43" s="744">
        <v>315765.08503299992</v>
      </c>
      <c r="J43" s="744">
        <f t="shared" ref="J43:J80" si="43">ROUND(BE43/10^3,)</f>
        <v>322677</v>
      </c>
      <c r="K43" s="744">
        <f t="shared" ref="K43:Q43" si="44">K167</f>
        <v>340320.32537500001</v>
      </c>
      <c r="L43" s="744">
        <f t="shared" si="44"/>
        <v>342350.525219</v>
      </c>
      <c r="M43" s="744">
        <f t="shared" si="44"/>
        <v>348876.80811699998</v>
      </c>
      <c r="N43" s="744">
        <f t="shared" si="44"/>
        <v>357788.17116899998</v>
      </c>
      <c r="O43" s="744">
        <f t="shared" si="44"/>
        <v>364157.13998600002</v>
      </c>
      <c r="P43" s="744">
        <f t="shared" si="44"/>
        <v>372582.61183100002</v>
      </c>
      <c r="Q43" s="744">
        <f t="shared" si="44"/>
        <v>381855.46532600001</v>
      </c>
      <c r="R43" s="757" t="s">
        <v>709</v>
      </c>
      <c r="S43" s="766"/>
      <c r="T43" s="776"/>
      <c r="W43" s="732" t="s">
        <v>814</v>
      </c>
      <c r="X43" s="781"/>
      <c r="Y43" s="870">
        <f t="shared" si="40"/>
        <v>-27483.16946000047</v>
      </c>
      <c r="Z43" s="870">
        <f t="shared" si="40"/>
        <v>-77708.068735000677</v>
      </c>
      <c r="AA43" s="872">
        <f t="shared" si="40"/>
        <v>83837.866624000482</v>
      </c>
      <c r="AB43" s="872">
        <f t="shared" si="40"/>
        <v>111597.04735100269</v>
      </c>
      <c r="AC43" s="870">
        <f t="shared" si="40"/>
        <v>73699.221607998013</v>
      </c>
      <c r="AD43" s="870">
        <f t="shared" si="40"/>
        <v>61624.010055999272</v>
      </c>
      <c r="AE43" s="870">
        <f t="shared" si="40"/>
        <v>48938.665469527245</v>
      </c>
      <c r="AF43" s="870">
        <f t="shared" si="40"/>
        <v>15402.813760057092</v>
      </c>
      <c r="AG43" s="870">
        <f t="shared" si="40"/>
        <v>19506.216730095446</v>
      </c>
      <c r="AH43" s="870">
        <f t="shared" si="40"/>
        <v>24290.111938809976</v>
      </c>
      <c r="AI43" s="870">
        <f t="shared" si="40"/>
        <v>38855.965684432536</v>
      </c>
      <c r="AJ43" s="870">
        <f t="shared" si="40"/>
        <v>44971.615525435656</v>
      </c>
      <c r="AK43" s="870">
        <f t="shared" si="40"/>
        <v>50931.744304317981</v>
      </c>
      <c r="AM43" s="864">
        <f t="shared" ref="AM43:AS44" si="45">(G41-F41)/F41</f>
        <v>8.085101514761639E-2</v>
      </c>
      <c r="AN43" s="864">
        <f t="shared" si="45"/>
        <v>1.6160185170183309E-2</v>
      </c>
      <c r="AO43" s="864">
        <f t="shared" si="45"/>
        <v>7.3352588597655935E-2</v>
      </c>
      <c r="AP43" s="864">
        <f t="shared" si="45"/>
        <v>5.566801345252408E-3</v>
      </c>
      <c r="AQ43" s="864">
        <f t="shared" si="45"/>
        <v>3.5004549362030749E-2</v>
      </c>
      <c r="AR43" s="864">
        <f t="shared" si="45"/>
        <v>7.1481216067497888E-3</v>
      </c>
      <c r="AS43" s="864">
        <f t="shared" si="45"/>
        <v>1.0306586623416216E-2</v>
      </c>
      <c r="AZ43" s="928">
        <f t="shared" si="11"/>
        <v>384133716.46200001</v>
      </c>
      <c r="BA43" s="727">
        <f>SUMIFS('전사합(개별)'!V:V,'전사합(개별)'!B:B,'12. 추정 IS'!C43)</f>
        <v>383852386.08399999</v>
      </c>
      <c r="BB43" s="928">
        <f>SUMIFS(SI본사부담!$V:$V,SI본사부담!$B:$B,'12. 추정 IS'!$C43)</f>
        <v>281330.37800000003</v>
      </c>
      <c r="BD43" s="727">
        <f>SUMIFS(홈쇼핑!V:V,홈쇼핑!B:B,'12. 추정 IS'!C43)</f>
        <v>61456530.516999997</v>
      </c>
      <c r="BE43" s="727">
        <f t="shared" si="14"/>
        <v>322677185.94499999</v>
      </c>
      <c r="BL43" s="735"/>
    </row>
    <row r="44" spans="2:64" ht="16.5" customHeight="1" x14ac:dyDescent="0.3">
      <c r="B44" s="745"/>
      <c r="C44" s="751" t="s">
        <v>67</v>
      </c>
      <c r="D44" s="744">
        <v>35237.208162999996</v>
      </c>
      <c r="E44" s="744">
        <v>23429.865127000001</v>
      </c>
      <c r="F44" s="744">
        <v>22013.479103000001</v>
      </c>
      <c r="G44" s="744">
        <v>27536.151203000001</v>
      </c>
      <c r="H44" s="744">
        <v>22931.709093999998</v>
      </c>
      <c r="I44" s="744">
        <v>23368.254508000002</v>
      </c>
      <c r="J44" s="744">
        <f t="shared" si="43"/>
        <v>31195</v>
      </c>
      <c r="K44" s="744">
        <f t="shared" ref="K44:Q46" si="46">K168</f>
        <v>27635.595817000001</v>
      </c>
      <c r="L44" s="744">
        <f t="shared" si="46"/>
        <v>28718.157092000001</v>
      </c>
      <c r="M44" s="744">
        <f t="shared" si="46"/>
        <v>30416.380116</v>
      </c>
      <c r="N44" s="744">
        <f t="shared" si="46"/>
        <v>30082.193251000001</v>
      </c>
      <c r="O44" s="744">
        <f t="shared" si="46"/>
        <v>30970.622915</v>
      </c>
      <c r="P44" s="744">
        <f t="shared" si="46"/>
        <v>31831.275124</v>
      </c>
      <c r="Q44" s="744">
        <f t="shared" si="46"/>
        <v>32401.420606</v>
      </c>
      <c r="R44" s="757" t="s">
        <v>709</v>
      </c>
      <c r="S44" s="766"/>
      <c r="T44" s="776"/>
      <c r="W44" s="732" t="s">
        <v>815</v>
      </c>
      <c r="X44" s="732"/>
      <c r="Y44" s="870">
        <f t="shared" si="40"/>
        <v>-106914.47743299999</v>
      </c>
      <c r="Z44" s="870">
        <f t="shared" si="40"/>
        <v>25365.343113000272</v>
      </c>
      <c r="AA44" s="872">
        <f t="shared" si="40"/>
        <v>126678.46537099988</v>
      </c>
      <c r="AB44" s="872">
        <f t="shared" si="40"/>
        <v>27367.144414000446</v>
      </c>
      <c r="AC44" s="870">
        <f t="shared" si="40"/>
        <v>126229.47335299989</v>
      </c>
      <c r="AD44" s="870">
        <f t="shared" si="40"/>
        <v>10282.375439999625</v>
      </c>
      <c r="AE44" s="870">
        <f t="shared" si="40"/>
        <v>65016.434853104642</v>
      </c>
      <c r="AF44" s="870">
        <f t="shared" si="40"/>
        <v>13741.459159617312</v>
      </c>
      <c r="AG44" s="870">
        <f t="shared" si="40"/>
        <v>19954.880160241621</v>
      </c>
      <c r="AH44" s="870">
        <f t="shared" si="40"/>
        <v>15410.415100055048</v>
      </c>
      <c r="AI44" s="870">
        <f t="shared" si="40"/>
        <v>27692.674063839717</v>
      </c>
      <c r="AJ44" s="870">
        <f t="shared" si="40"/>
        <v>32953.806747670285</v>
      </c>
      <c r="AK44" s="870">
        <f t="shared" si="40"/>
        <v>38722.499151794706</v>
      </c>
      <c r="AM44" s="864">
        <f t="shared" si="45"/>
        <v>0.20213405235158458</v>
      </c>
      <c r="AN44" s="864">
        <f t="shared" si="45"/>
        <v>-2.840175151165341E-2</v>
      </c>
      <c r="AO44" s="864">
        <f t="shared" si="45"/>
        <v>3.571080273286658E-2</v>
      </c>
      <c r="AP44" s="864">
        <f t="shared" si="45"/>
        <v>1.6624751078196266E-2</v>
      </c>
      <c r="AQ44" s="864">
        <f t="shared" si="45"/>
        <v>5.03066236404901E-2</v>
      </c>
      <c r="AR44" s="864">
        <f t="shared" si="45"/>
        <v>1.0484178510608117E-2</v>
      </c>
      <c r="AS44" s="864">
        <f t="shared" si="45"/>
        <v>1.7413617115552067E-2</v>
      </c>
      <c r="AZ44" s="928">
        <f t="shared" si="11"/>
        <v>36665241.838000007</v>
      </c>
      <c r="BA44" s="727">
        <f>SUMIFS('전사합(개별)'!V:V,'전사합(개별)'!B:B,'12. 추정 IS'!C44)</f>
        <v>36694614.384000003</v>
      </c>
      <c r="BB44" s="928">
        <f>SUMIFS(SI본사부담!$V:$V,SI본사부담!$B:$B,'12. 추정 IS'!$C44)</f>
        <v>-29372.545999999998</v>
      </c>
      <c r="BD44" s="727">
        <f>SUMIFS(홈쇼핑!V:V,홈쇼핑!B:B,'12. 추정 IS'!C44)</f>
        <v>5469804.9530000007</v>
      </c>
      <c r="BE44" s="727">
        <f t="shared" si="14"/>
        <v>31195436.885000005</v>
      </c>
      <c r="BL44" s="735"/>
    </row>
    <row r="45" spans="2:64" ht="16.5" customHeight="1" x14ac:dyDescent="0.3">
      <c r="B45" s="745"/>
      <c r="C45" s="751" t="s">
        <v>68</v>
      </c>
      <c r="D45" s="744">
        <v>34541.220120999998</v>
      </c>
      <c r="E45" s="744">
        <v>33831.071619000002</v>
      </c>
      <c r="F45" s="744">
        <v>31430.662691000001</v>
      </c>
      <c r="G45" s="744">
        <v>31044.669622000001</v>
      </c>
      <c r="H45" s="744">
        <v>24625.702070999996</v>
      </c>
      <c r="I45" s="744">
        <v>29274.074443000009</v>
      </c>
      <c r="J45" s="744">
        <f t="shared" si="43"/>
        <v>26976</v>
      </c>
      <c r="K45" s="744">
        <f t="shared" si="46"/>
        <v>28929.620997999999</v>
      </c>
      <c r="L45" s="744">
        <f t="shared" si="46"/>
        <v>29823.885729000001</v>
      </c>
      <c r="M45" s="744">
        <f t="shared" si="46"/>
        <v>29740.947812999999</v>
      </c>
      <c r="N45" s="744">
        <f t="shared" si="46"/>
        <v>30693.426535999999</v>
      </c>
      <c r="O45" s="744">
        <f t="shared" si="46"/>
        <v>31335.545579000001</v>
      </c>
      <c r="P45" s="744">
        <f t="shared" si="46"/>
        <v>31928.445887999998</v>
      </c>
      <c r="Q45" s="744">
        <f t="shared" si="46"/>
        <v>32779.849767</v>
      </c>
      <c r="R45" s="757" t="s">
        <v>709</v>
      </c>
      <c r="S45" s="766"/>
      <c r="T45" s="776"/>
      <c r="W45" s="865" t="s">
        <v>297</v>
      </c>
      <c r="X45" s="732"/>
      <c r="Y45" s="870">
        <f t="shared" si="40"/>
        <v>-51716.453402999963</v>
      </c>
      <c r="Z45" s="870">
        <f t="shared" si="40"/>
        <v>1422.2128149999771</v>
      </c>
      <c r="AA45" s="872">
        <f t="shared" si="40"/>
        <v>96076.181337000045</v>
      </c>
      <c r="AB45" s="872">
        <f t="shared" si="40"/>
        <v>-55383.486542999919</v>
      </c>
      <c r="AC45" s="870">
        <f t="shared" si="40"/>
        <v>14572.860331999778</v>
      </c>
      <c r="AD45" s="870">
        <f t="shared" si="40"/>
        <v>5907.9945430001244</v>
      </c>
      <c r="AE45" s="870">
        <f t="shared" si="40"/>
        <v>20375.605616917717</v>
      </c>
      <c r="AF45" s="870">
        <f t="shared" si="40"/>
        <v>5258.3706902221893</v>
      </c>
      <c r="AG45" s="870">
        <f t="shared" si="40"/>
        <v>8047.6451408141293</v>
      </c>
      <c r="AH45" s="870">
        <f t="shared" si="40"/>
        <v>12200.656761735096</v>
      </c>
      <c r="AI45" s="870">
        <f t="shared" si="40"/>
        <v>9152.7271436083247</v>
      </c>
      <c r="AJ45" s="870">
        <f t="shared" si="40"/>
        <v>11412.569827277563</v>
      </c>
      <c r="AK45" s="870">
        <f t="shared" si="40"/>
        <v>12753.14488180133</v>
      </c>
      <c r="AZ45" s="928">
        <f t="shared" si="11"/>
        <v>32436401.460000001</v>
      </c>
      <c r="BA45" s="727">
        <f>SUMIFS('전사합(개별)'!V:V,'전사합(개별)'!B:B,'12. 추정 IS'!C45)</f>
        <v>32418787.767999999</v>
      </c>
      <c r="BB45" s="928">
        <f>SUMIFS(SI본사부담!$V:$V,SI본사부담!$B:$B,'12. 추정 IS'!$C45)</f>
        <v>17613.69200000001</v>
      </c>
      <c r="BD45" s="727">
        <f>SUMIFS(홈쇼핑!V:V,홈쇼핑!B:B,'12. 추정 IS'!C45)</f>
        <v>5460854.3289999999</v>
      </c>
      <c r="BE45" s="727">
        <f t="shared" si="14"/>
        <v>26975547.131000001</v>
      </c>
      <c r="BL45" s="735"/>
    </row>
    <row r="46" spans="2:64" ht="16.5" customHeight="1" x14ac:dyDescent="0.3">
      <c r="B46" s="745"/>
      <c r="C46" s="751" t="s">
        <v>15</v>
      </c>
      <c r="D46" s="744">
        <v>48637.181359000002</v>
      </c>
      <c r="E46" s="744">
        <v>41125.694409000003</v>
      </c>
      <c r="F46" s="744">
        <v>45443.053677999997</v>
      </c>
      <c r="G46" s="744">
        <v>61367.240385999998</v>
      </c>
      <c r="H46" s="744">
        <v>55853.058171999983</v>
      </c>
      <c r="I46" s="744">
        <v>61550.640387999971</v>
      </c>
      <c r="J46" s="744">
        <f t="shared" si="43"/>
        <v>56258</v>
      </c>
      <c r="K46" s="744">
        <f t="shared" si="46"/>
        <v>62209.784843000001</v>
      </c>
      <c r="L46" s="744">
        <f t="shared" si="46"/>
        <v>63015.996355000003</v>
      </c>
      <c r="M46" s="744">
        <f t="shared" si="46"/>
        <v>62952.754465999999</v>
      </c>
      <c r="N46" s="744">
        <f t="shared" si="46"/>
        <v>65274.391115999999</v>
      </c>
      <c r="O46" s="744">
        <f t="shared" si="46"/>
        <v>66392.233487000005</v>
      </c>
      <c r="P46" s="744">
        <f t="shared" si="46"/>
        <v>67711.240346999999</v>
      </c>
      <c r="Q46" s="744">
        <f t="shared" si="46"/>
        <v>69560.275179000004</v>
      </c>
      <c r="R46" s="757" t="s">
        <v>709</v>
      </c>
      <c r="S46" s="766"/>
      <c r="T46" s="776"/>
      <c r="W46" s="865" t="s">
        <v>816</v>
      </c>
      <c r="X46" s="732"/>
      <c r="Y46" s="870">
        <f t="shared" si="40"/>
        <v>-5289.9712480001035</v>
      </c>
      <c r="Z46" s="870">
        <f t="shared" si="40"/>
        <v>30736.876834000053</v>
      </c>
      <c r="AA46" s="872">
        <f t="shared" si="40"/>
        <v>64338.782278999977</v>
      </c>
      <c r="AB46" s="872">
        <f t="shared" si="40"/>
        <v>60316.072859000182</v>
      </c>
      <c r="AC46" s="870">
        <f t="shared" si="40"/>
        <v>50742.063162999926</v>
      </c>
      <c r="AD46" s="870">
        <f t="shared" si="40"/>
        <v>-20659.815588000114</v>
      </c>
      <c r="AE46" s="870">
        <f t="shared" si="40"/>
        <v>2402.8103208773537</v>
      </c>
      <c r="AF46" s="870">
        <f t="shared" si="40"/>
        <v>11062.243025481468</v>
      </c>
      <c r="AG46" s="870">
        <f t="shared" si="40"/>
        <v>7791.3483896832913</v>
      </c>
      <c r="AH46" s="870">
        <f t="shared" si="40"/>
        <v>9684.5486522467108</v>
      </c>
      <c r="AI46" s="870">
        <f t="shared" si="40"/>
        <v>8760.4309338656021</v>
      </c>
      <c r="AJ46" s="870">
        <f t="shared" si="40"/>
        <v>9225.6977500261273</v>
      </c>
      <c r="AK46" s="870">
        <f t="shared" si="40"/>
        <v>9755.9186918161577</v>
      </c>
      <c r="AZ46" s="928">
        <f t="shared" si="11"/>
        <v>69777010.185000032</v>
      </c>
      <c r="BA46" s="727">
        <f>SUMIFS('전사합(개별)'!V:V,'전사합(개별)'!B:B,'12. 추정 IS'!C46)</f>
        <v>69729676.626000032</v>
      </c>
      <c r="BB46" s="928">
        <f>SUMIFS(SI본사부담!$V:$V,SI본사부담!$B:$B,'12. 추정 IS'!$C46)</f>
        <v>47333.558999999994</v>
      </c>
      <c r="BD46" s="727">
        <f>SUMIFS(홈쇼핑!V:V,홈쇼핑!B:B,'12. 추정 IS'!C46)</f>
        <v>13518585.225999996</v>
      </c>
      <c r="BE46" s="727">
        <f t="shared" si="14"/>
        <v>56258424.959000036</v>
      </c>
      <c r="BL46" s="735"/>
    </row>
    <row r="47" spans="2:64" ht="16.5" customHeight="1" x14ac:dyDescent="0.3">
      <c r="B47" s="748" t="s">
        <v>69</v>
      </c>
      <c r="C47" s="749"/>
      <c r="D47" s="750">
        <f>SUM(D48:D83)</f>
        <v>1224688.8852299994</v>
      </c>
      <c r="E47" s="750">
        <f t="shared" ref="E47:Q47" si="47">SUM(E48:E83)</f>
        <v>1175732.9570609999</v>
      </c>
      <c r="F47" s="750">
        <f t="shared" si="47"/>
        <v>1211388.5511039998</v>
      </c>
      <c r="G47" s="750">
        <f t="shared" si="47"/>
        <v>1266223.5228750003</v>
      </c>
      <c r="H47" s="750">
        <f t="shared" si="47"/>
        <v>1305725.8405980004</v>
      </c>
      <c r="I47" s="750">
        <f t="shared" si="47"/>
        <v>1417130.5701879992</v>
      </c>
      <c r="J47" s="750">
        <f t="shared" si="47"/>
        <v>1420265</v>
      </c>
      <c r="K47" s="750">
        <f t="shared" si="47"/>
        <v>1463292.1078201043</v>
      </c>
      <c r="L47" s="750">
        <f t="shared" si="47"/>
        <v>1472220.3296177222</v>
      </c>
      <c r="M47" s="750">
        <f t="shared" si="47"/>
        <v>1484096.8836609633</v>
      </c>
      <c r="N47" s="750">
        <f t="shared" si="47"/>
        <v>1487656.0072010185</v>
      </c>
      <c r="O47" s="750">
        <f t="shared" si="47"/>
        <v>1506331.3213698587</v>
      </c>
      <c r="P47" s="750">
        <f t="shared" si="47"/>
        <v>1528087.0968945287</v>
      </c>
      <c r="Q47" s="750">
        <f t="shared" si="47"/>
        <v>1554266.1583583234</v>
      </c>
      <c r="R47" s="757"/>
      <c r="S47" s="766"/>
      <c r="T47" s="776"/>
      <c r="W47" s="865" t="s">
        <v>817</v>
      </c>
      <c r="X47" s="732"/>
      <c r="Y47" s="870">
        <f t="shared" si="40"/>
        <v>-25819.372063999937</v>
      </c>
      <c r="Z47" s="870">
        <f t="shared" si="40"/>
        <v>5956.5076259999478</v>
      </c>
      <c r="AA47" s="872">
        <f t="shared" si="40"/>
        <v>-21826.547983999975</v>
      </c>
      <c r="AB47" s="872">
        <f t="shared" si="40"/>
        <v>21066.676195000007</v>
      </c>
      <c r="AC47" s="870">
        <f t="shared" si="40"/>
        <v>8576.5271720000019</v>
      </c>
      <c r="AD47" s="870">
        <f t="shared" si="40"/>
        <v>-6112.5397940000112</v>
      </c>
      <c r="AE47" s="870">
        <f t="shared" si="40"/>
        <v>54000.807585493603</v>
      </c>
      <c r="AF47" s="870">
        <f t="shared" si="40"/>
        <v>-9181.991603073373</v>
      </c>
      <c r="AG47" s="870">
        <f t="shared" si="40"/>
        <v>-2158.0013424485223</v>
      </c>
      <c r="AH47" s="870">
        <f t="shared" si="40"/>
        <v>-16706.694572854816</v>
      </c>
      <c r="AI47" s="870">
        <f t="shared" si="40"/>
        <v>-837.23856303922366</v>
      </c>
      <c r="AJ47" s="870">
        <f t="shared" si="40"/>
        <v>645.61556755268248</v>
      </c>
      <c r="AK47" s="870">
        <f t="shared" si="40"/>
        <v>4118.9841501684277</v>
      </c>
      <c r="AZ47" s="928">
        <f t="shared" si="11"/>
        <v>2059267470.1439993</v>
      </c>
      <c r="BA47" s="727">
        <f>SUMIFS('전사합(개별)'!V:V,'전사합(개별)'!B:B,'12. 추정 IS'!B47)</f>
        <v>2059208544.0879993</v>
      </c>
      <c r="BB47" s="928">
        <f>SUMIFS(SI본사부담!$V:$V,SI본사부담!$B:$B,'12. 추정 IS'!$B47)</f>
        <v>58926.056000000011</v>
      </c>
      <c r="BD47" s="727">
        <f>SUMIFS(홈쇼핑!V:V,홈쇼핑!B:B,'12. 추정 IS'!B47)</f>
        <v>639003313.15600014</v>
      </c>
      <c r="BE47" s="727">
        <f t="shared" si="14"/>
        <v>1420264156.9879992</v>
      </c>
      <c r="BF47" s="727" t="b">
        <f>AZ47=SUM(AZ48:AZ83)</f>
        <v>1</v>
      </c>
      <c r="BG47" s="727" t="b">
        <f>BA47=SUM(BA48:BA83)</f>
        <v>1</v>
      </c>
      <c r="BH47" s="727" t="b">
        <f>BD47=SUM(BD48:BD83)</f>
        <v>1</v>
      </c>
      <c r="BI47" s="727" t="b">
        <f>BE47=SUM(BE48:BE83)</f>
        <v>1</v>
      </c>
      <c r="BL47" s="735"/>
    </row>
    <row r="48" spans="2:64" ht="16.5" customHeight="1" x14ac:dyDescent="0.3">
      <c r="B48" s="745"/>
      <c r="C48" s="751" t="s">
        <v>16</v>
      </c>
      <c r="D48" s="744">
        <v>40976.734312000001</v>
      </c>
      <c r="E48" s="744">
        <v>48293.998882</v>
      </c>
      <c r="F48" s="744">
        <v>58488.356530999998</v>
      </c>
      <c r="G48" s="744">
        <v>81718.045903000006</v>
      </c>
      <c r="H48" s="744">
        <v>38842.843565999996</v>
      </c>
      <c r="I48" s="744">
        <v>38166.030261</v>
      </c>
      <c r="J48" s="744">
        <f t="shared" si="43"/>
        <v>37440</v>
      </c>
      <c r="K48" s="744">
        <v>35056.334635337145</v>
      </c>
      <c r="L48" s="744">
        <v>35406.013727923142</v>
      </c>
      <c r="M48" s="744">
        <v>35276.938092477074</v>
      </c>
      <c r="N48" s="744">
        <v>35387.759858633071</v>
      </c>
      <c r="O48" s="744">
        <v>35378.636453392493</v>
      </c>
      <c r="P48" s="744">
        <v>35429.595524261451</v>
      </c>
      <c r="Q48" s="744">
        <v>35450.531900332797</v>
      </c>
      <c r="R48" s="757" t="s">
        <v>709</v>
      </c>
      <c r="S48" s="766"/>
      <c r="T48" s="776"/>
      <c r="W48" s="865" t="s">
        <v>489</v>
      </c>
      <c r="X48" s="732"/>
      <c r="Y48" s="870">
        <f t="shared" si="40"/>
        <v>-24088.680718000047</v>
      </c>
      <c r="Z48" s="870">
        <f t="shared" si="40"/>
        <v>-12750.254161999968</v>
      </c>
      <c r="AA48" s="872">
        <f t="shared" si="40"/>
        <v>-11909.950260999962</v>
      </c>
      <c r="AB48" s="872">
        <f t="shared" si="40"/>
        <v>1367.8819030000595</v>
      </c>
      <c r="AC48" s="870">
        <f t="shared" si="40"/>
        <v>52338.022685999982</v>
      </c>
      <c r="AD48" s="870">
        <f t="shared" si="40"/>
        <v>31146.736278999946</v>
      </c>
      <c r="AE48" s="870">
        <f t="shared" si="40"/>
        <v>-11762.788670184091</v>
      </c>
      <c r="AF48" s="870">
        <f t="shared" si="40"/>
        <v>6602.8370469871443</v>
      </c>
      <c r="AG48" s="870">
        <f t="shared" si="40"/>
        <v>6273.8879721927224</v>
      </c>
      <c r="AH48" s="870">
        <f t="shared" si="40"/>
        <v>10231.904258928145</v>
      </c>
      <c r="AI48" s="870">
        <f t="shared" si="40"/>
        <v>10616.754549404955</v>
      </c>
      <c r="AJ48" s="870">
        <f t="shared" si="40"/>
        <v>11669.923602813971</v>
      </c>
      <c r="AK48" s="870">
        <f t="shared" si="40"/>
        <v>12094.451428008615</v>
      </c>
      <c r="AZ48" s="928">
        <f t="shared" si="11"/>
        <v>38503013.912</v>
      </c>
      <c r="BA48" s="727">
        <f>SUMIFS('전사합(개별)'!V:V,'전사합(개별)'!B:B,'12. 추정 IS'!C48)</f>
        <v>38503013.912</v>
      </c>
      <c r="BB48" s="928">
        <f>SUMIFS(SI본사부담!$V:$V,SI본사부담!$B:$B,'12. 추정 IS'!$C48)</f>
        <v>0</v>
      </c>
      <c r="BD48" s="727">
        <f>SUMIFS(홈쇼핑!V:V,홈쇼핑!B:B,'12. 추정 IS'!C48)</f>
        <v>1062521.5870000001</v>
      </c>
      <c r="BE48" s="727">
        <f t="shared" si="14"/>
        <v>37440492.325000003</v>
      </c>
      <c r="BL48" s="735"/>
    </row>
    <row r="49" spans="2:64" ht="16.5" customHeight="1" x14ac:dyDescent="0.3">
      <c r="B49" s="745"/>
      <c r="C49" s="751" t="s">
        <v>17</v>
      </c>
      <c r="D49" s="744">
        <v>19356.586977000003</v>
      </c>
      <c r="E49" s="744">
        <v>16256.496988999999</v>
      </c>
      <c r="F49" s="744">
        <v>15379.964361</v>
      </c>
      <c r="G49" s="744">
        <v>16827.477262</v>
      </c>
      <c r="H49" s="744">
        <v>18015.717806000004</v>
      </c>
      <c r="I49" s="744">
        <v>16029.739191000004</v>
      </c>
      <c r="J49" s="744">
        <f t="shared" si="43"/>
        <v>15468</v>
      </c>
      <c r="K49" s="744">
        <v>15626.174476377486</v>
      </c>
      <c r="L49" s="744">
        <v>15848.721841695617</v>
      </c>
      <c r="M49" s="744">
        <v>16165.38133646596</v>
      </c>
      <c r="N49" s="744">
        <v>16441.922482036243</v>
      </c>
      <c r="O49" s="744">
        <v>16746.797652157573</v>
      </c>
      <c r="P49" s="744">
        <v>17045.301296967027</v>
      </c>
      <c r="Q49" s="744">
        <v>17355.244058711418</v>
      </c>
      <c r="R49" s="757" t="s">
        <v>222</v>
      </c>
      <c r="S49" s="766"/>
      <c r="T49" s="776"/>
      <c r="W49" s="732" t="s">
        <v>818</v>
      </c>
      <c r="X49" s="732"/>
      <c r="Y49" s="870">
        <f t="shared" si="40"/>
        <v>79431.307972999522</v>
      </c>
      <c r="Z49" s="870">
        <f t="shared" si="40"/>
        <v>-103073.41184800095</v>
      </c>
      <c r="AA49" s="872">
        <f t="shared" si="40"/>
        <v>-42840.5987469994</v>
      </c>
      <c r="AB49" s="872">
        <f t="shared" si="40"/>
        <v>84229.902937002247</v>
      </c>
      <c r="AC49" s="870">
        <f t="shared" si="40"/>
        <v>-52530.251745001879</v>
      </c>
      <c r="AD49" s="870">
        <f t="shared" si="40"/>
        <v>51341.634615999646</v>
      </c>
      <c r="AE49" s="870">
        <f t="shared" si="40"/>
        <v>-16077.769383577397</v>
      </c>
      <c r="AF49" s="870">
        <f t="shared" si="40"/>
        <v>1661.3546004397795</v>
      </c>
      <c r="AG49" s="870">
        <f t="shared" si="40"/>
        <v>-448.66343014617451</v>
      </c>
      <c r="AH49" s="870">
        <f t="shared" si="40"/>
        <v>8879.6968387549277</v>
      </c>
      <c r="AI49" s="870">
        <f t="shared" si="40"/>
        <v>11163.29162059282</v>
      </c>
      <c r="AJ49" s="870">
        <f t="shared" si="40"/>
        <v>12017.808777765371</v>
      </c>
      <c r="AK49" s="870">
        <f t="shared" si="40"/>
        <v>12209.245152523275</v>
      </c>
      <c r="AZ49" s="928">
        <f t="shared" si="11"/>
        <v>17222007.712000001</v>
      </c>
      <c r="BA49" s="727">
        <f>SUMIFS('전사합(개별)'!V:V,'전사합(개별)'!B:B,'12. 추정 IS'!C49)</f>
        <v>17222007.712000001</v>
      </c>
      <c r="BB49" s="928">
        <f>SUMIFS(SI본사부담!$V:$V,SI본사부담!$B:$B,'12. 추정 IS'!$C49)</f>
        <v>0</v>
      </c>
      <c r="BD49" s="727">
        <f>SUMIFS(홈쇼핑!V:V,홈쇼핑!B:B,'12. 추정 IS'!C49)</f>
        <v>1754413.5890000002</v>
      </c>
      <c r="BE49" s="727">
        <f t="shared" si="14"/>
        <v>15467594.123000002</v>
      </c>
      <c r="BL49" s="735"/>
    </row>
    <row r="50" spans="2:64" ht="16.5" customHeight="1" x14ac:dyDescent="0.3">
      <c r="B50" s="745"/>
      <c r="C50" s="751" t="s">
        <v>18</v>
      </c>
      <c r="D50" s="744">
        <v>480679.88505799999</v>
      </c>
      <c r="E50" s="744">
        <v>460907.31509799993</v>
      </c>
      <c r="F50" s="744">
        <v>444479.23321999999</v>
      </c>
      <c r="G50" s="744">
        <v>430583.08523800003</v>
      </c>
      <c r="H50" s="744">
        <v>439453.20612900006</v>
      </c>
      <c r="I50" s="744">
        <v>494844.75863000005</v>
      </c>
      <c r="J50" s="744">
        <f t="shared" si="43"/>
        <v>526260</v>
      </c>
      <c r="K50" s="744">
        <f>'11. 추정 BS'!AS50</f>
        <v>516678.88136381586</v>
      </c>
      <c r="L50" s="744">
        <f>'11. 추정 BS'!AT50</f>
        <v>523000.93511080311</v>
      </c>
      <c r="M50" s="744">
        <f>'11. 추정 BS'!AU50</f>
        <v>528991.23195099575</v>
      </c>
      <c r="N50" s="744">
        <f>'11. 추정 BS'!AV50</f>
        <v>538936.70916592388</v>
      </c>
      <c r="O50" s="744">
        <f>'11. 추정 BS'!AW50</f>
        <v>549264.17240032891</v>
      </c>
      <c r="P50" s="744">
        <f>'11. 추정 BS'!AX50</f>
        <v>560641.91177614289</v>
      </c>
      <c r="Q50" s="744">
        <f>'11. 추정 BS'!AY50</f>
        <v>572441.25713415141</v>
      </c>
      <c r="R50" s="757" t="s">
        <v>223</v>
      </c>
      <c r="S50" s="766"/>
      <c r="T50" s="776"/>
      <c r="W50" s="732" t="s">
        <v>819</v>
      </c>
      <c r="X50" s="732"/>
      <c r="Y50" s="870">
        <f t="shared" si="40"/>
        <v>13441.482880999989</v>
      </c>
      <c r="Z50" s="870">
        <f t="shared" si="40"/>
        <v>650356.09552099986</v>
      </c>
      <c r="AA50" s="872">
        <f t="shared" si="40"/>
        <v>-564323.57746899989</v>
      </c>
      <c r="AB50" s="872">
        <f t="shared" si="40"/>
        <v>-49251.231312000018</v>
      </c>
      <c r="AC50" s="870">
        <f t="shared" si="40"/>
        <v>20031.798647000018</v>
      </c>
      <c r="AD50" s="870">
        <f t="shared" si="40"/>
        <v>-8351.5603009999904</v>
      </c>
      <c r="AE50" s="870">
        <f t="shared" si="40"/>
        <v>-71569.603246724306</v>
      </c>
      <c r="AF50" s="870">
        <f t="shared" si="40"/>
        <v>15791.510100561776</v>
      </c>
      <c r="AG50" s="870">
        <f t="shared" si="40"/>
        <v>7130.9690967289644</v>
      </c>
      <c r="AH50" s="870">
        <f t="shared" si="40"/>
        <v>1032.321529795634</v>
      </c>
      <c r="AI50" s="870">
        <f t="shared" si="40"/>
        <v>2158.9436009854835</v>
      </c>
      <c r="AJ50" s="870">
        <f t="shared" si="40"/>
        <v>-1729.0853185888554</v>
      </c>
      <c r="AK50" s="870">
        <f t="shared" si="40"/>
        <v>433.07567873076187</v>
      </c>
      <c r="AY50" s="727" t="s">
        <v>8864</v>
      </c>
      <c r="AZ50" s="928">
        <f t="shared" si="11"/>
        <v>536648101.46099997</v>
      </c>
      <c r="BA50" s="727">
        <f>SUMIFS('전사합(개별)'!V:V,'전사합(개별)'!B:B,'12. 추정 IS'!C50)</f>
        <v>536647080.73399997</v>
      </c>
      <c r="BB50" s="928">
        <f>SUMIFS(SI본사부담!$V:$V,SI본사부담!$B:$B,'12. 추정 IS'!$C50)</f>
        <v>1020.727</v>
      </c>
      <c r="BD50" s="727">
        <f>SUMIFS(홈쇼핑!V:V,홈쇼핑!B:B,'12. 추정 IS'!C50)</f>
        <v>10388086.835999999</v>
      </c>
      <c r="BE50" s="727">
        <f t="shared" si="14"/>
        <v>526260014.62499994</v>
      </c>
      <c r="BL50" s="735"/>
    </row>
    <row r="51" spans="2:64" ht="16.5" customHeight="1" x14ac:dyDescent="0.3">
      <c r="B51" s="745"/>
      <c r="C51" s="751" t="s">
        <v>19</v>
      </c>
      <c r="D51" s="744">
        <v>39736.359215000004</v>
      </c>
      <c r="E51" s="744">
        <v>35420.248457000002</v>
      </c>
      <c r="F51" s="744">
        <v>39098.076173000001</v>
      </c>
      <c r="G51" s="744">
        <v>41084.273893999998</v>
      </c>
      <c r="H51" s="744">
        <v>33582.034905999986</v>
      </c>
      <c r="I51" s="744">
        <v>30528.505090999999</v>
      </c>
      <c r="J51" s="744">
        <f t="shared" si="43"/>
        <v>30260</v>
      </c>
      <c r="K51" s="744">
        <f>'11. 추정 BS'!AS48</f>
        <v>28078.329966000001</v>
      </c>
      <c r="L51" s="744">
        <f>'11. 추정 BS'!AT48</f>
        <v>28359.113266</v>
      </c>
      <c r="M51" s="744">
        <f>'11. 추정 BS'!AU48</f>
        <v>28642.704398000002</v>
      </c>
      <c r="N51" s="744">
        <f>'11. 추정 BS'!AV48</f>
        <v>28929.131442000002</v>
      </c>
      <c r="O51" s="744">
        <f>'11. 추정 BS'!AW48</f>
        <v>29218.422757</v>
      </c>
      <c r="P51" s="744">
        <f>'11. 추정 BS'!AX48</f>
        <v>29510.606983999998</v>
      </c>
      <c r="Q51" s="744">
        <f>'11. 추정 BS'!AY48</f>
        <v>29805.713054</v>
      </c>
      <c r="R51" s="757" t="s">
        <v>223</v>
      </c>
      <c r="S51" s="766"/>
      <c r="T51" s="776"/>
      <c r="W51" s="865" t="s">
        <v>820</v>
      </c>
      <c r="X51" s="732"/>
      <c r="Y51" s="870">
        <f t="shared" si="40"/>
        <v>642.72031899999979</v>
      </c>
      <c r="Z51" s="870">
        <f t="shared" si="40"/>
        <v>15033.418666000001</v>
      </c>
      <c r="AA51" s="872">
        <f t="shared" si="40"/>
        <v>-16502.028144</v>
      </c>
      <c r="AB51" s="872">
        <f t="shared" si="40"/>
        <v>1530.2943909999999</v>
      </c>
      <c r="AC51" s="870">
        <f t="shared" si="40"/>
        <v>10069.406407000002</v>
      </c>
      <c r="AD51" s="870">
        <f t="shared" si="40"/>
        <v>-6086.5041140000012</v>
      </c>
      <c r="AE51" s="870">
        <f t="shared" si="40"/>
        <v>4434.2897643742162</v>
      </c>
      <c r="AF51" s="870">
        <f t="shared" si="40"/>
        <v>16603.28343899607</v>
      </c>
      <c r="AG51" s="870">
        <f t="shared" si="40"/>
        <v>300.61265757526053</v>
      </c>
      <c r="AH51" s="870">
        <f t="shared" si="40"/>
        <v>-5734.8362513821958</v>
      </c>
      <c r="AI51" s="870">
        <f t="shared" si="40"/>
        <v>3723.019948396377</v>
      </c>
      <c r="AJ51" s="870">
        <f t="shared" si="40"/>
        <v>-570.40121513685153</v>
      </c>
      <c r="AK51" s="870">
        <f t="shared" si="40"/>
        <v>-860.73917270755555</v>
      </c>
      <c r="AZ51" s="928">
        <f t="shared" si="11"/>
        <v>34991924.412</v>
      </c>
      <c r="BA51" s="727">
        <f>SUMIFS('전사합(개별)'!V:V,'전사합(개별)'!B:B,'12. 추정 IS'!C51)</f>
        <v>34991924.412</v>
      </c>
      <c r="BB51" s="928">
        <f>SUMIFS(SI본사부담!$V:$V,SI본사부담!$B:$B,'12. 추정 IS'!$C51)</f>
        <v>0</v>
      </c>
      <c r="BD51" s="727">
        <f>SUMIFS(홈쇼핑!V:V,홈쇼핑!B:B,'12. 추정 IS'!C51)</f>
        <v>4732135.0760000004</v>
      </c>
      <c r="BE51" s="727">
        <f t="shared" si="14"/>
        <v>30259789.335999999</v>
      </c>
      <c r="BL51" s="735"/>
    </row>
    <row r="52" spans="2:64" ht="16.5" customHeight="1" x14ac:dyDescent="0.3">
      <c r="B52" s="745"/>
      <c r="C52" s="751" t="s">
        <v>20</v>
      </c>
      <c r="D52" s="744">
        <v>34211.629715000003</v>
      </c>
      <c r="E52" s="744">
        <v>18599.218938999998</v>
      </c>
      <c r="F52" s="744">
        <v>8094.5423190000001</v>
      </c>
      <c r="G52" s="744">
        <v>17206.268531999998</v>
      </c>
      <c r="H52" s="744">
        <v>30049.067600000009</v>
      </c>
      <c r="I52" s="744">
        <v>37849.073353</v>
      </c>
      <c r="J52" s="744">
        <f t="shared" si="43"/>
        <v>38634</v>
      </c>
      <c r="K52" s="744">
        <v>38802.510704361048</v>
      </c>
      <c r="L52" s="744">
        <v>37881.684001393063</v>
      </c>
      <c r="M52" s="744">
        <v>36847.132339922464</v>
      </c>
      <c r="N52" s="744">
        <v>35906.711108800744</v>
      </c>
      <c r="O52" s="744">
        <v>34958.179083155985</v>
      </c>
      <c r="P52" s="744">
        <v>34050.332502258752</v>
      </c>
      <c r="Q52" s="744">
        <v>33158.450062806245</v>
      </c>
      <c r="R52" s="757" t="s">
        <v>222</v>
      </c>
      <c r="S52" s="766"/>
      <c r="T52" s="776"/>
      <c r="W52" s="865" t="s">
        <v>494</v>
      </c>
      <c r="X52" s="732"/>
      <c r="Y52" s="870">
        <f t="shared" si="40"/>
        <v>0</v>
      </c>
      <c r="Z52" s="870">
        <f t="shared" si="40"/>
        <v>28359.628100999998</v>
      </c>
      <c r="AA52" s="872">
        <f t="shared" si="40"/>
        <v>-13685.700929999999</v>
      </c>
      <c r="AB52" s="872">
        <f t="shared" si="40"/>
        <v>-14673.927170999999</v>
      </c>
      <c r="AC52" s="870">
        <f t="shared" si="40"/>
        <v>1052.0385900000001</v>
      </c>
      <c r="AD52" s="870">
        <f t="shared" si="40"/>
        <v>8127.9614099999999</v>
      </c>
      <c r="AE52" s="870">
        <f t="shared" si="40"/>
        <v>-9342.9527760000001</v>
      </c>
      <c r="AF52" s="870">
        <f t="shared" si="40"/>
        <v>0</v>
      </c>
      <c r="AG52" s="870">
        <f t="shared" si="40"/>
        <v>0</v>
      </c>
      <c r="AH52" s="870">
        <f t="shared" si="40"/>
        <v>162.95277600000006</v>
      </c>
      <c r="AI52" s="870">
        <f t="shared" si="40"/>
        <v>0</v>
      </c>
      <c r="AJ52" s="870">
        <f t="shared" si="40"/>
        <v>0</v>
      </c>
      <c r="AK52" s="870">
        <f t="shared" si="40"/>
        <v>0</v>
      </c>
      <c r="AZ52" s="928">
        <f t="shared" si="11"/>
        <v>34461298.446999997</v>
      </c>
      <c r="BA52" s="727">
        <f>SUMIFS('전사합(개별)'!V:V,'전사합(개별)'!B:B,'12. 추정 IS'!C52)</f>
        <v>34461298.446999997</v>
      </c>
      <c r="BB52" s="928">
        <f>SUMIFS(SI본사부담!$V:$V,SI본사부담!$B:$B,'12. 추정 IS'!$C52)</f>
        <v>0</v>
      </c>
      <c r="BD52" s="727">
        <f>SUMIFS(홈쇼핑!V:V,홈쇼핑!B:B,'12. 추정 IS'!C52)</f>
        <v>-4172261.2540000002</v>
      </c>
      <c r="BE52" s="727">
        <f t="shared" si="14"/>
        <v>38633559.700999998</v>
      </c>
      <c r="BL52" s="735"/>
    </row>
    <row r="53" spans="2:64" ht="16.5" customHeight="1" x14ac:dyDescent="0.3">
      <c r="B53" s="745"/>
      <c r="C53" s="751" t="s">
        <v>21</v>
      </c>
      <c r="D53" s="744">
        <v>423746.02149000001</v>
      </c>
      <c r="E53" s="744">
        <v>431941.007682</v>
      </c>
      <c r="F53" s="744">
        <v>445747.090838</v>
      </c>
      <c r="G53" s="744">
        <v>487102.232074</v>
      </c>
      <c r="H53" s="744">
        <v>542804.6537690002</v>
      </c>
      <c r="I53" s="744">
        <v>582379.30142799998</v>
      </c>
      <c r="J53" s="744">
        <f t="shared" si="43"/>
        <v>591783</v>
      </c>
      <c r="K53" s="744">
        <f>AVERAGE(I53:J53)*1.01</f>
        <v>592951.96222114004</v>
      </c>
      <c r="L53" s="744">
        <f t="shared" ref="L53:Q54" si="48">K53*1.01</f>
        <v>598881.4818433515</v>
      </c>
      <c r="M53" s="744">
        <f t="shared" si="48"/>
        <v>604870.29666178499</v>
      </c>
      <c r="N53" s="744">
        <f t="shared" si="48"/>
        <v>610918.99962840287</v>
      </c>
      <c r="O53" s="744">
        <f t="shared" si="48"/>
        <v>617028.18962468696</v>
      </c>
      <c r="P53" s="744">
        <f t="shared" si="48"/>
        <v>623198.47152093379</v>
      </c>
      <c r="Q53" s="744">
        <f t="shared" si="48"/>
        <v>629430.45623614313</v>
      </c>
      <c r="R53" s="757" t="s">
        <v>221</v>
      </c>
      <c r="S53" s="766"/>
      <c r="T53" s="776"/>
      <c r="W53" s="865" t="s">
        <v>726</v>
      </c>
      <c r="X53" s="732"/>
      <c r="Y53" s="870">
        <f t="shared" si="40"/>
        <v>12798.762561999989</v>
      </c>
      <c r="Z53" s="870">
        <f t="shared" si="40"/>
        <v>606963.04875399987</v>
      </c>
      <c r="AA53" s="872">
        <f t="shared" si="40"/>
        <v>-534135.84839499986</v>
      </c>
      <c r="AB53" s="872">
        <f t="shared" si="40"/>
        <v>-36107.598532000033</v>
      </c>
      <c r="AC53" s="870">
        <f t="shared" si="40"/>
        <v>8910.3536500000337</v>
      </c>
      <c r="AD53" s="870">
        <f t="shared" si="40"/>
        <v>-10393.017596999998</v>
      </c>
      <c r="AE53" s="870">
        <f t="shared" si="40"/>
        <v>-66660.940235098518</v>
      </c>
      <c r="AF53" s="870">
        <f t="shared" si="40"/>
        <v>-811.77333843430097</v>
      </c>
      <c r="AG53" s="870">
        <f t="shared" si="40"/>
        <v>6830.3564391537075</v>
      </c>
      <c r="AH53" s="870">
        <f t="shared" si="40"/>
        <v>6604.2050051778351</v>
      </c>
      <c r="AI53" s="870">
        <f t="shared" si="40"/>
        <v>-1564.0763474108971</v>
      </c>
      <c r="AJ53" s="870">
        <f t="shared" si="40"/>
        <v>-1158.6841034520039</v>
      </c>
      <c r="AK53" s="870">
        <f t="shared" si="40"/>
        <v>1293.8148514383211</v>
      </c>
      <c r="AZ53" s="928">
        <f t="shared" si="11"/>
        <v>1081710624.5769999</v>
      </c>
      <c r="BA53" s="727">
        <f>SUMIFS('전사합(개별)'!V:V,'전사합(개별)'!B:B,'12. 추정 IS'!C53)</f>
        <v>1081699688.533</v>
      </c>
      <c r="BB53" s="928">
        <f>SUMIFS(SI본사부담!$V:$V,SI본사부담!$B:$B,'12. 추정 IS'!$C53)</f>
        <v>10936.044</v>
      </c>
      <c r="BD53" s="727">
        <f>SUMIFS(홈쇼핑!V:V,홈쇼핑!B:B,'12. 추정 IS'!C53)</f>
        <v>489928116.27499998</v>
      </c>
      <c r="BE53" s="727">
        <f t="shared" si="14"/>
        <v>591782508.30199993</v>
      </c>
      <c r="BL53" s="735"/>
    </row>
    <row r="54" spans="2:64" ht="16.5" customHeight="1" x14ac:dyDescent="0.3">
      <c r="B54" s="745"/>
      <c r="C54" s="751" t="s">
        <v>22</v>
      </c>
      <c r="D54" s="744">
        <v>35975.563623999995</v>
      </c>
      <c r="E54" s="744">
        <v>37382.331696000001</v>
      </c>
      <c r="F54" s="744">
        <v>44867.564026</v>
      </c>
      <c r="G54" s="744">
        <v>43339.257776999999</v>
      </c>
      <c r="H54" s="744">
        <v>20666.846225000005</v>
      </c>
      <c r="I54" s="744">
        <v>26501.772256</v>
      </c>
      <c r="J54" s="744">
        <f t="shared" si="43"/>
        <v>31172</v>
      </c>
      <c r="K54" s="744">
        <f>J54*1.01</f>
        <v>31483.72</v>
      </c>
      <c r="L54" s="744">
        <f t="shared" si="48"/>
        <v>31798.557200000003</v>
      </c>
      <c r="M54" s="744">
        <f t="shared" si="48"/>
        <v>32116.542772000004</v>
      </c>
      <c r="N54" s="744">
        <f t="shared" si="48"/>
        <v>32437.708199720004</v>
      </c>
      <c r="O54" s="744">
        <f t="shared" si="48"/>
        <v>32762.085281717205</v>
      </c>
      <c r="P54" s="744">
        <f t="shared" si="48"/>
        <v>33089.706134534375</v>
      </c>
      <c r="Q54" s="744">
        <f t="shared" si="48"/>
        <v>33420.603195879718</v>
      </c>
      <c r="R54" s="757" t="s">
        <v>222</v>
      </c>
      <c r="S54" s="766"/>
      <c r="T54" s="776"/>
      <c r="W54" s="732" t="s">
        <v>821</v>
      </c>
      <c r="X54" s="732"/>
      <c r="Y54" s="870">
        <f t="shared" si="40"/>
        <v>-8476.9054909999832</v>
      </c>
      <c r="Z54" s="870">
        <f t="shared" si="40"/>
        <v>50059.23712299997</v>
      </c>
      <c r="AA54" s="872">
        <f t="shared" si="40"/>
        <v>202204.86653700008</v>
      </c>
      <c r="AB54" s="872">
        <f t="shared" si="40"/>
        <v>47172.21207499993</v>
      </c>
      <c r="AC54" s="870">
        <f t="shared" si="40"/>
        <v>72070.057415999996</v>
      </c>
      <c r="AD54" s="870">
        <f t="shared" si="40"/>
        <v>-125563.90068399999</v>
      </c>
      <c r="AE54" s="870">
        <f t="shared" si="40"/>
        <v>-173315.57569841322</v>
      </c>
      <c r="AF54" s="870">
        <f t="shared" si="40"/>
        <v>-21411.020861615048</v>
      </c>
      <c r="AG54" s="870">
        <f t="shared" si="40"/>
        <v>2247.9813255378394</v>
      </c>
      <c r="AH54" s="870">
        <f t="shared" si="40"/>
        <v>5871.0194035130844</v>
      </c>
      <c r="AI54" s="870">
        <f t="shared" si="40"/>
        <v>-4663.3400441880221</v>
      </c>
      <c r="AJ54" s="870">
        <f t="shared" si="40"/>
        <v>1151.8868949543394</v>
      </c>
      <c r="AK54" s="870">
        <f t="shared" si="40"/>
        <v>786.52208475978114</v>
      </c>
      <c r="AZ54" s="928">
        <f t="shared" si="11"/>
        <v>66687564.763000004</v>
      </c>
      <c r="BA54" s="727">
        <f>SUMIFS('전사합(개별)'!V:V,'전사합(개별)'!B:B,'12. 추정 IS'!C54)</f>
        <v>66654696.143000007</v>
      </c>
      <c r="BB54" s="928">
        <f>SUMIFS(SI본사부담!$V:$V,SI본사부담!$B:$B,'12. 추정 IS'!$C54)</f>
        <v>32868.62000000001</v>
      </c>
      <c r="BD54" s="727">
        <f>SUMIFS(홈쇼핑!V:V,홈쇼핑!B:B,'12. 추정 IS'!C54)</f>
        <v>35515311.296999998</v>
      </c>
      <c r="BE54" s="727">
        <f t="shared" si="14"/>
        <v>31172253.466000006</v>
      </c>
      <c r="BL54" s="735"/>
    </row>
    <row r="55" spans="2:64" ht="16.5" customHeight="1" x14ac:dyDescent="0.3">
      <c r="B55" s="745"/>
      <c r="C55" s="751" t="s">
        <v>23</v>
      </c>
      <c r="D55" s="744">
        <v>174.01115399999978</v>
      </c>
      <c r="E55" s="744">
        <v>-56.231135000000009</v>
      </c>
      <c r="F55" s="744">
        <v>46.616287999999997</v>
      </c>
      <c r="G55" s="744">
        <v>382.48728399999999</v>
      </c>
      <c r="H55" s="744">
        <v>-3.9744100000000002</v>
      </c>
      <c r="I55" s="744">
        <v>2.4011149999999999</v>
      </c>
      <c r="J55" s="744">
        <f t="shared" si="43"/>
        <v>4</v>
      </c>
      <c r="K55" s="744">
        <v>440.96296077277225</v>
      </c>
      <c r="L55" s="744">
        <v>468.20914448366329</v>
      </c>
      <c r="M55" s="744">
        <v>495.69230473135303</v>
      </c>
      <c r="N55" s="744">
        <v>525.55383476970417</v>
      </c>
      <c r="O55" s="744">
        <v>556.80851512696461</v>
      </c>
      <c r="P55" s="744">
        <v>590.13682239699165</v>
      </c>
      <c r="Q55" s="744">
        <v>625.34612948174731</v>
      </c>
      <c r="R55" s="757" t="s">
        <v>221</v>
      </c>
      <c r="S55" s="766"/>
      <c r="T55" s="776"/>
      <c r="W55" s="865" t="s">
        <v>823</v>
      </c>
      <c r="X55" s="732"/>
      <c r="Y55" s="870">
        <f t="shared" si="40"/>
        <v>-9854.1515410000029</v>
      </c>
      <c r="Z55" s="870">
        <f t="shared" si="40"/>
        <v>-10677.795690999999</v>
      </c>
      <c r="AA55" s="872">
        <f t="shared" si="40"/>
        <v>-49.534555000000182</v>
      </c>
      <c r="AB55" s="872">
        <f t="shared" si="40"/>
        <v>-241.42748400000164</v>
      </c>
      <c r="AC55" s="870">
        <f t="shared" si="40"/>
        <v>14246.393720000004</v>
      </c>
      <c r="AD55" s="870">
        <f t="shared" si="40"/>
        <v>-13030.967929000002</v>
      </c>
      <c r="AE55" s="870">
        <f t="shared" si="40"/>
        <v>7367.4360302115383</v>
      </c>
      <c r="AF55" s="870">
        <f t="shared" si="40"/>
        <v>-3354.168473896234</v>
      </c>
      <c r="AG55" s="870">
        <f t="shared" si="40"/>
        <v>-500.16786801847957</v>
      </c>
      <c r="AH55" s="870">
        <f t="shared" si="40"/>
        <v>1380.8347366443977</v>
      </c>
      <c r="AI55" s="870">
        <f t="shared" si="40"/>
        <v>-753.83386842343862</v>
      </c>
      <c r="AJ55" s="870">
        <f t="shared" si="40"/>
        <v>42.277666734160448</v>
      </c>
      <c r="AK55" s="870">
        <f t="shared" si="40"/>
        <v>223.09284498503985</v>
      </c>
      <c r="AM55" s="864">
        <f>(G53-F53)/F53</f>
        <v>9.277714220916787E-2</v>
      </c>
      <c r="AN55" s="864">
        <f>(H53-G53)/G53</f>
        <v>0.1143546837341077</v>
      </c>
      <c r="AO55" s="864">
        <f>(I53-H53)/H53</f>
        <v>7.2907716218368029E-2</v>
      </c>
      <c r="AP55" s="864">
        <f>(J53-I53)/I53</f>
        <v>1.6147034327871988E-2</v>
      </c>
      <c r="AQ55" s="864">
        <f>(K53-J53)/J53</f>
        <v>1.9753224089574081E-3</v>
      </c>
      <c r="AZ55" s="928">
        <f t="shared" si="11"/>
        <v>4244.1930000000002</v>
      </c>
      <c r="BA55" s="727">
        <f>SUMIFS('전사합(개별)'!V:V,'전사합(개별)'!B:B,'12. 추정 IS'!C55)</f>
        <v>4244.1930000000002</v>
      </c>
      <c r="BB55" s="928">
        <f>SUMIFS(SI본사부담!$V:$V,SI본사부담!$B:$B,'12. 추정 IS'!$C55)</f>
        <v>0</v>
      </c>
      <c r="BD55" s="727">
        <f>SUMIFS(홈쇼핑!V:V,홈쇼핑!B:B,'12. 추정 IS'!C55)</f>
        <v>0</v>
      </c>
      <c r="BE55" s="727">
        <f t="shared" si="14"/>
        <v>4244.1930000000002</v>
      </c>
      <c r="BL55" s="735"/>
    </row>
    <row r="56" spans="2:64" ht="16.5" customHeight="1" x14ac:dyDescent="0.3">
      <c r="B56" s="745"/>
      <c r="C56" s="751" t="s">
        <v>24</v>
      </c>
      <c r="D56" s="744">
        <v>37033.811204000005</v>
      </c>
      <c r="E56" s="744">
        <v>33582.970577</v>
      </c>
      <c r="F56" s="744">
        <v>33037.036522000002</v>
      </c>
      <c r="G56" s="744">
        <v>36392.570151</v>
      </c>
      <c r="H56" s="744">
        <v>31326.620406999999</v>
      </c>
      <c r="I56" s="744">
        <v>32569.214535000006</v>
      </c>
      <c r="J56" s="744">
        <f t="shared" si="43"/>
        <v>33925</v>
      </c>
      <c r="K56" s="744">
        <f t="shared" ref="K56:Q56" si="49">J56/J$14*K$14</f>
        <v>34810.729866552516</v>
      </c>
      <c r="L56" s="744">
        <f t="shared" si="49"/>
        <v>35478.469988675308</v>
      </c>
      <c r="M56" s="744">
        <f t="shared" si="49"/>
        <v>36168.884472664613</v>
      </c>
      <c r="N56" s="744">
        <f t="shared" si="49"/>
        <v>36921.403815963065</v>
      </c>
      <c r="O56" s="744">
        <f t="shared" si="49"/>
        <v>37689.83614659914</v>
      </c>
      <c r="P56" s="744">
        <f t="shared" si="49"/>
        <v>38545.351232461631</v>
      </c>
      <c r="Q56" s="744">
        <f t="shared" si="49"/>
        <v>39477.017319484541</v>
      </c>
      <c r="R56" s="757" t="s">
        <v>221</v>
      </c>
      <c r="S56" s="766"/>
      <c r="T56" s="776"/>
      <c r="W56" s="865" t="s">
        <v>491</v>
      </c>
      <c r="X56" s="732"/>
      <c r="Y56" s="870">
        <f t="shared" ref="Y56:AK62" si="50">Y30-X30</f>
        <v>3189.7879890000004</v>
      </c>
      <c r="Z56" s="870">
        <f t="shared" si="50"/>
        <v>-2703.9098440000002</v>
      </c>
      <c r="AA56" s="872">
        <f t="shared" si="50"/>
        <v>-1214.5052049999999</v>
      </c>
      <c r="AB56" s="872">
        <f t="shared" si="50"/>
        <v>11191.715326</v>
      </c>
      <c r="AC56" s="870">
        <f t="shared" si="50"/>
        <v>-11191.715326</v>
      </c>
      <c r="AD56" s="870">
        <f t="shared" si="50"/>
        <v>0</v>
      </c>
      <c r="AE56" s="870">
        <f t="shared" si="50"/>
        <v>0</v>
      </c>
      <c r="AF56" s="870">
        <f t="shared" si="50"/>
        <v>0</v>
      </c>
      <c r="AG56" s="870">
        <f t="shared" si="50"/>
        <v>0</v>
      </c>
      <c r="AH56" s="870">
        <f t="shared" si="50"/>
        <v>0</v>
      </c>
      <c r="AI56" s="870">
        <f t="shared" si="50"/>
        <v>0</v>
      </c>
      <c r="AJ56" s="870">
        <f t="shared" si="50"/>
        <v>0</v>
      </c>
      <c r="AK56" s="870">
        <f t="shared" si="50"/>
        <v>0</v>
      </c>
      <c r="AZ56" s="928">
        <f t="shared" si="11"/>
        <v>51140082.026999995</v>
      </c>
      <c r="BA56" s="727">
        <f>SUMIFS('전사합(개별)'!V:V,'전사합(개별)'!B:B,'12. 추정 IS'!C56)</f>
        <v>51140082.026999995</v>
      </c>
      <c r="BB56" s="928">
        <f>SUMIFS(SI본사부담!$V:$V,SI본사부담!$B:$B,'12. 추정 IS'!$C56)</f>
        <v>0</v>
      </c>
      <c r="BD56" s="727">
        <f>SUMIFS(홈쇼핑!V:V,홈쇼핑!B:B,'12. 추정 IS'!C56)</f>
        <v>17215280.612</v>
      </c>
      <c r="BE56" s="727">
        <f t="shared" si="14"/>
        <v>33924801.414999992</v>
      </c>
      <c r="BL56" s="735"/>
    </row>
    <row r="57" spans="2:64" ht="16.5" customHeight="1" x14ac:dyDescent="0.3">
      <c r="B57" s="745"/>
      <c r="C57" s="751" t="s">
        <v>25</v>
      </c>
      <c r="D57" s="744">
        <v>22432.928068000001</v>
      </c>
      <c r="E57" s="744">
        <v>21472.212466000001</v>
      </c>
      <c r="F57" s="744">
        <v>41144.479769999998</v>
      </c>
      <c r="G57" s="744">
        <v>60265.197715000002</v>
      </c>
      <c r="H57" s="744">
        <v>51965.199465999998</v>
      </c>
      <c r="I57" s="744">
        <v>60182.336708000003</v>
      </c>
      <c r="J57" s="744">
        <f t="shared" si="43"/>
        <v>51142</v>
      </c>
      <c r="K57" s="744">
        <f>J57/J$14*K$14</f>
        <v>52477.239405607332</v>
      </c>
      <c r="L57" s="744">
        <f t="shared" ref="L57:Q57" si="51">K57/K$14*L$14</f>
        <v>53483.85886988452</v>
      </c>
      <c r="M57" s="744">
        <f t="shared" si="51"/>
        <v>54524.659976448442</v>
      </c>
      <c r="N57" s="744">
        <f t="shared" si="51"/>
        <v>55659.084272836633</v>
      </c>
      <c r="O57" s="744">
        <f t="shared" si="51"/>
        <v>56817.497426952781</v>
      </c>
      <c r="P57" s="744">
        <f t="shared" si="51"/>
        <v>58107.187995005232</v>
      </c>
      <c r="Q57" s="744">
        <f t="shared" si="51"/>
        <v>59511.676337599944</v>
      </c>
      <c r="R57" s="757" t="s">
        <v>221</v>
      </c>
      <c r="S57" s="766"/>
      <c r="T57" s="776"/>
      <c r="W57" s="865" t="s">
        <v>317</v>
      </c>
      <c r="X57" s="732"/>
      <c r="Y57" s="870">
        <f t="shared" si="50"/>
        <v>-1812.5419389999734</v>
      </c>
      <c r="Z57" s="870">
        <f t="shared" si="50"/>
        <v>63440.942657999956</v>
      </c>
      <c r="AA57" s="872">
        <f t="shared" si="50"/>
        <v>203468.90629700007</v>
      </c>
      <c r="AB57" s="872">
        <f t="shared" si="50"/>
        <v>36221.924232999969</v>
      </c>
      <c r="AC57" s="870">
        <f t="shared" si="50"/>
        <v>69015.379022000008</v>
      </c>
      <c r="AD57" s="870">
        <f t="shared" si="50"/>
        <v>-112532.93275500002</v>
      </c>
      <c r="AE57" s="870">
        <f t="shared" si="50"/>
        <v>-180683.01172862476</v>
      </c>
      <c r="AF57" s="870">
        <f t="shared" si="50"/>
        <v>-18056.852387718827</v>
      </c>
      <c r="AG57" s="870">
        <f t="shared" si="50"/>
        <v>2748.149193556339</v>
      </c>
      <c r="AH57" s="870">
        <f t="shared" si="50"/>
        <v>4490.1846668686776</v>
      </c>
      <c r="AI57" s="870">
        <f t="shared" si="50"/>
        <v>-3909.5061757645744</v>
      </c>
      <c r="AJ57" s="870">
        <f t="shared" si="50"/>
        <v>1109.6092282201862</v>
      </c>
      <c r="AK57" s="870">
        <f t="shared" si="50"/>
        <v>563.42923977473401</v>
      </c>
      <c r="AZ57" s="928">
        <f t="shared" si="11"/>
        <v>61550637.550000004</v>
      </c>
      <c r="BA57" s="727">
        <f>SUMIFS('전사합(개별)'!V:V,'전사합(개별)'!B:B,'12. 추정 IS'!C57)</f>
        <v>61550637.550000004</v>
      </c>
      <c r="BB57" s="928">
        <f>SUMIFS(SI본사부담!$V:$V,SI본사부담!$B:$B,'12. 추정 IS'!$C57)</f>
        <v>0</v>
      </c>
      <c r="BD57" s="727">
        <f>SUMIFS(홈쇼핑!V:V,홈쇼핑!B:B,'12. 추정 IS'!C57)</f>
        <v>10408203.573000001</v>
      </c>
      <c r="BE57" s="727">
        <f t="shared" si="14"/>
        <v>51142433.977000006</v>
      </c>
      <c r="BL57" s="735"/>
    </row>
    <row r="58" spans="2:64" ht="16.5" customHeight="1" x14ac:dyDescent="0.3">
      <c r="B58" s="745"/>
      <c r="C58" s="751" t="s">
        <v>26</v>
      </c>
      <c r="D58" s="744">
        <v>6379.5452970000006</v>
      </c>
      <c r="E58" s="744">
        <v>4680.2062810000016</v>
      </c>
      <c r="F58" s="744">
        <v>6156.6425069999996</v>
      </c>
      <c r="G58" s="744">
        <v>8126.03701</v>
      </c>
      <c r="H58" s="744">
        <v>7960.6977250000009</v>
      </c>
      <c r="I58" s="744">
        <v>8285.6749020000007</v>
      </c>
      <c r="J58" s="744">
        <f t="shared" si="43"/>
        <v>7580</v>
      </c>
      <c r="K58" s="744">
        <f>J58/J$14*K$14</f>
        <v>7777.9022074714248</v>
      </c>
      <c r="L58" s="744">
        <f t="shared" ref="L58:Q58" si="52">K58/K$14*L$14</f>
        <v>7927.0980844261994</v>
      </c>
      <c r="M58" s="744">
        <f t="shared" si="52"/>
        <v>8081.3601857862268</v>
      </c>
      <c r="N58" s="744">
        <f t="shared" si="52"/>
        <v>8249.4986271186444</v>
      </c>
      <c r="O58" s="744">
        <f t="shared" si="52"/>
        <v>8421.1925715909056</v>
      </c>
      <c r="P58" s="744">
        <f t="shared" si="52"/>
        <v>8612.3437683731518</v>
      </c>
      <c r="Q58" s="744">
        <f t="shared" si="52"/>
        <v>8820.5096914279384</v>
      </c>
      <c r="R58" s="757" t="s">
        <v>222</v>
      </c>
      <c r="S58" s="766"/>
      <c r="T58" s="776"/>
      <c r="W58" s="732" t="s">
        <v>825</v>
      </c>
      <c r="X58" s="732"/>
      <c r="Y58" s="870">
        <f t="shared" si="50"/>
        <v>101349.69634499954</v>
      </c>
      <c r="Z58" s="870">
        <f t="shared" si="50"/>
        <v>497223.44654999895</v>
      </c>
      <c r="AA58" s="872">
        <f t="shared" si="50"/>
        <v>-809369.04275299935</v>
      </c>
      <c r="AB58" s="872">
        <f t="shared" si="50"/>
        <v>-12193.540449997701</v>
      </c>
      <c r="AC58" s="870">
        <f t="shared" si="50"/>
        <v>-104568.51051400183</v>
      </c>
      <c r="AD58" s="870">
        <f t="shared" si="50"/>
        <v>168553.97499899962</v>
      </c>
      <c r="AE58" s="870">
        <f t="shared" si="50"/>
        <v>85668.203068111528</v>
      </c>
      <c r="AF58" s="870">
        <f t="shared" si="50"/>
        <v>38863.885562616604</v>
      </c>
      <c r="AG58" s="870">
        <f t="shared" si="50"/>
        <v>4434.3243410449359</v>
      </c>
      <c r="AH58" s="870">
        <f t="shared" si="50"/>
        <v>4040.9989650374919</v>
      </c>
      <c r="AI58" s="870">
        <f t="shared" si="50"/>
        <v>17985.575265766296</v>
      </c>
      <c r="AJ58" s="870">
        <f t="shared" si="50"/>
        <v>9136.8365642222052</v>
      </c>
      <c r="AK58" s="870">
        <f t="shared" si="50"/>
        <v>11855.798746494227</v>
      </c>
      <c r="AM58" s="864">
        <f>(G56-F56)/F56</f>
        <v>0.10156884461369539</v>
      </c>
      <c r="AN58" s="864">
        <f>(H56-G56)/G56</f>
        <v>-0.13920285714859845</v>
      </c>
      <c r="AO58" s="864">
        <f>(I56-H56)/H56</f>
        <v>3.9665757488552694E-2</v>
      </c>
      <c r="AP58" s="864">
        <f>(J56-I56)/I56</f>
        <v>4.1627821989474741E-2</v>
      </c>
      <c r="AQ58" s="864">
        <f>(K56-J56)/J56</f>
        <v>2.6108470642668118E-2</v>
      </c>
      <c r="AZ58" s="928">
        <f t="shared" si="11"/>
        <v>7580383.1979999999</v>
      </c>
      <c r="BA58" s="727">
        <f>SUMIFS('전사합(개별)'!V:V,'전사합(개별)'!B:B,'12. 추정 IS'!C58)</f>
        <v>7580383.1979999999</v>
      </c>
      <c r="BB58" s="928">
        <f>SUMIFS(SI본사부담!$V:$V,SI본사부담!$B:$B,'12. 추정 IS'!$C58)</f>
        <v>0</v>
      </c>
      <c r="BD58" s="727">
        <f>SUMIFS(홈쇼핑!V:V,홈쇼핑!B:B,'12. 추정 IS'!C58)</f>
        <v>0</v>
      </c>
      <c r="BE58" s="727">
        <f t="shared" si="14"/>
        <v>7580383.1979999999</v>
      </c>
      <c r="BL58" s="735"/>
    </row>
    <row r="59" spans="2:64" ht="16.5" customHeight="1" x14ac:dyDescent="0.3">
      <c r="B59" s="745"/>
      <c r="C59" s="751" t="s">
        <v>27</v>
      </c>
      <c r="D59" s="744">
        <v>26321.867579999998</v>
      </c>
      <c r="E59" s="744">
        <v>24553.425605000004</v>
      </c>
      <c r="F59" s="744">
        <v>23277.710922999999</v>
      </c>
      <c r="G59" s="744">
        <v>26802.892102000002</v>
      </c>
      <c r="H59" s="744">
        <v>25297.396172000008</v>
      </c>
      <c r="I59" s="744">
        <v>30253.820817000007</v>
      </c>
      <c r="J59" s="744">
        <f t="shared" si="43"/>
        <v>25436</v>
      </c>
      <c r="K59" s="744">
        <v>26188.112348305443</v>
      </c>
      <c r="L59" s="744">
        <f t="shared" ref="L59:Q60" si="53">K59*1.01</f>
        <v>26449.993471788497</v>
      </c>
      <c r="M59" s="744">
        <f t="shared" si="53"/>
        <v>26714.493406506383</v>
      </c>
      <c r="N59" s="744">
        <f t="shared" si="53"/>
        <v>26981.638340571448</v>
      </c>
      <c r="O59" s="744">
        <f t="shared" si="53"/>
        <v>27251.454723977164</v>
      </c>
      <c r="P59" s="744">
        <f t="shared" si="53"/>
        <v>27523.969271216934</v>
      </c>
      <c r="Q59" s="744">
        <f t="shared" si="53"/>
        <v>27799.208963929104</v>
      </c>
      <c r="R59" s="757" t="s">
        <v>222</v>
      </c>
      <c r="S59" s="766"/>
      <c r="T59" s="776"/>
      <c r="W59" s="732" t="s">
        <v>827</v>
      </c>
      <c r="X59" s="732"/>
      <c r="Y59" s="870">
        <f t="shared" si="50"/>
        <v>32723.708228999982</v>
      </c>
      <c r="Z59" s="870">
        <f t="shared" si="50"/>
        <v>-22132.724862999981</v>
      </c>
      <c r="AA59" s="872">
        <f t="shared" si="50"/>
        <v>-48979.275656999998</v>
      </c>
      <c r="AB59" s="872">
        <f t="shared" si="50"/>
        <v>12738.080186000007</v>
      </c>
      <c r="AC59" s="870">
        <f t="shared" si="50"/>
        <v>-29292.357786000008</v>
      </c>
      <c r="AD59" s="870">
        <f t="shared" si="50"/>
        <v>8159.2782220000008</v>
      </c>
      <c r="AE59" s="870">
        <f t="shared" si="50"/>
        <v>24144.703142483049</v>
      </c>
      <c r="AF59" s="870">
        <f t="shared" si="50"/>
        <v>9405.0603061531001</v>
      </c>
      <c r="AG59" s="870">
        <f t="shared" si="50"/>
        <v>1073.106490532984</v>
      </c>
      <c r="AH59" s="870">
        <f t="shared" si="50"/>
        <v>977.92174953907306</v>
      </c>
      <c r="AI59" s="870">
        <f t="shared" si="50"/>
        <v>4352.5092143152906</v>
      </c>
      <c r="AJ59" s="870">
        <f t="shared" si="50"/>
        <v>2211.1144485418627</v>
      </c>
      <c r="AK59" s="870">
        <f t="shared" si="50"/>
        <v>2869.1032966516213</v>
      </c>
      <c r="AZ59" s="928">
        <f t="shared" si="11"/>
        <v>37858215.209999993</v>
      </c>
      <c r="BA59" s="727">
        <f>SUMIFS('전사합(개별)'!V:V,'전사합(개별)'!B:B,'12. 추정 IS'!C59)</f>
        <v>37847481.151999995</v>
      </c>
      <c r="BB59" s="928">
        <f>SUMIFS(SI본사부담!$V:$V,SI본사부담!$B:$B,'12. 추정 IS'!$C59)</f>
        <v>10734.058000000001</v>
      </c>
      <c r="BD59" s="727">
        <f>SUMIFS(홈쇼핑!V:V,홈쇼핑!B:B,'12. 추정 IS'!C59)</f>
        <v>12421925.551000001</v>
      </c>
      <c r="BE59" s="727">
        <f t="shared" si="14"/>
        <v>25436289.658999994</v>
      </c>
      <c r="BL59" s="735"/>
    </row>
    <row r="60" spans="2:64" ht="16.5" customHeight="1" x14ac:dyDescent="0.3">
      <c r="B60" s="745"/>
      <c r="C60" s="751" t="s">
        <v>28</v>
      </c>
      <c r="D60" s="744">
        <v>15552.487422999999</v>
      </c>
      <c r="E60" s="744">
        <v>13899.290924000003</v>
      </c>
      <c r="F60" s="744">
        <v>17727.256711000002</v>
      </c>
      <c r="G60" s="744">
        <v>18101.458661000001</v>
      </c>
      <c r="H60" s="744">
        <v>20409.999223999999</v>
      </c>
      <c r="I60" s="744">
        <v>23169.097044999995</v>
      </c>
      <c r="J60" s="744">
        <f t="shared" si="43"/>
        <v>18525</v>
      </c>
      <c r="K60" s="744">
        <f>AVERAGE(H60:J60)</f>
        <v>20701.365422999999</v>
      </c>
      <c r="L60" s="744">
        <f t="shared" si="53"/>
        <v>20908.379077229998</v>
      </c>
      <c r="M60" s="744">
        <f t="shared" si="53"/>
        <v>21117.462868002298</v>
      </c>
      <c r="N60" s="744">
        <f t="shared" si="53"/>
        <v>21328.63749668232</v>
      </c>
      <c r="O60" s="744">
        <f t="shared" si="53"/>
        <v>21541.923871649145</v>
      </c>
      <c r="P60" s="744">
        <f t="shared" si="53"/>
        <v>21757.343110365637</v>
      </c>
      <c r="Q60" s="744">
        <f t="shared" si="53"/>
        <v>21974.916541469294</v>
      </c>
      <c r="R60" s="757" t="s">
        <v>222</v>
      </c>
      <c r="S60" s="766"/>
      <c r="T60" s="776"/>
      <c r="W60" s="732" t="s">
        <v>420</v>
      </c>
      <c r="X60" s="732"/>
      <c r="Y60" s="870">
        <f t="shared" si="50"/>
        <v>68625.988115999557</v>
      </c>
      <c r="Z60" s="870">
        <f t="shared" si="50"/>
        <v>519356.17141299893</v>
      </c>
      <c r="AA60" s="872">
        <f t="shared" si="50"/>
        <v>-760389.76709599933</v>
      </c>
      <c r="AB60" s="872">
        <f t="shared" si="50"/>
        <v>-24931.620635997715</v>
      </c>
      <c r="AC60" s="870">
        <f t="shared" si="50"/>
        <v>-75276.15272800182</v>
      </c>
      <c r="AD60" s="870">
        <f t="shared" si="50"/>
        <v>160394.69677699963</v>
      </c>
      <c r="AE60" s="870">
        <f t="shared" si="50"/>
        <v>61523.499925628479</v>
      </c>
      <c r="AF60" s="870">
        <f t="shared" si="50"/>
        <v>29458.825256463504</v>
      </c>
      <c r="AG60" s="870">
        <f t="shared" si="50"/>
        <v>3361.2178505119518</v>
      </c>
      <c r="AH60" s="870">
        <f t="shared" si="50"/>
        <v>3063.0772154984152</v>
      </c>
      <c r="AI60" s="870">
        <f t="shared" si="50"/>
        <v>13633.066051451009</v>
      </c>
      <c r="AJ60" s="870">
        <f t="shared" si="50"/>
        <v>6925.7221156803425</v>
      </c>
      <c r="AK60" s="870">
        <f t="shared" si="50"/>
        <v>8986.6954498426057</v>
      </c>
      <c r="AZ60" s="928">
        <f t="shared" si="11"/>
        <v>19356108.306000002</v>
      </c>
      <c r="BA60" s="727">
        <f>SUMIFS('전사합(개별)'!V:V,'전사합(개별)'!B:B,'12. 추정 IS'!C60)</f>
        <v>19356108.306000002</v>
      </c>
      <c r="BB60" s="928">
        <f>SUMIFS(SI본사부담!$V:$V,SI본사부담!$B:$B,'12. 추정 IS'!$C60)</f>
        <v>0</v>
      </c>
      <c r="BD60" s="727">
        <f>SUMIFS(홈쇼핑!V:V,홈쇼핑!B:B,'12. 추정 IS'!C60)</f>
        <v>831244.95499999996</v>
      </c>
      <c r="BE60" s="727">
        <f t="shared" si="14"/>
        <v>18524863.351000004</v>
      </c>
      <c r="BL60" s="735"/>
    </row>
    <row r="61" spans="2:64" ht="16.5" customHeight="1" x14ac:dyDescent="0.3">
      <c r="B61" s="745"/>
      <c r="C61" s="751" t="s">
        <v>29</v>
      </c>
      <c r="D61" s="744">
        <v>9232.1330220000018</v>
      </c>
      <c r="E61" s="744">
        <v>8715.4244920000001</v>
      </c>
      <c r="F61" s="744">
        <v>11459.115333</v>
      </c>
      <c r="G61" s="744">
        <v>16342.001881</v>
      </c>
      <c r="H61" s="744">
        <v>10802.375203000001</v>
      </c>
      <c r="I61" s="744">
        <v>8605.7793099999999</v>
      </c>
      <c r="J61" s="744">
        <f t="shared" si="43"/>
        <v>6540</v>
      </c>
      <c r="K61" s="744">
        <v>7690.4970893753934</v>
      </c>
      <c r="L61" s="744">
        <v>7971.0601612965365</v>
      </c>
      <c r="M61" s="744">
        <v>8280.1328453905426</v>
      </c>
      <c r="N61" s="744">
        <v>8591.6930099767269</v>
      </c>
      <c r="O61" s="744">
        <v>8919.9019965324951</v>
      </c>
      <c r="P61" s="744">
        <v>9258.0915674948392</v>
      </c>
      <c r="Q61" s="744">
        <v>9610.4302793296847</v>
      </c>
      <c r="R61" s="757" t="s">
        <v>222</v>
      </c>
      <c r="S61" s="766"/>
      <c r="T61" s="776"/>
      <c r="W61" s="732" t="s">
        <v>421</v>
      </c>
      <c r="X61" s="732"/>
      <c r="Y61" s="870">
        <f t="shared" si="50"/>
        <v>0</v>
      </c>
      <c r="Z61" s="870">
        <f t="shared" si="50"/>
        <v>0</v>
      </c>
      <c r="AA61" s="872">
        <f t="shared" si="50"/>
        <v>-8798.2039980000009</v>
      </c>
      <c r="AB61" s="872">
        <f t="shared" si="50"/>
        <v>-50780.476244999998</v>
      </c>
      <c r="AC61" s="870">
        <f t="shared" si="50"/>
        <v>59578.680243000003</v>
      </c>
      <c r="AD61" s="870">
        <f t="shared" si="50"/>
        <v>0</v>
      </c>
      <c r="AE61" s="870">
        <f t="shared" si="50"/>
        <v>0</v>
      </c>
      <c r="AF61" s="870">
        <f t="shared" si="50"/>
        <v>0</v>
      </c>
      <c r="AG61" s="870">
        <f t="shared" si="50"/>
        <v>0</v>
      </c>
      <c r="AH61" s="870">
        <f t="shared" si="50"/>
        <v>0</v>
      </c>
      <c r="AI61" s="870">
        <f t="shared" si="50"/>
        <v>0</v>
      </c>
      <c r="AJ61" s="870">
        <f t="shared" si="50"/>
        <v>0</v>
      </c>
      <c r="AK61" s="870">
        <f t="shared" si="50"/>
        <v>0</v>
      </c>
      <c r="AZ61" s="928">
        <f t="shared" si="11"/>
        <v>6749940.3489999985</v>
      </c>
      <c r="BA61" s="727">
        <f>SUMIFS('전사합(개별)'!V:V,'전사합(개별)'!B:B,'12. 추정 IS'!C61)</f>
        <v>6749780.9589999989</v>
      </c>
      <c r="BB61" s="928">
        <f>SUMIFS(SI본사부담!$V:$V,SI본사부담!$B:$B,'12. 추정 IS'!$C61)</f>
        <v>159.38999999999999</v>
      </c>
      <c r="BD61" s="727">
        <f>SUMIFS(홈쇼핑!V:V,홈쇼핑!B:B,'12. 추정 IS'!C61)</f>
        <v>209563.15299999999</v>
      </c>
      <c r="BE61" s="727">
        <f t="shared" si="14"/>
        <v>6540377.1959999986</v>
      </c>
      <c r="BL61" s="735"/>
    </row>
    <row r="62" spans="2:64" ht="16.5" customHeight="1" x14ac:dyDescent="0.3">
      <c r="B62" s="745"/>
      <c r="C62" s="751" t="s">
        <v>30</v>
      </c>
      <c r="D62" s="744">
        <v>4548.7902940000004</v>
      </c>
      <c r="E62" s="744">
        <v>2595.6070170000003</v>
      </c>
      <c r="F62" s="744">
        <v>1198.0622129999999</v>
      </c>
      <c r="G62" s="744">
        <v>0.28261799999999998</v>
      </c>
      <c r="H62" s="744">
        <v>0.109</v>
      </c>
      <c r="I62" s="744">
        <v>0</v>
      </c>
      <c r="J62" s="744">
        <f t="shared" si="43"/>
        <v>0</v>
      </c>
      <c r="K62" s="744">
        <v>0</v>
      </c>
      <c r="L62" s="744">
        <v>0</v>
      </c>
      <c r="M62" s="744">
        <v>0</v>
      </c>
      <c r="N62" s="744">
        <v>0</v>
      </c>
      <c r="O62" s="744">
        <v>0</v>
      </c>
      <c r="P62" s="744">
        <v>0</v>
      </c>
      <c r="Q62" s="744">
        <v>0</v>
      </c>
      <c r="R62" s="757" t="s">
        <v>221</v>
      </c>
      <c r="S62" s="766"/>
      <c r="T62" s="776"/>
      <c r="W62" s="732" t="s">
        <v>422</v>
      </c>
      <c r="X62" s="732"/>
      <c r="Y62" s="870">
        <f t="shared" si="50"/>
        <v>68625.988115999557</v>
      </c>
      <c r="Z62" s="870">
        <f t="shared" si="50"/>
        <v>519356.17141299893</v>
      </c>
      <c r="AA62" s="870">
        <f t="shared" si="50"/>
        <v>-769187.97109399934</v>
      </c>
      <c r="AB62" s="870">
        <f t="shared" si="50"/>
        <v>-75712.09688099772</v>
      </c>
      <c r="AC62" s="870">
        <f t="shared" si="50"/>
        <v>-15697.47248500181</v>
      </c>
      <c r="AD62" s="870">
        <f t="shared" si="50"/>
        <v>160394.69677699963</v>
      </c>
      <c r="AE62" s="870">
        <f t="shared" si="50"/>
        <v>61523.499925628479</v>
      </c>
      <c r="AF62" s="870">
        <f t="shared" si="50"/>
        <v>29458.825256463504</v>
      </c>
      <c r="AG62" s="870">
        <f t="shared" si="50"/>
        <v>3361.2178505119518</v>
      </c>
      <c r="AH62" s="870">
        <f t="shared" si="50"/>
        <v>3063.0772154984152</v>
      </c>
      <c r="AI62" s="870">
        <f t="shared" si="50"/>
        <v>13633.066051451009</v>
      </c>
      <c r="AJ62" s="870">
        <f t="shared" si="50"/>
        <v>6925.7221156803425</v>
      </c>
      <c r="AK62" s="870">
        <f t="shared" si="50"/>
        <v>8986.6954498426057</v>
      </c>
      <c r="AZ62" s="928">
        <f t="shared" si="11"/>
        <v>348759.68900000007</v>
      </c>
      <c r="BA62" s="727">
        <f>SUMIFS('전사합(개별)'!V:V,'전사합(개별)'!B:B,'12. 추정 IS'!C62)</f>
        <v>348759.68900000007</v>
      </c>
      <c r="BB62" s="928">
        <f>SUMIFS(SI본사부담!$V:$V,SI본사부담!$B:$B,'12. 추정 IS'!$C62)</f>
        <v>0</v>
      </c>
      <c r="BD62" s="727">
        <f>SUMIFS(홈쇼핑!V:V,홈쇼핑!B:B,'12. 추정 IS'!C62)</f>
        <v>348759.68900000007</v>
      </c>
      <c r="BE62" s="727">
        <f t="shared" si="14"/>
        <v>0</v>
      </c>
      <c r="BL62" s="735"/>
    </row>
    <row r="63" spans="2:64" ht="16.5" customHeight="1" x14ac:dyDescent="0.3">
      <c r="B63" s="745"/>
      <c r="C63" s="751" t="s">
        <v>31</v>
      </c>
      <c r="D63" s="744">
        <v>2620.1660949999996</v>
      </c>
      <c r="E63" s="744">
        <v>1544.9973860000002</v>
      </c>
      <c r="F63" s="744">
        <v>3063.103482</v>
      </c>
      <c r="G63" s="744">
        <v>4066.1018469999999</v>
      </c>
      <c r="H63" s="744">
        <v>3692.990949999999</v>
      </c>
      <c r="I63" s="744">
        <v>4117.9208239999998</v>
      </c>
      <c r="J63" s="744">
        <f t="shared" si="43"/>
        <v>3604</v>
      </c>
      <c r="K63" s="744">
        <v>4373.9439485805069</v>
      </c>
      <c r="L63" s="744">
        <v>4469.3981842167132</v>
      </c>
      <c r="M63" s="744">
        <v>4567.7928434769537</v>
      </c>
      <c r="N63" s="744">
        <v>4806.3362790560723</v>
      </c>
      <c r="O63" s="744">
        <v>4950.8269329049053</v>
      </c>
      <c r="P63" s="744">
        <v>5114.4064663135523</v>
      </c>
      <c r="Q63" s="744">
        <v>5303.1772840434751</v>
      </c>
      <c r="R63" s="757" t="s">
        <v>709</v>
      </c>
      <c r="S63" s="766"/>
      <c r="T63" s="776"/>
      <c r="W63" s="732"/>
      <c r="X63" s="732"/>
      <c r="Y63" s="870"/>
      <c r="Z63" s="870"/>
      <c r="AA63" s="870"/>
      <c r="AB63" s="870"/>
      <c r="AC63" s="870"/>
      <c r="AD63" s="870"/>
      <c r="AE63" s="870"/>
      <c r="AF63" s="870"/>
      <c r="AG63" s="870"/>
      <c r="AH63" s="873"/>
      <c r="AI63" s="873"/>
      <c r="AJ63" s="873"/>
      <c r="AK63" s="873"/>
      <c r="AZ63" s="928">
        <f t="shared" si="11"/>
        <v>5465907.4700000007</v>
      </c>
      <c r="BA63" s="727">
        <f>SUMIFS('전사합(개별)'!V:V,'전사합(개별)'!B:B,'12. 추정 IS'!C63)</f>
        <v>5465907.4700000007</v>
      </c>
      <c r="BB63" s="928">
        <f>SUMIFS(SI본사부담!$V:$V,SI본사부담!$B:$B,'12. 추정 IS'!$C63)</f>
        <v>0</v>
      </c>
      <c r="BD63" s="727">
        <f>SUMIFS(홈쇼핑!V:V,홈쇼핑!B:B,'12. 추정 IS'!C63)</f>
        <v>1861407.929</v>
      </c>
      <c r="BE63" s="727">
        <f t="shared" si="14"/>
        <v>3604499.5410000007</v>
      </c>
      <c r="BL63" s="735"/>
    </row>
    <row r="64" spans="2:64" ht="16.5" customHeight="1" x14ac:dyDescent="0.3">
      <c r="B64" s="745"/>
      <c r="C64" s="751" t="s">
        <v>32</v>
      </c>
      <c r="D64" s="744">
        <v>201.27596599999998</v>
      </c>
      <c r="E64" s="744">
        <v>152.29009299999998</v>
      </c>
      <c r="F64" s="744">
        <v>127.79207</v>
      </c>
      <c r="G64" s="744">
        <v>186.153661</v>
      </c>
      <c r="H64" s="744">
        <v>212.25428999999994</v>
      </c>
      <c r="I64" s="744">
        <v>319.32641599999994</v>
      </c>
      <c r="J64" s="744">
        <f t="shared" si="43"/>
        <v>230</v>
      </c>
      <c r="K64" s="744">
        <v>368.64761768611913</v>
      </c>
      <c r="L64" s="744">
        <v>373.93908011587115</v>
      </c>
      <c r="M64" s="744">
        <v>379.43782168696157</v>
      </c>
      <c r="N64" s="744">
        <v>384.95078692935414</v>
      </c>
      <c r="O64" s="744">
        <v>390.57765172564274</v>
      </c>
      <c r="P64" s="744">
        <v>396.26961755745612</v>
      </c>
      <c r="Q64" s="744">
        <v>402.05323210182888</v>
      </c>
      <c r="R64" s="757" t="s">
        <v>222</v>
      </c>
      <c r="S64" s="766"/>
      <c r="T64" s="776"/>
      <c r="AZ64" s="928">
        <f t="shared" si="11"/>
        <v>353661.93299999996</v>
      </c>
      <c r="BA64" s="727">
        <f>SUMIFS('전사합(개별)'!V:V,'전사합(개별)'!B:B,'12. 추정 IS'!C64)</f>
        <v>353661.93299999996</v>
      </c>
      <c r="BB64" s="928">
        <f>SUMIFS(SI본사부담!$V:$V,SI본사부담!$B:$B,'12. 추정 IS'!$C64)</f>
        <v>0</v>
      </c>
      <c r="BD64" s="727">
        <f>SUMIFS(홈쇼핑!V:V,홈쇼핑!B:B,'12. 추정 IS'!C64)</f>
        <v>123631.46599999999</v>
      </c>
      <c r="BE64" s="727">
        <f t="shared" si="14"/>
        <v>230030.46699999998</v>
      </c>
      <c r="BL64" s="735"/>
    </row>
    <row r="65" spans="2:64" ht="16.5" customHeight="1" x14ac:dyDescent="0.3">
      <c r="B65" s="745"/>
      <c r="C65" s="751" t="s">
        <v>33</v>
      </c>
      <c r="D65" s="744">
        <v>10546.125831000001</v>
      </c>
      <c r="E65" s="744">
        <v>9211.600543999999</v>
      </c>
      <c r="F65" s="744">
        <v>9079.0491419999998</v>
      </c>
      <c r="G65" s="744">
        <v>11511.413811</v>
      </c>
      <c r="H65" s="744">
        <v>11858.624220000002</v>
      </c>
      <c r="I65" s="744">
        <v>12205.219845</v>
      </c>
      <c r="J65" s="744">
        <f t="shared" si="43"/>
        <v>11861</v>
      </c>
      <c r="K65" s="744">
        <v>12644.427862830091</v>
      </c>
      <c r="L65" s="744">
        <v>12664.879057786364</v>
      </c>
      <c r="M65" s="744">
        <v>12730.151512063683</v>
      </c>
      <c r="N65" s="744">
        <v>12841.881584953035</v>
      </c>
      <c r="O65" s="744">
        <v>12916.85969227782</v>
      </c>
      <c r="P65" s="744">
        <v>12994.599030300931</v>
      </c>
      <c r="Q65" s="744">
        <v>13086.558013057507</v>
      </c>
      <c r="R65" s="757" t="s">
        <v>222</v>
      </c>
      <c r="S65" s="766"/>
      <c r="T65" s="776"/>
      <c r="AZ65" s="928">
        <f t="shared" si="11"/>
        <v>12598849.130000001</v>
      </c>
      <c r="BA65" s="727">
        <f>SUMIFS('전사합(개별)'!V:V,'전사합(개별)'!B:B,'12. 추정 IS'!C65)</f>
        <v>12598752.858000001</v>
      </c>
      <c r="BB65" s="928">
        <f>SUMIFS(SI본사부담!$V:$V,SI본사부담!$B:$B,'12. 추정 IS'!$C65)</f>
        <v>96.272000000000006</v>
      </c>
      <c r="BD65" s="727">
        <f>SUMIFS(홈쇼핑!V:V,홈쇼핑!B:B,'12. 추정 IS'!C65)</f>
        <v>737466.65599999996</v>
      </c>
      <c r="BE65" s="727">
        <f t="shared" si="14"/>
        <v>11861382.474000001</v>
      </c>
      <c r="BL65" s="735"/>
    </row>
    <row r="66" spans="2:64" ht="16.5" customHeight="1" x14ac:dyDescent="0.3">
      <c r="B66" s="745"/>
      <c r="C66" s="751" t="s">
        <v>34</v>
      </c>
      <c r="D66" s="744">
        <v>201.39422699999997</v>
      </c>
      <c r="E66" s="744">
        <v>183.54418600000005</v>
      </c>
      <c r="F66" s="744">
        <v>229.37190699999999</v>
      </c>
      <c r="G66" s="744">
        <v>286.43829399999998</v>
      </c>
      <c r="H66" s="744">
        <v>321.78638199999995</v>
      </c>
      <c r="I66" s="744">
        <v>296.26546000000002</v>
      </c>
      <c r="J66" s="744">
        <f t="shared" si="43"/>
        <v>287</v>
      </c>
      <c r="K66" s="744">
        <v>317.69030642054156</v>
      </c>
      <c r="L66" s="744">
        <v>323.73639489743397</v>
      </c>
      <c r="M66" s="744">
        <v>330.21000279538271</v>
      </c>
      <c r="N66" s="744">
        <v>336.65367176950167</v>
      </c>
      <c r="O66" s="744">
        <v>343.30432141519447</v>
      </c>
      <c r="P66" s="744">
        <v>350.0449309176592</v>
      </c>
      <c r="Q66" s="744">
        <v>356.93900740665129</v>
      </c>
      <c r="R66" s="757" t="s">
        <v>222</v>
      </c>
      <c r="S66" s="766"/>
      <c r="T66" s="776"/>
      <c r="AZ66" s="928">
        <f t="shared" si="11"/>
        <v>308097.53399999999</v>
      </c>
      <c r="BA66" s="727">
        <f>SUMIFS('전사합(개별)'!V:V,'전사합(개별)'!B:B,'12. 추정 IS'!C66)</f>
        <v>308097.53399999999</v>
      </c>
      <c r="BB66" s="928">
        <f>SUMIFS(SI본사부담!$V:$V,SI본사부담!$B:$B,'12. 추정 IS'!$C66)</f>
        <v>0</v>
      </c>
      <c r="BD66" s="727">
        <f>SUMIFS(홈쇼핑!V:V,홈쇼핑!B:B,'12. 추정 IS'!C66)</f>
        <v>21391.174999999999</v>
      </c>
      <c r="BE66" s="727">
        <f t="shared" si="14"/>
        <v>286706.359</v>
      </c>
      <c r="BL66" s="735"/>
    </row>
    <row r="67" spans="2:64" ht="16.5" customHeight="1" x14ac:dyDescent="0.3">
      <c r="B67" s="745"/>
      <c r="C67" s="751" t="s">
        <v>35</v>
      </c>
      <c r="D67" s="744">
        <v>1915.2667140000001</v>
      </c>
      <c r="E67" s="744">
        <v>1954.0886490000003</v>
      </c>
      <c r="F67" s="744">
        <v>2396.4704339999998</v>
      </c>
      <c r="G67" s="744">
        <v>2989.5908260000001</v>
      </c>
      <c r="H67" s="744">
        <v>3096.3723199999999</v>
      </c>
      <c r="I67" s="744">
        <v>3525.2897239999988</v>
      </c>
      <c r="J67" s="744">
        <f t="shared" si="43"/>
        <v>3472</v>
      </c>
      <c r="K67" s="744">
        <f t="shared" ref="K67:Q67" si="54">J67*1.01</f>
        <v>3506.7200000000003</v>
      </c>
      <c r="L67" s="744">
        <f t="shared" si="54"/>
        <v>3541.7872000000002</v>
      </c>
      <c r="M67" s="744">
        <f t="shared" si="54"/>
        <v>3577.2050720000002</v>
      </c>
      <c r="N67" s="744">
        <f t="shared" si="54"/>
        <v>3612.9771227200004</v>
      </c>
      <c r="O67" s="744">
        <f t="shared" si="54"/>
        <v>3649.1068939472002</v>
      </c>
      <c r="P67" s="744">
        <f t="shared" si="54"/>
        <v>3685.5979628866721</v>
      </c>
      <c r="Q67" s="744">
        <f t="shared" si="54"/>
        <v>3722.453942515539</v>
      </c>
      <c r="R67" s="757" t="s">
        <v>222</v>
      </c>
      <c r="S67" s="766"/>
      <c r="T67" s="776"/>
      <c r="AZ67" s="928">
        <f t="shared" si="11"/>
        <v>4188896.9449999994</v>
      </c>
      <c r="BA67" s="727">
        <f>SUMIFS('전사합(개별)'!V:V,'전사합(개별)'!B:B,'12. 추정 IS'!C67)</f>
        <v>4187104.8649999993</v>
      </c>
      <c r="BB67" s="928">
        <f>SUMIFS(SI본사부담!$V:$V,SI본사부담!$B:$B,'12. 추정 IS'!$C67)</f>
        <v>1792.08</v>
      </c>
      <c r="BD67" s="727">
        <f>SUMIFS(홈쇼핑!V:V,홈쇼핑!B:B,'12. 추정 IS'!C67)</f>
        <v>717170.89199999999</v>
      </c>
      <c r="BE67" s="727">
        <f t="shared" si="14"/>
        <v>3471726.0529999994</v>
      </c>
      <c r="BL67" s="735"/>
    </row>
    <row r="68" spans="2:64" ht="16.5" customHeight="1" x14ac:dyDescent="0.3">
      <c r="B68" s="745"/>
      <c r="C68" s="751" t="s">
        <v>36</v>
      </c>
      <c r="D68" s="744">
        <v>456.54916799999995</v>
      </c>
      <c r="E68" s="744">
        <v>833.476136</v>
      </c>
      <c r="F68" s="744">
        <v>4.4374029999999998</v>
      </c>
      <c r="G68" s="744">
        <v>47.422874</v>
      </c>
      <c r="H68" s="744">
        <v>1.4185300000019074</v>
      </c>
      <c r="I68" s="744">
        <v>0.21515999999999999</v>
      </c>
      <c r="J68" s="744">
        <f t="shared" si="43"/>
        <v>0</v>
      </c>
      <c r="K68" s="744">
        <v>0</v>
      </c>
      <c r="L68" s="744">
        <v>0</v>
      </c>
      <c r="M68" s="744">
        <v>0</v>
      </c>
      <c r="N68" s="744">
        <v>1773.3134148451081</v>
      </c>
      <c r="O68" s="744">
        <v>2478.2323277743262</v>
      </c>
      <c r="P68" s="744">
        <v>3387.3233488907663</v>
      </c>
      <c r="Q68" s="744">
        <v>4561.5157826418153</v>
      </c>
      <c r="R68" s="757" t="s">
        <v>221</v>
      </c>
      <c r="S68" s="766"/>
      <c r="T68" s="776"/>
      <c r="AZ68" s="928">
        <f t="shared" si="11"/>
        <v>18277871.395999998</v>
      </c>
      <c r="BA68" s="727">
        <f>SUMIFS('전사합(개별)'!V:V,'전사합(개별)'!B:B,'12. 추정 IS'!C68)</f>
        <v>18277871.395999998</v>
      </c>
      <c r="BB68" s="928">
        <f>SUMIFS(SI본사부담!$V:$V,SI본사부담!$B:$B,'12. 추정 IS'!$C68)</f>
        <v>0</v>
      </c>
      <c r="BD68" s="727">
        <f>SUMIFS(홈쇼핑!V:V,홈쇼핑!B:B,'12. 추정 IS'!C68)</f>
        <v>18277721.395999998</v>
      </c>
      <c r="BE68" s="727">
        <f t="shared" si="14"/>
        <v>150</v>
      </c>
      <c r="BL68" s="735"/>
    </row>
    <row r="69" spans="2:64" ht="16.5" customHeight="1" x14ac:dyDescent="0.3">
      <c r="B69" s="745"/>
      <c r="C69" s="751" t="s">
        <v>37</v>
      </c>
      <c r="D69" s="744">
        <v>1817.799994</v>
      </c>
      <c r="E69" s="744">
        <v>1734.8243890000003</v>
      </c>
      <c r="F69" s="744">
        <v>1873.4078099999999</v>
      </c>
      <c r="G69" s="744">
        <v>2093.6981609999998</v>
      </c>
      <c r="H69" s="744">
        <v>2188.0430529999999</v>
      </c>
      <c r="I69" s="744">
        <v>2163.6114809999999</v>
      </c>
      <c r="J69" s="744">
        <f t="shared" si="43"/>
        <v>2055</v>
      </c>
      <c r="K69" s="744">
        <v>2391.7509892775033</v>
      </c>
      <c r="L69" s="744">
        <v>2419.1331367278608</v>
      </c>
      <c r="M69" s="744">
        <v>2438.0784411181808</v>
      </c>
      <c r="N69" s="744">
        <v>2461.5775939927044</v>
      </c>
      <c r="O69" s="744">
        <v>2483.0782743684445</v>
      </c>
      <c r="P69" s="744">
        <v>2505.8887016899494</v>
      </c>
      <c r="Q69" s="744">
        <v>2528.3424824101257</v>
      </c>
      <c r="R69" s="757" t="s">
        <v>222</v>
      </c>
      <c r="S69" s="766"/>
      <c r="T69" s="776"/>
      <c r="AZ69" s="928">
        <f t="shared" si="11"/>
        <v>3375588.7549999999</v>
      </c>
      <c r="BA69" s="727">
        <f>SUMIFS('전사합(개별)'!V:V,'전사합(개별)'!B:B,'12. 추정 IS'!C69)</f>
        <v>3374269.8899999997</v>
      </c>
      <c r="BB69" s="928">
        <f>SUMIFS(SI본사부담!$V:$V,SI본사부담!$B:$B,'12. 추정 IS'!$C69)</f>
        <v>1318.865</v>
      </c>
      <c r="BD69" s="727">
        <f>SUMIFS(홈쇼핑!V:V,홈쇼핑!B:B,'12. 추정 IS'!C69)</f>
        <v>1320558.7359999996</v>
      </c>
      <c r="BE69" s="727">
        <f t="shared" si="14"/>
        <v>2055030.0190000003</v>
      </c>
      <c r="BL69" s="735"/>
    </row>
    <row r="70" spans="2:64" ht="16.5" customHeight="1" x14ac:dyDescent="0.3">
      <c r="B70" s="745"/>
      <c r="C70" s="751" t="s">
        <v>38</v>
      </c>
      <c r="D70" s="744">
        <v>1275.5213600000002</v>
      </c>
      <c r="E70" s="744">
        <v>1125.4865080000002</v>
      </c>
      <c r="F70" s="744">
        <v>1279.1507039999999</v>
      </c>
      <c r="G70" s="744">
        <v>1966.3556599999999</v>
      </c>
      <c r="H70" s="744">
        <v>2060.1237299999998</v>
      </c>
      <c r="I70" s="744">
        <v>2434.1443180000001</v>
      </c>
      <c r="J70" s="744">
        <f t="shared" si="43"/>
        <v>2210</v>
      </c>
      <c r="K70" s="744">
        <v>2128.153730254925</v>
      </c>
      <c r="L70" s="744">
        <v>1984.5570129997682</v>
      </c>
      <c r="M70" s="744">
        <v>2015.059669886127</v>
      </c>
      <c r="N70" s="744">
        <v>1960.7867709446264</v>
      </c>
      <c r="O70" s="744">
        <v>1949.0086304876102</v>
      </c>
      <c r="P70" s="744">
        <v>1916.7995019653649</v>
      </c>
      <c r="Q70" s="744">
        <v>1895.1773081188071</v>
      </c>
      <c r="R70" s="757" t="s">
        <v>221</v>
      </c>
      <c r="S70" s="766"/>
      <c r="T70" s="776"/>
      <c r="AZ70" s="928">
        <f t="shared" si="11"/>
        <v>2503895.5219999999</v>
      </c>
      <c r="BA70" s="727">
        <f>SUMIFS('전사합(개별)'!V:V,'전사합(개별)'!B:B,'12. 추정 IS'!C70)</f>
        <v>2503895.5219999999</v>
      </c>
      <c r="BB70" s="928">
        <f>SUMIFS(SI본사부담!$V:$V,SI본사부담!$B:$B,'12. 추정 IS'!$C70)</f>
        <v>0</v>
      </c>
      <c r="BD70" s="727">
        <f>SUMIFS(홈쇼핑!V:V,홈쇼핑!B:B,'12. 추정 IS'!C70)</f>
        <v>294376.45999999996</v>
      </c>
      <c r="BE70" s="727">
        <f t="shared" si="14"/>
        <v>2209519.0619999999</v>
      </c>
      <c r="BL70" s="735"/>
    </row>
    <row r="71" spans="2:64" ht="16.5" customHeight="1" x14ac:dyDescent="0.3">
      <c r="B71" s="745"/>
      <c r="C71" s="751" t="s">
        <v>39</v>
      </c>
      <c r="D71" s="744">
        <v>1574.5325830000002</v>
      </c>
      <c r="E71" s="744">
        <v>120.24353199999999</v>
      </c>
      <c r="F71" s="744">
        <v>115.158265</v>
      </c>
      <c r="G71" s="744">
        <v>939.94918299999995</v>
      </c>
      <c r="H71" s="744">
        <v>2998.2197310000006</v>
      </c>
      <c r="I71" s="744">
        <v>3186.0590920000004</v>
      </c>
      <c r="J71" s="744">
        <f t="shared" si="43"/>
        <v>2993</v>
      </c>
      <c r="K71" s="744">
        <v>1129.5393282504697</v>
      </c>
      <c r="L71" s="744">
        <v>1156.1003397017523</v>
      </c>
      <c r="M71" s="744">
        <v>1183.8958338424973</v>
      </c>
      <c r="N71" s="744">
        <v>1212.0472764798471</v>
      </c>
      <c r="O71" s="744">
        <v>1241.0279871431644</v>
      </c>
      <c r="P71" s="744">
        <v>1270.6197961369774</v>
      </c>
      <c r="Q71" s="744">
        <v>1300.959108059039</v>
      </c>
      <c r="R71" s="757" t="s">
        <v>222</v>
      </c>
      <c r="S71" s="766"/>
      <c r="T71" s="776"/>
      <c r="AZ71" s="928">
        <f t="shared" si="11"/>
        <v>3109005.9430000004</v>
      </c>
      <c r="BA71" s="727">
        <f>SUMIFS('전사합(개별)'!V:V,'전사합(개별)'!B:B,'12. 추정 IS'!C71)</f>
        <v>3109005.9430000004</v>
      </c>
      <c r="BB71" s="928">
        <f>SUMIFS(SI본사부담!$V:$V,SI본사부담!$B:$B,'12. 추정 IS'!$C71)</f>
        <v>0</v>
      </c>
      <c r="BD71" s="727">
        <f>SUMIFS(홈쇼핑!V:V,홈쇼핑!B:B,'12. 추정 IS'!C71)</f>
        <v>115705.48699999999</v>
      </c>
      <c r="BE71" s="727">
        <f t="shared" si="14"/>
        <v>2993300.4560000002</v>
      </c>
      <c r="BL71" s="735"/>
    </row>
    <row r="72" spans="2:64" ht="16.5" customHeight="1" x14ac:dyDescent="0.3">
      <c r="B72" s="745"/>
      <c r="C72" s="751" t="s">
        <v>70</v>
      </c>
      <c r="D72" s="744">
        <v>0</v>
      </c>
      <c r="E72" s="744">
        <v>17.390466</v>
      </c>
      <c r="F72" s="744">
        <v>2632.8386030000001</v>
      </c>
      <c r="G72" s="744">
        <v>-43162.300733999997</v>
      </c>
      <c r="H72" s="744">
        <f>-102906.534062+91686.146733</f>
        <v>-11220.387329000005</v>
      </c>
      <c r="I72" s="744">
        <v>-21157.189097999999</v>
      </c>
      <c r="J72" s="744">
        <f>ROUND(BE72/10^3,)+ROUND(BE81/10^3,)+ROUND(BE82/10^3,)+ROUND(BE83/10^3,)+3</f>
        <v>-19132</v>
      </c>
      <c r="K72" s="744">
        <v>30492.749232138041</v>
      </c>
      <c r="L72" s="744">
        <v>20674.746935361065</v>
      </c>
      <c r="M72" s="744">
        <v>17820.330202391138</v>
      </c>
      <c r="N72" s="744">
        <v>287.22276536631398</v>
      </c>
      <c r="O72" s="744">
        <v>-1387.6084975802805</v>
      </c>
      <c r="P72" s="744">
        <v>-1656.6106190700084</v>
      </c>
      <c r="Q72" s="744">
        <v>1465.8126426946837</v>
      </c>
      <c r="R72" s="757" t="s">
        <v>222</v>
      </c>
      <c r="S72" s="766"/>
      <c r="T72" s="776" t="s">
        <v>829</v>
      </c>
      <c r="AY72" s="727" t="s">
        <v>1709</v>
      </c>
      <c r="AZ72" s="928">
        <f t="shared" si="11"/>
        <v>15708956.674999999</v>
      </c>
      <c r="BA72" s="727">
        <f>SUMIFS('전사합(개별)'!V:V,'전사합(개별)'!B:B,'12. 추정 IS'!C72)</f>
        <v>15708956.674999999</v>
      </c>
      <c r="BB72" s="928">
        <f>SUMIFS(SI본사부담!$V:$V,SI본사부담!$B:$B,'12. 추정 IS'!$C72)</f>
        <v>0</v>
      </c>
      <c r="BD72" s="727">
        <f>SUMIFS(홈쇼핑!V:V,홈쇼핑!B:B,'12. 추정 IS'!C72)</f>
        <v>15542002.555</v>
      </c>
      <c r="BE72" s="727">
        <f t="shared" si="14"/>
        <v>166954.11999999918</v>
      </c>
      <c r="BL72" s="735"/>
    </row>
    <row r="73" spans="2:64" ht="16.5" customHeight="1" x14ac:dyDescent="0.3">
      <c r="B73" s="745"/>
      <c r="C73" s="751" t="s">
        <v>71</v>
      </c>
      <c r="D73" s="744">
        <v>0</v>
      </c>
      <c r="E73" s="744">
        <v>0</v>
      </c>
      <c r="F73" s="744">
        <v>0</v>
      </c>
      <c r="G73" s="744">
        <v>0</v>
      </c>
      <c r="H73" s="744">
        <v>0</v>
      </c>
      <c r="I73" s="744">
        <v>0</v>
      </c>
      <c r="J73" s="744">
        <f t="shared" si="43"/>
        <v>0</v>
      </c>
      <c r="K73" s="744">
        <v>0</v>
      </c>
      <c r="L73" s="744">
        <v>0</v>
      </c>
      <c r="M73" s="744">
        <v>0</v>
      </c>
      <c r="N73" s="744">
        <v>0</v>
      </c>
      <c r="O73" s="744">
        <v>0</v>
      </c>
      <c r="P73" s="744">
        <v>0</v>
      </c>
      <c r="Q73" s="744">
        <v>0</v>
      </c>
      <c r="R73" s="757"/>
      <c r="S73" s="766"/>
      <c r="T73" s="776"/>
      <c r="AZ73" s="928">
        <f t="shared" si="11"/>
        <v>0</v>
      </c>
      <c r="BA73" s="727">
        <f>SUMIFS('전사합(개별)'!V:V,'전사합(개별)'!B:B,'12. 추정 IS'!C73)</f>
        <v>0</v>
      </c>
      <c r="BB73" s="928">
        <f>SUMIFS(SI본사부담!$V:$V,SI본사부담!$B:$B,'12. 추정 IS'!$C73)</f>
        <v>0</v>
      </c>
      <c r="BD73" s="727">
        <f>SUMIFS(홈쇼핑!V:V,홈쇼핑!B:B,'12. 추정 IS'!C73)</f>
        <v>0</v>
      </c>
      <c r="BE73" s="727">
        <f t="shared" si="14"/>
        <v>0</v>
      </c>
      <c r="BL73" s="735"/>
    </row>
    <row r="74" spans="2:64" ht="16.5" customHeight="1" x14ac:dyDescent="0.3">
      <c r="B74" s="745"/>
      <c r="C74" s="751" t="s">
        <v>40</v>
      </c>
      <c r="D74" s="744">
        <v>0</v>
      </c>
      <c r="E74" s="744">
        <v>0</v>
      </c>
      <c r="F74" s="744">
        <v>0</v>
      </c>
      <c r="G74" s="744">
        <v>0</v>
      </c>
      <c r="H74" s="744">
        <v>0</v>
      </c>
      <c r="I74" s="744">
        <v>-42.049745000000001</v>
      </c>
      <c r="J74" s="744">
        <f t="shared" si="43"/>
        <v>0</v>
      </c>
      <c r="K74" s="744">
        <v>0</v>
      </c>
      <c r="L74" s="744">
        <v>0</v>
      </c>
      <c r="M74" s="744">
        <v>0</v>
      </c>
      <c r="N74" s="744">
        <v>0</v>
      </c>
      <c r="O74" s="744">
        <v>0</v>
      </c>
      <c r="P74" s="744">
        <v>0</v>
      </c>
      <c r="Q74" s="744">
        <v>0</v>
      </c>
      <c r="R74" s="757" t="s">
        <v>221</v>
      </c>
      <c r="S74" s="766"/>
      <c r="T74" s="776"/>
      <c r="AZ74" s="928">
        <f t="shared" si="11"/>
        <v>65812.441999999995</v>
      </c>
      <c r="BA74" s="727">
        <f>SUMIFS('전사합(개별)'!V:V,'전사합(개별)'!B:B,'12. 추정 IS'!C74)</f>
        <v>65812.441999999995</v>
      </c>
      <c r="BB74" s="928">
        <f>SUMIFS(SI본사부담!$V:$V,SI본사부담!$B:$B,'12. 추정 IS'!$C74)</f>
        <v>0</v>
      </c>
      <c r="BD74" s="727">
        <f>SUMIFS(홈쇼핑!V:V,홈쇼핑!B:B,'12. 추정 IS'!C74)</f>
        <v>65812.441999999995</v>
      </c>
      <c r="BE74" s="727">
        <f t="shared" si="14"/>
        <v>0</v>
      </c>
      <c r="BL74" s="735"/>
    </row>
    <row r="75" spans="2:64" ht="16.5" customHeight="1" x14ac:dyDescent="0.3">
      <c r="B75" s="745"/>
      <c r="C75" s="751" t="s">
        <v>41</v>
      </c>
      <c r="D75" s="744">
        <v>7728.3589630000006</v>
      </c>
      <c r="E75" s="744">
        <v>611.49120200000004</v>
      </c>
      <c r="F75" s="744">
        <v>386.023549</v>
      </c>
      <c r="G75" s="744">
        <v>1025.1311900000001</v>
      </c>
      <c r="H75" s="744">
        <v>19343.601933000005</v>
      </c>
      <c r="I75" s="744">
        <v>20714.252068999998</v>
      </c>
      <c r="J75" s="744">
        <f t="shared" si="43"/>
        <v>-1484</v>
      </c>
      <c r="K75" s="744">
        <v>-2826.237863450267</v>
      </c>
      <c r="L75" s="744">
        <v>748.47648696406134</v>
      </c>
      <c r="M75" s="744">
        <v>761.80865052667593</v>
      </c>
      <c r="N75" s="744">
        <v>761.80865052667593</v>
      </c>
      <c r="O75" s="744">
        <v>761.80865052667593</v>
      </c>
      <c r="P75" s="744">
        <v>761.80865052667593</v>
      </c>
      <c r="Q75" s="744">
        <v>761.80865052667593</v>
      </c>
      <c r="R75" s="757" t="s">
        <v>221</v>
      </c>
      <c r="S75" s="766"/>
      <c r="T75" s="776"/>
      <c r="AZ75" s="928">
        <f t="shared" si="11"/>
        <v>-1501979.4069999999</v>
      </c>
      <c r="BA75" s="727">
        <f>SUMIFS('전사합(개별)'!V:V,'전사합(개별)'!B:B,'12. 추정 IS'!C75)</f>
        <v>-1501979.4069999999</v>
      </c>
      <c r="BB75" s="928">
        <f>SUMIFS(SI본사부담!$V:$V,SI본사부담!$B:$B,'12. 추정 IS'!$C75)</f>
        <v>0</v>
      </c>
      <c r="BD75" s="727">
        <f>SUMIFS(홈쇼핑!V:V,홈쇼핑!B:B,'12. 추정 IS'!C75)</f>
        <v>-18416.525000000001</v>
      </c>
      <c r="BE75" s="727">
        <f t="shared" si="14"/>
        <v>-1483562.882</v>
      </c>
      <c r="BL75" s="735"/>
    </row>
    <row r="76" spans="2:64" ht="16.5" customHeight="1" x14ac:dyDescent="0.3">
      <c r="B76" s="745"/>
      <c r="C76" s="751" t="s">
        <v>42</v>
      </c>
      <c r="D76" s="744">
        <v>0</v>
      </c>
      <c r="E76" s="744">
        <v>0</v>
      </c>
      <c r="F76" s="744">
        <v>0</v>
      </c>
      <c r="G76" s="744">
        <v>0</v>
      </c>
      <c r="H76" s="744">
        <v>0</v>
      </c>
      <c r="I76" s="744">
        <v>0</v>
      </c>
      <c r="J76" s="744">
        <f t="shared" si="43"/>
        <v>0</v>
      </c>
      <c r="K76" s="744">
        <v>0</v>
      </c>
      <c r="L76" s="744">
        <v>0</v>
      </c>
      <c r="M76" s="744">
        <v>0</v>
      </c>
      <c r="N76" s="744">
        <v>0</v>
      </c>
      <c r="O76" s="744">
        <v>0</v>
      </c>
      <c r="P76" s="744">
        <v>0</v>
      </c>
      <c r="Q76" s="744">
        <v>0</v>
      </c>
      <c r="R76" s="757" t="s">
        <v>222</v>
      </c>
      <c r="S76" s="766"/>
      <c r="T76" s="776"/>
      <c r="AZ76" s="928">
        <f t="shared" si="11"/>
        <v>0</v>
      </c>
      <c r="BA76" s="727">
        <f>SUMIFS('전사합(개별)'!V:V,'전사합(개별)'!B:B,'12. 추정 IS'!C76)</f>
        <v>0</v>
      </c>
      <c r="BB76" s="928">
        <f>SUMIFS(SI본사부담!$V:$V,SI본사부담!$B:$B,'12. 추정 IS'!$C76)</f>
        <v>0</v>
      </c>
      <c r="BD76" s="727">
        <f>SUMIFS(홈쇼핑!V:V,홈쇼핑!B:B,'12. 추정 IS'!C76)</f>
        <v>0</v>
      </c>
      <c r="BE76" s="727">
        <f t="shared" si="14"/>
        <v>0</v>
      </c>
      <c r="BL76" s="735"/>
    </row>
    <row r="77" spans="2:64" ht="16.5" customHeight="1" x14ac:dyDescent="0.3">
      <c r="B77" s="745"/>
      <c r="C77" s="751" t="s">
        <v>43</v>
      </c>
      <c r="D77" s="744">
        <v>2.0372681319713593E-13</v>
      </c>
      <c r="E77" s="744">
        <v>0</v>
      </c>
      <c r="F77" s="744">
        <v>0</v>
      </c>
      <c r="G77" s="744">
        <v>0</v>
      </c>
      <c r="H77" s="744">
        <v>0</v>
      </c>
      <c r="I77" s="744">
        <v>0</v>
      </c>
      <c r="J77" s="744">
        <f t="shared" si="43"/>
        <v>0</v>
      </c>
      <c r="K77" s="744">
        <v>0</v>
      </c>
      <c r="L77" s="744">
        <v>0</v>
      </c>
      <c r="M77" s="744">
        <v>0</v>
      </c>
      <c r="N77" s="744">
        <v>0</v>
      </c>
      <c r="O77" s="744">
        <v>0</v>
      </c>
      <c r="P77" s="744">
        <v>0</v>
      </c>
      <c r="Q77" s="744">
        <v>0</v>
      </c>
      <c r="R77" s="757" t="s">
        <v>222</v>
      </c>
      <c r="S77" s="766"/>
      <c r="T77" s="776"/>
      <c r="AZ77" s="928">
        <f t="shared" si="11"/>
        <v>0</v>
      </c>
      <c r="BA77" s="727">
        <f>SUMIFS('전사합(개별)'!V:V,'전사합(개별)'!B:B,'12. 추정 IS'!C77)</f>
        <v>0</v>
      </c>
      <c r="BB77" s="928">
        <f>SUMIFS(SI본사부담!$V:$V,SI본사부담!$B:$B,'12. 추정 IS'!$C77)</f>
        <v>0</v>
      </c>
      <c r="BD77" s="727">
        <f>SUMIFS(홈쇼핑!V:V,홈쇼핑!B:B,'12. 추정 IS'!C77)</f>
        <v>0</v>
      </c>
      <c r="BE77" s="727">
        <f t="shared" si="14"/>
        <v>0</v>
      </c>
      <c r="BL77" s="735"/>
    </row>
    <row r="78" spans="2:64" ht="16.5" customHeight="1" x14ac:dyDescent="0.3">
      <c r="B78" s="745"/>
      <c r="C78" s="751" t="s">
        <v>44</v>
      </c>
      <c r="D78" s="744">
        <v>2.0321522242738866E-13</v>
      </c>
      <c r="E78" s="744">
        <v>-8.2133766454717263E-13</v>
      </c>
      <c r="F78" s="744">
        <v>0</v>
      </c>
      <c r="G78" s="744">
        <v>0</v>
      </c>
      <c r="H78" s="744">
        <v>0</v>
      </c>
      <c r="I78" s="744">
        <v>0</v>
      </c>
      <c r="J78" s="744">
        <f t="shared" si="43"/>
        <v>0</v>
      </c>
      <c r="K78" s="744">
        <v>0</v>
      </c>
      <c r="L78" s="744">
        <v>0</v>
      </c>
      <c r="M78" s="744">
        <v>0</v>
      </c>
      <c r="N78" s="744">
        <v>0</v>
      </c>
      <c r="O78" s="744">
        <v>0</v>
      </c>
      <c r="P78" s="744">
        <v>0</v>
      </c>
      <c r="Q78" s="744">
        <v>0</v>
      </c>
      <c r="R78" s="757" t="s">
        <v>222</v>
      </c>
      <c r="S78" s="766"/>
      <c r="T78" s="776"/>
      <c r="AZ78" s="928">
        <f t="shared" si="11"/>
        <v>0</v>
      </c>
      <c r="BA78" s="727">
        <f>SUMIFS('전사합(개별)'!V:V,'전사합(개별)'!B:B,'12. 추정 IS'!C78)</f>
        <v>0</v>
      </c>
      <c r="BB78" s="928">
        <f>SUMIFS(SI본사부담!$V:$V,SI본사부담!$B:$B,'12. 추정 IS'!$C78)</f>
        <v>0</v>
      </c>
      <c r="BD78" s="727">
        <f>SUMIFS(홈쇼핑!V:V,홈쇼핑!B:B,'12. 추정 IS'!C78)</f>
        <v>0</v>
      </c>
      <c r="BE78" s="727">
        <f t="shared" si="14"/>
        <v>0</v>
      </c>
      <c r="BL78" s="735"/>
    </row>
    <row r="79" spans="2:64" ht="16.5" customHeight="1" x14ac:dyDescent="0.3">
      <c r="B79" s="745"/>
      <c r="C79" s="751" t="s">
        <v>45</v>
      </c>
      <c r="D79" s="744">
        <v>-1.8626451492309571E-12</v>
      </c>
      <c r="E79" s="744">
        <v>-9.0803951025009155E-12</v>
      </c>
      <c r="F79" s="744">
        <v>0</v>
      </c>
      <c r="G79" s="744">
        <v>0</v>
      </c>
      <c r="H79" s="744">
        <v>0</v>
      </c>
      <c r="I79" s="744">
        <v>0</v>
      </c>
      <c r="J79" s="744">
        <f t="shared" si="43"/>
        <v>0</v>
      </c>
      <c r="K79" s="744">
        <v>0</v>
      </c>
      <c r="L79" s="744">
        <v>0</v>
      </c>
      <c r="M79" s="744">
        <v>0</v>
      </c>
      <c r="N79" s="744">
        <v>0</v>
      </c>
      <c r="O79" s="744">
        <v>0</v>
      </c>
      <c r="P79" s="744">
        <v>0</v>
      </c>
      <c r="Q79" s="744">
        <v>0</v>
      </c>
      <c r="R79" s="757" t="s">
        <v>222</v>
      </c>
      <c r="S79" s="766"/>
      <c r="T79" s="776"/>
      <c r="AZ79" s="928">
        <f t="shared" si="11"/>
        <v>4.0599843487143517E-9</v>
      </c>
      <c r="BA79" s="727">
        <f>SUMIFS('전사합(개별)'!V:V,'전사합(개별)'!B:B,'12. 추정 IS'!C79)</f>
        <v>4.0599843487143517E-9</v>
      </c>
      <c r="BB79" s="928">
        <f>SUMIFS(SI본사부담!$V:$V,SI본사부담!$B:$B,'12. 추정 IS'!$C79)</f>
        <v>0</v>
      </c>
      <c r="BD79" s="727">
        <f>SUMIFS(홈쇼핑!V:V,홈쇼핑!B:B,'12. 추정 IS'!C79)</f>
        <v>0</v>
      </c>
      <c r="BE79" s="727">
        <f t="shared" si="14"/>
        <v>4.0599843487143517E-9</v>
      </c>
      <c r="BL79" s="735"/>
    </row>
    <row r="80" spans="2:64" ht="16.5" customHeight="1" x14ac:dyDescent="0.3">
      <c r="B80" s="745"/>
      <c r="C80" s="751" t="s">
        <v>46</v>
      </c>
      <c r="D80" s="744">
        <v>-6.4601040000001086</v>
      </c>
      <c r="E80" s="744">
        <v>-1.1641532182693482E-13</v>
      </c>
      <c r="F80" s="744">
        <v>0</v>
      </c>
      <c r="G80" s="744">
        <v>0</v>
      </c>
      <c r="H80" s="744">
        <v>0</v>
      </c>
      <c r="I80" s="744">
        <v>0</v>
      </c>
      <c r="J80" s="744">
        <f t="shared" si="43"/>
        <v>0</v>
      </c>
      <c r="K80" s="744">
        <v>0</v>
      </c>
      <c r="L80" s="744">
        <v>0</v>
      </c>
      <c r="M80" s="744">
        <v>0</v>
      </c>
      <c r="N80" s="744">
        <v>0</v>
      </c>
      <c r="O80" s="744">
        <v>0</v>
      </c>
      <c r="P80" s="744">
        <v>0</v>
      </c>
      <c r="Q80" s="744">
        <v>0</v>
      </c>
      <c r="R80" s="757" t="s">
        <v>222</v>
      </c>
      <c r="S80" s="766"/>
      <c r="T80" s="776"/>
      <c r="AZ80" s="928">
        <f t="shared" si="11"/>
        <v>0</v>
      </c>
      <c r="BA80" s="727">
        <f>SUMIFS('전사합(개별)'!V:V,'전사합(개별)'!B:B,'12. 추정 IS'!C80)</f>
        <v>0</v>
      </c>
      <c r="BB80" s="928">
        <f>SUMIFS(SI본사부담!$V:$V,SI본사부담!$B:$B,'12. 추정 IS'!$C80)</f>
        <v>0</v>
      </c>
      <c r="BD80" s="727">
        <f>SUMIFS(홈쇼핑!V:V,홈쇼핑!B:B,'12. 추정 IS'!C80)</f>
        <v>0</v>
      </c>
      <c r="BE80" s="727">
        <f t="shared" si="14"/>
        <v>0</v>
      </c>
      <c r="BL80" s="735"/>
    </row>
    <row r="81" spans="2:64" ht="16.5" customHeight="1" x14ac:dyDescent="0.3">
      <c r="B81" s="745"/>
      <c r="C81" s="751" t="s">
        <v>47</v>
      </c>
      <c r="D81" s="744">
        <v>1.155484596893075E-13</v>
      </c>
      <c r="E81" s="744">
        <v>4.0267877920996396E-13</v>
      </c>
      <c r="F81" s="744">
        <v>0</v>
      </c>
      <c r="G81" s="744">
        <v>0</v>
      </c>
      <c r="H81" s="744">
        <v>0</v>
      </c>
      <c r="I81" s="744">
        <v>0</v>
      </c>
      <c r="J81" s="744"/>
      <c r="K81" s="744">
        <v>0</v>
      </c>
      <c r="L81" s="744">
        <v>0</v>
      </c>
      <c r="M81" s="744">
        <v>0</v>
      </c>
      <c r="N81" s="744">
        <v>0</v>
      </c>
      <c r="O81" s="744">
        <v>0</v>
      </c>
      <c r="P81" s="744">
        <v>0</v>
      </c>
      <c r="Q81" s="744">
        <v>0</v>
      </c>
      <c r="R81" s="757" t="s">
        <v>222</v>
      </c>
      <c r="S81" s="766"/>
      <c r="T81" s="776"/>
      <c r="AY81" s="727" t="s">
        <v>8865</v>
      </c>
      <c r="AZ81" s="928">
        <f t="shared" si="11"/>
        <v>2.3101165425032377E-10</v>
      </c>
      <c r="BA81" s="727">
        <f>SUMIFS('전사합(개별)'!V:V,'전사합(개별)'!B:B,'12. 추정 IS'!C81)</f>
        <v>2.3101165425032377E-10</v>
      </c>
      <c r="BB81" s="928">
        <f>SUMIFS(SI본사부담!$V:$V,SI본사부담!$B:$B,'12. 추정 IS'!$C81)</f>
        <v>0</v>
      </c>
      <c r="BD81" s="727">
        <f>SUMIFS(홈쇼핑!V:V,홈쇼핑!B:B,'12. 추정 IS'!C81)</f>
        <v>3194692.5860000001</v>
      </c>
      <c r="BE81" s="727">
        <f t="shared" si="14"/>
        <v>-3194692.5860000001</v>
      </c>
      <c r="BL81" s="735"/>
    </row>
    <row r="82" spans="2:64" ht="16.5" customHeight="1" x14ac:dyDescent="0.3">
      <c r="B82" s="745"/>
      <c r="C82" s="751" t="s">
        <v>48</v>
      </c>
      <c r="D82" s="744">
        <v>-1.7473666957812383E-13</v>
      </c>
      <c r="E82" s="744">
        <v>-6.4028427004814144E-13</v>
      </c>
      <c r="F82" s="744">
        <v>0</v>
      </c>
      <c r="G82" s="744">
        <v>0</v>
      </c>
      <c r="H82" s="744">
        <v>0</v>
      </c>
      <c r="I82" s="744">
        <v>0</v>
      </c>
      <c r="J82" s="744"/>
      <c r="K82" s="744">
        <v>0</v>
      </c>
      <c r="L82" s="744">
        <v>0</v>
      </c>
      <c r="M82" s="744">
        <v>0</v>
      </c>
      <c r="N82" s="744">
        <v>0</v>
      </c>
      <c r="O82" s="744">
        <v>0</v>
      </c>
      <c r="P82" s="744">
        <v>0</v>
      </c>
      <c r="Q82" s="744">
        <v>0</v>
      </c>
      <c r="R82" s="757" t="s">
        <v>222</v>
      </c>
      <c r="S82" s="766"/>
      <c r="T82" s="776"/>
      <c r="AY82" s="727" t="s">
        <v>1679</v>
      </c>
      <c r="AZ82" s="928">
        <f t="shared" si="11"/>
        <v>-1.4915713109076023E-10</v>
      </c>
      <c r="BA82" s="727">
        <f>SUMIFS('전사합(개별)'!V:V,'전사합(개별)'!B:B,'12. 추정 IS'!C82)</f>
        <v>-1.4915713109076023E-10</v>
      </c>
      <c r="BB82" s="928">
        <f>SUMIFS(SI본사부담!$V:$V,SI본사부담!$B:$B,'12. 추정 IS'!$C82)</f>
        <v>0</v>
      </c>
      <c r="BD82" s="727">
        <f>SUMIFS(홈쇼핑!V:V,홈쇼핑!B:B,'12. 추정 IS'!C82)</f>
        <v>739620.73700000008</v>
      </c>
      <c r="BE82" s="727">
        <f t="shared" si="14"/>
        <v>-739620.7370000002</v>
      </c>
      <c r="BL82" s="735"/>
    </row>
    <row r="83" spans="2:64" ht="16.5" customHeight="1" x14ac:dyDescent="0.3">
      <c r="B83" s="745"/>
      <c r="C83" s="751" t="s">
        <v>49</v>
      </c>
      <c r="D83" s="744">
        <v>1.0212630741079919E-13</v>
      </c>
      <c r="E83" s="744">
        <v>-3.0740920919924977E-13</v>
      </c>
      <c r="F83" s="744">
        <v>0</v>
      </c>
      <c r="G83" s="744">
        <v>0</v>
      </c>
      <c r="H83" s="744">
        <v>0</v>
      </c>
      <c r="I83" s="744">
        <v>0</v>
      </c>
      <c r="J83" s="744"/>
      <c r="K83" s="744">
        <v>0</v>
      </c>
      <c r="L83" s="744">
        <v>0</v>
      </c>
      <c r="M83" s="744">
        <v>0</v>
      </c>
      <c r="N83" s="744">
        <v>0</v>
      </c>
      <c r="O83" s="744">
        <v>0</v>
      </c>
      <c r="P83" s="744">
        <v>0</v>
      </c>
      <c r="Q83" s="744">
        <v>0</v>
      </c>
      <c r="R83" s="757" t="s">
        <v>222</v>
      </c>
      <c r="S83" s="766"/>
      <c r="T83" s="776"/>
      <c r="AY83" s="727" t="s">
        <v>8866</v>
      </c>
      <c r="AZ83" s="928">
        <f t="shared" si="11"/>
        <v>-8.7311491370201111E-11</v>
      </c>
      <c r="BA83" s="727">
        <f>SUMIFS('전사합(개별)'!V:V,'전사합(개별)'!B:B,'12. 추정 IS'!C83)</f>
        <v>-8.7311491370201111E-11</v>
      </c>
      <c r="BB83" s="928">
        <f>SUMIFS(SI본사부담!$V:$V,SI본사부담!$B:$B,'12. 추정 IS'!$C83)</f>
        <v>0</v>
      </c>
      <c r="BD83" s="727">
        <f>SUMIFS(홈쇼핑!V:V,홈쇼핑!B:B,'12. 추정 IS'!C83)</f>
        <v>15366870.224999998</v>
      </c>
      <c r="BE83" s="727">
        <f t="shared" si="14"/>
        <v>-15366870.224999998</v>
      </c>
      <c r="BL83" s="735"/>
    </row>
    <row r="84" spans="2:64" ht="16.5" customHeight="1" x14ac:dyDescent="0.3">
      <c r="B84" s="1165" t="s">
        <v>50</v>
      </c>
      <c r="C84" s="1166"/>
      <c r="D84" s="812">
        <f t="shared" ref="D84:M84" si="55">D40-D41</f>
        <v>180325.41681400128</v>
      </c>
      <c r="E84" s="812">
        <f t="shared" si="55"/>
        <v>259756.72478700033</v>
      </c>
      <c r="F84" s="812">
        <f t="shared" si="55"/>
        <v>156683.31293899985</v>
      </c>
      <c r="G84" s="812">
        <f t="shared" si="55"/>
        <v>113842.71419199975</v>
      </c>
      <c r="H84" s="812">
        <f t="shared" si="55"/>
        <v>198072.61712900223</v>
      </c>
      <c r="I84" s="812">
        <f t="shared" si="55"/>
        <v>145542.36538400175</v>
      </c>
      <c r="J84" s="812">
        <f t="shared" si="55"/>
        <v>196884</v>
      </c>
      <c r="K84" s="812">
        <f t="shared" si="55"/>
        <v>180806.23061642284</v>
      </c>
      <c r="L84" s="812">
        <f t="shared" si="55"/>
        <v>182467.58521686215</v>
      </c>
      <c r="M84" s="812">
        <f t="shared" si="55"/>
        <v>182018.92178671644</v>
      </c>
      <c r="N84" s="812">
        <f>N40-N41</f>
        <v>190898.61862547137</v>
      </c>
      <c r="O84" s="812">
        <f>O40-O41</f>
        <v>202061.91024606349</v>
      </c>
      <c r="P84" s="812">
        <f>P40-P41</f>
        <v>214079.71902382933</v>
      </c>
      <c r="Q84" s="812">
        <f>Q40-Q41</f>
        <v>226288.9641763526</v>
      </c>
      <c r="R84" s="757"/>
      <c r="S84" s="766"/>
      <c r="T84" s="778"/>
      <c r="AM84" s="864">
        <f>(G84-F84)/F84</f>
        <v>-0.27342157849112403</v>
      </c>
      <c r="AN84" s="864">
        <f>(H84-G84)/G84</f>
        <v>0.73987960964235078</v>
      </c>
      <c r="AO84" s="864">
        <f>(I84-H84)/H84</f>
        <v>-0.26520703621938907</v>
      </c>
      <c r="AP84" s="864">
        <f>(J84-I84)/I84</f>
        <v>0.35276075444106947</v>
      </c>
      <c r="AQ84" s="864">
        <f>(K84-J84)/J84</f>
        <v>-8.1661127280922591E-2</v>
      </c>
      <c r="AZ84" s="928">
        <f t="shared" ref="AZ84:AZ110" si="56">BA84+BB84</f>
        <v>289896719.47400039</v>
      </c>
      <c r="BA84" s="727">
        <f>SUMIFS('전사합(개별)'!V:V,'전사합(개별)'!A:A,'12. 추정 IS'!B84)</f>
        <v>290272550.61300039</v>
      </c>
      <c r="BB84" s="928">
        <f>SUMIFS(SI본사부담!$V:$V,SI본사부담!$A:$A,'12. 추정 IS'!$B84)</f>
        <v>-375831.13900000008</v>
      </c>
      <c r="BD84" s="727">
        <f>SUMIFS(홈쇼핑!V:V,홈쇼핑!A:A,'12. 추정 IS'!B84)</f>
        <v>93012652.070999861</v>
      </c>
      <c r="BE84" s="727">
        <f t="shared" si="14"/>
        <v>196884067.40300053</v>
      </c>
      <c r="BF84" s="727" t="b">
        <f>AZ84=AZ40-AZ41</f>
        <v>1</v>
      </c>
      <c r="BG84" s="727" t="b">
        <f>BA84=BA40-BA41</f>
        <v>1</v>
      </c>
      <c r="BH84" s="727" t="b">
        <f>BD84=BD40-BD41</f>
        <v>1</v>
      </c>
      <c r="BI84" s="727" t="b">
        <f>BE84=BE40-BE41</f>
        <v>1</v>
      </c>
      <c r="BL84" s="735"/>
    </row>
    <row r="85" spans="2:64" ht="16.5" customHeight="1" x14ac:dyDescent="0.3">
      <c r="B85" s="745"/>
      <c r="C85" s="751" t="s">
        <v>830</v>
      </c>
      <c r="D85" s="744"/>
      <c r="E85" s="744"/>
      <c r="F85" s="874">
        <f>F84/F14</f>
        <v>1.440089020250504E-2</v>
      </c>
      <c r="G85" s="874">
        <f t="shared" ref="G85:M85" si="57">G84/G14</f>
        <v>9.7251842618309436E-3</v>
      </c>
      <c r="H85" s="874">
        <f t="shared" si="57"/>
        <v>1.6132379329251639E-2</v>
      </c>
      <c r="I85" s="874">
        <f t="shared" si="57"/>
        <v>1.1130924095002867E-2</v>
      </c>
      <c r="J85" s="874">
        <f t="shared" si="57"/>
        <v>1.4507191917436794E-2</v>
      </c>
      <c r="K85" s="874">
        <f t="shared" si="57"/>
        <v>1.2983537952312304E-2</v>
      </c>
      <c r="L85" s="874">
        <f t="shared" si="57"/>
        <v>1.2856229917779814E-2</v>
      </c>
      <c r="M85" s="874">
        <f t="shared" si="57"/>
        <v>1.2579813762939396E-2</v>
      </c>
      <c r="N85" s="874">
        <f>N84/N14</f>
        <v>1.2924607677495951E-2</v>
      </c>
      <c r="O85" s="874">
        <f>O84/O14</f>
        <v>1.3401487129417035E-2</v>
      </c>
      <c r="P85" s="874">
        <f>P84/P14</f>
        <v>1.3883415051432594E-2</v>
      </c>
      <c r="Q85" s="874">
        <f>Q84/Q14</f>
        <v>1.4328866317940874E-2</v>
      </c>
      <c r="R85" s="757"/>
      <c r="S85" s="766"/>
      <c r="T85" s="778"/>
      <c r="AM85" s="864"/>
      <c r="AN85" s="864"/>
      <c r="AO85" s="864"/>
      <c r="AP85" s="864"/>
      <c r="AQ85" s="864"/>
      <c r="AZ85" s="928">
        <f t="shared" si="56"/>
        <v>0</v>
      </c>
      <c r="BA85" s="727">
        <f>SUMIFS('전사합(개별)'!V:V,'전사합(개별)'!B:B,'12. 추정 IS'!C85)</f>
        <v>0</v>
      </c>
      <c r="BB85" s="928">
        <f>SUMIFS(SI본사부담!$V:$V,SI본사부담!$B:$B,'12. 추정 IS'!$C85)</f>
        <v>0</v>
      </c>
      <c r="BD85" s="727">
        <f>SUMIFS(홈쇼핑!V:V,홈쇼핑!B:B,'12. 추정 IS'!C85)</f>
        <v>0</v>
      </c>
      <c r="BE85" s="727">
        <f t="shared" ref="BE85:BE111" si="58">AZ85-BD85</f>
        <v>0</v>
      </c>
      <c r="BL85" s="735"/>
    </row>
    <row r="86" spans="2:64" ht="16.5" customHeight="1" x14ac:dyDescent="0.3">
      <c r="B86" s="745"/>
      <c r="C86" s="751" t="s">
        <v>831</v>
      </c>
      <c r="D86" s="744"/>
      <c r="E86" s="744"/>
      <c r="F86" s="874">
        <f>F84/F19</f>
        <v>1.7977900524164453E-2</v>
      </c>
      <c r="G86" s="874">
        <f t="shared" ref="G86:M86" si="59">G84/G19</f>
        <v>1.2201761248706164E-2</v>
      </c>
      <c r="H86" s="874">
        <f t="shared" si="59"/>
        <v>2.0303000731333419E-2</v>
      </c>
      <c r="I86" s="874">
        <f t="shared" si="59"/>
        <v>1.4094811864168616E-2</v>
      </c>
      <c r="J86" s="874">
        <f t="shared" si="59"/>
        <v>1.8356568540083877E-2</v>
      </c>
      <c r="K86" s="874">
        <f t="shared" si="59"/>
        <v>1.6478002593467267E-2</v>
      </c>
      <c r="L86" s="874">
        <f t="shared" si="59"/>
        <v>1.6347130356109678E-2</v>
      </c>
      <c r="M86" s="874">
        <f t="shared" si="59"/>
        <v>1.601953430971411E-2</v>
      </c>
      <c r="N86" s="874">
        <f>N84/N19</f>
        <v>1.6480845151353622E-2</v>
      </c>
      <c r="O86" s="874">
        <f>O84/O19</f>
        <v>1.7106420782035486E-2</v>
      </c>
      <c r="P86" s="874">
        <f>P84/P19</f>
        <v>1.7738107064134041E-2</v>
      </c>
      <c r="Q86" s="874">
        <f>Q84/Q19</f>
        <v>1.832173981259896E-2</v>
      </c>
      <c r="R86" s="757"/>
      <c r="S86" s="766"/>
      <c r="T86" s="778"/>
      <c r="AM86" s="864"/>
      <c r="AN86" s="864"/>
      <c r="AO86" s="864"/>
      <c r="AP86" s="864"/>
      <c r="AQ86" s="864"/>
      <c r="AZ86" s="928">
        <f t="shared" si="56"/>
        <v>0</v>
      </c>
      <c r="BA86" s="727">
        <f>SUMIFS('전사합(개별)'!V:V,'전사합(개별)'!B:B,'12. 추정 IS'!C86)</f>
        <v>0</v>
      </c>
      <c r="BB86" s="928">
        <f>SUMIFS(SI본사부담!$V:$V,SI본사부담!$B:$B,'12. 추정 IS'!$C86)</f>
        <v>0</v>
      </c>
      <c r="BD86" s="727">
        <f>SUMIFS(홈쇼핑!V:V,홈쇼핑!B:B,'12. 추정 IS'!C86)</f>
        <v>0</v>
      </c>
      <c r="BE86" s="727">
        <f t="shared" si="58"/>
        <v>0</v>
      </c>
      <c r="BL86" s="735"/>
    </row>
    <row r="87" spans="2:64" ht="16.5" customHeight="1" x14ac:dyDescent="0.3">
      <c r="B87" s="1165" t="s">
        <v>72</v>
      </c>
      <c r="C87" s="1166"/>
      <c r="D87" s="812">
        <f>SUM(D88:D91)</f>
        <v>33343.260256000001</v>
      </c>
      <c r="E87" s="812">
        <f t="shared" ref="E87:Q87" si="60">SUM(E88:E91)</f>
        <v>30341.549850000003</v>
      </c>
      <c r="F87" s="812">
        <f t="shared" si="60"/>
        <v>591764.54383799993</v>
      </c>
      <c r="G87" s="812">
        <f t="shared" si="60"/>
        <v>45800.224072000005</v>
      </c>
      <c r="H87" s="812">
        <f t="shared" si="60"/>
        <v>34155.85317599999</v>
      </c>
      <c r="I87" s="812">
        <f t="shared" si="60"/>
        <v>53941.510392999997</v>
      </c>
      <c r="J87" s="812">
        <f t="shared" si="60"/>
        <v>34774</v>
      </c>
      <c r="K87" s="812">
        <f t="shared" si="60"/>
        <v>38169.441907737579</v>
      </c>
      <c r="L87" s="812">
        <f t="shared" si="60"/>
        <v>52333.425637536406</v>
      </c>
      <c r="M87" s="812">
        <f t="shared" si="60"/>
        <v>44686.155545155554</v>
      </c>
      <c r="N87" s="812">
        <f t="shared" si="60"/>
        <v>45063.007696809851</v>
      </c>
      <c r="O87" s="812">
        <f t="shared" si="60"/>
        <v>47360.862959833896</v>
      </c>
      <c r="P87" s="812">
        <f t="shared" si="60"/>
        <v>45703.342067266443</v>
      </c>
      <c r="Q87" s="812">
        <f t="shared" si="60"/>
        <v>46042.404241303411</v>
      </c>
      <c r="R87" s="757"/>
      <c r="S87" s="766"/>
      <c r="T87" s="776"/>
      <c r="AZ87" s="928">
        <f t="shared" si="56"/>
        <v>35815278.675999992</v>
      </c>
      <c r="BA87" s="727">
        <f>SUMIFS('전사합(개별)'!V:V,'전사합(개별)'!A:A,'12. 추정 IS'!B87)</f>
        <v>35815278.675999992</v>
      </c>
      <c r="BB87" s="928">
        <f>SUMIFS(SI본사부담!$V:$V,SI본사부담!$A:$A,'12. 추정 IS'!$B87)</f>
        <v>0</v>
      </c>
      <c r="BD87" s="727">
        <f>SUMIFS(홈쇼핑!V:V,홈쇼핑!A:A,'12. 추정 IS'!B87)</f>
        <v>1041737.132</v>
      </c>
      <c r="BE87" s="727">
        <f t="shared" si="58"/>
        <v>34773541.543999992</v>
      </c>
      <c r="BF87" s="727" t="b">
        <f>AZ87=SUM(AZ88:AZ91)</f>
        <v>1</v>
      </c>
      <c r="BG87" s="727" t="b">
        <f>BA87=SUM(BA88:BA91)</f>
        <v>1</v>
      </c>
      <c r="BH87" s="727" t="b">
        <f>BD87=SUM(BD88:BD91)</f>
        <v>1</v>
      </c>
      <c r="BI87" s="727" t="b">
        <f>BE87=SUM(BE88:BE91)</f>
        <v>1</v>
      </c>
      <c r="BL87" s="735"/>
    </row>
    <row r="88" spans="2:64" ht="16.5" customHeight="1" x14ac:dyDescent="0.3">
      <c r="B88" s="745"/>
      <c r="C88" s="751" t="s">
        <v>51</v>
      </c>
      <c r="D88" s="744">
        <v>989.05614300000013</v>
      </c>
      <c r="E88" s="744">
        <v>1318.1066169999997</v>
      </c>
      <c r="F88" s="744">
        <v>16355.616058</v>
      </c>
      <c r="G88" s="744">
        <v>602.803316</v>
      </c>
      <c r="H88" s="744">
        <v>1083.8406770000001</v>
      </c>
      <c r="I88" s="744">
        <v>11733.169751000001</v>
      </c>
      <c r="J88" s="744">
        <f t="shared" ref="J88:J110" si="61">ROUND(BE88/10^3,)</f>
        <v>5695</v>
      </c>
      <c r="K88" s="744">
        <v>10248.077219115527</v>
      </c>
      <c r="L88" s="744">
        <v>26934.825572797537</v>
      </c>
      <c r="M88" s="744">
        <v>27257</v>
      </c>
      <c r="N88" s="744">
        <v>21479.967597304356</v>
      </c>
      <c r="O88" s="744">
        <v>25223.931056700632</v>
      </c>
      <c r="P88" s="744">
        <v>24653.632884668332</v>
      </c>
      <c r="Q88" s="744">
        <v>23785.843846224441</v>
      </c>
      <c r="R88" s="757" t="s">
        <v>744</v>
      </c>
      <c r="S88" s="766"/>
      <c r="T88" s="782" t="s">
        <v>8876</v>
      </c>
      <c r="AZ88" s="928">
        <f t="shared" si="56"/>
        <v>5749732.9860000005</v>
      </c>
      <c r="BA88" s="727">
        <f>SUMIFS('전사합(개별)'!V:V,'전사합(개별)'!B:B,'12. 추정 IS'!C88)</f>
        <v>5749732.9860000005</v>
      </c>
      <c r="BB88" s="928">
        <f>SUMIFS(SI본사부담!$V:$V,SI본사부담!$B:$B,'12. 추정 IS'!$C88)</f>
        <v>0</v>
      </c>
      <c r="BD88" s="727">
        <f>SUMIFS(홈쇼핑!V:V,홈쇼핑!B:B,'12. 추정 IS'!C88)</f>
        <v>54233</v>
      </c>
      <c r="BE88" s="727">
        <f t="shared" si="58"/>
        <v>5695499.9860000005</v>
      </c>
      <c r="BL88" s="735"/>
    </row>
    <row r="89" spans="2:64" ht="16.5" customHeight="1" x14ac:dyDescent="0.3">
      <c r="B89" s="745"/>
      <c r="C89" s="751" t="s">
        <v>52</v>
      </c>
      <c r="D89" s="744">
        <v>439.63633199999998</v>
      </c>
      <c r="E89" s="744">
        <v>753.30617700000005</v>
      </c>
      <c r="F89" s="744">
        <v>749.21540200000004</v>
      </c>
      <c r="G89" s="744">
        <v>0</v>
      </c>
      <c r="H89" s="744">
        <v>1049.25703</v>
      </c>
      <c r="I89" s="744">
        <v>469.334363</v>
      </c>
      <c r="J89" s="744">
        <f t="shared" si="61"/>
        <v>421</v>
      </c>
      <c r="K89" s="744">
        <v>302.21254525868977</v>
      </c>
      <c r="L89" s="744">
        <v>218.74763057274555</v>
      </c>
      <c r="M89" s="744">
        <v>197.18586094554328</v>
      </c>
      <c r="N89" s="744">
        <v>239.38201225899289</v>
      </c>
      <c r="O89" s="744">
        <v>218.4385012590939</v>
      </c>
      <c r="P89" s="744">
        <v>218.33545815454337</v>
      </c>
      <c r="Q89" s="744">
        <v>225.38532389087675</v>
      </c>
      <c r="R89" s="757" t="s">
        <v>744</v>
      </c>
      <c r="S89" s="766"/>
      <c r="T89" s="776" t="s">
        <v>8876</v>
      </c>
      <c r="AZ89" s="928">
        <f t="shared" si="56"/>
        <v>421022.72600000002</v>
      </c>
      <c r="BA89" s="727">
        <f>SUMIFS('전사합(개별)'!V:V,'전사합(개별)'!B:B,'12. 추정 IS'!C89)</f>
        <v>421022.72600000002</v>
      </c>
      <c r="BB89" s="928">
        <f>SUMIFS(SI본사부담!$V:$V,SI본사부담!$B:$B,'12. 추정 IS'!$C89)</f>
        <v>0</v>
      </c>
      <c r="BD89" s="727">
        <f>SUMIFS(홈쇼핑!V:V,홈쇼핑!B:B,'12. 추정 IS'!C89)</f>
        <v>0</v>
      </c>
      <c r="BE89" s="727">
        <f t="shared" si="58"/>
        <v>421022.72600000002</v>
      </c>
      <c r="BL89" s="735"/>
    </row>
    <row r="90" spans="2:64" ht="16.5" customHeight="1" x14ac:dyDescent="0.3">
      <c r="B90" s="745"/>
      <c r="C90" s="751" t="s">
        <v>73</v>
      </c>
      <c r="D90" s="744">
        <v>3299.6407460000005</v>
      </c>
      <c r="E90" s="744">
        <v>12804.309334000001</v>
      </c>
      <c r="F90" s="744">
        <v>557539.94082599995</v>
      </c>
      <c r="G90" s="744">
        <v>30697.332382000001</v>
      </c>
      <c r="H90" s="744">
        <v>18990.143204999997</v>
      </c>
      <c r="I90" s="744">
        <v>28560.398125999996</v>
      </c>
      <c r="J90" s="744">
        <f t="shared" si="61"/>
        <v>15554</v>
      </c>
      <c r="K90" s="744">
        <v>20194.914051118965</v>
      </c>
      <c r="L90" s="744">
        <v>19342.479727719354</v>
      </c>
      <c r="M90" s="744">
        <v>12070.580893060634</v>
      </c>
      <c r="N90" s="744">
        <v>17202.658223966318</v>
      </c>
      <c r="O90" s="744">
        <v>16205.239614915399</v>
      </c>
      <c r="P90" s="744">
        <v>15159.492910647463</v>
      </c>
      <c r="Q90" s="744">
        <v>16189.130249843072</v>
      </c>
      <c r="R90" s="757" t="s">
        <v>229</v>
      </c>
      <c r="S90" s="766"/>
      <c r="T90" s="776" t="s">
        <v>882</v>
      </c>
      <c r="AY90" s="727" t="s">
        <v>8867</v>
      </c>
      <c r="AZ90" s="928">
        <f t="shared" si="56"/>
        <v>15560601.6</v>
      </c>
      <c r="BA90" s="727">
        <f>SUMIFS('전사합(개별)'!V:V,'전사합(개별)'!B:B,'12. 추정 IS'!C90)</f>
        <v>15560601.6</v>
      </c>
      <c r="BB90" s="928">
        <f>SUMIFS(SI본사부담!$V:$V,SI본사부담!$B:$B,'12. 추정 IS'!$C90)</f>
        <v>0</v>
      </c>
      <c r="BD90" s="727">
        <f>SUMIFS(홈쇼핑!V:V,홈쇼핑!B:B,'12. 추정 IS'!C90)</f>
        <v>6443.2490000000007</v>
      </c>
      <c r="BE90" s="727">
        <f t="shared" si="58"/>
        <v>15554158.351</v>
      </c>
      <c r="BL90" s="735"/>
    </row>
    <row r="91" spans="2:64" ht="16.5" customHeight="1" x14ac:dyDescent="0.3">
      <c r="B91" s="745"/>
      <c r="C91" s="751" t="s">
        <v>53</v>
      </c>
      <c r="D91" s="744">
        <v>28614.927035000001</v>
      </c>
      <c r="E91" s="744">
        <v>15465.827722000002</v>
      </c>
      <c r="F91" s="744">
        <v>17119.771551999998</v>
      </c>
      <c r="G91" s="744">
        <v>14500.088374000001</v>
      </c>
      <c r="H91" s="744">
        <v>13032.612263999996</v>
      </c>
      <c r="I91" s="744">
        <v>13178.608152999999</v>
      </c>
      <c r="J91" s="744">
        <f>ROUND(BE91/10^3,)+1</f>
        <v>13104</v>
      </c>
      <c r="K91" s="744">
        <v>7424.2380922444027</v>
      </c>
      <c r="L91" s="744">
        <v>5837.3727064467639</v>
      </c>
      <c r="M91" s="744">
        <v>5161.3887911493703</v>
      </c>
      <c r="N91" s="744">
        <v>6140.9998632801789</v>
      </c>
      <c r="O91" s="744">
        <v>5713.2537869587704</v>
      </c>
      <c r="P91" s="744">
        <v>5671.8808137961068</v>
      </c>
      <c r="Q91" s="744">
        <v>5842.044821345019</v>
      </c>
      <c r="R91" s="757" t="s">
        <v>229</v>
      </c>
      <c r="S91" s="766"/>
      <c r="T91" s="776"/>
      <c r="AZ91" s="928">
        <f t="shared" si="56"/>
        <v>14083921.363999998</v>
      </c>
      <c r="BA91" s="727">
        <f>SUMIFS('전사합(개별)'!V:V,'전사합(개별)'!B:B,'12. 추정 IS'!C91)</f>
        <v>14083921.363999998</v>
      </c>
      <c r="BB91" s="928">
        <f>SUMIFS(SI본사부담!$V:$V,SI본사부담!$B:$B,'12. 추정 IS'!$C91)</f>
        <v>0</v>
      </c>
      <c r="BD91" s="727">
        <f>SUMIFS(홈쇼핑!V:V,홈쇼핑!B:B,'12. 추정 IS'!C91)</f>
        <v>981060.88300000003</v>
      </c>
      <c r="BE91" s="727">
        <f t="shared" si="58"/>
        <v>13102860.480999999</v>
      </c>
      <c r="BL91" s="735"/>
    </row>
    <row r="92" spans="2:64" ht="16.5" customHeight="1" x14ac:dyDescent="0.3">
      <c r="B92" s="1165" t="s">
        <v>70</v>
      </c>
      <c r="C92" s="1166"/>
      <c r="D92" s="812">
        <f>SUM(D93:D96)</f>
        <v>42848.248771000006</v>
      </c>
      <c r="E92" s="812">
        <f t="shared" ref="E92:Q92" si="62">SUM(E93:E96)</f>
        <v>40540.890339999998</v>
      </c>
      <c r="F92" s="812">
        <f t="shared" si="62"/>
        <v>82135.837008999995</v>
      </c>
      <c r="G92" s="812">
        <f t="shared" si="62"/>
        <v>161119.91423600001</v>
      </c>
      <c r="H92" s="812">
        <f t="shared" si="62"/>
        <v>230948.500007</v>
      </c>
      <c r="I92" s="812">
        <f t="shared" si="62"/>
        <v>251805.62843800001</v>
      </c>
      <c r="J92" s="812">
        <f t="shared" si="62"/>
        <v>179120</v>
      </c>
      <c r="K92" s="812">
        <f t="shared" si="62"/>
        <v>71420.106063250452</v>
      </c>
      <c r="L92" s="812">
        <f t="shared" si="62"/>
        <v>52245.882324658356</v>
      </c>
      <c r="M92" s="812">
        <f t="shared" si="62"/>
        <v>54213.716755300047</v>
      </c>
      <c r="N92" s="812">
        <f t="shared" si="62"/>
        <v>59525.901714402942</v>
      </c>
      <c r="O92" s="812">
        <f t="shared" si="62"/>
        <v>55328.500264787115</v>
      </c>
      <c r="P92" s="812">
        <f t="shared" si="62"/>
        <v>56356.039578163363</v>
      </c>
      <c r="Q92" s="812">
        <f t="shared" si="62"/>
        <v>57070.147185784474</v>
      </c>
      <c r="R92" s="757"/>
      <c r="S92" s="766"/>
      <c r="T92" s="776"/>
      <c r="AZ92" s="928">
        <f t="shared" si="56"/>
        <v>183386765.71400002</v>
      </c>
      <c r="BA92" s="727">
        <f>SUMIFS('전사합(개별)'!V:V,'전사합(개별)'!A:A,'12. 추정 IS'!B92)</f>
        <v>183386663.86000001</v>
      </c>
      <c r="BB92" s="928">
        <f>SUMIFS(SI본사부담!$V:$V,SI본사부담!$A:$A,'12. 추정 IS'!$B92)</f>
        <v>101.854</v>
      </c>
      <c r="BD92" s="727">
        <f>SUMIFS(홈쇼핑!V:V,홈쇼핑!A:A,'12. 추정 IS'!B92)</f>
        <v>4266198.4019999998</v>
      </c>
      <c r="BE92" s="727">
        <f t="shared" si="58"/>
        <v>179120567.31200001</v>
      </c>
      <c r="BF92" s="727" t="b">
        <f>AZ92=SUM(AZ93:AZ96)</f>
        <v>1</v>
      </c>
      <c r="BG92" s="727" t="b">
        <f>BA92=SUM(BA93:BA96)</f>
        <v>1</v>
      </c>
      <c r="BH92" s="727" t="b">
        <f>BD92=SUM(BD93:BD96)</f>
        <v>1</v>
      </c>
      <c r="BI92" s="727" t="b">
        <f>BE92=SUM(BE93:BE96)</f>
        <v>1</v>
      </c>
      <c r="BL92" s="735"/>
    </row>
    <row r="93" spans="2:64" ht="16.5" customHeight="1" x14ac:dyDescent="0.3">
      <c r="B93" s="745"/>
      <c r="C93" s="751" t="s">
        <v>54</v>
      </c>
      <c r="D93" s="744">
        <v>20372.530154000004</v>
      </c>
      <c r="E93" s="744">
        <v>15302.266156</v>
      </c>
      <c r="F93" s="744">
        <v>8433.5501220000006</v>
      </c>
      <c r="G93" s="744">
        <v>8076.367706</v>
      </c>
      <c r="H93" s="744">
        <v>8305.3994109999985</v>
      </c>
      <c r="I93" s="744">
        <v>22513.383491000001</v>
      </c>
      <c r="J93" s="744">
        <f t="shared" si="61"/>
        <v>9553</v>
      </c>
      <c r="K93" s="744">
        <v>16708.436030211538</v>
      </c>
      <c r="L93" s="744">
        <v>13566.267556315304</v>
      </c>
      <c r="M93" s="744">
        <v>13066.099688296825</v>
      </c>
      <c r="N93" s="744">
        <v>14446.934424941222</v>
      </c>
      <c r="O93" s="744">
        <v>13693.100556517784</v>
      </c>
      <c r="P93" s="744">
        <v>13735.378223251944</v>
      </c>
      <c r="Q93" s="744">
        <v>13958.471068236984</v>
      </c>
      <c r="R93" s="757" t="s">
        <v>822</v>
      </c>
      <c r="S93" s="766"/>
      <c r="T93" s="776" t="s">
        <v>832</v>
      </c>
      <c r="AZ93" s="928">
        <f t="shared" si="56"/>
        <v>9583463.8040000014</v>
      </c>
      <c r="BA93" s="727">
        <f>SUMIFS('전사합(개별)'!V:V,'전사합(개별)'!B:B,'12. 추정 IS'!C93)</f>
        <v>9583463.8040000014</v>
      </c>
      <c r="BB93" s="928">
        <f>SUMIFS(SI본사부담!$V:$V,SI본사부담!$B:$B,'12. 추정 IS'!$C93)</f>
        <v>0</v>
      </c>
      <c r="BD93" s="727">
        <f>SUMIFS(홈쇼핑!V:V,홈쇼핑!B:B,'12. 추정 IS'!C93)</f>
        <v>30818.674000000003</v>
      </c>
      <c r="BE93" s="727">
        <f t="shared" si="58"/>
        <v>9552645.1300000008</v>
      </c>
      <c r="BL93" s="735"/>
    </row>
    <row r="94" spans="2:64" ht="16.5" customHeight="1" x14ac:dyDescent="0.3">
      <c r="B94" s="745"/>
      <c r="C94" s="751" t="s">
        <v>55</v>
      </c>
      <c r="D94" s="744">
        <v>8787.9533259999989</v>
      </c>
      <c r="E94" s="744">
        <v>4004.065783</v>
      </c>
      <c r="F94" s="744">
        <v>194.98612600000001</v>
      </c>
      <c r="G94" s="744">
        <v>502.63398699999999</v>
      </c>
      <c r="H94" s="744">
        <v>32.174798000000003</v>
      </c>
      <c r="I94" s="744">
        <v>70.58443800000002</v>
      </c>
      <c r="J94" s="744">
        <f t="shared" si="61"/>
        <v>0</v>
      </c>
      <c r="K94" s="744">
        <v>212</v>
      </c>
      <c r="L94" s="744">
        <v>0</v>
      </c>
      <c r="M94" s="744">
        <v>0</v>
      </c>
      <c r="N94" s="744">
        <v>0</v>
      </c>
      <c r="O94" s="744">
        <v>0</v>
      </c>
      <c r="P94" s="744">
        <v>0</v>
      </c>
      <c r="Q94" s="744">
        <v>0</v>
      </c>
      <c r="R94" s="757" t="s">
        <v>822</v>
      </c>
      <c r="S94" s="766"/>
      <c r="T94" s="776" t="s">
        <v>832</v>
      </c>
      <c r="AZ94" s="928">
        <f t="shared" si="56"/>
        <v>10</v>
      </c>
      <c r="BA94" s="727">
        <f>SUMIFS('전사합(개별)'!V:V,'전사합(개별)'!B:B,'12. 추정 IS'!C94)</f>
        <v>10</v>
      </c>
      <c r="BB94" s="928">
        <f>SUMIFS(SI본사부담!$V:$V,SI본사부담!$B:$B,'12. 추정 IS'!$C94)</f>
        <v>0</v>
      </c>
      <c r="BD94" s="727">
        <f>SUMIFS(홈쇼핑!V:V,홈쇼핑!B:B,'12. 추정 IS'!C94)</f>
        <v>0</v>
      </c>
      <c r="BE94" s="727">
        <f t="shared" si="58"/>
        <v>10</v>
      </c>
      <c r="BL94" s="735"/>
    </row>
    <row r="95" spans="2:64" ht="16.5" customHeight="1" x14ac:dyDescent="0.3">
      <c r="B95" s="745"/>
      <c r="C95" s="751" t="s">
        <v>74</v>
      </c>
      <c r="D95" s="744">
        <v>9685.1031710000007</v>
      </c>
      <c r="E95" s="744">
        <v>18290.151717000001</v>
      </c>
      <c r="F95" s="744">
        <v>61701.668060999997</v>
      </c>
      <c r="G95" s="744">
        <v>126613.219245</v>
      </c>
      <c r="H95" s="744">
        <v>219671.05364900001</v>
      </c>
      <c r="I95" s="744">
        <v>228054.46346900001</v>
      </c>
      <c r="J95" s="744">
        <f t="shared" si="61"/>
        <v>168117</v>
      </c>
      <c r="K95" s="744">
        <v>50754.150109680733</v>
      </c>
      <c r="L95" s="744">
        <v>35912.091637468235</v>
      </c>
      <c r="M95" s="744">
        <v>38355.94191014643</v>
      </c>
      <c r="N95" s="744">
        <v>41977.39455243179</v>
      </c>
      <c r="O95" s="744">
        <v>38748.476033348816</v>
      </c>
      <c r="P95" s="744">
        <v>39693.937498642343</v>
      </c>
      <c r="Q95" s="744">
        <v>40139.936028140983</v>
      </c>
      <c r="R95" s="757" t="s">
        <v>230</v>
      </c>
      <c r="S95" s="766"/>
      <c r="T95" s="776"/>
      <c r="AY95" s="727" t="s">
        <v>8868</v>
      </c>
      <c r="AZ95" s="928">
        <f t="shared" si="56"/>
        <v>172323197.28800002</v>
      </c>
      <c r="BA95" s="727">
        <f>SUMIFS('전사합(개별)'!V:V,'전사합(개별)'!B:B,'12. 추정 IS'!C95)</f>
        <v>172323095.43400002</v>
      </c>
      <c r="BB95" s="928">
        <f>SUMIFS(SI본사부담!$V:$V,SI본사부담!$B:$B,'12. 추정 IS'!$C95)</f>
        <v>101.854</v>
      </c>
      <c r="BD95" s="727">
        <f>SUMIFS(홈쇼핑!V:V,홈쇼핑!B:B,'12. 추정 IS'!C95)</f>
        <v>4205982.05</v>
      </c>
      <c r="BE95" s="727">
        <f t="shared" si="58"/>
        <v>168117215.23800001</v>
      </c>
      <c r="BL95" s="735"/>
    </row>
    <row r="96" spans="2:64" ht="16.5" customHeight="1" x14ac:dyDescent="0.3">
      <c r="B96" s="745"/>
      <c r="C96" s="751" t="s">
        <v>56</v>
      </c>
      <c r="D96" s="744">
        <v>4002.66212</v>
      </c>
      <c r="E96" s="744">
        <v>2944.406684</v>
      </c>
      <c r="F96" s="744">
        <v>11805.6327</v>
      </c>
      <c r="G96" s="744">
        <v>25927.693297999998</v>
      </c>
      <c r="H96" s="744">
        <v>2939.8721489999998</v>
      </c>
      <c r="I96" s="744">
        <v>1167.19704</v>
      </c>
      <c r="J96" s="744">
        <f>ROUND(BE96/10^3,)-1</f>
        <v>1450</v>
      </c>
      <c r="K96" s="744">
        <v>3745.5199233581834</v>
      </c>
      <c r="L96" s="744">
        <v>2767.5231308748198</v>
      </c>
      <c r="M96" s="744">
        <v>2791.6751568567915</v>
      </c>
      <c r="N96" s="744">
        <v>3101.5727370299314</v>
      </c>
      <c r="O96" s="744">
        <v>2886.9236749205147</v>
      </c>
      <c r="P96" s="744">
        <v>2926.7238562690791</v>
      </c>
      <c r="Q96" s="744">
        <v>2971.7400894065081</v>
      </c>
      <c r="R96" s="757" t="s">
        <v>230</v>
      </c>
      <c r="S96" s="766"/>
      <c r="T96" s="776" t="s">
        <v>883</v>
      </c>
      <c r="AZ96" s="928">
        <f t="shared" si="56"/>
        <v>1480094.6220000002</v>
      </c>
      <c r="BA96" s="727">
        <f>SUMIFS('전사합(개별)'!V:V,'전사합(개별)'!B:B,'12. 추정 IS'!C96)</f>
        <v>1480094.6220000002</v>
      </c>
      <c r="BB96" s="928">
        <f>SUMIFS(SI본사부담!$V:$V,SI본사부담!$B:$B,'12. 추정 IS'!$C96)</f>
        <v>0</v>
      </c>
      <c r="BD96" s="727">
        <f>SUMIFS(홈쇼핑!V:V,홈쇼핑!B:B,'12. 추정 IS'!C96)</f>
        <v>29397.678</v>
      </c>
      <c r="BE96" s="727">
        <f t="shared" si="58"/>
        <v>1450696.9440000001</v>
      </c>
      <c r="BL96" s="735"/>
    </row>
    <row r="97" spans="2:64" ht="16.5" customHeight="1" x14ac:dyDescent="0.3">
      <c r="B97" s="1165" t="s">
        <v>75</v>
      </c>
      <c r="C97" s="1166"/>
      <c r="D97" s="812">
        <f>SUM(D98:D100)</f>
        <v>56451.731776999994</v>
      </c>
      <c r="E97" s="812">
        <f t="shared" ref="E97:Q97" si="63">SUM(E98:E100)</f>
        <v>72894.92506400001</v>
      </c>
      <c r="F97" s="812">
        <f t="shared" si="63"/>
        <v>133468.39849600001</v>
      </c>
      <c r="G97" s="812">
        <f t="shared" si="63"/>
        <v>128794.84172300001</v>
      </c>
      <c r="H97" s="812">
        <f t="shared" si="63"/>
        <v>105861.90847799997</v>
      </c>
      <c r="I97" s="812">
        <f t="shared" si="63"/>
        <v>105056.011318</v>
      </c>
      <c r="J97" s="812">
        <f t="shared" si="63"/>
        <v>107744</v>
      </c>
      <c r="K97" s="812">
        <f t="shared" si="63"/>
        <v>42121.907621538121</v>
      </c>
      <c r="L97" s="812">
        <f t="shared" si="63"/>
        <v>43749.433992301063</v>
      </c>
      <c r="M97" s="812">
        <f t="shared" si="63"/>
        <v>58527.673181410872</v>
      </c>
      <c r="N97" s="812">
        <f t="shared" si="63"/>
        <v>59020.189783552225</v>
      </c>
      <c r="O97" s="812">
        <f t="shared" si="63"/>
        <v>58881.278121513657</v>
      </c>
      <c r="P97" s="812">
        <f t="shared" si="63"/>
        <v>58809.713695492246</v>
      </c>
      <c r="Q97" s="812">
        <f t="shared" si="63"/>
        <v>58903.72720018604</v>
      </c>
      <c r="R97" s="757"/>
      <c r="S97" s="766"/>
      <c r="T97" s="776"/>
      <c r="AZ97" s="928">
        <f t="shared" si="56"/>
        <v>109672693.98099998</v>
      </c>
      <c r="BA97" s="727">
        <f>SUMIFS('전사합(개별)'!V:V,'전사합(개별)'!A:A,'12. 추정 IS'!B97)</f>
        <v>109278360.40899998</v>
      </c>
      <c r="BB97" s="928">
        <f>SUMIFS(SI본사부담!$V:$V,SI본사부담!$A:$A,'12. 추정 IS'!$B97)</f>
        <v>394333.57199999999</v>
      </c>
      <c r="BD97" s="727">
        <f>SUMIFS(홈쇼핑!V:V,홈쇼핑!A:A,'12. 추정 IS'!B97)</f>
        <v>1928155.5130000003</v>
      </c>
      <c r="BE97" s="727">
        <f t="shared" si="58"/>
        <v>107744538.46799998</v>
      </c>
      <c r="BF97" s="727" t="b">
        <f>AZ97=SUM(AZ98:AZ100)</f>
        <v>1</v>
      </c>
      <c r="BG97" s="727" t="b">
        <f>BA97=SUM(BA98:BA100)</f>
        <v>1</v>
      </c>
      <c r="BH97" s="727" t="b">
        <f>BD97=SUM(BD98:BD100)</f>
        <v>1</v>
      </c>
      <c r="BI97" s="727" t="b">
        <f>BE97=SUM(BE98:BE100)</f>
        <v>1</v>
      </c>
      <c r="BL97" s="735"/>
    </row>
    <row r="98" spans="2:64" ht="16.5" customHeight="1" x14ac:dyDescent="0.3">
      <c r="B98" s="745"/>
      <c r="C98" s="751" t="s">
        <v>76</v>
      </c>
      <c r="D98" s="744">
        <v>37736.928952999995</v>
      </c>
      <c r="E98" s="744">
        <v>35570.613685000004</v>
      </c>
      <c r="F98" s="744">
        <v>34905.451711000002</v>
      </c>
      <c r="G98" s="744">
        <v>42631.046919</v>
      </c>
      <c r="H98" s="744">
        <v>54131.840200999992</v>
      </c>
      <c r="I98" s="744">
        <v>51040.643699</v>
      </c>
      <c r="J98" s="744">
        <f t="shared" si="61"/>
        <v>52366</v>
      </c>
      <c r="K98" s="744">
        <v>41345.719976093023</v>
      </c>
      <c r="L98" s="744">
        <v>41004.766302372271</v>
      </c>
      <c r="M98" s="744">
        <v>40436.467758521387</v>
      </c>
      <c r="N98" s="744">
        <v>40928.98467899557</v>
      </c>
      <c r="O98" s="744">
        <v>40790.072913296412</v>
      </c>
      <c r="P98" s="744">
        <v>40718.508450271118</v>
      </c>
      <c r="Q98" s="744">
        <v>40812.5220141877</v>
      </c>
      <c r="R98" s="757" t="s">
        <v>229</v>
      </c>
      <c r="S98" s="766"/>
      <c r="T98" s="776" t="s">
        <v>833</v>
      </c>
      <c r="AZ98" s="928">
        <f t="shared" si="56"/>
        <v>52372690.471999995</v>
      </c>
      <c r="BA98" s="727">
        <f>SUMIFS('전사합(개별)'!V:V,'전사합(개별)'!B:B,'12. 추정 IS'!C98)</f>
        <v>52112633.342999995</v>
      </c>
      <c r="BB98" s="928">
        <f>SUMIFS(SI본사부담!$V:$V,SI본사부담!$B:$B,'12. 추정 IS'!$C98)</f>
        <v>260057.12900000002</v>
      </c>
      <c r="BD98" s="727">
        <f>SUMIFS(홈쇼핑!V:V,홈쇼핑!B:B,'12. 추정 IS'!C98)</f>
        <v>6457.7150000000001</v>
      </c>
      <c r="BE98" s="727">
        <f t="shared" si="58"/>
        <v>52366232.756999992</v>
      </c>
      <c r="BL98" s="735"/>
    </row>
    <row r="99" spans="2:64" ht="16.5" customHeight="1" x14ac:dyDescent="0.3">
      <c r="B99" s="745"/>
      <c r="C99" s="751" t="s">
        <v>77</v>
      </c>
      <c r="D99" s="744">
        <v>13162.896541000002</v>
      </c>
      <c r="E99" s="744">
        <v>22753.241679999999</v>
      </c>
      <c r="F99" s="744">
        <v>23882.987462000001</v>
      </c>
      <c r="G99" s="744">
        <v>14906.683716</v>
      </c>
      <c r="H99" s="744">
        <v>23821.883012999995</v>
      </c>
      <c r="I99" s="744">
        <v>28310.623699</v>
      </c>
      <c r="J99" s="744">
        <f t="shared" si="61"/>
        <v>4359</v>
      </c>
      <c r="K99" s="744">
        <v>776.1716648811024</v>
      </c>
      <c r="L99" s="744">
        <v>2744.6514057340751</v>
      </c>
      <c r="M99" s="744">
        <v>18091.188813010882</v>
      </c>
      <c r="N99" s="744">
        <v>18091.188813010882</v>
      </c>
      <c r="O99" s="744">
        <v>18091.188813010882</v>
      </c>
      <c r="P99" s="744">
        <v>18091.188813010882</v>
      </c>
      <c r="Q99" s="744">
        <v>18091.188813010882</v>
      </c>
      <c r="R99" s="757" t="s">
        <v>229</v>
      </c>
      <c r="S99" s="766"/>
      <c r="T99" s="776" t="s">
        <v>8912</v>
      </c>
      <c r="AZ99" s="928">
        <f t="shared" si="56"/>
        <v>6258982.0559999999</v>
      </c>
      <c r="BA99" s="727">
        <f>SUMIFS('전사합(개별)'!V:V,'전사합(개별)'!B:B,'12. 추정 IS'!C99)</f>
        <v>6258982.0559999999</v>
      </c>
      <c r="BB99" s="928">
        <f>SUMIFS(SI본사부담!$V:$V,SI본사부담!$B:$B,'12. 추정 IS'!$C99)</f>
        <v>0</v>
      </c>
      <c r="BD99" s="727">
        <f>SUMIFS(홈쇼핑!V:V,홈쇼핑!B:B,'12. 추정 IS'!C99)</f>
        <v>1900000</v>
      </c>
      <c r="BE99" s="727">
        <f t="shared" si="58"/>
        <v>4358982.0559999999</v>
      </c>
      <c r="BL99" s="735"/>
    </row>
    <row r="100" spans="2:64" ht="16.5" customHeight="1" x14ac:dyDescent="0.3">
      <c r="B100" s="745"/>
      <c r="C100" s="751" t="s">
        <v>78</v>
      </c>
      <c r="D100" s="744">
        <v>5551.9062830000003</v>
      </c>
      <c r="E100" s="744">
        <v>14571.069699</v>
      </c>
      <c r="F100" s="744">
        <v>74679.959323000003</v>
      </c>
      <c r="G100" s="744">
        <v>71257.111088000005</v>
      </c>
      <c r="H100" s="744">
        <v>27908.185263999992</v>
      </c>
      <c r="I100" s="744">
        <v>25704.743920000001</v>
      </c>
      <c r="J100" s="744">
        <f t="shared" si="61"/>
        <v>51019</v>
      </c>
      <c r="K100" s="744">
        <v>1.5980563995361328E-2</v>
      </c>
      <c r="L100" s="744">
        <v>1.6284194717407226E-2</v>
      </c>
      <c r="M100" s="744">
        <v>1.6609878608703613E-2</v>
      </c>
      <c r="N100" s="744">
        <v>1.6291545773824058E-2</v>
      </c>
      <c r="O100" s="744">
        <v>1.6395206366644963E-2</v>
      </c>
      <c r="P100" s="744">
        <v>1.6432210249724213E-2</v>
      </c>
      <c r="Q100" s="744">
        <v>1.6372987463397746E-2</v>
      </c>
      <c r="R100" s="757" t="s">
        <v>229</v>
      </c>
      <c r="S100" s="766"/>
      <c r="T100" s="776"/>
      <c r="AY100" s="727" t="s">
        <v>8869</v>
      </c>
      <c r="AZ100" s="928">
        <f t="shared" si="56"/>
        <v>51041021.452999994</v>
      </c>
      <c r="BA100" s="727">
        <f>SUMIFS('전사합(개별)'!V:V,'전사합(개별)'!B:B,'12. 추정 IS'!C100)</f>
        <v>50906745.00999999</v>
      </c>
      <c r="BB100" s="928">
        <f>SUMIFS(SI본사부담!$V:$V,SI본사부담!$B:$B,'12. 추정 IS'!$C100)</f>
        <v>134276.443</v>
      </c>
      <c r="BD100" s="727">
        <f>SUMIFS(홈쇼핑!V:V,홈쇼핑!B:B,'12. 추정 IS'!C100)</f>
        <v>21697.798000000003</v>
      </c>
      <c r="BE100" s="727">
        <f t="shared" si="58"/>
        <v>51019323.654999994</v>
      </c>
      <c r="BL100" s="735"/>
    </row>
    <row r="101" spans="2:64" ht="16.5" customHeight="1" x14ac:dyDescent="0.3">
      <c r="B101" s="1165" t="s">
        <v>79</v>
      </c>
      <c r="C101" s="1166"/>
      <c r="D101" s="812">
        <f>SUM(D102:D103)</f>
        <v>69320.557193000001</v>
      </c>
      <c r="E101" s="812">
        <f t="shared" ref="E101:Q101" si="64">SUM(E102:E103)</f>
        <v>59961.222144000007</v>
      </c>
      <c r="F101" s="812">
        <f t="shared" si="64"/>
        <v>71129.422441999995</v>
      </c>
      <c r="G101" s="812">
        <f t="shared" si="64"/>
        <v>195564.716957</v>
      </c>
      <c r="H101" s="812">
        <f t="shared" si="64"/>
        <v>161716.627935</v>
      </c>
      <c r="I101" s="812">
        <f t="shared" si="64"/>
        <v>224121.27224600001</v>
      </c>
      <c r="J101" s="812">
        <f t="shared" si="64"/>
        <v>171243</v>
      </c>
      <c r="K101" s="812">
        <f t="shared" si="64"/>
        <v>105627.31823833632</v>
      </c>
      <c r="L101" s="812">
        <f t="shared" si="64"/>
        <v>103390.52111531334</v>
      </c>
      <c r="M101" s="812">
        <f t="shared" si="64"/>
        <v>103670.66801020956</v>
      </c>
      <c r="N101" s="812">
        <f t="shared" si="64"/>
        <v>104229.50245461974</v>
      </c>
      <c r="O101" s="812">
        <f t="shared" si="64"/>
        <v>103763.56386004754</v>
      </c>
      <c r="P101" s="812">
        <f t="shared" si="64"/>
        <v>103887.91144162562</v>
      </c>
      <c r="Q101" s="812">
        <f t="shared" si="64"/>
        <v>103960.3259187643</v>
      </c>
      <c r="R101" s="757"/>
      <c r="S101" s="766"/>
      <c r="T101" s="776"/>
      <c r="AZ101" s="928">
        <f t="shared" si="56"/>
        <v>156256319.75999999</v>
      </c>
      <c r="BA101" s="727">
        <f>SUMIFS('전사합(개별)'!V:V,'전사합(개별)'!A:A,'12. 추정 IS'!B101)</f>
        <v>155799682.25399998</v>
      </c>
      <c r="BB101" s="928">
        <f>SUMIFS(SI본사부담!$V:$V,SI본사부담!$A:$A,'12. 추정 IS'!$B101)</f>
        <v>456637.50599999999</v>
      </c>
      <c r="BD101" s="727">
        <f>SUMIFS(홈쇼핑!V:V,홈쇼핑!A:A,'12. 추정 IS'!B101)</f>
        <v>-14986789.111000001</v>
      </c>
      <c r="BE101" s="727">
        <f t="shared" si="58"/>
        <v>171243108.87099999</v>
      </c>
      <c r="BF101" s="727" t="b">
        <f>AZ101=SUM(AZ102:AZ103)</f>
        <v>1</v>
      </c>
      <c r="BG101" s="727" t="b">
        <f>BA101=SUM(BA102:BA103)</f>
        <v>1</v>
      </c>
      <c r="BH101" s="727" t="b">
        <f>BD101=SUM(BD102:BD103)</f>
        <v>1</v>
      </c>
      <c r="BI101" s="727" t="b">
        <f>BE101=SUM(BE102:BE103)</f>
        <v>1</v>
      </c>
      <c r="BL101" s="735"/>
    </row>
    <row r="102" spans="2:64" ht="16.5" customHeight="1" x14ac:dyDescent="0.3">
      <c r="B102" s="745"/>
      <c r="C102" s="751" t="s">
        <v>80</v>
      </c>
      <c r="D102" s="744">
        <v>54588.361482</v>
      </c>
      <c r="E102" s="744">
        <v>48776.400298000008</v>
      </c>
      <c r="F102" s="744">
        <v>41887.718739999997</v>
      </c>
      <c r="G102" s="744">
        <v>58841.966391000002</v>
      </c>
      <c r="H102" s="744">
        <v>81538.759095000001</v>
      </c>
      <c r="I102" s="744">
        <v>93916.855379000001</v>
      </c>
      <c r="J102" s="744">
        <f t="shared" si="61"/>
        <v>107437</v>
      </c>
      <c r="K102" s="744">
        <v>80524.991249525468</v>
      </c>
      <c r="L102" s="744">
        <v>77953.478642200542</v>
      </c>
      <c r="M102" s="744">
        <v>79331.932043442677</v>
      </c>
      <c r="N102" s="744">
        <v>79270.133978389567</v>
      </c>
      <c r="O102" s="744">
        <v>78851.848221344248</v>
      </c>
      <c r="P102" s="744">
        <v>79151.304747725517</v>
      </c>
      <c r="Q102" s="744">
        <v>79091.095649153125</v>
      </c>
      <c r="R102" s="757" t="s">
        <v>230</v>
      </c>
      <c r="S102" s="766"/>
      <c r="T102" s="776" t="s">
        <v>834</v>
      </c>
      <c r="AY102" s="727" t="s">
        <v>8870</v>
      </c>
      <c r="AZ102" s="928">
        <f t="shared" si="56"/>
        <v>92426347.293000013</v>
      </c>
      <c r="BA102" s="727">
        <f>SUMIFS('전사합(개별)'!V:V,'전사합(개별)'!B:B,'12. 추정 IS'!C102)</f>
        <v>92426347.293000013</v>
      </c>
      <c r="BB102" s="928">
        <f>SUMIFS(SI본사부담!$V:$V,SI본사부담!$B:$B,'12. 추정 IS'!$C102)</f>
        <v>0</v>
      </c>
      <c r="BD102" s="727">
        <f>SUMIFS(홈쇼핑!V:V,홈쇼핑!B:B,'12. 추정 IS'!C102)</f>
        <v>-15010410.801000003</v>
      </c>
      <c r="BE102" s="727">
        <f t="shared" si="58"/>
        <v>107436758.09400001</v>
      </c>
      <c r="BL102" s="735"/>
    </row>
    <row r="103" spans="2:64" ht="16.5" customHeight="1" x14ac:dyDescent="0.3">
      <c r="B103" s="745"/>
      <c r="C103" s="751" t="s">
        <v>81</v>
      </c>
      <c r="D103" s="744">
        <v>14732.195710999998</v>
      </c>
      <c r="E103" s="744">
        <v>11184.821845999999</v>
      </c>
      <c r="F103" s="744">
        <v>29241.703701999999</v>
      </c>
      <c r="G103" s="744">
        <v>136722.750566</v>
      </c>
      <c r="H103" s="744">
        <v>80177.868839999996</v>
      </c>
      <c r="I103" s="744">
        <v>130204.41686700001</v>
      </c>
      <c r="J103" s="744">
        <f t="shared" si="61"/>
        <v>63806</v>
      </c>
      <c r="K103" s="744">
        <v>25102.326988810852</v>
      </c>
      <c r="L103" s="744">
        <v>25437.042473112808</v>
      </c>
      <c r="M103" s="744">
        <v>24338.735966766875</v>
      </c>
      <c r="N103" s="744">
        <v>24959.368476230164</v>
      </c>
      <c r="O103" s="744">
        <v>24911.715638703292</v>
      </c>
      <c r="P103" s="744">
        <v>24736.606693900099</v>
      </c>
      <c r="Q103" s="744">
        <v>24869.230269611176</v>
      </c>
      <c r="R103" s="757" t="s">
        <v>230</v>
      </c>
      <c r="S103" s="766"/>
      <c r="T103" s="776"/>
      <c r="AY103" s="727" t="s">
        <v>8871</v>
      </c>
      <c r="AZ103" s="928">
        <f t="shared" si="56"/>
        <v>63829972.467000008</v>
      </c>
      <c r="BA103" s="727">
        <f>SUMIFS('전사합(개별)'!V:V,'전사합(개별)'!B:B,'12. 추정 IS'!C103)</f>
        <v>63373334.96100001</v>
      </c>
      <c r="BB103" s="928">
        <f>SUMIFS(SI본사부담!$V:$V,SI본사부담!$B:$B,'12. 추정 IS'!$C103)</f>
        <v>456637.50599999999</v>
      </c>
      <c r="BD103" s="727">
        <f>SUMIFS(홈쇼핑!V:V,홈쇼핑!B:B,'12. 추정 IS'!C103)</f>
        <v>23621.690000000002</v>
      </c>
      <c r="BE103" s="727">
        <f t="shared" si="58"/>
        <v>63806350.77700001</v>
      </c>
      <c r="BL103" s="735"/>
    </row>
    <row r="104" spans="2:64" ht="16.5" customHeight="1" x14ac:dyDescent="0.3">
      <c r="B104" s="1165" t="s">
        <v>82</v>
      </c>
      <c r="C104" s="1166"/>
      <c r="D104" s="812">
        <f>D105-D106</f>
        <v>-728.62706000000003</v>
      </c>
      <c r="E104" s="812">
        <f t="shared" ref="E104:Q104" si="65">E105-E106</f>
        <v>-3918.4150490000002</v>
      </c>
      <c r="F104" s="812">
        <f t="shared" si="65"/>
        <v>27145.122895999997</v>
      </c>
      <c r="G104" s="812">
        <f t="shared" si="65"/>
        <v>14673.927170999999</v>
      </c>
      <c r="H104" s="812">
        <f t="shared" si="65"/>
        <v>-11191.715326</v>
      </c>
      <c r="I104" s="812">
        <f t="shared" si="65"/>
        <v>1052.0385900000001</v>
      </c>
      <c r="J104" s="812">
        <f t="shared" si="65"/>
        <v>9180</v>
      </c>
      <c r="K104" s="812">
        <f t="shared" si="65"/>
        <v>-162.95277600000006</v>
      </c>
      <c r="L104" s="812">
        <f t="shared" si="65"/>
        <v>-162.95277600000006</v>
      </c>
      <c r="M104" s="812">
        <f t="shared" si="65"/>
        <v>-162.95277600000006</v>
      </c>
      <c r="N104" s="812">
        <f t="shared" si="65"/>
        <v>0</v>
      </c>
      <c r="O104" s="812">
        <f t="shared" si="65"/>
        <v>0</v>
      </c>
      <c r="P104" s="812">
        <f t="shared" si="65"/>
        <v>0</v>
      </c>
      <c r="Q104" s="812">
        <f t="shared" si="65"/>
        <v>0</v>
      </c>
      <c r="R104" s="757"/>
      <c r="S104" s="766"/>
      <c r="T104" s="776" t="s">
        <v>835</v>
      </c>
      <c r="AZ104" s="928">
        <f>BC104</f>
        <v>9179981.3420000002</v>
      </c>
      <c r="BA104" s="727">
        <f>SUMIFS('전사합(개별)'!V:V,'전사합(개별)'!A:A,'12. 추정 IS'!B104)</f>
        <v>6707499.1229999987</v>
      </c>
      <c r="BB104" s="928">
        <f>SUMIFS(SI본사부담!$V:$V,SI본사부담!$A:$A,'12. 추정 IS'!$B104)</f>
        <v>0</v>
      </c>
      <c r="BC104" s="727">
        <f>SUMIFS(기타조정!$V:$V,기타조정!$A:$A,'12. 추정 IS'!$B104)</f>
        <v>9179981.3420000002</v>
      </c>
      <c r="BD104" s="727">
        <f>SUMIFS(홈쇼핑!V:V,홈쇼핑!A:A,'12. 추정 IS'!B104)</f>
        <v>0</v>
      </c>
      <c r="BE104" s="727">
        <f t="shared" si="58"/>
        <v>9179981.3420000002</v>
      </c>
      <c r="BF104" s="727" t="b">
        <f>AZ104=AZ105-AZ106</f>
        <v>1</v>
      </c>
      <c r="BG104" s="727" t="b">
        <f>BA104=BA105-BA106</f>
        <v>1</v>
      </c>
      <c r="BH104" s="727" t="b">
        <f>BD104=BD105-BD106</f>
        <v>1</v>
      </c>
      <c r="BI104" s="727" t="b">
        <f>BE104=BE105-BE106</f>
        <v>1</v>
      </c>
      <c r="BL104" s="735"/>
    </row>
    <row r="105" spans="2:64" ht="16.5" customHeight="1" x14ac:dyDescent="0.3">
      <c r="B105" s="745"/>
      <c r="C105" s="751" t="s">
        <v>83</v>
      </c>
      <c r="D105" s="744">
        <v>0</v>
      </c>
      <c r="E105" s="744">
        <v>0</v>
      </c>
      <c r="F105" s="744">
        <v>28359.628100999998</v>
      </c>
      <c r="G105" s="744">
        <v>14673.927170999999</v>
      </c>
      <c r="H105" s="744">
        <v>0</v>
      </c>
      <c r="I105" s="744">
        <v>1052.0385900000001</v>
      </c>
      <c r="J105" s="744">
        <f t="shared" si="61"/>
        <v>9180</v>
      </c>
      <c r="K105" s="744">
        <v>-162.95277600000006</v>
      </c>
      <c r="L105" s="744">
        <v>-162.95277600000006</v>
      </c>
      <c r="M105" s="744">
        <v>-162.95277600000006</v>
      </c>
      <c r="N105" s="744">
        <v>0</v>
      </c>
      <c r="O105" s="744">
        <v>0</v>
      </c>
      <c r="P105" s="744">
        <v>0</v>
      </c>
      <c r="Q105" s="744">
        <v>0</v>
      </c>
      <c r="R105" s="757" t="s">
        <v>225</v>
      </c>
      <c r="S105" s="766"/>
      <c r="T105" s="776"/>
      <c r="AZ105" s="928">
        <f>BC105</f>
        <v>9179981.3420000002</v>
      </c>
      <c r="BA105" s="727">
        <f>SUMIFS('전사합(개별)'!V:V,'전사합(개별)'!B:B,'12. 추정 IS'!C105)</f>
        <v>13189823.756999999</v>
      </c>
      <c r="BB105" s="928">
        <f>SUMIFS(SI본사부담!$V:$V,SI본사부담!$B:$B,'12. 추정 IS'!$C105)</f>
        <v>0</v>
      </c>
      <c r="BC105" s="928">
        <f>SUMIFS(기타조정!$V:$V,기타조정!$B:$B,'12. 추정 IS'!$C105)</f>
        <v>9179981.3420000002</v>
      </c>
      <c r="BD105" s="727">
        <f>SUMIFS(홈쇼핑!V:V,홈쇼핑!B:B,'12. 추정 IS'!C105)</f>
        <v>0</v>
      </c>
      <c r="BE105" s="727">
        <f t="shared" si="58"/>
        <v>9179981.3420000002</v>
      </c>
      <c r="BL105" s="735"/>
    </row>
    <row r="106" spans="2:64" ht="16.5" customHeight="1" x14ac:dyDescent="0.3">
      <c r="B106" s="745"/>
      <c r="C106" s="751" t="s">
        <v>84</v>
      </c>
      <c r="D106" s="744">
        <v>728.62706000000003</v>
      </c>
      <c r="E106" s="744">
        <v>3918.4150490000002</v>
      </c>
      <c r="F106" s="744">
        <v>1214.5052049999999</v>
      </c>
      <c r="G106" s="744"/>
      <c r="H106" s="744">
        <v>11191.715326</v>
      </c>
      <c r="I106" s="744">
        <v>0</v>
      </c>
      <c r="J106" s="744">
        <f t="shared" si="61"/>
        <v>0</v>
      </c>
      <c r="K106" s="744">
        <v>0</v>
      </c>
      <c r="L106" s="744">
        <v>0</v>
      </c>
      <c r="M106" s="744">
        <v>0</v>
      </c>
      <c r="N106" s="744">
        <v>0</v>
      </c>
      <c r="O106" s="744">
        <v>0</v>
      </c>
      <c r="P106" s="744">
        <v>0</v>
      </c>
      <c r="Q106" s="744">
        <v>0</v>
      </c>
      <c r="R106" s="757" t="s">
        <v>228</v>
      </c>
      <c r="S106" s="766"/>
      <c r="T106" s="776"/>
      <c r="AZ106" s="928">
        <f>BC106</f>
        <v>0</v>
      </c>
      <c r="BA106" s="727">
        <f>SUMIFS('전사합(개별)'!V:V,'전사합(개별)'!B:B,'12. 추정 IS'!C106)</f>
        <v>6482324.6340000005</v>
      </c>
      <c r="BB106" s="928">
        <f>SUMIFS(SI본사부담!$V:$V,SI본사부담!$B:$B,'12. 추정 IS'!$C106)</f>
        <v>0</v>
      </c>
      <c r="BC106" s="928">
        <f>SUMIFS(기타조정!$V:$V,기타조정!$B:$B,'12. 추정 IS'!$C106)</f>
        <v>0</v>
      </c>
      <c r="BD106" s="727">
        <f>SUMIFS(홈쇼핑!V:V,홈쇼핑!B:B,'12. 추정 IS'!C106)</f>
        <v>0</v>
      </c>
      <c r="BE106" s="727">
        <f>AZ106-BD106</f>
        <v>0</v>
      </c>
      <c r="BL106" s="735"/>
    </row>
    <row r="107" spans="2:64" ht="16.5" customHeight="1" x14ac:dyDescent="0.3">
      <c r="B107" s="1165" t="s">
        <v>57</v>
      </c>
      <c r="C107" s="1166"/>
      <c r="D107" s="812">
        <f>D84+D87-D92+D97-D101+D104</f>
        <v>157222.97582300127</v>
      </c>
      <c r="E107" s="812">
        <f t="shared" ref="E107:Q107" si="66">E84+E87-E92+E97-E101+E104</f>
        <v>258572.67216800037</v>
      </c>
      <c r="F107" s="812">
        <f>F84+F87-F92+F97-F101+F104</f>
        <v>755796.11871799978</v>
      </c>
      <c r="G107" s="812">
        <f t="shared" si="66"/>
        <v>-53572.924035000236</v>
      </c>
      <c r="H107" s="812">
        <f t="shared" si="66"/>
        <v>-65766.464484997792</v>
      </c>
      <c r="I107" s="812">
        <f t="shared" si="66"/>
        <v>-170334.97499899825</v>
      </c>
      <c r="J107" s="812">
        <f t="shared" si="66"/>
        <v>-1781</v>
      </c>
      <c r="K107" s="812">
        <f t="shared" si="66"/>
        <v>83887.203068111761</v>
      </c>
      <c r="L107" s="812">
        <f t="shared" si="66"/>
        <v>122751.08863072789</v>
      </c>
      <c r="M107" s="812">
        <f t="shared" si="66"/>
        <v>127185.41297177327</v>
      </c>
      <c r="N107" s="812">
        <f t="shared" si="66"/>
        <v>131226.41193681076</v>
      </c>
      <c r="O107" s="812">
        <f t="shared" si="66"/>
        <v>149211.98720257642</v>
      </c>
      <c r="P107" s="812">
        <f t="shared" si="66"/>
        <v>158348.823766799</v>
      </c>
      <c r="Q107" s="812">
        <f t="shared" si="66"/>
        <v>170204.62251329329</v>
      </c>
      <c r="R107" s="757"/>
      <c r="S107" s="766"/>
      <c r="T107" s="776"/>
      <c r="AZ107" s="929">
        <f>AZ84+AZ87-AZ92+AZ97-AZ101+AZ104</f>
        <v>104921587.99900037</v>
      </c>
      <c r="BA107" s="727">
        <f>SUMIFS('전사합(개별)'!V:V,'전사합(개별)'!A:A,'12. 추정 IS'!B107)</f>
        <v>102887342.70700037</v>
      </c>
      <c r="BB107" s="928">
        <f>SUMIFS(SI본사부담!$V:$V,SI본사부담!$A:$A,'12. 추정 IS'!$B107)</f>
        <v>-438236.92700000008</v>
      </c>
      <c r="BC107" s="928">
        <f>BC104</f>
        <v>9179981.3420000002</v>
      </c>
      <c r="BD107" s="727">
        <f>SUMIFS(홈쇼핑!V:V,홈쇼핑!A:A,'12. 추정 IS'!B107)</f>
        <v>106703135.42499986</v>
      </c>
      <c r="BE107" s="727">
        <f t="shared" si="58"/>
        <v>-1781547.4259994924</v>
      </c>
      <c r="BF107" s="727" t="b">
        <f>AZ107=AZ84+AZ87-AZ92+AZ97-AZ101+AZ104</f>
        <v>1</v>
      </c>
      <c r="BG107" s="727" t="b">
        <f>BA107=BA84+BA87-BA92+BA97-BA101+BA104</f>
        <v>1</v>
      </c>
      <c r="BH107" s="727" t="b">
        <f>BD107=BD84+BD87-BD92+BD97-BD101+BD104</f>
        <v>1</v>
      </c>
      <c r="BI107" s="727">
        <f>BE107-(BE84+BE87-BE92+BE97-BE101+BE104)</f>
        <v>-2.2351741790771484E-8</v>
      </c>
      <c r="BL107" s="735"/>
    </row>
    <row r="108" spans="2:64" ht="16.5" customHeight="1" x14ac:dyDescent="0.3">
      <c r="B108" s="745" t="s">
        <v>85</v>
      </c>
      <c r="C108" s="751"/>
      <c r="D108" s="744">
        <v>42939.291668999998</v>
      </c>
      <c r="E108" s="744">
        <v>75662.99989799998</v>
      </c>
      <c r="F108" s="744">
        <v>53530.275034999999</v>
      </c>
      <c r="G108" s="744">
        <v>4550.9993780000004</v>
      </c>
      <c r="H108" s="744">
        <v>17289.079564000007</v>
      </c>
      <c r="I108" s="820">
        <v>-12003.278222000001</v>
      </c>
      <c r="J108" s="820">
        <f t="shared" si="61"/>
        <v>-3844</v>
      </c>
      <c r="K108" s="820">
        <f t="shared" ref="K108:Q108" si="67">K107*$C$124</f>
        <v>20300.703142483049</v>
      </c>
      <c r="L108" s="820">
        <f t="shared" si="67"/>
        <v>29705.763448636149</v>
      </c>
      <c r="M108" s="820">
        <f t="shared" si="67"/>
        <v>30778.869939169133</v>
      </c>
      <c r="N108" s="820">
        <f t="shared" si="67"/>
        <v>31756.791688708206</v>
      </c>
      <c r="O108" s="820">
        <f t="shared" si="67"/>
        <v>36109.300903023497</v>
      </c>
      <c r="P108" s="820">
        <f t="shared" si="67"/>
        <v>38320.41535156536</v>
      </c>
      <c r="Q108" s="820">
        <f t="shared" si="67"/>
        <v>41189.518648216981</v>
      </c>
      <c r="R108" s="757" t="s">
        <v>826</v>
      </c>
      <c r="S108" s="766"/>
      <c r="T108" s="776"/>
      <c r="AZ108" s="928">
        <f t="shared" si="56"/>
        <v>20804795.277999997</v>
      </c>
      <c r="BA108" s="727">
        <f>SUMIFS('전사합(개별)'!V:V,'전사합(개별)'!B:B,'12. 추정 IS'!B108)</f>
        <v>20804795.277999997</v>
      </c>
      <c r="BB108" s="928">
        <f>SUMIFS(SI본사부담!$V:$V,SI본사부담!$B:$B,'12. 추정 IS'!$B108)</f>
        <v>0</v>
      </c>
      <c r="BC108" s="928"/>
      <c r="BD108" s="727">
        <f>SUMIFS(홈쇼핑!V:V,홈쇼핑!B:B,'12. 추정 IS'!B108)</f>
        <v>24648424.283</v>
      </c>
      <c r="BE108" s="727">
        <f t="shared" si="58"/>
        <v>-3843629.0050000027</v>
      </c>
      <c r="BL108" s="735"/>
    </row>
    <row r="109" spans="2:64" ht="16.5" customHeight="1" x14ac:dyDescent="0.3">
      <c r="B109" s="745" t="s">
        <v>418</v>
      </c>
      <c r="C109" s="751"/>
      <c r="D109" s="744">
        <f t="shared" ref="D109:M109" si="68">D107-D108</f>
        <v>114283.68415400127</v>
      </c>
      <c r="E109" s="744">
        <f t="shared" si="68"/>
        <v>182909.67227000039</v>
      </c>
      <c r="F109" s="744">
        <f t="shared" si="68"/>
        <v>702265.84368299972</v>
      </c>
      <c r="G109" s="744">
        <f t="shared" si="68"/>
        <v>-58123.923413000237</v>
      </c>
      <c r="H109" s="744">
        <f>H107-H108</f>
        <v>-83055.544048997806</v>
      </c>
      <c r="I109" s="744">
        <f t="shared" si="68"/>
        <v>-158331.69677699826</v>
      </c>
      <c r="J109" s="744">
        <f t="shared" si="68"/>
        <v>2063</v>
      </c>
      <c r="K109" s="744">
        <f t="shared" si="68"/>
        <v>63586.499925628712</v>
      </c>
      <c r="L109" s="744">
        <f t="shared" si="68"/>
        <v>93045.325182091736</v>
      </c>
      <c r="M109" s="744">
        <f t="shared" si="68"/>
        <v>96406.543032604139</v>
      </c>
      <c r="N109" s="744">
        <f>N107-N108</f>
        <v>99469.620248102554</v>
      </c>
      <c r="O109" s="744">
        <f>O107-O108</f>
        <v>113102.68629955292</v>
      </c>
      <c r="P109" s="744">
        <f>P107-P108</f>
        <v>120028.40841523364</v>
      </c>
      <c r="Q109" s="744">
        <f>Q107-Q108</f>
        <v>129015.10386507631</v>
      </c>
      <c r="R109" s="757"/>
      <c r="S109" s="766"/>
      <c r="T109" s="776"/>
      <c r="AZ109" s="929">
        <f>AZ107-AZ108</f>
        <v>84116792.721000373</v>
      </c>
      <c r="BA109" s="727">
        <f>SUMIFS('전사합(개별)'!V:V,'전사합(개별)'!B:B,'12. 추정 IS'!B109)</f>
        <v>82082547.429000378</v>
      </c>
      <c r="BB109" s="928">
        <f>SUMIFS(SI본사부담!$V:$V,SI본사부담!$B:$B,'12. 추정 IS'!$B109)</f>
        <v>-438236.92700000008</v>
      </c>
      <c r="BC109" s="928">
        <f>BC107</f>
        <v>9179981.3420000002</v>
      </c>
      <c r="BD109" s="727">
        <f>SUMIFS(홈쇼핑!V:V,홈쇼핑!B:B,'12. 추정 IS'!B109)</f>
        <v>82054711.141999871</v>
      </c>
      <c r="BE109" s="727">
        <f t="shared" si="58"/>
        <v>2062081.5790005028</v>
      </c>
      <c r="BL109" s="735"/>
    </row>
    <row r="110" spans="2:64" ht="16.5" customHeight="1" x14ac:dyDescent="0.3">
      <c r="B110" s="745" t="s">
        <v>419</v>
      </c>
      <c r="C110" s="751"/>
      <c r="D110" s="820"/>
      <c r="E110" s="820"/>
      <c r="F110" s="820"/>
      <c r="G110" s="820">
        <v>-8798.2039980000009</v>
      </c>
      <c r="H110" s="820">
        <v>-59578.680243000003</v>
      </c>
      <c r="I110" s="744"/>
      <c r="J110" s="744">
        <f t="shared" si="61"/>
        <v>0</v>
      </c>
      <c r="K110" s="744"/>
      <c r="L110" s="744"/>
      <c r="M110" s="744"/>
      <c r="N110" s="744"/>
      <c r="O110" s="744"/>
      <c r="P110" s="744"/>
      <c r="Q110" s="744"/>
      <c r="R110" s="757" t="s">
        <v>423</v>
      </c>
      <c r="S110" s="766"/>
      <c r="T110" s="776"/>
      <c r="AZ110" s="928">
        <f t="shared" si="56"/>
        <v>0</v>
      </c>
      <c r="BA110" s="727">
        <f>SUMIFS('전사합(개별)'!V:V,'전사합(개별)'!B:B,'12. 추정 IS'!B110)</f>
        <v>0</v>
      </c>
      <c r="BB110" s="928">
        <f>SUMIFS(SI본사부담!$V:$V,SI본사부담!$B:$B,'12. 추정 IS'!$B110)</f>
        <v>0</v>
      </c>
      <c r="BC110" s="928"/>
      <c r="BD110" s="727">
        <f>SUMIFS(홈쇼핑!V:V,홈쇼핑!B:B,'12. 추정 IS'!B110)</f>
        <v>0</v>
      </c>
      <c r="BE110" s="727">
        <f t="shared" si="58"/>
        <v>0</v>
      </c>
      <c r="BL110" s="735"/>
    </row>
    <row r="111" spans="2:64" ht="16.5" customHeight="1" x14ac:dyDescent="0.3">
      <c r="B111" s="1165" t="s">
        <v>211</v>
      </c>
      <c r="C111" s="1166"/>
      <c r="D111" s="812">
        <f t="shared" ref="D111:Q111" si="69">SUM(D109:D110)</f>
        <v>114283.68415400127</v>
      </c>
      <c r="E111" s="812">
        <f t="shared" si="69"/>
        <v>182909.67227000039</v>
      </c>
      <c r="F111" s="812">
        <f t="shared" si="69"/>
        <v>702265.84368299972</v>
      </c>
      <c r="G111" s="812">
        <f t="shared" si="69"/>
        <v>-66922.127411000241</v>
      </c>
      <c r="H111" s="812">
        <f t="shared" si="69"/>
        <v>-142634.22429199782</v>
      </c>
      <c r="I111" s="812">
        <f t="shared" si="69"/>
        <v>-158331.69677699826</v>
      </c>
      <c r="J111" s="812">
        <f t="shared" si="69"/>
        <v>2063</v>
      </c>
      <c r="K111" s="812">
        <f t="shared" si="69"/>
        <v>63586.499925628712</v>
      </c>
      <c r="L111" s="812">
        <f t="shared" si="69"/>
        <v>93045.325182091736</v>
      </c>
      <c r="M111" s="812">
        <f t="shared" si="69"/>
        <v>96406.543032604139</v>
      </c>
      <c r="N111" s="812">
        <f t="shared" si="69"/>
        <v>99469.620248102554</v>
      </c>
      <c r="O111" s="812">
        <f t="shared" si="69"/>
        <v>113102.68629955292</v>
      </c>
      <c r="P111" s="812">
        <f t="shared" si="69"/>
        <v>120028.40841523364</v>
      </c>
      <c r="Q111" s="812">
        <f t="shared" si="69"/>
        <v>129015.10386507631</v>
      </c>
      <c r="R111" s="757"/>
      <c r="S111" s="766"/>
      <c r="T111" s="776"/>
      <c r="AZ111" s="929">
        <f>AZ109</f>
        <v>84116792.721000373</v>
      </c>
      <c r="BA111" s="727">
        <f>SUMIFS('전사합(개별)'!V:V,'전사합(개별)'!A:A,'12. 추정 IS'!B111)</f>
        <v>82082547.429000378</v>
      </c>
      <c r="BB111" s="928">
        <f>SUMIFS(SI본사부담!$V:$V,SI본사부담!$A:$A,'12. 추정 IS'!$B111)</f>
        <v>-438236.92700000008</v>
      </c>
      <c r="BC111" s="928">
        <f>BC109</f>
        <v>9179981.3420000002</v>
      </c>
      <c r="BD111" s="727">
        <f>SUMIFS(홈쇼핑!V:V,홈쇼핑!A:A,'12. 추정 IS'!B111)</f>
        <v>82054711.141999871</v>
      </c>
      <c r="BE111" s="727">
        <f t="shared" si="58"/>
        <v>2062081.5790005028</v>
      </c>
      <c r="BF111" s="727" t="b">
        <f>AZ111=SUM(AZ109:AZ110)</f>
        <v>1</v>
      </c>
      <c r="BG111" s="727" t="b">
        <f>BA111=SUM(BA109:BA110)</f>
        <v>1</v>
      </c>
      <c r="BH111" s="727" t="b">
        <f>BD111=SUM(BD109:BD110)</f>
        <v>1</v>
      </c>
      <c r="BI111" s="727" t="b">
        <f>BE111=SUM(BE109:BE110)</f>
        <v>1</v>
      </c>
      <c r="BL111" s="735"/>
    </row>
    <row r="112" spans="2:64" ht="16.5" customHeight="1" x14ac:dyDescent="0.3">
      <c r="B112" s="735"/>
      <c r="C112" s="735"/>
      <c r="D112" s="735"/>
      <c r="E112" s="735"/>
      <c r="F112" s="735"/>
      <c r="G112" s="735"/>
      <c r="H112" s="735"/>
      <c r="I112" s="735"/>
      <c r="J112" s="735"/>
      <c r="K112" s="735"/>
      <c r="L112" s="735"/>
      <c r="M112" s="735"/>
      <c r="N112" s="735"/>
      <c r="O112" s="735"/>
      <c r="P112" s="735"/>
      <c r="Q112" s="735"/>
      <c r="R112" s="735"/>
      <c r="S112" s="735"/>
      <c r="T112" s="735"/>
      <c r="U112" s="735"/>
      <c r="V112" s="735"/>
      <c r="W112" s="735"/>
      <c r="X112" s="735"/>
      <c r="Y112" s="735"/>
      <c r="Z112" s="735"/>
      <c r="AA112" s="735"/>
      <c r="AB112" s="735"/>
      <c r="AC112" s="735"/>
      <c r="AD112" s="735"/>
      <c r="AE112" s="735"/>
      <c r="AF112" s="735"/>
      <c r="AG112" s="735"/>
      <c r="AH112" s="735"/>
      <c r="AI112" s="735"/>
      <c r="AJ112" s="735"/>
      <c r="AK112" s="735"/>
      <c r="AL112" s="735"/>
      <c r="AM112" s="735"/>
      <c r="AN112" s="735"/>
      <c r="AO112" s="735"/>
      <c r="AP112" s="735"/>
      <c r="AQ112" s="735"/>
      <c r="AR112" s="735"/>
      <c r="AS112" s="735"/>
      <c r="AT112" s="735"/>
      <c r="AU112" s="735"/>
      <c r="AV112" s="735"/>
      <c r="AW112" s="735"/>
      <c r="AX112" s="735"/>
      <c r="AY112" s="735"/>
      <c r="AZ112" s="735"/>
      <c r="BA112" s="735"/>
      <c r="BB112" s="735"/>
      <c r="BC112" s="735"/>
    </row>
    <row r="113" spans="1:56" ht="16.5" customHeight="1" x14ac:dyDescent="0.3">
      <c r="B113" s="727" t="s">
        <v>884</v>
      </c>
    </row>
    <row r="114" spans="1:56" ht="16.5" customHeight="1" x14ac:dyDescent="0.3">
      <c r="B114" s="727" t="s">
        <v>876</v>
      </c>
    </row>
    <row r="115" spans="1:56" ht="16.5" hidden="1" customHeight="1" outlineLevel="1" x14ac:dyDescent="0.3">
      <c r="A115" s="728"/>
      <c r="B115" s="725"/>
      <c r="C115" s="725"/>
      <c r="D115" s="725">
        <f t="shared" ref="D115:Q115" si="70">D19-D30-D40</f>
        <v>0</v>
      </c>
      <c r="E115" s="725">
        <f t="shared" si="70"/>
        <v>0</v>
      </c>
      <c r="F115" s="725">
        <f t="shared" si="70"/>
        <v>0</v>
      </c>
      <c r="G115" s="725">
        <f t="shared" si="70"/>
        <v>0</v>
      </c>
      <c r="H115" s="725">
        <f t="shared" si="70"/>
        <v>0</v>
      </c>
      <c r="I115" s="725">
        <f t="shared" si="70"/>
        <v>0</v>
      </c>
      <c r="J115" s="725">
        <f t="shared" si="70"/>
        <v>0</v>
      </c>
      <c r="K115" s="725">
        <f t="shared" si="70"/>
        <v>0</v>
      </c>
      <c r="L115" s="725">
        <f t="shared" si="70"/>
        <v>0</v>
      </c>
      <c r="M115" s="725">
        <f t="shared" si="70"/>
        <v>0</v>
      </c>
      <c r="N115" s="725">
        <f t="shared" si="70"/>
        <v>0</v>
      </c>
      <c r="O115" s="725">
        <f t="shared" si="70"/>
        <v>0</v>
      </c>
      <c r="P115" s="725">
        <f t="shared" si="70"/>
        <v>0</v>
      </c>
      <c r="Q115" s="725">
        <f t="shared" si="70"/>
        <v>0</v>
      </c>
      <c r="R115" s="725"/>
      <c r="S115" s="875"/>
      <c r="T115" s="875"/>
      <c r="BD115" s="727">
        <v>105339.40541162934</v>
      </c>
    </row>
    <row r="116" spans="1:56" ht="16.5" hidden="1" customHeight="1" outlineLevel="1" x14ac:dyDescent="0.3">
      <c r="A116" s="728"/>
      <c r="BD116" s="727">
        <v>24648.424283</v>
      </c>
    </row>
    <row r="117" spans="1:56" ht="16.5" hidden="1" customHeight="1" outlineLevel="1" x14ac:dyDescent="0.3">
      <c r="A117" s="728"/>
      <c r="D117" s="876">
        <f t="shared" ref="D117:M117" si="71">D108/D107</f>
        <v>0.27311079340808475</v>
      </c>
      <c r="E117" s="876">
        <f t="shared" si="71"/>
        <v>0.29261792927923974</v>
      </c>
      <c r="F117" s="876">
        <f t="shared" si="71"/>
        <v>7.0826342857911714E-2</v>
      </c>
      <c r="G117" s="876">
        <f t="shared" si="71"/>
        <v>-8.4949616993590715E-2</v>
      </c>
      <c r="H117" s="876">
        <f t="shared" si="71"/>
        <v>-0.26288595106011631</v>
      </c>
      <c r="I117" s="876">
        <f t="shared" si="71"/>
        <v>7.0468664594987573E-2</v>
      </c>
      <c r="J117" s="876">
        <f t="shared" si="71"/>
        <v>2.158338012352611</v>
      </c>
      <c r="K117" s="876">
        <f t="shared" si="71"/>
        <v>0.24200000000000005</v>
      </c>
      <c r="L117" s="876">
        <f t="shared" si="71"/>
        <v>0.24200000000000002</v>
      </c>
      <c r="M117" s="876">
        <f t="shared" si="71"/>
        <v>0.24200000000000002</v>
      </c>
      <c r="N117" s="876"/>
      <c r="O117" s="876"/>
      <c r="P117" s="876"/>
      <c r="Q117" s="876"/>
      <c r="BD117" s="727">
        <v>0.23399053931131117</v>
      </c>
    </row>
    <row r="118" spans="1:56" ht="16.5" hidden="1" customHeight="1" outlineLevel="1" x14ac:dyDescent="0.3">
      <c r="A118" s="728"/>
      <c r="D118" s="805"/>
      <c r="E118" s="805"/>
      <c r="F118" s="805"/>
      <c r="G118" s="805"/>
      <c r="H118" s="805"/>
      <c r="I118" s="877">
        <v>-290798.32600807655</v>
      </c>
      <c r="J118" s="877">
        <v>-69381.002296229912</v>
      </c>
      <c r="K118" s="877">
        <v>-89876.754379377962</v>
      </c>
      <c r="L118" s="877">
        <v>-84971.979218741515</v>
      </c>
      <c r="M118" s="877">
        <v>-106167.35998053293</v>
      </c>
      <c r="N118" s="877"/>
      <c r="O118" s="877"/>
      <c r="P118" s="877"/>
      <c r="Q118" s="877"/>
      <c r="BD118" s="727">
        <v>80690.981128629341</v>
      </c>
    </row>
    <row r="119" spans="1:56" ht="16.5" hidden="1" customHeight="1" outlineLevel="1" x14ac:dyDescent="0.3">
      <c r="A119" s="728"/>
      <c r="B119" s="828" t="s">
        <v>836</v>
      </c>
      <c r="C119" s="828"/>
      <c r="D119" s="802"/>
    </row>
    <row r="120" spans="1:56" ht="16.5" hidden="1" customHeight="1" outlineLevel="1" x14ac:dyDescent="0.3">
      <c r="A120" s="728"/>
      <c r="B120" s="802"/>
      <c r="C120" s="802"/>
      <c r="D120" s="802"/>
    </row>
    <row r="121" spans="1:56" ht="16.5" hidden="1" customHeight="1" outlineLevel="1" x14ac:dyDescent="0.3">
      <c r="A121" s="728"/>
      <c r="B121" s="706" t="s">
        <v>662</v>
      </c>
      <c r="C121" s="706" t="s">
        <v>663</v>
      </c>
      <c r="D121" s="706" t="s">
        <v>664</v>
      </c>
    </row>
    <row r="122" spans="1:56" ht="16.5" hidden="1" customHeight="1" outlineLevel="1" x14ac:dyDescent="0.3">
      <c r="A122" s="728"/>
      <c r="B122" s="840">
        <v>200</v>
      </c>
      <c r="C122" s="841">
        <f>'9. 추정 IS'!C160</f>
        <v>0.11000000000000001</v>
      </c>
      <c r="D122" s="842">
        <f>B122*C122</f>
        <v>22.000000000000004</v>
      </c>
    </row>
    <row r="123" spans="1:56" ht="16.5" hidden="1" customHeight="1" outlineLevel="1" x14ac:dyDescent="0.3">
      <c r="A123" s="728"/>
      <c r="B123" s="840">
        <v>20000</v>
      </c>
      <c r="C123" s="841">
        <f>'9. 추정 IS'!C161</f>
        <v>0.22000000000000003</v>
      </c>
      <c r="D123" s="842">
        <f>(B123-B122)*C123+D122</f>
        <v>4378.0000000000009</v>
      </c>
      <c r="L123" s="727">
        <v>119351.9388285489</v>
      </c>
      <c r="M123" s="727">
        <v>121842.14190385978</v>
      </c>
      <c r="N123" s="727">
        <v>124487.00559423286</v>
      </c>
      <c r="O123" s="727">
        <v>127224.19959213704</v>
      </c>
      <c r="P123" s="727">
        <v>130340.97815844975</v>
      </c>
      <c r="Q123" s="727">
        <v>133627.58430907156</v>
      </c>
    </row>
    <row r="124" spans="1:56" ht="16.5" hidden="1" customHeight="1" outlineLevel="1" x14ac:dyDescent="0.3">
      <c r="A124" s="728"/>
      <c r="B124" s="840">
        <v>300000</v>
      </c>
      <c r="C124" s="841">
        <f>'9. 추정 IS'!C162</f>
        <v>0.24200000000000002</v>
      </c>
      <c r="D124" s="842">
        <f>(B124-B123)*C124+D123</f>
        <v>72138</v>
      </c>
      <c r="L124" s="727">
        <v>20947.281509098801</v>
      </c>
      <c r="M124" s="727">
        <v>21333.066983341825</v>
      </c>
      <c r="N124" s="727">
        <v>22260.591634791468</v>
      </c>
      <c r="O124" s="727">
        <v>23188.116286241111</v>
      </c>
      <c r="P124" s="727">
        <v>24115.640937690758</v>
      </c>
      <c r="Q124" s="727">
        <v>24733.990705323853</v>
      </c>
    </row>
    <row r="125" spans="1:56" ht="16.5" hidden="1" customHeight="1" outlineLevel="1" x14ac:dyDescent="0.3">
      <c r="A125" s="728"/>
      <c r="B125" s="840"/>
      <c r="C125" s="841">
        <f>'9. 추정 IS'!C163</f>
        <v>0.26400000000000001</v>
      </c>
      <c r="D125" s="842"/>
      <c r="L125" s="727">
        <v>38431.027356151397</v>
      </c>
      <c r="M125" s="727">
        <v>37923.961092503901</v>
      </c>
      <c r="N125" s="727">
        <v>37397.483032282529</v>
      </c>
      <c r="O125" s="727">
        <v>36891.181421970643</v>
      </c>
      <c r="P125" s="727">
        <v>36385.387050609424</v>
      </c>
      <c r="Q125" s="727">
        <v>35889.657328959329</v>
      </c>
    </row>
    <row r="126" spans="1:56" ht="16.5" hidden="1" customHeight="1" outlineLevel="1" x14ac:dyDescent="0.3">
      <c r="A126" s="728"/>
      <c r="L126" s="755">
        <v>8.0000000000000002E-3</v>
      </c>
      <c r="M126" s="755">
        <v>7.0000000000000001E-3</v>
      </c>
      <c r="N126" s="755">
        <v>3.0000000000000001E-3</v>
      </c>
      <c r="O126" s="755">
        <v>-1E-3</v>
      </c>
      <c r="P126" s="755">
        <v>-5.0000000000000001E-3</v>
      </c>
      <c r="Q126" s="755">
        <v>-6.0000000000000001E-3</v>
      </c>
    </row>
    <row r="127" spans="1:56" ht="16.5" hidden="1" customHeight="1" outlineLevel="1" x14ac:dyDescent="0.3">
      <c r="A127" s="728"/>
      <c r="J127" s="727" t="s">
        <v>363</v>
      </c>
      <c r="K127" s="727" t="s">
        <v>398</v>
      </c>
      <c r="L127" s="727" t="s">
        <v>426</v>
      </c>
      <c r="M127" s="727" t="s">
        <v>427</v>
      </c>
      <c r="N127" s="727" t="s">
        <v>430</v>
      </c>
      <c r="O127" s="727" t="s">
        <v>431</v>
      </c>
      <c r="P127" s="727" t="s">
        <v>432</v>
      </c>
      <c r="Q127" s="727" t="s">
        <v>433</v>
      </c>
      <c r="T127" s="727" t="s">
        <v>8879</v>
      </c>
      <c r="AY127" s="727" t="s">
        <v>8880</v>
      </c>
      <c r="BA127" s="727" t="s">
        <v>8881</v>
      </c>
    </row>
    <row r="128" spans="1:56" ht="16.5" hidden="1" customHeight="1" outlineLevel="1" x14ac:dyDescent="0.3">
      <c r="A128" s="728"/>
      <c r="H128" s="727" t="s">
        <v>810</v>
      </c>
      <c r="T128" s="727">
        <v>17693439760.192459</v>
      </c>
      <c r="AY128" s="727">
        <f>T128/100000</f>
        <v>176934.3976019246</v>
      </c>
    </row>
    <row r="129" spans="1:53" ht="16.5" hidden="1" customHeight="1" outlineLevel="1" x14ac:dyDescent="0.3">
      <c r="A129" s="728"/>
      <c r="H129" s="727" t="s">
        <v>86</v>
      </c>
      <c r="I129" s="727">
        <v>112007.03284840999</v>
      </c>
      <c r="J129" s="727">
        <v>114431.5326779271</v>
      </c>
      <c r="K129" s="727">
        <v>117143.21646862537</v>
      </c>
      <c r="L129" s="727">
        <f t="shared" ref="L129:Q129" si="72">L123*(1+L$126)</f>
        <v>120306.75433917729</v>
      </c>
      <c r="M129" s="727">
        <f t="shared" si="72"/>
        <v>122695.03689718679</v>
      </c>
      <c r="N129" s="727">
        <f t="shared" si="72"/>
        <v>124860.46661101555</v>
      </c>
      <c r="O129" s="727">
        <f t="shared" si="72"/>
        <v>127096.9753925449</v>
      </c>
      <c r="P129" s="727">
        <f t="shared" si="72"/>
        <v>129689.27326765751</v>
      </c>
      <c r="Q129" s="727">
        <f t="shared" si="72"/>
        <v>132825.81880321715</v>
      </c>
      <c r="T129" s="727">
        <v>11714321646.862537</v>
      </c>
      <c r="AY129" s="727">
        <f t="shared" ref="AY129:AY137" si="73">T129/100000</f>
        <v>117143.21646862537</v>
      </c>
      <c r="BA129" s="727">
        <v>116881.735753238</v>
      </c>
    </row>
    <row r="130" spans="1:53" ht="16.5" hidden="1" customHeight="1" outlineLevel="1" x14ac:dyDescent="0.3">
      <c r="A130" s="728"/>
      <c r="H130" s="727" t="s">
        <v>710</v>
      </c>
      <c r="I130" s="727">
        <v>18231.26639194</v>
      </c>
      <c r="J130" s="727">
        <v>20067.535450012765</v>
      </c>
      <c r="K130" s="727">
        <v>21630.249753224511</v>
      </c>
      <c r="L130" s="727">
        <f t="shared" ref="L130:Q131" si="74">L124*(1+L$126)</f>
        <v>21114.859761171592</v>
      </c>
      <c r="M130" s="727">
        <f t="shared" si="74"/>
        <v>21482.398452225214</v>
      </c>
      <c r="N130" s="727">
        <f t="shared" si="74"/>
        <v>22327.37340969584</v>
      </c>
      <c r="O130" s="727">
        <f t="shared" si="74"/>
        <v>23164.92816995487</v>
      </c>
      <c r="P130" s="727">
        <f t="shared" si="74"/>
        <v>23995.062733002305</v>
      </c>
      <c r="Q130" s="727">
        <f t="shared" si="74"/>
        <v>24585.586761091909</v>
      </c>
      <c r="T130" s="727">
        <v>2163024975.3224511</v>
      </c>
      <c r="AY130" s="727">
        <f t="shared" si="73"/>
        <v>21630.249753224511</v>
      </c>
      <c r="BA130" s="727">
        <v>20525.975704356661</v>
      </c>
    </row>
    <row r="131" spans="1:53" ht="16.5" hidden="1" customHeight="1" outlineLevel="1" x14ac:dyDescent="0.3">
      <c r="A131" s="728"/>
      <c r="H131" s="727" t="s">
        <v>711</v>
      </c>
      <c r="I131" s="727">
        <v>40513.742173240003</v>
      </c>
      <c r="J131" s="727">
        <v>39548.507694979293</v>
      </c>
      <c r="K131" s="727">
        <v>37676.337679804405</v>
      </c>
      <c r="L131" s="727">
        <f t="shared" si="74"/>
        <v>38738.475575000608</v>
      </c>
      <c r="M131" s="727">
        <f t="shared" si="74"/>
        <v>38189.428820151428</v>
      </c>
      <c r="N131" s="727">
        <f t="shared" si="74"/>
        <v>37509.675481379374</v>
      </c>
      <c r="O131" s="727">
        <f t="shared" si="74"/>
        <v>36854.290240548675</v>
      </c>
      <c r="P131" s="727">
        <f t="shared" si="74"/>
        <v>36203.460115356378</v>
      </c>
      <c r="Q131" s="727">
        <f t="shared" si="74"/>
        <v>35674.319384985574</v>
      </c>
      <c r="T131" s="727">
        <v>3767633767.9804401</v>
      </c>
      <c r="AY131" s="727">
        <f t="shared" si="73"/>
        <v>37676.337679804405</v>
      </c>
      <c r="BA131" s="727">
        <v>38999.256672089898</v>
      </c>
    </row>
    <row r="132" spans="1:53" ht="16.5" hidden="1" customHeight="1" outlineLevel="1" x14ac:dyDescent="0.3">
      <c r="A132" s="728"/>
      <c r="H132" s="727" t="s">
        <v>837</v>
      </c>
      <c r="I132" s="727">
        <v>6.9647513800000009</v>
      </c>
      <c r="J132" s="727">
        <v>85.356552046982856</v>
      </c>
      <c r="K132" s="727">
        <v>52.300202133091574</v>
      </c>
      <c r="L132" s="727">
        <v>85.356552046982856</v>
      </c>
      <c r="M132" s="727">
        <v>85.356552046982856</v>
      </c>
      <c r="N132" s="727">
        <v>85.356552046982856</v>
      </c>
      <c r="O132" s="727">
        <v>85.356552046982856</v>
      </c>
      <c r="P132" s="727">
        <v>85.356552046982856</v>
      </c>
      <c r="Q132" s="727">
        <v>85.356552046982856</v>
      </c>
      <c r="T132" s="727">
        <f>T128-T129-T130-T131-T133-T134-T135</f>
        <v>5230020.2133091576</v>
      </c>
      <c r="AY132" s="727">
        <f t="shared" si="73"/>
        <v>52.300202133091574</v>
      </c>
      <c r="BA132" s="727">
        <v>85.356552046982856</v>
      </c>
    </row>
    <row r="133" spans="1:53" ht="16.5" hidden="1" customHeight="1" outlineLevel="1" x14ac:dyDescent="0.3">
      <c r="A133" s="728"/>
      <c r="H133" s="727" t="s">
        <v>712</v>
      </c>
      <c r="I133" s="727">
        <v>359.85355870000001</v>
      </c>
      <c r="J133" s="727">
        <v>327.62412105848296</v>
      </c>
      <c r="K133" s="727">
        <v>364.50778104383892</v>
      </c>
      <c r="L133" s="727">
        <v>363.56452372312924</v>
      </c>
      <c r="M133" s="727">
        <v>368.52598387414804</v>
      </c>
      <c r="N133" s="727">
        <v>368.52598387414804</v>
      </c>
      <c r="O133" s="727">
        <v>368.52598387414804</v>
      </c>
      <c r="P133" s="727">
        <v>368.52598387414804</v>
      </c>
      <c r="Q133" s="727">
        <v>368.52598387414804</v>
      </c>
      <c r="T133" s="727">
        <v>36450778.104383893</v>
      </c>
      <c r="AY133" s="727">
        <f t="shared" si="73"/>
        <v>364.50778104383892</v>
      </c>
      <c r="BA133" s="727">
        <v>365.60860890700997</v>
      </c>
    </row>
    <row r="134" spans="1:53" ht="16.5" hidden="1" customHeight="1" outlineLevel="1" x14ac:dyDescent="0.3">
      <c r="A134" s="728"/>
      <c r="H134" s="727" t="s">
        <v>713</v>
      </c>
      <c r="I134" s="727">
        <v>19.965107500000002</v>
      </c>
      <c r="J134" s="727">
        <v>52.309467354953192</v>
      </c>
      <c r="K134" s="727">
        <v>62.492907093374171</v>
      </c>
      <c r="L134" s="727">
        <v>45.821573102075291</v>
      </c>
      <c r="M134" s="727">
        <v>46.738004564116792</v>
      </c>
      <c r="N134" s="727">
        <v>46.738004564116792</v>
      </c>
      <c r="O134" s="727">
        <v>46.738004564116792</v>
      </c>
      <c r="P134" s="727">
        <v>46.738004564116792</v>
      </c>
      <c r="Q134" s="727">
        <v>46.738004564116792</v>
      </c>
      <c r="T134" s="727">
        <v>6249290.709337417</v>
      </c>
      <c r="AY134" s="727">
        <f t="shared" si="73"/>
        <v>62.492907093374171</v>
      </c>
      <c r="BA134" s="727">
        <v>44.9671963710258</v>
      </c>
    </row>
    <row r="135" spans="1:53" ht="16.5" hidden="1" customHeight="1" outlineLevel="1" x14ac:dyDescent="0.3">
      <c r="A135" s="728"/>
      <c r="H135" s="727" t="s">
        <v>714</v>
      </c>
      <c r="I135" s="727">
        <v>129.88803614</v>
      </c>
      <c r="J135" s="727">
        <v>68.432895278577945</v>
      </c>
      <c r="K135" s="727">
        <v>5.2928100000000002</v>
      </c>
      <c r="L135" s="727">
        <v>12.954085920794085</v>
      </c>
      <c r="M135" s="727">
        <v>13.213167639209969</v>
      </c>
      <c r="N135" s="727">
        <v>13.213167639209969</v>
      </c>
      <c r="O135" s="727">
        <v>13.213167639209969</v>
      </c>
      <c r="P135" s="727">
        <v>13.213167639209969</v>
      </c>
      <c r="Q135" s="727">
        <v>13.213167639209969</v>
      </c>
      <c r="T135" s="727">
        <v>529281</v>
      </c>
      <c r="AY135" s="727">
        <f t="shared" si="73"/>
        <v>5.2928100000000002</v>
      </c>
      <c r="BA135" s="727">
        <v>12.712547517952979</v>
      </c>
    </row>
    <row r="136" spans="1:53" ht="16.5" hidden="1" customHeight="1" outlineLevel="1" x14ac:dyDescent="0.3">
      <c r="A136" s="728"/>
      <c r="T136" s="727"/>
    </row>
    <row r="137" spans="1:53" ht="16.5" hidden="1" customHeight="1" outlineLevel="1" x14ac:dyDescent="0.3">
      <c r="A137" s="728"/>
      <c r="H137" s="727" t="s">
        <v>838</v>
      </c>
      <c r="T137" s="727">
        <v>272314232.23349094</v>
      </c>
      <c r="AY137" s="727">
        <f t="shared" si="73"/>
        <v>2723.1423223349093</v>
      </c>
    </row>
    <row r="138" spans="1:53" ht="16.5" hidden="1" customHeight="1" outlineLevel="1" x14ac:dyDescent="0.3">
      <c r="A138" s="728"/>
      <c r="H138" s="727" t="s">
        <v>86</v>
      </c>
      <c r="J138" s="727">
        <v>1843.2070275536653</v>
      </c>
      <c r="K138" s="727">
        <v>1652.9064969901729</v>
      </c>
      <c r="L138" s="727">
        <v>1683.7586399088391</v>
      </c>
      <c r="M138" s="727">
        <v>1657.9681331047227</v>
      </c>
      <c r="N138" s="727">
        <v>1756.2016443383652</v>
      </c>
      <c r="O138" s="727">
        <v>1858.428735129246</v>
      </c>
      <c r="P138" s="727">
        <v>1969.1275974836797</v>
      </c>
      <c r="Q138" s="727">
        <v>2085.5938240812161</v>
      </c>
      <c r="T138" s="727">
        <v>165290649.69901729</v>
      </c>
      <c r="AY138" s="727">
        <f>T138/100000</f>
        <v>1652.9064969901729</v>
      </c>
      <c r="BA138" s="727">
        <v>1765.7919617091297</v>
      </c>
    </row>
    <row r="139" spans="1:53" ht="16.5" hidden="1" customHeight="1" outlineLevel="1" x14ac:dyDescent="0.3">
      <c r="A139" s="728"/>
      <c r="H139" s="727" t="s">
        <v>710</v>
      </c>
      <c r="J139" s="727">
        <v>280.08738165633002</v>
      </c>
      <c r="K139" s="727">
        <v>242.37760524617255</v>
      </c>
      <c r="L139" s="727">
        <v>271.41892585682905</v>
      </c>
      <c r="M139" s="727">
        <v>276.41764031935855</v>
      </c>
      <c r="N139" s="727">
        <v>288.43579859411329</v>
      </c>
      <c r="O139" s="727">
        <v>300.45395686886798</v>
      </c>
      <c r="P139" s="727">
        <v>312.47211514362272</v>
      </c>
      <c r="Q139" s="727">
        <v>320.48422066012586</v>
      </c>
      <c r="T139" s="727">
        <v>24237760.524617255</v>
      </c>
      <c r="AY139" s="727">
        <f>T139/100000</f>
        <v>242.37760524617255</v>
      </c>
      <c r="BA139" s="727">
        <v>265.95996599462984</v>
      </c>
    </row>
    <row r="140" spans="1:53" ht="16.5" hidden="1" customHeight="1" outlineLevel="1" x14ac:dyDescent="0.3">
      <c r="A140" s="728"/>
      <c r="H140" s="727" t="s">
        <v>711</v>
      </c>
      <c r="J140" s="727">
        <v>976.88282912702653</v>
      </c>
      <c r="K140" s="727">
        <v>913.58031398123023</v>
      </c>
      <c r="L140" s="727">
        <v>870.24406147449395</v>
      </c>
      <c r="M140" s="727">
        <v>828.80386807094681</v>
      </c>
      <c r="N140" s="727">
        <v>796.92679622206367</v>
      </c>
      <c r="O140" s="727">
        <v>773.71533613792622</v>
      </c>
      <c r="P140" s="727">
        <v>758.54444719404569</v>
      </c>
      <c r="Q140" s="727">
        <v>751.03410613271762</v>
      </c>
      <c r="T140" s="727">
        <v>91358031.398123026</v>
      </c>
      <c r="AY140" s="727">
        <f>T140/100000</f>
        <v>913.58031398123023</v>
      </c>
      <c r="BA140" s="727">
        <v>922.45870516296361</v>
      </c>
    </row>
    <row r="141" spans="1:53" ht="16.5" hidden="1" customHeight="1" outlineLevel="1" x14ac:dyDescent="0.3">
      <c r="A141" s="728"/>
      <c r="H141" s="727" t="s">
        <v>837</v>
      </c>
      <c r="J141" s="727">
        <v>-7.2245328392838086</v>
      </c>
      <c r="K141" s="727">
        <v>0</v>
      </c>
      <c r="L141" s="727">
        <v>-7.2245328392838086</v>
      </c>
      <c r="M141" s="727">
        <v>-7.2245328392838086</v>
      </c>
      <c r="N141" s="727">
        <v>-7.2245328392838086</v>
      </c>
      <c r="O141" s="727">
        <v>-7.2245328392838086</v>
      </c>
      <c r="P141" s="727">
        <v>-7.2245328392838086</v>
      </c>
      <c r="Q141" s="727">
        <v>-7.2245328392838086</v>
      </c>
      <c r="T141" s="727"/>
      <c r="BA141" s="727">
        <v>-7.2245328392838086</v>
      </c>
    </row>
    <row r="142" spans="1:53" ht="16.5" hidden="1" customHeight="1" outlineLevel="1" x14ac:dyDescent="0.3">
      <c r="A142" s="728"/>
      <c r="H142" s="727" t="s">
        <v>712</v>
      </c>
      <c r="J142" s="727">
        <v>44.567832444422237</v>
      </c>
      <c r="K142" s="727">
        <v>0</v>
      </c>
      <c r="L142" s="727">
        <v>5.9524815213737075</v>
      </c>
      <c r="M142" s="727">
        <v>25.397568258210683</v>
      </c>
      <c r="N142" s="727">
        <v>5.9524815213737075</v>
      </c>
      <c r="O142" s="727">
        <v>5.9524815213737075</v>
      </c>
      <c r="P142" s="727">
        <v>5.9524815213737075</v>
      </c>
      <c r="Q142" s="727">
        <v>5.9524815213737075</v>
      </c>
      <c r="T142" s="727"/>
      <c r="BA142" s="727">
        <v>50.917044953309855</v>
      </c>
    </row>
    <row r="143" spans="1:53" ht="16.5" hidden="1" customHeight="1" outlineLevel="1" x14ac:dyDescent="0.3">
      <c r="A143" s="728"/>
      <c r="H143" s="727" t="s">
        <v>839</v>
      </c>
      <c r="J143" s="727">
        <v>-65.265571984090627</v>
      </c>
      <c r="K143" s="727">
        <v>0</v>
      </c>
      <c r="L143" s="727">
        <v>-64.153588145829033</v>
      </c>
      <c r="M143" s="727">
        <v>-64.330822788962976</v>
      </c>
      <c r="N143" s="727">
        <v>-64.330822788962976</v>
      </c>
      <c r="O143" s="727">
        <v>-64.330822788962976</v>
      </c>
      <c r="P143" s="727">
        <v>-64.330822788962976</v>
      </c>
      <c r="Q143" s="727">
        <v>-64.330822788962976</v>
      </c>
      <c r="T143" s="727"/>
      <c r="BA143" s="727">
        <v>-64.063078005282691</v>
      </c>
    </row>
    <row r="144" spans="1:53" ht="16.5" hidden="1" customHeight="1" outlineLevel="1" x14ac:dyDescent="0.3">
      <c r="A144" s="728"/>
      <c r="H144" s="727" t="s">
        <v>713</v>
      </c>
      <c r="J144" s="727">
        <v>-0.11420173000000186</v>
      </c>
      <c r="K144" s="727">
        <v>0</v>
      </c>
      <c r="L144" s="727">
        <v>0</v>
      </c>
      <c r="M144" s="727">
        <v>0</v>
      </c>
      <c r="N144" s="727">
        <v>0</v>
      </c>
      <c r="O144" s="727">
        <v>0</v>
      </c>
      <c r="P144" s="727">
        <v>0</v>
      </c>
      <c r="Q144" s="727">
        <v>0</v>
      </c>
      <c r="T144" s="727"/>
      <c r="BA144" s="727">
        <v>-9.3132257461547859E-15</v>
      </c>
    </row>
    <row r="145" spans="1:53" ht="16.5" hidden="1" customHeight="1" outlineLevel="1" x14ac:dyDescent="0.3">
      <c r="A145" s="728"/>
      <c r="H145" s="727" t="s">
        <v>714</v>
      </c>
      <c r="J145" s="727">
        <v>-33.42480952019617</v>
      </c>
      <c r="K145" s="727">
        <v>-85.722093882666229</v>
      </c>
      <c r="L145" s="727">
        <v>-63.184239782106864</v>
      </c>
      <c r="M145" s="727">
        <v>-65.614993832971749</v>
      </c>
      <c r="N145" s="727">
        <v>-68.04574788383664</v>
      </c>
      <c r="O145" s="727">
        <v>-70.476501934701531</v>
      </c>
      <c r="P145" s="727">
        <v>-72.907255985566422</v>
      </c>
      <c r="Q145" s="727">
        <v>-75.338010036431314</v>
      </c>
      <c r="T145" s="727">
        <f>T137-T138-T139-T140</f>
        <v>-8572209.388266623</v>
      </c>
      <c r="AY145" s="727">
        <f>T145/100000</f>
        <v>-85.722093882666229</v>
      </c>
      <c r="BA145" s="727">
        <v>-60.75348573124198</v>
      </c>
    </row>
    <row r="146" spans="1:53" ht="16.5" hidden="1" customHeight="1" outlineLevel="1" x14ac:dyDescent="0.3">
      <c r="A146" s="728"/>
      <c r="J146" s="727">
        <f>SUM(J138:J145)</f>
        <v>3038.7159547078736</v>
      </c>
      <c r="K146" s="727">
        <f t="shared" ref="K146:Q146" si="75">SUM(K138:K145)</f>
        <v>2723.1423223349093</v>
      </c>
      <c r="L146" s="727">
        <f t="shared" si="75"/>
        <v>2696.8117479943157</v>
      </c>
      <c r="M146" s="727">
        <f t="shared" si="75"/>
        <v>2651.4168602920204</v>
      </c>
      <c r="N146" s="727">
        <f t="shared" si="75"/>
        <v>2707.9156171638324</v>
      </c>
      <c r="O146" s="727">
        <f t="shared" si="75"/>
        <v>2796.5186520944653</v>
      </c>
      <c r="P146" s="727">
        <f t="shared" si="75"/>
        <v>2901.6340297289084</v>
      </c>
      <c r="Q146" s="727">
        <f t="shared" si="75"/>
        <v>3016.1712667307552</v>
      </c>
      <c r="T146" s="727"/>
      <c r="BA146" s="727">
        <f>SUM(BA138:BA145)</f>
        <v>2873.0865812442248</v>
      </c>
    </row>
    <row r="147" spans="1:53" ht="16.5" hidden="1" customHeight="1" outlineLevel="1" x14ac:dyDescent="0.3">
      <c r="A147" s="728"/>
      <c r="G147" s="727" t="s">
        <v>715</v>
      </c>
      <c r="H147" s="727" t="s">
        <v>840</v>
      </c>
      <c r="J147" s="727">
        <f>J146-J140</f>
        <v>2061.8331255808471</v>
      </c>
      <c r="K147" s="727">
        <f t="shared" ref="K147:Q147" si="76">K146-K140</f>
        <v>1809.5620083536792</v>
      </c>
      <c r="L147" s="727">
        <f t="shared" si="76"/>
        <v>1826.5676865198218</v>
      </c>
      <c r="M147" s="727">
        <f t="shared" si="76"/>
        <v>1822.6129922210735</v>
      </c>
      <c r="N147" s="727">
        <f t="shared" si="76"/>
        <v>1910.9888209417686</v>
      </c>
      <c r="O147" s="727">
        <f t="shared" si="76"/>
        <v>2022.8033159565391</v>
      </c>
      <c r="P147" s="727">
        <f t="shared" si="76"/>
        <v>2143.0895825348625</v>
      </c>
      <c r="Q147" s="727">
        <f t="shared" si="76"/>
        <v>2265.1371605980376</v>
      </c>
      <c r="T147" s="727"/>
      <c r="BA147" s="727">
        <f>BA146-BA140</f>
        <v>1950.6278760812611</v>
      </c>
    </row>
    <row r="148" spans="1:53" ht="16.5" hidden="1" customHeight="1" outlineLevel="1" x14ac:dyDescent="0.3">
      <c r="A148" s="728"/>
      <c r="G148" s="727" t="s">
        <v>715</v>
      </c>
      <c r="H148" s="727" t="s">
        <v>717</v>
      </c>
      <c r="J148" s="727">
        <f>J147*100</f>
        <v>206183.3125580847</v>
      </c>
      <c r="K148" s="727">
        <f t="shared" ref="K148:Q148" si="77">K147*100</f>
        <v>180956.20083536793</v>
      </c>
      <c r="L148" s="727">
        <f t="shared" si="77"/>
        <v>182656.76865198219</v>
      </c>
      <c r="M148" s="727">
        <f t="shared" si="77"/>
        <v>182261.29922210734</v>
      </c>
      <c r="N148" s="727">
        <f t="shared" si="77"/>
        <v>191098.88209417686</v>
      </c>
      <c r="O148" s="727">
        <f t="shared" si="77"/>
        <v>202280.3315956539</v>
      </c>
      <c r="P148" s="727">
        <f t="shared" si="77"/>
        <v>214308.95825348626</v>
      </c>
      <c r="Q148" s="727">
        <f t="shared" si="77"/>
        <v>226513.71605980376</v>
      </c>
      <c r="T148" s="727"/>
    </row>
    <row r="149" spans="1:53" ht="16.5" hidden="1" customHeight="1" outlineLevel="1" x14ac:dyDescent="0.3">
      <c r="A149" s="728"/>
      <c r="G149" s="727" t="s">
        <v>716</v>
      </c>
      <c r="H149" s="727" t="s">
        <v>717</v>
      </c>
      <c r="I149" s="727">
        <f t="shared" ref="I149:Q149" si="78">I84</f>
        <v>145542.36538400175</v>
      </c>
      <c r="J149" s="727">
        <f t="shared" si="78"/>
        <v>196884</v>
      </c>
      <c r="K149" s="727">
        <f t="shared" si="78"/>
        <v>180806.23061642284</v>
      </c>
      <c r="L149" s="727">
        <f t="shared" si="78"/>
        <v>182467.58521686215</v>
      </c>
      <c r="M149" s="727">
        <f t="shared" si="78"/>
        <v>182018.92178671644</v>
      </c>
      <c r="N149" s="727">
        <f t="shared" si="78"/>
        <v>190898.61862547137</v>
      </c>
      <c r="O149" s="727">
        <f t="shared" si="78"/>
        <v>202061.91024606349</v>
      </c>
      <c r="P149" s="727">
        <f t="shared" si="78"/>
        <v>214079.71902382933</v>
      </c>
      <c r="Q149" s="727">
        <f t="shared" si="78"/>
        <v>226288.9641763526</v>
      </c>
      <c r="T149" s="727"/>
    </row>
    <row r="150" spans="1:53" ht="16.5" hidden="1" customHeight="1" outlineLevel="1" x14ac:dyDescent="0.3">
      <c r="A150" s="728"/>
      <c r="G150" s="727" t="s">
        <v>716</v>
      </c>
      <c r="H150" s="727" t="s">
        <v>841</v>
      </c>
      <c r="I150" s="727" t="s">
        <v>842</v>
      </c>
      <c r="J150" s="727">
        <f>'9. 추정 IS'!J83</f>
        <v>93012.618538629264</v>
      </c>
      <c r="K150" s="727">
        <f>'9. 추정 IS'!K83</f>
        <v>91358.031398123479</v>
      </c>
      <c r="L150" s="727">
        <f>'9. 추정 IS'!L83</f>
        <v>87024.406147449394</v>
      </c>
      <c r="M150" s="727">
        <f>'9. 추정 IS'!M83</f>
        <v>82880.386807094677</v>
      </c>
      <c r="N150" s="727">
        <f>'9. 추정 IS'!N83</f>
        <v>79692.679622206371</v>
      </c>
      <c r="O150" s="727">
        <f>'9. 추정 IS'!O83</f>
        <v>77371.533613792621</v>
      </c>
      <c r="P150" s="727">
        <f>'9. 추정 IS'!P83</f>
        <v>75854.444719404564</v>
      </c>
      <c r="Q150" s="727">
        <f>'9. 추정 IS'!Q83</f>
        <v>75103.410613271757</v>
      </c>
      <c r="T150" s="727"/>
    </row>
    <row r="151" spans="1:53" ht="16.5" hidden="1" customHeight="1" outlineLevel="1" x14ac:dyDescent="0.3">
      <c r="A151" s="728"/>
      <c r="T151" s="727"/>
    </row>
    <row r="152" spans="1:53" ht="16.5" hidden="1" customHeight="1" outlineLevel="1" x14ac:dyDescent="0.3">
      <c r="A152" s="728"/>
      <c r="G152" s="727" t="s">
        <v>715</v>
      </c>
      <c r="H152" s="727" t="s">
        <v>843</v>
      </c>
      <c r="I152" s="727">
        <f t="shared" ref="I152:Q152" si="79">I40</f>
        <v>1992630.9899440007</v>
      </c>
      <c r="J152" s="727">
        <f t="shared" si="79"/>
        <v>2054255</v>
      </c>
      <c r="K152" s="727">
        <f t="shared" si="79"/>
        <v>2103193.6654695272</v>
      </c>
      <c r="L152" s="727">
        <f t="shared" si="79"/>
        <v>2118596.4792295843</v>
      </c>
      <c r="M152" s="727">
        <f t="shared" si="79"/>
        <v>2138102.6959596798</v>
      </c>
      <c r="N152" s="727">
        <f t="shared" si="79"/>
        <v>2162392.8078984898</v>
      </c>
      <c r="O152" s="727">
        <f t="shared" si="79"/>
        <v>2201248.7735829223</v>
      </c>
      <c r="P152" s="727">
        <f t="shared" si="79"/>
        <v>2246220.389108358</v>
      </c>
      <c r="Q152" s="727">
        <f t="shared" si="79"/>
        <v>2297152.1334126759</v>
      </c>
      <c r="T152" s="727"/>
    </row>
    <row r="153" spans="1:53" ht="16.5" hidden="1" customHeight="1" outlineLevel="1" x14ac:dyDescent="0.3">
      <c r="A153" s="728"/>
      <c r="G153" s="727" t="s">
        <v>716</v>
      </c>
      <c r="H153" s="727" t="s">
        <v>718</v>
      </c>
      <c r="I153" s="727">
        <f t="shared" ref="I153:Q153" si="80">I41</f>
        <v>1847088.624559999</v>
      </c>
      <c r="J153" s="727">
        <f t="shared" si="80"/>
        <v>1857371</v>
      </c>
      <c r="K153" s="727">
        <f t="shared" si="80"/>
        <v>1922387.4348531044</v>
      </c>
      <c r="L153" s="727">
        <f t="shared" si="80"/>
        <v>1936128.8940127222</v>
      </c>
      <c r="M153" s="727">
        <f t="shared" si="80"/>
        <v>1956083.7741729633</v>
      </c>
      <c r="N153" s="727">
        <f t="shared" si="80"/>
        <v>1971494.1892730184</v>
      </c>
      <c r="O153" s="727">
        <f t="shared" si="80"/>
        <v>1999186.8633368588</v>
      </c>
      <c r="P153" s="727">
        <f t="shared" si="80"/>
        <v>2032140.6700845286</v>
      </c>
      <c r="Q153" s="727">
        <f t="shared" si="80"/>
        <v>2070863.1692363233</v>
      </c>
      <c r="T153" s="727"/>
    </row>
    <row r="154" spans="1:53" ht="16.5" hidden="1" customHeight="1" outlineLevel="1" x14ac:dyDescent="0.3">
      <c r="A154" s="728"/>
      <c r="G154" s="727" t="s">
        <v>715</v>
      </c>
      <c r="H154" s="727" t="s">
        <v>718</v>
      </c>
      <c r="J154" s="727">
        <f>J152-J148</f>
        <v>1848071.6874419153</v>
      </c>
      <c r="K154" s="727">
        <f t="shared" ref="K154:Q154" si="81">K152-K148</f>
        <v>1922237.4646341593</v>
      </c>
      <c r="L154" s="727">
        <f t="shared" si="81"/>
        <v>1935939.710577602</v>
      </c>
      <c r="M154" s="727">
        <f t="shared" si="81"/>
        <v>1955841.3967375725</v>
      </c>
      <c r="N154" s="727">
        <f t="shared" si="81"/>
        <v>1971293.9258043128</v>
      </c>
      <c r="O154" s="727">
        <f t="shared" si="81"/>
        <v>1998968.4419872684</v>
      </c>
      <c r="P154" s="727">
        <f t="shared" si="81"/>
        <v>2031911.4308548716</v>
      </c>
      <c r="Q154" s="727">
        <f t="shared" si="81"/>
        <v>2070638.4173528722</v>
      </c>
      <c r="T154" s="727"/>
    </row>
    <row r="155" spans="1:53" ht="16.5" hidden="1" customHeight="1" outlineLevel="1" x14ac:dyDescent="0.3">
      <c r="A155" s="728"/>
      <c r="G155" s="727" t="s">
        <v>844</v>
      </c>
      <c r="H155" s="727" t="s">
        <v>718</v>
      </c>
      <c r="J155" s="727">
        <f>J154-J153</f>
        <v>-9299.3125580847263</v>
      </c>
      <c r="K155" s="735">
        <f t="shared" ref="K155:Q155" si="82">K154-K153</f>
        <v>-149.97021894506179</v>
      </c>
      <c r="L155" s="735">
        <f t="shared" si="82"/>
        <v>-189.18343512015417</v>
      </c>
      <c r="M155" s="735">
        <f t="shared" si="82"/>
        <v>-242.37743539083749</v>
      </c>
      <c r="N155" s="735">
        <f t="shared" si="82"/>
        <v>-200.26346870558336</v>
      </c>
      <c r="O155" s="735">
        <f t="shared" si="82"/>
        <v>-218.42134959041141</v>
      </c>
      <c r="P155" s="735">
        <f t="shared" si="82"/>
        <v>-229.23922965698875</v>
      </c>
      <c r="Q155" s="735">
        <f t="shared" si="82"/>
        <v>-224.75188345112838</v>
      </c>
      <c r="T155" s="727"/>
    </row>
    <row r="156" spans="1:53" ht="16.5" hidden="1" customHeight="1" outlineLevel="1" x14ac:dyDescent="0.3">
      <c r="A156" s="728"/>
    </row>
    <row r="157" spans="1:53" ht="16.5" hidden="1" customHeight="1" outlineLevel="1" x14ac:dyDescent="0.3">
      <c r="A157" s="728"/>
      <c r="B157" s="727" t="s">
        <v>845</v>
      </c>
    </row>
    <row r="158" spans="1:53" ht="16.5" hidden="1" customHeight="1" outlineLevel="1" x14ac:dyDescent="0.3">
      <c r="A158" s="728"/>
      <c r="B158" s="727" t="s">
        <v>846</v>
      </c>
      <c r="C158" s="755">
        <f>RATE(3,0,-F42,I42)</f>
        <v>6.5514529614598624E-2</v>
      </c>
    </row>
    <row r="159" spans="1:53" ht="16.5" hidden="1" customHeight="1" outlineLevel="1" x14ac:dyDescent="0.3">
      <c r="A159" s="728"/>
      <c r="B159" s="727" t="s">
        <v>719</v>
      </c>
      <c r="C159" s="727" t="s">
        <v>297</v>
      </c>
      <c r="F159" s="755">
        <f t="shared" ref="F159:Q159" si="83">F42/F$14</f>
        <v>3.266739874710621E-2</v>
      </c>
      <c r="G159" s="755">
        <f t="shared" si="83"/>
        <v>3.6500049782436678E-2</v>
      </c>
      <c r="H159" s="755">
        <f t="shared" si="83"/>
        <v>3.3811276571312741E-2</v>
      </c>
      <c r="I159" s="755">
        <f t="shared" si="83"/>
        <v>3.288273111834359E-2</v>
      </c>
      <c r="J159" s="755">
        <f t="shared" si="83"/>
        <v>3.2207699103345762E-2</v>
      </c>
      <c r="K159" s="755">
        <f t="shared" si="83"/>
        <v>3.2967235597691671E-2</v>
      </c>
      <c r="L159" s="755">
        <f t="shared" si="83"/>
        <v>3.2685888606466464E-2</v>
      </c>
      <c r="M159" s="755">
        <f t="shared" si="83"/>
        <v>3.2620274435792976E-2</v>
      </c>
      <c r="N159" s="755">
        <f t="shared" si="83"/>
        <v>3.2757799546691266E-2</v>
      </c>
      <c r="O159" s="755">
        <f t="shared" si="83"/>
        <v>3.2687987529610545E-2</v>
      </c>
      <c r="P159" s="755">
        <f t="shared" si="83"/>
        <v>3.2688687170667849E-2</v>
      </c>
      <c r="Q159" s="755">
        <f t="shared" si="83"/>
        <v>3.2711491415683677E-2</v>
      </c>
    </row>
    <row r="160" spans="1:53" ht="16.5" hidden="1" customHeight="1" outlineLevel="1" x14ac:dyDescent="0.3">
      <c r="A160" s="728"/>
      <c r="B160" s="727" t="s">
        <v>719</v>
      </c>
      <c r="C160" s="727" t="s">
        <v>13</v>
      </c>
      <c r="F160" s="755">
        <f t="shared" ref="F160:Q160" si="84">F43/F$14</f>
        <v>2.3578596514667184E-2</v>
      </c>
      <c r="G160" s="755">
        <f t="shared" si="84"/>
        <v>2.6253307112905976E-2</v>
      </c>
      <c r="H160" s="755">
        <f t="shared" si="84"/>
        <v>2.5388825542284769E-2</v>
      </c>
      <c r="I160" s="755">
        <f t="shared" si="84"/>
        <v>2.4149375228862371E-2</v>
      </c>
      <c r="J160" s="755">
        <f t="shared" si="84"/>
        <v>2.3776117746199553E-2</v>
      </c>
      <c r="K160" s="755">
        <f t="shared" si="84"/>
        <v>2.4438106172477454E-2</v>
      </c>
      <c r="L160" s="755">
        <f t="shared" si="84"/>
        <v>2.412119971586825E-2</v>
      </c>
      <c r="M160" s="755">
        <f t="shared" si="84"/>
        <v>2.4111807878211999E-2</v>
      </c>
      <c r="N160" s="755">
        <f t="shared" si="84"/>
        <v>2.4223704588876901E-2</v>
      </c>
      <c r="O160" s="755">
        <f t="shared" si="84"/>
        <v>2.4152237394295208E-2</v>
      </c>
      <c r="P160" s="755">
        <f t="shared" si="84"/>
        <v>2.4162583287120232E-2</v>
      </c>
      <c r="Q160" s="755">
        <f t="shared" si="84"/>
        <v>2.4179508423429971E-2</v>
      </c>
    </row>
    <row r="161" spans="1:17" ht="16.5" hidden="1" customHeight="1" outlineLevel="1" x14ac:dyDescent="0.3">
      <c r="A161" s="728"/>
      <c r="B161" s="727" t="s">
        <v>719</v>
      </c>
      <c r="C161" s="727" t="s">
        <v>67</v>
      </c>
      <c r="F161" s="755">
        <f t="shared" ref="F161:Q161" si="85">F44/F$14</f>
        <v>2.023276694824945E-3</v>
      </c>
      <c r="G161" s="755">
        <f t="shared" si="85"/>
        <v>2.3523169331606812E-3</v>
      </c>
      <c r="H161" s="755">
        <f t="shared" si="85"/>
        <v>1.8677141501670473E-3</v>
      </c>
      <c r="I161" s="755">
        <f t="shared" si="85"/>
        <v>1.7871790559056582E-3</v>
      </c>
      <c r="J161" s="755">
        <f t="shared" si="85"/>
        <v>2.2985709954310191E-3</v>
      </c>
      <c r="K161" s="755">
        <f t="shared" si="85"/>
        <v>1.9844880671506669E-3</v>
      </c>
      <c r="L161" s="755">
        <f t="shared" si="85"/>
        <v>2.0234127061574763E-3</v>
      </c>
      <c r="M161" s="755">
        <f t="shared" si="85"/>
        <v>2.1021572562132224E-3</v>
      </c>
      <c r="N161" s="755">
        <f t="shared" si="85"/>
        <v>2.0366860098164916E-3</v>
      </c>
      <c r="O161" s="755">
        <f t="shared" si="85"/>
        <v>2.0540853240472953E-3</v>
      </c>
      <c r="P161" s="755">
        <f t="shared" si="85"/>
        <v>2.0643095300103718E-3</v>
      </c>
      <c r="Q161" s="755">
        <f t="shared" si="85"/>
        <v>2.0516936213156524E-3</v>
      </c>
    </row>
    <row r="162" spans="1:17" ht="16.5" hidden="1" customHeight="1" outlineLevel="1" x14ac:dyDescent="0.3">
      <c r="A162" s="728"/>
      <c r="B162" s="727" t="s">
        <v>719</v>
      </c>
      <c r="C162" s="727" t="s">
        <v>68</v>
      </c>
      <c r="F162" s="755">
        <f t="shared" ref="F162:Q162" si="86">F45/F$14</f>
        <v>2.8888176661242856E-3</v>
      </c>
      <c r="G162" s="755">
        <f t="shared" si="86"/>
        <v>2.6520373707220745E-3</v>
      </c>
      <c r="H162" s="755">
        <f t="shared" si="86"/>
        <v>2.005684444507399E-3</v>
      </c>
      <c r="I162" s="755">
        <f t="shared" si="86"/>
        <v>2.2388498339763422E-3</v>
      </c>
      <c r="J162" s="755">
        <f t="shared" si="86"/>
        <v>1.9876983866884811E-3</v>
      </c>
      <c r="K162" s="755">
        <f t="shared" si="86"/>
        <v>2.0774108884023543E-3</v>
      </c>
      <c r="L162" s="755">
        <f t="shared" si="86"/>
        <v>2.1013197029922854E-3</v>
      </c>
      <c r="M162" s="755">
        <f t="shared" si="86"/>
        <v>2.0554763260230663E-3</v>
      </c>
      <c r="N162" s="755">
        <f t="shared" si="86"/>
        <v>2.0780689724850228E-3</v>
      </c>
      <c r="O162" s="755">
        <f t="shared" si="86"/>
        <v>2.0782883338024394E-3</v>
      </c>
      <c r="P162" s="755">
        <f t="shared" si="86"/>
        <v>2.0706112107750341E-3</v>
      </c>
      <c r="Q162" s="755">
        <f t="shared" si="86"/>
        <v>2.0756561723773719E-3</v>
      </c>
    </row>
    <row r="163" spans="1:17" ht="16.5" hidden="1" customHeight="1" outlineLevel="1" x14ac:dyDescent="0.3">
      <c r="A163" s="728"/>
      <c r="B163" s="727" t="s">
        <v>719</v>
      </c>
      <c r="C163" s="727" t="s">
        <v>15</v>
      </c>
      <c r="F163" s="755">
        <f t="shared" ref="F163:Q163" si="87">F46/F$14</f>
        <v>4.1767078714898031E-3</v>
      </c>
      <c r="G163" s="755">
        <f t="shared" si="87"/>
        <v>5.2423883656479431E-3</v>
      </c>
      <c r="H163" s="755">
        <f t="shared" si="87"/>
        <v>4.5490524343535276E-3</v>
      </c>
      <c r="I163" s="755">
        <f t="shared" si="87"/>
        <v>4.7073269995992146E-3</v>
      </c>
      <c r="J163" s="755">
        <f t="shared" si="87"/>
        <v>4.1453119750267118E-3</v>
      </c>
      <c r="K163" s="755">
        <f t="shared" si="87"/>
        <v>4.4672304696611971E-3</v>
      </c>
      <c r="L163" s="755">
        <f t="shared" si="87"/>
        <v>4.4399564814484515E-3</v>
      </c>
      <c r="M163" s="755">
        <f t="shared" si="87"/>
        <v>4.3508329753446867E-3</v>
      </c>
      <c r="N163" s="755">
        <f t="shared" si="87"/>
        <v>4.4193399755128471E-3</v>
      </c>
      <c r="O163" s="755">
        <f t="shared" si="87"/>
        <v>4.4033764774655997E-3</v>
      </c>
      <c r="P163" s="755">
        <f t="shared" si="87"/>
        <v>4.3911831427622099E-3</v>
      </c>
      <c r="Q163" s="755">
        <f t="shared" si="87"/>
        <v>4.4046331985606833E-3</v>
      </c>
    </row>
    <row r="164" spans="1:17" ht="16.5" hidden="1" customHeight="1" outlineLevel="1" x14ac:dyDescent="0.3">
      <c r="A164" s="728"/>
      <c r="F164" s="755"/>
      <c r="G164" s="755"/>
      <c r="H164" s="755"/>
      <c r="I164" s="755"/>
      <c r="J164" s="755"/>
      <c r="K164" s="755"/>
      <c r="L164" s="755"/>
      <c r="M164" s="755"/>
      <c r="N164" s="755"/>
      <c r="O164" s="755"/>
      <c r="P164" s="755"/>
      <c r="Q164" s="755"/>
    </row>
    <row r="165" spans="1:17" ht="16.5" hidden="1" customHeight="1" outlineLevel="1" x14ac:dyDescent="0.3">
      <c r="A165" s="728"/>
      <c r="B165" s="727" t="s">
        <v>847</v>
      </c>
    </row>
    <row r="166" spans="1:17" ht="16.5" hidden="1" customHeight="1" outlineLevel="1" x14ac:dyDescent="0.3">
      <c r="A166" s="728"/>
      <c r="B166" s="727" t="s">
        <v>720</v>
      </c>
      <c r="C166" s="727" t="s">
        <v>297</v>
      </c>
      <c r="J166" s="727">
        <f t="shared" ref="J166:Q166" si="88">SUM(J167:J170)</f>
        <v>466831.87499899999</v>
      </c>
      <c r="K166" s="727">
        <f t="shared" si="88"/>
        <v>459095.32703300007</v>
      </c>
      <c r="L166" s="727">
        <f t="shared" si="88"/>
        <v>463908.56439500005</v>
      </c>
      <c r="M166" s="727">
        <f t="shared" si="88"/>
        <v>471986.89051200001</v>
      </c>
      <c r="N166" s="727">
        <f t="shared" si="88"/>
        <v>483838.182072</v>
      </c>
      <c r="O166" s="727">
        <f t="shared" si="88"/>
        <v>492855.54196700006</v>
      </c>
      <c r="P166" s="727">
        <f t="shared" si="88"/>
        <v>504053.57319000002</v>
      </c>
      <c r="Q166" s="727">
        <f t="shared" si="88"/>
        <v>516597.010878</v>
      </c>
    </row>
    <row r="167" spans="1:17" ht="16.5" hidden="1" customHeight="1" outlineLevel="1" x14ac:dyDescent="0.3">
      <c r="A167" s="728"/>
      <c r="B167" s="727" t="s">
        <v>720</v>
      </c>
      <c r="C167" s="727" t="s">
        <v>13</v>
      </c>
      <c r="J167" s="727">
        <f t="shared" ref="J167:Q170" si="89">ROUND(AVERAGE(G160:I160)*J$14,6)</f>
        <v>342867.53134099999</v>
      </c>
      <c r="K167" s="727">
        <f t="shared" si="89"/>
        <v>340320.32537500001</v>
      </c>
      <c r="L167" s="727">
        <f t="shared" si="89"/>
        <v>342350.525219</v>
      </c>
      <c r="M167" s="727">
        <f t="shared" si="89"/>
        <v>348876.80811699998</v>
      </c>
      <c r="N167" s="727">
        <f t="shared" si="89"/>
        <v>357788.17116899998</v>
      </c>
      <c r="O167" s="727">
        <f t="shared" si="89"/>
        <v>364157.13998600002</v>
      </c>
      <c r="P167" s="727">
        <f t="shared" si="89"/>
        <v>372582.61183100002</v>
      </c>
      <c r="Q167" s="727">
        <f t="shared" si="89"/>
        <v>381855.46532600001</v>
      </c>
    </row>
    <row r="168" spans="1:17" ht="16.5" hidden="1" customHeight="1" outlineLevel="1" x14ac:dyDescent="0.3">
      <c r="A168" s="728"/>
      <c r="B168" s="727" t="s">
        <v>720</v>
      </c>
      <c r="C168" s="727" t="s">
        <v>67</v>
      </c>
      <c r="J168" s="727">
        <f t="shared" si="89"/>
        <v>27175.568453</v>
      </c>
      <c r="K168" s="727">
        <f t="shared" si="89"/>
        <v>27635.595817000001</v>
      </c>
      <c r="L168" s="727">
        <f t="shared" si="89"/>
        <v>28718.157092000001</v>
      </c>
      <c r="M168" s="727">
        <f t="shared" si="89"/>
        <v>30416.380116</v>
      </c>
      <c r="N168" s="727">
        <f t="shared" si="89"/>
        <v>30082.193251000001</v>
      </c>
      <c r="O168" s="727">
        <f t="shared" si="89"/>
        <v>30970.622915</v>
      </c>
      <c r="P168" s="727">
        <f t="shared" si="89"/>
        <v>31831.275124</v>
      </c>
      <c r="Q168" s="727">
        <f t="shared" si="89"/>
        <v>32401.420606</v>
      </c>
    </row>
    <row r="169" spans="1:17" ht="16.5" hidden="1" customHeight="1" outlineLevel="1" x14ac:dyDescent="0.3">
      <c r="A169" s="728"/>
      <c r="B169" s="727" t="s">
        <v>720</v>
      </c>
      <c r="C169" s="727" t="s">
        <v>68</v>
      </c>
      <c r="J169" s="727">
        <f t="shared" si="89"/>
        <v>31198.884440999998</v>
      </c>
      <c r="K169" s="727">
        <f t="shared" si="89"/>
        <v>28929.620997999999</v>
      </c>
      <c r="L169" s="727">
        <f t="shared" si="89"/>
        <v>29823.885729000001</v>
      </c>
      <c r="M169" s="727">
        <f t="shared" si="89"/>
        <v>29740.947812999999</v>
      </c>
      <c r="N169" s="727">
        <f t="shared" si="89"/>
        <v>30693.426535999999</v>
      </c>
      <c r="O169" s="727">
        <f t="shared" si="89"/>
        <v>31335.545579000001</v>
      </c>
      <c r="P169" s="727">
        <f t="shared" si="89"/>
        <v>31928.445887999998</v>
      </c>
      <c r="Q169" s="727">
        <f t="shared" si="89"/>
        <v>32779.849767</v>
      </c>
    </row>
    <row r="170" spans="1:17" ht="16.5" hidden="1" customHeight="1" outlineLevel="1" x14ac:dyDescent="0.3">
      <c r="A170" s="728"/>
      <c r="B170" s="727" t="s">
        <v>720</v>
      </c>
      <c r="C170" s="727" t="s">
        <v>15</v>
      </c>
      <c r="J170" s="727">
        <f t="shared" si="89"/>
        <v>65589.890763999996</v>
      </c>
      <c r="K170" s="727">
        <f t="shared" si="89"/>
        <v>62209.784843000001</v>
      </c>
      <c r="L170" s="727">
        <f t="shared" si="89"/>
        <v>63015.996355000003</v>
      </c>
      <c r="M170" s="727">
        <f t="shared" si="89"/>
        <v>62952.754465999999</v>
      </c>
      <c r="N170" s="727">
        <f t="shared" si="89"/>
        <v>65274.391115999999</v>
      </c>
      <c r="O170" s="727">
        <f t="shared" si="89"/>
        <v>66392.233487000005</v>
      </c>
      <c r="P170" s="727">
        <f t="shared" si="89"/>
        <v>67711.240346999999</v>
      </c>
      <c r="Q170" s="727">
        <f t="shared" si="89"/>
        <v>69560.275179000004</v>
      </c>
    </row>
    <row r="171" spans="1:17" collapsed="1" x14ac:dyDescent="0.3"/>
    <row r="172" spans="1:17" x14ac:dyDescent="0.3">
      <c r="B172" s="878"/>
    </row>
  </sheetData>
  <mergeCells count="15">
    <mergeCell ref="B40:C40"/>
    <mergeCell ref="B41:C41"/>
    <mergeCell ref="B84:C84"/>
    <mergeCell ref="B87:C87"/>
    <mergeCell ref="B111:C111"/>
    <mergeCell ref="B92:C92"/>
    <mergeCell ref="B97:C97"/>
    <mergeCell ref="B101:C101"/>
    <mergeCell ref="B104:C104"/>
    <mergeCell ref="B107:C107"/>
    <mergeCell ref="B1:T1"/>
    <mergeCell ref="B13:C13"/>
    <mergeCell ref="B14:C14"/>
    <mergeCell ref="B19:C19"/>
    <mergeCell ref="B30:C30"/>
  </mergeCells>
  <phoneticPr fontId="2" type="noConversion"/>
  <conditionalFormatting sqref="BF19:BF111">
    <cfRule type="containsText" dxfId="1" priority="1" operator="containsText" text="false">
      <formula>NOT(ISERROR(SEARCH("false",BF19)))</formula>
    </cfRule>
  </conditionalFormatting>
  <conditionalFormatting sqref="BG13:BI111">
    <cfRule type="containsText" dxfId="0" priority="2" operator="containsText" text="false">
      <formula>NOT(ISERROR(SEARCH("false",BG13)))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8C2E-40A4-452F-925C-E25D94914B6A}">
  <sheetPr codeName="Sheet19">
    <tabColor theme="0" tint="-0.499984740745262"/>
  </sheetPr>
  <dimension ref="A1:P15"/>
  <sheetViews>
    <sheetView zoomScale="85" zoomScaleNormal="85" workbookViewId="0">
      <selection sqref="A1:P1"/>
    </sheetView>
  </sheetViews>
  <sheetFormatPr defaultColWidth="9" defaultRowHeight="13.5" outlineLevelCol="1" x14ac:dyDescent="0.3"/>
  <cols>
    <col min="1" max="1" width="16.25" style="62" customWidth="1"/>
    <col min="2" max="3" width="10.625" style="62" hidden="1" customWidth="1" outlineLevel="1"/>
    <col min="4" max="4" width="10.625" style="62" customWidth="1" collapsed="1"/>
    <col min="5" max="15" width="10.625" style="62" customWidth="1"/>
    <col min="16" max="16" width="29.75" style="62" customWidth="1"/>
    <col min="17" max="16384" width="9" style="62"/>
  </cols>
  <sheetData>
    <row r="1" spans="1:16" ht="31.5" x14ac:dyDescent="0.3">
      <c r="A1" s="1150" t="s">
        <v>848</v>
      </c>
      <c r="B1" s="1151"/>
      <c r="C1" s="1151"/>
      <c r="D1" s="1151"/>
      <c r="E1" s="1151"/>
      <c r="F1" s="1151"/>
      <c r="G1" s="1151"/>
      <c r="H1" s="1151"/>
      <c r="I1" s="1151"/>
      <c r="J1" s="1151"/>
      <c r="K1" s="1151"/>
      <c r="L1" s="1151"/>
      <c r="M1" s="1151"/>
      <c r="N1" s="1151"/>
      <c r="O1" s="1151"/>
      <c r="P1" s="1151"/>
    </row>
    <row r="2" spans="1:16" ht="16.5" customHeight="1" x14ac:dyDescent="0.3">
      <c r="B2" s="690"/>
      <c r="C2" s="690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792" t="s">
        <v>429</v>
      </c>
    </row>
    <row r="3" spans="1:16" ht="16.5" customHeight="1" x14ac:dyDescent="0.3">
      <c r="A3" s="724" t="s">
        <v>437</v>
      </c>
      <c r="B3" s="1000">
        <v>2019</v>
      </c>
      <c r="C3" s="1000">
        <v>2020</v>
      </c>
      <c r="D3" s="1000">
        <v>2021</v>
      </c>
      <c r="E3" s="1000">
        <v>2022</v>
      </c>
      <c r="F3" s="1000">
        <v>2023</v>
      </c>
      <c r="G3" s="1000">
        <v>2024</v>
      </c>
      <c r="H3" s="1000">
        <v>2025</v>
      </c>
      <c r="I3" s="1000">
        <v>2026</v>
      </c>
      <c r="J3" s="1000">
        <v>2027</v>
      </c>
      <c r="K3" s="1000">
        <v>2028</v>
      </c>
      <c r="L3" s="1000">
        <v>2029</v>
      </c>
      <c r="M3" s="1000">
        <v>2030</v>
      </c>
      <c r="N3" s="1000">
        <v>2031</v>
      </c>
      <c r="O3" s="1000">
        <v>2032</v>
      </c>
      <c r="P3" s="724" t="s">
        <v>566</v>
      </c>
    </row>
    <row r="4" spans="1:16" ht="16.5" customHeight="1" x14ac:dyDescent="0.3">
      <c r="A4" s="783" t="s">
        <v>849</v>
      </c>
      <c r="B4" s="118"/>
      <c r="C4" s="118">
        <f>B11</f>
        <v>2220820.4472830002</v>
      </c>
      <c r="D4" s="118">
        <f t="shared" ref="D4:O4" si="0">C11</f>
        <v>2120273.5364700002</v>
      </c>
      <c r="E4" s="118">
        <f t="shared" si="0"/>
        <v>2218453.6450490006</v>
      </c>
      <c r="F4" s="118">
        <f t="shared" si="0"/>
        <v>2355792.1402550004</v>
      </c>
      <c r="G4" s="118">
        <f t="shared" si="0"/>
        <v>2549985.7945980011</v>
      </c>
      <c r="H4" s="118">
        <f t="shared" si="0"/>
        <v>2815425.2633940005</v>
      </c>
      <c r="I4" s="118">
        <f t="shared" si="0"/>
        <v>2716563</v>
      </c>
      <c r="J4" s="118">
        <f t="shared" si="0"/>
        <v>2757550.010072167</v>
      </c>
      <c r="K4" s="118">
        <f t="shared" si="0"/>
        <v>2790980.4086393458</v>
      </c>
      <c r="L4" s="118">
        <f t="shared" si="0"/>
        <v>2822743.3601081348</v>
      </c>
      <c r="M4" s="118">
        <f t="shared" si="0"/>
        <v>2874565.2602076093</v>
      </c>
      <c r="N4" s="118">
        <f t="shared" si="0"/>
        <v>2928337.2515297243</v>
      </c>
      <c r="O4" s="118">
        <f t="shared" si="0"/>
        <v>2987446.3793517672</v>
      </c>
      <c r="P4" s="118"/>
    </row>
    <row r="5" spans="1:16" ht="16.5" customHeight="1" x14ac:dyDescent="0.3">
      <c r="A5" s="783" t="s">
        <v>507</v>
      </c>
      <c r="B5" s="118"/>
      <c r="C5" s="118">
        <f>C11-C4+C7+C10</f>
        <v>415086.98468099989</v>
      </c>
      <c r="D5" s="118">
        <f t="shared" ref="D5:O5" si="1">D11-D4+D7+D10+D6</f>
        <v>725185.84818299999</v>
      </c>
      <c r="E5" s="118">
        <f t="shared" si="1"/>
        <v>486731.3635839998</v>
      </c>
      <c r="F5" s="118">
        <f t="shared" si="1"/>
        <v>536919.29430600023</v>
      </c>
      <c r="G5" s="118">
        <f t="shared" si="1"/>
        <v>575009.13931100001</v>
      </c>
      <c r="H5" s="118">
        <f t="shared" si="1"/>
        <v>439012.58836699976</v>
      </c>
      <c r="I5" s="118">
        <f t="shared" si="1"/>
        <v>566361.42583971482</v>
      </c>
      <c r="J5" s="118">
        <f t="shared" si="1"/>
        <v>561137.14164411835</v>
      </c>
      <c r="K5" s="118">
        <f t="shared" si="1"/>
        <v>564304.94102829252</v>
      </c>
      <c r="L5" s="118">
        <f t="shared" si="1"/>
        <v>593462.24942543521</v>
      </c>
      <c r="M5" s="118">
        <f t="shared" si="1"/>
        <v>603436.66485034232</v>
      </c>
      <c r="N5" s="118">
        <f t="shared" si="1"/>
        <v>615261.47581125551</v>
      </c>
      <c r="O5" s="118">
        <f t="shared" si="1"/>
        <v>627692.75587252772</v>
      </c>
      <c r="P5" s="784" t="s">
        <v>850</v>
      </c>
    </row>
    <row r="6" spans="1:16" ht="16.5" customHeight="1" x14ac:dyDescent="0.3">
      <c r="A6" s="783" t="s">
        <v>8924</v>
      </c>
      <c r="B6" s="118"/>
      <c r="C6" s="118"/>
      <c r="D6" s="118">
        <f>'11. 추정 BS'!E58-'11. 추정 BS'!F58</f>
        <v>134799.89396299957</v>
      </c>
      <c r="E6" s="118">
        <f>'11. 추정 BS'!F58-'11. 추정 BS'!G58</f>
        <v>-130853.492447</v>
      </c>
      <c r="F6" s="118">
        <f>'11. 추정 BS'!G58-'11. 추정 BS'!H58</f>
        <v>-138647.17528100044</v>
      </c>
      <c r="G6" s="118">
        <f>'11. 추정 BS'!H58-'11. 추정 BS'!I58</f>
        <v>-238387.56113499939</v>
      </c>
      <c r="H6" s="118">
        <f>'11. 추정 BS'!I58-'11. 추정 BS'!J58</f>
        <v>-28198.148238999769</v>
      </c>
      <c r="I6" s="118">
        <f>'11. 추정 BS'!J58-'11. 추정 BS'!K58</f>
        <v>-36303.231592479628</v>
      </c>
      <c r="J6" s="118">
        <f>'11. 추정 BS'!K58-'11. 추정 BS'!L58</f>
        <v>-37219.57285617874</v>
      </c>
      <c r="K6" s="118">
        <f>'11. 추정 BS'!L58-'11. 추정 BS'!M58</f>
        <v>-38158.046477789059</v>
      </c>
      <c r="L6" s="118">
        <f>'11. 추정 BS'!M58-'11. 추정 BS'!N58</f>
        <v>-40672.425706904382</v>
      </c>
      <c r="M6" s="118">
        <f>'11. 추정 BS'!N58-'11. 추정 BS'!O58</f>
        <v>-42511.022185619455</v>
      </c>
      <c r="N6" s="118">
        <f>'11. 추정 BS'!O58-'11. 추정 BS'!P58</f>
        <v>-47735.548994182143</v>
      </c>
      <c r="O6" s="118">
        <f>'11. 추정 BS'!P58-'11. 추정 BS'!Q58</f>
        <v>-49772.983976144111</v>
      </c>
      <c r="P6" s="784" t="s">
        <v>8923</v>
      </c>
    </row>
    <row r="7" spans="1:16" ht="16.5" customHeight="1" x14ac:dyDescent="0.3">
      <c r="A7" s="783" t="s">
        <v>851</v>
      </c>
      <c r="B7" s="118"/>
      <c r="C7" s="118">
        <f>C9</f>
        <v>19306.331939</v>
      </c>
      <c r="D7" s="118">
        <f t="shared" ref="D7:O7" si="2">D9</f>
        <v>8628.5362480000003</v>
      </c>
      <c r="E7" s="118">
        <f t="shared" si="2"/>
        <v>8579.0016930000002</v>
      </c>
      <c r="F7" s="118">
        <f t="shared" si="2"/>
        <v>8337.5742089999985</v>
      </c>
      <c r="G7" s="118">
        <f t="shared" si="2"/>
        <v>22583.967929000002</v>
      </c>
      <c r="H7" s="118">
        <f t="shared" si="2"/>
        <v>9553</v>
      </c>
      <c r="I7" s="118">
        <f t="shared" si="2"/>
        <v>16920.436030211538</v>
      </c>
      <c r="J7" s="118">
        <f t="shared" si="2"/>
        <v>13566.267556315304</v>
      </c>
      <c r="K7" s="118">
        <f t="shared" si="2"/>
        <v>13066.099688296825</v>
      </c>
      <c r="L7" s="118">
        <f t="shared" si="2"/>
        <v>14446.934424941222</v>
      </c>
      <c r="M7" s="118">
        <f t="shared" si="2"/>
        <v>13693.100556517784</v>
      </c>
      <c r="N7" s="118">
        <f t="shared" si="2"/>
        <v>13735.378223251944</v>
      </c>
      <c r="O7" s="118">
        <f t="shared" si="2"/>
        <v>13958.471068236984</v>
      </c>
      <c r="P7" s="118"/>
    </row>
    <row r="8" spans="1:16" ht="16.5" customHeight="1" x14ac:dyDescent="0.3">
      <c r="A8" s="708" t="s">
        <v>852</v>
      </c>
      <c r="B8" s="118"/>
      <c r="C8" s="118">
        <f>'12. 추정 IS'!Y25</f>
        <v>2071.4127939999998</v>
      </c>
      <c r="D8" s="118">
        <f>'12. 추정 IS'!Z25</f>
        <v>17104.831460000001</v>
      </c>
      <c r="E8" s="118">
        <f>'12. 추정 IS'!AA25</f>
        <v>602.803316</v>
      </c>
      <c r="F8" s="118">
        <f>'12. 추정 IS'!AB25</f>
        <v>2133.0977069999999</v>
      </c>
      <c r="G8" s="118">
        <f>'12. 추정 IS'!AC25</f>
        <v>12202.504114000001</v>
      </c>
      <c r="H8" s="118">
        <f>'12. 추정 IS'!AD25</f>
        <v>6116</v>
      </c>
      <c r="I8" s="118">
        <f>'12. 추정 IS'!AE25</f>
        <v>10550.289764374216</v>
      </c>
      <c r="J8" s="118">
        <f>'12. 추정 IS'!AF25</f>
        <v>27153.573203370284</v>
      </c>
      <c r="K8" s="118">
        <f>'12. 추정 IS'!AG25</f>
        <v>27454.185860945545</v>
      </c>
      <c r="L8" s="118">
        <f>'12. 추정 IS'!AH25</f>
        <v>21719.349609563349</v>
      </c>
      <c r="M8" s="118">
        <f>'12. 추정 IS'!AI25</f>
        <v>25442.369557959726</v>
      </c>
      <c r="N8" s="118">
        <f>'12. 추정 IS'!AJ25</f>
        <v>24871.968342822875</v>
      </c>
      <c r="O8" s="118">
        <f>'12. 추정 IS'!AK25</f>
        <v>24011.229170115319</v>
      </c>
      <c r="P8" s="118"/>
    </row>
    <row r="9" spans="1:16" ht="16.5" customHeight="1" x14ac:dyDescent="0.3">
      <c r="A9" s="708" t="s">
        <v>853</v>
      </c>
      <c r="B9" s="118"/>
      <c r="C9" s="118">
        <f>'12. 추정 IS'!Y29</f>
        <v>19306.331939</v>
      </c>
      <c r="D9" s="118">
        <f>'12. 추정 IS'!Z29</f>
        <v>8628.5362480000003</v>
      </c>
      <c r="E9" s="118">
        <f>'12. 추정 IS'!AA29</f>
        <v>8579.0016930000002</v>
      </c>
      <c r="F9" s="118">
        <f>'12. 추정 IS'!AB29</f>
        <v>8337.5742089999985</v>
      </c>
      <c r="G9" s="118">
        <f>'12. 추정 IS'!AC29</f>
        <v>22583.967929000002</v>
      </c>
      <c r="H9" s="118">
        <f>'12. 추정 IS'!AD29</f>
        <v>9553</v>
      </c>
      <c r="I9" s="118">
        <f>'12. 추정 IS'!AE29</f>
        <v>16920.436030211538</v>
      </c>
      <c r="J9" s="118">
        <f>'12. 추정 IS'!AF29</f>
        <v>13566.267556315304</v>
      </c>
      <c r="K9" s="118">
        <f>'12. 추정 IS'!AG29</f>
        <v>13066.099688296825</v>
      </c>
      <c r="L9" s="118">
        <f>'12. 추정 IS'!AH29</f>
        <v>14446.934424941222</v>
      </c>
      <c r="M9" s="118">
        <f>'12. 추정 IS'!AI29</f>
        <v>13693.100556517784</v>
      </c>
      <c r="N9" s="118">
        <f>'12. 추정 IS'!AJ29</f>
        <v>13735.378223251944</v>
      </c>
      <c r="O9" s="118">
        <f>'12. 추정 IS'!AK29</f>
        <v>13958.471068236984</v>
      </c>
      <c r="P9" s="118" t="s">
        <v>854</v>
      </c>
    </row>
    <row r="10" spans="1:16" ht="16.5" customHeight="1" x14ac:dyDescent="0.3">
      <c r="A10" s="783" t="s">
        <v>855</v>
      </c>
      <c r="B10" s="118"/>
      <c r="C10" s="118">
        <f>'12. 추정 IS'!Y22</f>
        <v>496327.56355499994</v>
      </c>
      <c r="D10" s="118">
        <f>'12. 추정 IS'!Z22</f>
        <v>483577.30939299997</v>
      </c>
      <c r="E10" s="118">
        <f>'12. 추정 IS'!AA22</f>
        <v>471667.35913200001</v>
      </c>
      <c r="F10" s="118">
        <f>'12. 추정 IS'!AB22</f>
        <v>473035.24103500007</v>
      </c>
      <c r="G10" s="118">
        <f>'12. 추정 IS'!AC22</f>
        <v>525373.26372100005</v>
      </c>
      <c r="H10" s="118">
        <f>'12. 추정 IS'!AD22</f>
        <v>556520</v>
      </c>
      <c r="I10" s="118">
        <f>'12. 추정 IS'!AE22</f>
        <v>544757.21132981591</v>
      </c>
      <c r="J10" s="118">
        <f>'12. 추정 IS'!AF22</f>
        <v>551360.04837680305</v>
      </c>
      <c r="K10" s="118">
        <f>'12. 추정 IS'!AG22</f>
        <v>557633.93634899578</v>
      </c>
      <c r="L10" s="118">
        <f>'12. 추정 IS'!AH22</f>
        <v>567865.84060792392</v>
      </c>
      <c r="M10" s="118">
        <f>'12. 추정 IS'!AI22</f>
        <v>578482.59515732888</v>
      </c>
      <c r="N10" s="118">
        <f>'12. 추정 IS'!AJ22</f>
        <v>590152.51876014285</v>
      </c>
      <c r="O10" s="118">
        <f>'12. 추정 IS'!AK22</f>
        <v>602246.97018815146</v>
      </c>
      <c r="P10" s="118" t="s">
        <v>856</v>
      </c>
    </row>
    <row r="11" spans="1:16" ht="16.5" customHeight="1" x14ac:dyDescent="0.3">
      <c r="A11" s="783" t="s">
        <v>857</v>
      </c>
      <c r="B11" s="118">
        <f>'11. 추정 BS'!X12</f>
        <v>2220820.4472830002</v>
      </c>
      <c r="C11" s="118">
        <f>'11. 추정 BS'!Y12</f>
        <v>2120273.5364700002</v>
      </c>
      <c r="D11" s="118">
        <f>'11. 추정 BS'!Z12</f>
        <v>2218453.6450490006</v>
      </c>
      <c r="E11" s="118">
        <f>'11. 추정 BS'!AA12</f>
        <v>2355792.1402550004</v>
      </c>
      <c r="F11" s="118">
        <f>'11. 추정 BS'!AB12</f>
        <v>2549985.7945980011</v>
      </c>
      <c r="G11" s="118">
        <f>'11. 추정 BS'!AC12</f>
        <v>2815425.2633940005</v>
      </c>
      <c r="H11" s="118">
        <f>'11. 추정 BS'!AD12</f>
        <v>2716563</v>
      </c>
      <c r="I11" s="118">
        <f>'11. 추정 BS'!AE12</f>
        <v>2757550.010072167</v>
      </c>
      <c r="J11" s="118">
        <f>'11. 추정 BS'!AF12</f>
        <v>2790980.4086393458</v>
      </c>
      <c r="K11" s="118">
        <f>'11. 추정 BS'!AG12</f>
        <v>2822743.3601081348</v>
      </c>
      <c r="L11" s="118">
        <f>'11. 추정 BS'!AH12</f>
        <v>2874565.2602076093</v>
      </c>
      <c r="M11" s="118">
        <f>'11. 추정 BS'!AI12</f>
        <v>2928337.2515297243</v>
      </c>
      <c r="N11" s="118">
        <f>'11. 추정 BS'!AJ12</f>
        <v>2987446.3793517672</v>
      </c>
      <c r="O11" s="118">
        <f>'11. 추정 BS'!AK12</f>
        <v>3048706.6779440506</v>
      </c>
      <c r="P11" s="118"/>
    </row>
    <row r="12" spans="1:16" ht="16.5" customHeight="1" x14ac:dyDescent="0.3"/>
    <row r="13" spans="1:16" ht="16.5" customHeight="1" x14ac:dyDescent="0.3">
      <c r="A13" s="62" t="s">
        <v>858</v>
      </c>
      <c r="D13" s="785"/>
      <c r="E13" s="785"/>
      <c r="F13" s="200"/>
      <c r="G13" s="200"/>
      <c r="H13" s="785"/>
      <c r="I13" s="785"/>
      <c r="J13" s="785"/>
      <c r="K13" s="785"/>
      <c r="L13" s="785"/>
      <c r="M13" s="785"/>
      <c r="N13" s="785"/>
      <c r="O13" s="785"/>
    </row>
    <row r="14" spans="1:16" ht="20.100000000000001" customHeight="1" x14ac:dyDescent="0.3"/>
    <row r="15" spans="1:16" ht="20.100000000000001" customHeight="1" x14ac:dyDescent="0.3"/>
  </sheetData>
  <mergeCells count="1">
    <mergeCell ref="A1:P1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C43A9-2429-440D-8920-E1BB34D95762}">
  <sheetPr codeName="Sheet20">
    <tabColor theme="0" tint="-0.499984740745262"/>
  </sheetPr>
  <dimension ref="A1:Z43"/>
  <sheetViews>
    <sheetView topLeftCell="B1" zoomScale="85" zoomScaleNormal="85" workbookViewId="0">
      <selection activeCell="I7" sqref="I6:I7"/>
    </sheetView>
  </sheetViews>
  <sheetFormatPr defaultColWidth="9" defaultRowHeight="23.25" customHeight="1" outlineLevelRow="1" outlineLevelCol="1" x14ac:dyDescent="0.3"/>
  <cols>
    <col min="1" max="1" width="9" style="62" hidden="1" customWidth="1" outlineLevel="1"/>
    <col min="2" max="2" width="21.375" style="62" bestFit="1" customWidth="1" collapsed="1"/>
    <col min="3" max="5" width="10.625" style="62" hidden="1" customWidth="1" outlineLevel="1"/>
    <col min="6" max="6" width="10.625" style="62" customWidth="1" collapsed="1"/>
    <col min="7" max="15" width="10.625" style="62" customWidth="1"/>
    <col min="16" max="25" width="9" style="62" hidden="1" customWidth="1" outlineLevel="1"/>
    <col min="26" max="26" width="10.375" style="62" bestFit="1" customWidth="1" collapsed="1"/>
    <col min="27" max="16384" width="9" style="62"/>
  </cols>
  <sheetData>
    <row r="1" spans="1:25" ht="31.5" x14ac:dyDescent="0.3">
      <c r="B1" s="1150" t="s">
        <v>859</v>
      </c>
      <c r="C1" s="1151"/>
      <c r="D1" s="1151"/>
      <c r="E1" s="1151"/>
      <c r="F1" s="1151"/>
      <c r="G1" s="1151"/>
      <c r="H1" s="1151"/>
      <c r="I1" s="1151"/>
      <c r="J1" s="1151"/>
      <c r="K1" s="1151"/>
      <c r="L1" s="1151"/>
      <c r="M1" s="1151"/>
      <c r="N1" s="1151"/>
      <c r="O1" s="1151"/>
    </row>
    <row r="2" spans="1:25" ht="16.5" customHeight="1" x14ac:dyDescent="0.3">
      <c r="A2" s="690"/>
      <c r="C2" s="690"/>
      <c r="D2" s="690"/>
      <c r="E2" s="690"/>
      <c r="L2" s="68"/>
      <c r="M2" s="68"/>
      <c r="N2" s="68"/>
      <c r="O2" s="792" t="s">
        <v>429</v>
      </c>
      <c r="P2" s="690"/>
      <c r="Q2" s="690"/>
      <c r="R2" s="690"/>
      <c r="S2" s="690"/>
      <c r="T2" s="690"/>
      <c r="U2" s="690"/>
      <c r="V2" s="690"/>
      <c r="W2" s="690"/>
      <c r="X2" s="690"/>
      <c r="Y2" s="690"/>
    </row>
    <row r="3" spans="1:25" ht="16.5" customHeight="1" x14ac:dyDescent="0.3">
      <c r="B3" s="724" t="s">
        <v>437</v>
      </c>
      <c r="C3" s="1000">
        <v>2020</v>
      </c>
      <c r="D3" s="1000">
        <v>2021</v>
      </c>
      <c r="E3" s="1000">
        <v>2022</v>
      </c>
      <c r="F3" s="1000">
        <v>2023</v>
      </c>
      <c r="G3" s="1000">
        <v>2024</v>
      </c>
      <c r="H3" s="1000">
        <v>2025</v>
      </c>
      <c r="I3" s="1000">
        <v>2026</v>
      </c>
      <c r="J3" s="1000">
        <v>2027</v>
      </c>
      <c r="K3" s="1000">
        <v>2028</v>
      </c>
      <c r="L3" s="1000">
        <v>2029</v>
      </c>
      <c r="M3" s="1000">
        <v>2030</v>
      </c>
      <c r="N3" s="1000">
        <v>2031</v>
      </c>
      <c r="O3" s="1000">
        <v>2032</v>
      </c>
    </row>
    <row r="4" spans="1:25" ht="16.5" customHeight="1" x14ac:dyDescent="0.3">
      <c r="B4" s="118" t="s">
        <v>486</v>
      </c>
      <c r="C4" s="118">
        <f>C5+C6-C10+C13</f>
        <v>754951.93440800079</v>
      </c>
      <c r="D4" s="118">
        <f t="shared" ref="D4:O4" si="0">D5+D6-D10+D13</f>
        <v>1244122.186515999</v>
      </c>
      <c r="E4" s="118">
        <f t="shared" si="0"/>
        <v>331256.63546199986</v>
      </c>
      <c r="F4" s="118">
        <f t="shared" si="0"/>
        <v>303224.08139200223</v>
      </c>
      <c r="G4" s="118">
        <f t="shared" si="0"/>
        <v>75704.656238000258</v>
      </c>
      <c r="H4" s="795">
        <f t="shared" si="0"/>
        <v>608253.65442100004</v>
      </c>
      <c r="I4" s="118">
        <f t="shared" si="0"/>
        <v>635189.24788163533</v>
      </c>
      <c r="J4" s="118">
        <f t="shared" si="0"/>
        <v>631363.84560407465</v>
      </c>
      <c r="K4" s="118">
        <f t="shared" si="0"/>
        <v>628348.71184682858</v>
      </c>
      <c r="L4" s="118">
        <f t="shared" si="0"/>
        <v>646721.01668624755</v>
      </c>
      <c r="M4" s="118">
        <f t="shared" si="0"/>
        <v>667809.28690663085</v>
      </c>
      <c r="N4" s="118">
        <f t="shared" si="0"/>
        <v>682278.40520440519</v>
      </c>
      <c r="O4" s="118">
        <f t="shared" si="0"/>
        <v>702685.07832853077</v>
      </c>
    </row>
    <row r="5" spans="1:25" ht="16.5" customHeight="1" x14ac:dyDescent="0.3">
      <c r="B5" s="708" t="s">
        <v>487</v>
      </c>
      <c r="C5" s="118">
        <f>'12. 추정 IS'!Y36</f>
        <v>182909.67227000036</v>
      </c>
      <c r="D5" s="118">
        <f>'12. 추정 IS'!Z36</f>
        <v>702265.84368299926</v>
      </c>
      <c r="E5" s="118">
        <f>'12. 추정 IS'!AA36</f>
        <v>-66922.127411000096</v>
      </c>
      <c r="F5" s="118">
        <f>'12. 추정 IS'!AB36</f>
        <v>-142634.22429199782</v>
      </c>
      <c r="G5" s="118">
        <f>'12. 추정 IS'!AC36</f>
        <v>-158331.69677699963</v>
      </c>
      <c r="H5" s="795">
        <f>'12. 추정 IS'!AD36</f>
        <v>2063</v>
      </c>
      <c r="I5" s="118">
        <f>'12. 추정 IS'!AE36</f>
        <v>63586.499925628479</v>
      </c>
      <c r="J5" s="118">
        <f>'12. 추정 IS'!AF36</f>
        <v>93045.325182091983</v>
      </c>
      <c r="K5" s="118">
        <f>'12. 추정 IS'!AG36</f>
        <v>96406.543032603935</v>
      </c>
      <c r="L5" s="118">
        <f>'12. 추정 IS'!AH36</f>
        <v>99469.62024810235</v>
      </c>
      <c r="M5" s="118">
        <f>'12. 추정 IS'!AI36</f>
        <v>113102.68629955336</v>
      </c>
      <c r="N5" s="118">
        <f>'12. 추정 IS'!AJ36</f>
        <v>120028.4084152337</v>
      </c>
      <c r="O5" s="118">
        <f>'12. 추정 IS'!AK36</f>
        <v>129015.10386507631</v>
      </c>
    </row>
    <row r="6" spans="1:25" ht="16.5" customHeight="1" x14ac:dyDescent="0.3">
      <c r="B6" s="708" t="s">
        <v>488</v>
      </c>
      <c r="C6" s="118">
        <f>SUM(C7:C9)</f>
        <v>519552.31054299994</v>
      </c>
      <c r="D6" s="118">
        <f t="shared" ref="D6:O6" si="1">SUM(D7:D9)</f>
        <v>493420.35084599996</v>
      </c>
      <c r="E6" s="118">
        <f t="shared" si="1"/>
        <v>480246.36082500004</v>
      </c>
      <c r="F6" s="118">
        <f t="shared" si="1"/>
        <v>492564.53057000006</v>
      </c>
      <c r="G6" s="118">
        <f t="shared" si="1"/>
        <v>547957.23165000009</v>
      </c>
      <c r="H6" s="795">
        <f t="shared" si="1"/>
        <v>566073</v>
      </c>
      <c r="I6" s="118">
        <f t="shared" si="1"/>
        <v>561677.64736002742</v>
      </c>
      <c r="J6" s="118">
        <f t="shared" si="1"/>
        <v>564926.31593311834</v>
      </c>
      <c r="K6" s="118">
        <f t="shared" si="1"/>
        <v>570700.03603729256</v>
      </c>
      <c r="L6" s="118">
        <f t="shared" si="1"/>
        <v>582312.77503286512</v>
      </c>
      <c r="M6" s="118">
        <f t="shared" si="1"/>
        <v>592175.69571384671</v>
      </c>
      <c r="N6" s="118">
        <f t="shared" si="1"/>
        <v>603887.89698339475</v>
      </c>
      <c r="O6" s="118">
        <f t="shared" si="1"/>
        <v>616205.44125638844</v>
      </c>
    </row>
    <row r="7" spans="1:25" ht="16.5" customHeight="1" x14ac:dyDescent="0.3">
      <c r="B7" s="694" t="s">
        <v>489</v>
      </c>
      <c r="C7" s="118">
        <f>'12. 추정 IS'!Y22</f>
        <v>496327.56355499994</v>
      </c>
      <c r="D7" s="118">
        <f>'12. 추정 IS'!Z22</f>
        <v>483577.30939299997</v>
      </c>
      <c r="E7" s="118">
        <f>'12. 추정 IS'!AA22</f>
        <v>471667.35913200001</v>
      </c>
      <c r="F7" s="118">
        <f>'12. 추정 IS'!AB22</f>
        <v>473035.24103500007</v>
      </c>
      <c r="G7" s="118">
        <f>'12. 추정 IS'!AC22</f>
        <v>525373.26372100005</v>
      </c>
      <c r="H7" s="795">
        <f>'12. 추정 IS'!AD22</f>
        <v>556520</v>
      </c>
      <c r="I7" s="118">
        <f>'12. 추정 IS'!AE22</f>
        <v>544757.21132981591</v>
      </c>
      <c r="J7" s="118">
        <f>'12. 추정 IS'!AF22</f>
        <v>551360.04837680305</v>
      </c>
      <c r="K7" s="118">
        <f>'12. 추정 IS'!AG22</f>
        <v>557633.93634899578</v>
      </c>
      <c r="L7" s="118">
        <f>'12. 추정 IS'!AH22</f>
        <v>567865.84060792392</v>
      </c>
      <c r="M7" s="118">
        <f>'12. 추정 IS'!AI22</f>
        <v>578482.59515732888</v>
      </c>
      <c r="N7" s="118">
        <f>'12. 추정 IS'!AJ22</f>
        <v>590152.51876014285</v>
      </c>
      <c r="O7" s="118">
        <f>'12. 추정 IS'!AK22</f>
        <v>602246.97018815146</v>
      </c>
    </row>
    <row r="8" spans="1:25" ht="16.5" customHeight="1" x14ac:dyDescent="0.3">
      <c r="B8" s="694" t="s">
        <v>490</v>
      </c>
      <c r="C8" s="118">
        <f>'12. 추정 IS'!Y29</f>
        <v>19306.331939</v>
      </c>
      <c r="D8" s="118">
        <f>'12. 추정 IS'!Z29</f>
        <v>8628.5362480000003</v>
      </c>
      <c r="E8" s="118">
        <f>'12. 추정 IS'!AA29</f>
        <v>8579.0016930000002</v>
      </c>
      <c r="F8" s="118">
        <f>'12. 추정 IS'!AB29</f>
        <v>8337.5742089999985</v>
      </c>
      <c r="G8" s="118">
        <f>'12. 추정 IS'!AC29</f>
        <v>22583.967929000002</v>
      </c>
      <c r="H8" s="795">
        <f>'12. 추정 IS'!AD29</f>
        <v>9553</v>
      </c>
      <c r="I8" s="118">
        <f>'12. 추정 IS'!AE29</f>
        <v>16920.436030211538</v>
      </c>
      <c r="J8" s="118">
        <f>'12. 추정 IS'!AF29</f>
        <v>13566.267556315304</v>
      </c>
      <c r="K8" s="118">
        <f>'12. 추정 IS'!AG29</f>
        <v>13066.099688296825</v>
      </c>
      <c r="L8" s="118">
        <f>'12. 추정 IS'!AH29</f>
        <v>14446.934424941222</v>
      </c>
      <c r="M8" s="118">
        <f>'12. 추정 IS'!AI29</f>
        <v>13693.100556517784</v>
      </c>
      <c r="N8" s="118">
        <f>'12. 추정 IS'!AJ29</f>
        <v>13735.378223251944</v>
      </c>
      <c r="O8" s="118">
        <f>'12. 추정 IS'!AK29</f>
        <v>13958.471068236984</v>
      </c>
    </row>
    <row r="9" spans="1:25" ht="16.5" customHeight="1" x14ac:dyDescent="0.3">
      <c r="B9" s="694" t="s">
        <v>491</v>
      </c>
      <c r="C9" s="118">
        <f>'12. 추정 IS'!Y30</f>
        <v>3918.4150490000002</v>
      </c>
      <c r="D9" s="118">
        <f>'12. 추정 IS'!Z30</f>
        <v>1214.5052049999999</v>
      </c>
      <c r="E9" s="118">
        <f>'12. 추정 IS'!AA30</f>
        <v>0</v>
      </c>
      <c r="F9" s="118">
        <f>'12. 추정 IS'!AB30</f>
        <v>11191.715326</v>
      </c>
      <c r="G9" s="118">
        <f>'12. 추정 IS'!AC30</f>
        <v>0</v>
      </c>
      <c r="H9" s="795">
        <f>'12. 추정 IS'!AD30</f>
        <v>0</v>
      </c>
      <c r="I9" s="118">
        <f>'12. 추정 IS'!AE30</f>
        <v>0</v>
      </c>
      <c r="J9" s="118">
        <f>'12. 추정 IS'!AF30</f>
        <v>0</v>
      </c>
      <c r="K9" s="118">
        <f>'12. 추정 IS'!AG30</f>
        <v>0</v>
      </c>
      <c r="L9" s="118">
        <f>'12. 추정 IS'!AH30</f>
        <v>0</v>
      </c>
      <c r="M9" s="118">
        <f>'12. 추정 IS'!AI30</f>
        <v>0</v>
      </c>
      <c r="N9" s="118">
        <f>'12. 추정 IS'!AJ30</f>
        <v>0</v>
      </c>
      <c r="O9" s="118">
        <f>'12. 추정 IS'!AK30</f>
        <v>0</v>
      </c>
    </row>
    <row r="10" spans="1:25" ht="16.5" customHeight="1" x14ac:dyDescent="0.3">
      <c r="B10" s="708" t="s">
        <v>492</v>
      </c>
      <c r="C10" s="118">
        <f>SUM(C11:C12)</f>
        <v>2071.4127939999998</v>
      </c>
      <c r="D10" s="118">
        <f t="shared" ref="D10:O10" si="2">SUM(D11:D12)</f>
        <v>45464.459560999996</v>
      </c>
      <c r="E10" s="118">
        <f t="shared" si="2"/>
        <v>15276.730486999999</v>
      </c>
      <c r="F10" s="118">
        <f t="shared" si="2"/>
        <v>2133.0977069999999</v>
      </c>
      <c r="G10" s="118">
        <f t="shared" si="2"/>
        <v>13254.542704000001</v>
      </c>
      <c r="H10" s="795">
        <f t="shared" si="2"/>
        <v>15296</v>
      </c>
      <c r="I10" s="118">
        <f t="shared" si="2"/>
        <v>10387.336988374216</v>
      </c>
      <c r="J10" s="118">
        <f t="shared" si="2"/>
        <v>26990.620427370286</v>
      </c>
      <c r="K10" s="118">
        <f t="shared" si="2"/>
        <v>27291.233084945547</v>
      </c>
      <c r="L10" s="118">
        <f t="shared" si="2"/>
        <v>21719.349609563349</v>
      </c>
      <c r="M10" s="118">
        <f t="shared" si="2"/>
        <v>25442.369557959726</v>
      </c>
      <c r="N10" s="118">
        <f t="shared" si="2"/>
        <v>24871.968342822875</v>
      </c>
      <c r="O10" s="118">
        <f t="shared" si="2"/>
        <v>24011.229170115319</v>
      </c>
    </row>
    <row r="11" spans="1:25" ht="16.5" customHeight="1" x14ac:dyDescent="0.3">
      <c r="B11" s="694" t="s">
        <v>493</v>
      </c>
      <c r="C11" s="118">
        <f>'12. 추정 IS'!Y25</f>
        <v>2071.4127939999998</v>
      </c>
      <c r="D11" s="118">
        <f>'12. 추정 IS'!Z25</f>
        <v>17104.831460000001</v>
      </c>
      <c r="E11" s="118">
        <f>'12. 추정 IS'!AA25</f>
        <v>602.803316</v>
      </c>
      <c r="F11" s="118">
        <f>'12. 추정 IS'!AB25</f>
        <v>2133.0977069999999</v>
      </c>
      <c r="G11" s="118">
        <f>'12. 추정 IS'!AC25</f>
        <v>12202.504114000001</v>
      </c>
      <c r="H11" s="795">
        <f>'12. 추정 IS'!AD25</f>
        <v>6116</v>
      </c>
      <c r="I11" s="118">
        <f>'12. 추정 IS'!AE25</f>
        <v>10550.289764374216</v>
      </c>
      <c r="J11" s="118">
        <f>'12. 추정 IS'!AF25</f>
        <v>27153.573203370284</v>
      </c>
      <c r="K11" s="118">
        <f>'12. 추정 IS'!AG25</f>
        <v>27454.185860945545</v>
      </c>
      <c r="L11" s="118">
        <f>'12. 추정 IS'!AH25</f>
        <v>21719.349609563349</v>
      </c>
      <c r="M11" s="118">
        <f>'12. 추정 IS'!AI25</f>
        <v>25442.369557959726</v>
      </c>
      <c r="N11" s="118">
        <f>'12. 추정 IS'!AJ25</f>
        <v>24871.968342822875</v>
      </c>
      <c r="O11" s="118">
        <f>'12. 추정 IS'!AK25</f>
        <v>24011.229170115319</v>
      </c>
    </row>
    <row r="12" spans="1:25" ht="16.5" customHeight="1" x14ac:dyDescent="0.3">
      <c r="B12" s="694" t="s">
        <v>494</v>
      </c>
      <c r="C12" s="118">
        <f>'12. 추정 IS'!Y26</f>
        <v>0</v>
      </c>
      <c r="D12" s="118">
        <f>'12. 추정 IS'!Z26</f>
        <v>28359.628100999998</v>
      </c>
      <c r="E12" s="118">
        <f>'12. 추정 IS'!AA26</f>
        <v>14673.927170999999</v>
      </c>
      <c r="F12" s="118">
        <f>'12. 추정 IS'!AB26</f>
        <v>0</v>
      </c>
      <c r="G12" s="118">
        <f>'12. 추정 IS'!AC26</f>
        <v>1052.0385900000001</v>
      </c>
      <c r="H12" s="795">
        <f>'12. 추정 IS'!AD26</f>
        <v>9180</v>
      </c>
      <c r="I12" s="118">
        <f>'12. 추정 IS'!AE26</f>
        <v>-162.95277600000006</v>
      </c>
      <c r="J12" s="118">
        <f>'12. 추정 IS'!AF26</f>
        <v>-162.95277600000006</v>
      </c>
      <c r="K12" s="118">
        <f>'12. 추정 IS'!AG26</f>
        <v>-162.95277600000006</v>
      </c>
      <c r="L12" s="118">
        <f>'12. 추정 IS'!AH26</f>
        <v>0</v>
      </c>
      <c r="M12" s="118">
        <f>'12. 추정 IS'!AI26</f>
        <v>0</v>
      </c>
      <c r="N12" s="118">
        <f>'12. 추정 IS'!AJ26</f>
        <v>0</v>
      </c>
      <c r="O12" s="118">
        <f>'12. 추정 IS'!AK26</f>
        <v>0</v>
      </c>
    </row>
    <row r="13" spans="1:25" ht="16.5" customHeight="1" x14ac:dyDescent="0.3">
      <c r="B13" s="708" t="s">
        <v>495</v>
      </c>
      <c r="C13" s="118">
        <f>SUM(C14:C22)</f>
        <v>54561.364389000439</v>
      </c>
      <c r="D13" s="118">
        <f t="shared" ref="D13:O13" si="3">SUM(D14:D22)</f>
        <v>93900.451547999866</v>
      </c>
      <c r="E13" s="118">
        <f t="shared" si="3"/>
        <v>-66790.86746500009</v>
      </c>
      <c r="F13" s="118">
        <f t="shared" si="3"/>
        <v>-44573.127178999988</v>
      </c>
      <c r="G13" s="118">
        <f t="shared" si="3"/>
        <v>-300666.33593100018</v>
      </c>
      <c r="H13" s="795">
        <f t="shared" si="3"/>
        <v>55413.654421000072</v>
      </c>
      <c r="I13" s="118">
        <f t="shared" si="3"/>
        <v>20312.437584353785</v>
      </c>
      <c r="J13" s="118">
        <f t="shared" si="3"/>
        <v>382.82491623461829</v>
      </c>
      <c r="K13" s="118">
        <f t="shared" si="3"/>
        <v>-11466.634138122317</v>
      </c>
      <c r="L13" s="118">
        <f t="shared" si="3"/>
        <v>-13342.028985156532</v>
      </c>
      <c r="M13" s="118">
        <f t="shared" si="3"/>
        <v>-12026.725548809496</v>
      </c>
      <c r="N13" s="118">
        <f t="shared" si="3"/>
        <v>-16765.931851400412</v>
      </c>
      <c r="O13" s="118">
        <f t="shared" si="3"/>
        <v>-18524.237622818706</v>
      </c>
    </row>
    <row r="14" spans="1:25" ht="16.5" customHeight="1" x14ac:dyDescent="0.3">
      <c r="B14" s="694" t="s">
        <v>91</v>
      </c>
      <c r="C14" s="118">
        <f>'11. 추정 BS'!X9-'11. 추정 BS'!Y9</f>
        <v>-6781.9002999999793</v>
      </c>
      <c r="D14" s="118">
        <f>'11. 추정 BS'!Y9-'11. 추정 BS'!Z9</f>
        <v>-9983.9255370000319</v>
      </c>
      <c r="E14" s="118">
        <f>'11. 추정 BS'!Z9-'11. 추정 BS'!AA9</f>
        <v>-88621.559434000053</v>
      </c>
      <c r="F14" s="118">
        <f>'11. 추정 BS'!AA9-'11. 추정 BS'!AB9</f>
        <v>-125367.05507199978</v>
      </c>
      <c r="G14" s="118">
        <f>'11. 추정 BS'!AB9-'11. 추정 BS'!AC9</f>
        <v>3415.2855039997958</v>
      </c>
      <c r="H14" s="795">
        <f>'11. 추정 BS'!AC9-'11. 추정 BS'!AD9</f>
        <v>-51799.097415999975</v>
      </c>
      <c r="I14" s="118">
        <f>'11. 추정 BS'!AD9-'11. 추정 BS'!AE9</f>
        <v>6176.0908311828389</v>
      </c>
      <c r="J14" s="118">
        <f>'11. 추정 BS'!AE9-'11. 추정 BS'!AF9</f>
        <v>-6735.1993291266845</v>
      </c>
      <c r="K14" s="118">
        <f>'11. 추정 BS'!AF9-'11. 추정 BS'!AG9</f>
        <v>-7118.3969094558852</v>
      </c>
      <c r="L14" s="118">
        <f>'11. 추정 BS'!AG9-'11. 추정 BS'!AH9</f>
        <v>-7846.9353495190153</v>
      </c>
      <c r="M14" s="118">
        <f>'11. 추정 BS'!AH9-'11. 추정 BS'!AI9</f>
        <v>-8139.8806813147385</v>
      </c>
      <c r="N14" s="118">
        <f>'11. 추정 BS'!AI9-'11. 추정 BS'!AJ9</f>
        <v>-9130.7204731612001</v>
      </c>
      <c r="O14" s="118">
        <f>'11. 추정 BS'!AJ9-'11. 추정 BS'!AK9</f>
        <v>-10021.66756485193</v>
      </c>
    </row>
    <row r="15" spans="1:25" ht="16.5" customHeight="1" x14ac:dyDescent="0.3">
      <c r="B15" s="694" t="s">
        <v>122</v>
      </c>
      <c r="C15" s="118">
        <f>'11. 추정 BS'!X10-'11. 추정 BS'!Y10</f>
        <v>14114.97044100007</v>
      </c>
      <c r="D15" s="118">
        <f>'11. 추정 BS'!Y10-'11. 추정 BS'!Z10</f>
        <v>32598.492535999976</v>
      </c>
      <c r="E15" s="118">
        <f>'11. 추정 BS'!Z10-'11. 추정 BS'!AA10</f>
        <v>39222.286653000046</v>
      </c>
      <c r="F15" s="118">
        <f>'11. 추정 BS'!AA10-'11. 추정 BS'!AB10</f>
        <v>40103.728567000071</v>
      </c>
      <c r="G15" s="118">
        <f>'11. 추정 BS'!AB10-'11. 추정 BS'!AC10</f>
        <v>16157.189387999941</v>
      </c>
      <c r="H15" s="795">
        <f>'11. 추정 BS'!AC10-'11. 추정 BS'!AD10</f>
        <v>51774.711341999995</v>
      </c>
      <c r="I15" s="118">
        <f>'11. 추정 BS'!AD10-'11. 추정 BS'!AE10</f>
        <v>31870.227545337926</v>
      </c>
      <c r="J15" s="118">
        <f>'11. 추정 BS'!AE10-'11. 추정 BS'!AF10</f>
        <v>20425.281761535502</v>
      </c>
      <c r="K15" s="118">
        <f>'11. 추정 BS'!AF10-'11. 추정 BS'!AG10</f>
        <v>13452.547622212674</v>
      </c>
      <c r="L15" s="118">
        <f>'11. 추정 BS'!AG10-'11. 추정 BS'!AH10</f>
        <v>9027.1392236815882</v>
      </c>
      <c r="M15" s="118">
        <f>'11. 추정 BS'!AH10-'11. 추정 BS'!AI10</f>
        <v>6135.9718898960273</v>
      </c>
      <c r="N15" s="118">
        <f>'11. 추정 BS'!AI10-'11. 추정 BS'!AJ10</f>
        <v>4208.0953901348985</v>
      </c>
      <c r="O15" s="118">
        <f>'11. 추정 BS'!AJ10-'11. 추정 BS'!AK10</f>
        <v>2903.8603245698614</v>
      </c>
    </row>
    <row r="16" spans="1:25" ht="16.5" customHeight="1" x14ac:dyDescent="0.3">
      <c r="B16" s="694" t="s">
        <v>496</v>
      </c>
      <c r="C16" s="118">
        <f>'11. 추정 BS'!X11-'11. 추정 BS'!Y11</f>
        <v>-4010.5820949999907</v>
      </c>
      <c r="D16" s="118">
        <f>'11. 추정 BS'!Y11-'11. 추정 BS'!Z11</f>
        <v>39023.938556999987</v>
      </c>
      <c r="E16" s="118">
        <f>'11. 추정 BS'!Z11-'11. 추정 BS'!AA11</f>
        <v>-31224.187724999996</v>
      </c>
      <c r="F16" s="118">
        <f>'11. 추정 BS'!AA11-'11. 추정 BS'!AB11</f>
        <v>-88563.766898000002</v>
      </c>
      <c r="G16" s="118">
        <f>'11. 추정 BS'!AB11-'11. 추정 BS'!AC11</f>
        <v>-5185.1568540000299</v>
      </c>
      <c r="H16" s="795">
        <f>'11. 추정 BS'!AC11-'11. 추정 BS'!AD11</f>
        <v>-30245.542076999962</v>
      </c>
      <c r="I16" s="118">
        <f>'11. 추정 BS'!AD11-'11. 추정 BS'!AE11</f>
        <v>8811.5751614452456</v>
      </c>
      <c r="J16" s="118">
        <f>'11. 추정 BS'!AE11-'11. 추정 BS'!AF11</f>
        <v>-5508.566424985067</v>
      </c>
      <c r="K16" s="118">
        <f>'11. 추정 BS'!AF11-'11. 추정 BS'!AG11</f>
        <v>-5695.6200770686264</v>
      </c>
      <c r="L16" s="118">
        <f>'11. 추정 BS'!AG11-'11. 추정 BS'!AH11</f>
        <v>-6207.9582330135745</v>
      </c>
      <c r="M16" s="118">
        <f>'11. 추정 BS'!AH11-'11. 추정 BS'!AI11</f>
        <v>-6339.233477476344</v>
      </c>
      <c r="N16" s="118">
        <f>'11. 추정 BS'!AI11-'11. 추정 BS'!AJ11</f>
        <v>-7057.6284424372134</v>
      </c>
      <c r="O16" s="118">
        <f>'11. 추정 BS'!AJ11-'11. 추정 BS'!AK11</f>
        <v>-7685.8411771876272</v>
      </c>
      <c r="Q16" s="62" t="s">
        <v>860</v>
      </c>
    </row>
    <row r="17" spans="2:25" ht="16.5" customHeight="1" x14ac:dyDescent="0.3">
      <c r="B17" s="694" t="s">
        <v>497</v>
      </c>
      <c r="C17" s="118">
        <f>'11. 추정 BS'!X13-'11. 추정 BS'!Y13</f>
        <v>47917.572579000145</v>
      </c>
      <c r="D17" s="118">
        <f>'11. 추정 BS'!Y13-'11. 추정 BS'!Z13</f>
        <v>-27348.485727999941</v>
      </c>
      <c r="E17" s="118">
        <f>'11. 추정 BS'!Z13-'11. 추정 BS'!AA13</f>
        <v>-58027.953528000042</v>
      </c>
      <c r="F17" s="118">
        <f>'11. 추정 BS'!AA13-'11. 추정 BS'!AB13</f>
        <v>-14971.305034000077</v>
      </c>
      <c r="G17" s="118">
        <f>'11. 추정 BS'!AB13-'11. 추정 BS'!AC13</f>
        <v>-46424.776097000111</v>
      </c>
      <c r="H17" s="795">
        <f>'11. 추정 BS'!AC13-'11. 추정 BS'!AD13</f>
        <v>57214.226623000111</v>
      </c>
      <c r="I17" s="118">
        <f>'11. 추정 BS'!AD13-'11. 추정 BS'!AE13</f>
        <v>-8539.67011160939</v>
      </c>
      <c r="J17" s="118">
        <f>'11. 추정 BS'!AE13-'11. 추정 BS'!AF13</f>
        <v>-10179.905033094576</v>
      </c>
      <c r="K17" s="118">
        <f>'11. 추정 BS'!AF13-'11. 추정 BS'!AG13</f>
        <v>-10636.187469912693</v>
      </c>
      <c r="L17" s="118">
        <f>'11. 추정 BS'!AG13-'11. 추정 BS'!AH13</f>
        <v>-16152.638220854802</v>
      </c>
      <c r="M17" s="118">
        <f>'11. 추정 BS'!AH13-'11. 추정 BS'!AI13</f>
        <v>-14923.041972249513</v>
      </c>
      <c r="N17" s="118">
        <f>'11. 추정 BS'!AI13-'11. 추정 BS'!AJ13</f>
        <v>-16925.447125548497</v>
      </c>
      <c r="O17" s="118">
        <f>'11. 추정 BS'!AJ13-'11. 추정 BS'!AK13</f>
        <v>-19660.738399720518</v>
      </c>
      <c r="Q17" s="62">
        <f>'11. 추정 BS'!AB13-'11. 추정 BS'!AC13-F17</f>
        <v>-31453.471063000034</v>
      </c>
      <c r="R17" s="62">
        <f>'11. 추정 BS'!AC13-'11. 추정 BS'!AD13-G17</f>
        <v>103639.00272000022</v>
      </c>
      <c r="S17" s="62">
        <f>'11. 추정 BS'!AD13-'11. 추정 BS'!AE13-H17</f>
        <v>-65753.896734609501</v>
      </c>
      <c r="T17" s="62">
        <f>'11. 추정 BS'!AE13-'11. 추정 BS'!AF13-I17</f>
        <v>-1640.2349214851856</v>
      </c>
      <c r="U17" s="62">
        <f>'11. 추정 BS'!AF13-'11. 추정 BS'!AG13-J17</f>
        <v>-456.28243681811728</v>
      </c>
      <c r="V17" s="62">
        <f>'11. 추정 BS'!AG13-'11. 추정 BS'!AH13-K17</f>
        <v>-5516.4507509421092</v>
      </c>
      <c r="W17" s="62">
        <f>'11. 추정 BS'!AH13-'11. 추정 BS'!AI13-L17</f>
        <v>1229.5962486052886</v>
      </c>
      <c r="X17" s="62">
        <f>'11. 추정 BS'!AI13-'11. 추정 BS'!AJ13-M17</f>
        <v>-2002.4051532989834</v>
      </c>
      <c r="Y17" s="62">
        <f>'11. 추정 BS'!AJ13-'11. 추정 BS'!AK13-N17</f>
        <v>-2735.2912741720211</v>
      </c>
    </row>
    <row r="18" spans="2:25" ht="16.5" customHeight="1" x14ac:dyDescent="0.3">
      <c r="B18" s="694" t="s">
        <v>145</v>
      </c>
      <c r="C18" s="118">
        <f>'11. 추정 BS'!Y17-'11. 추정 BS'!X17</f>
        <v>15454.313865000033</v>
      </c>
      <c r="D18" s="118">
        <f>'11. 추정 BS'!Z17-'11. 추정 BS'!Y17</f>
        <v>-38243.594172999903</v>
      </c>
      <c r="E18" s="118">
        <f>'11. 추정 BS'!AA17-'11. 추정 BS'!Z17</f>
        <v>64329.842757999955</v>
      </c>
      <c r="F18" s="118">
        <f>'11. 추정 BS'!AB17-'11. 추정 BS'!AA17</f>
        <v>220493.23063199979</v>
      </c>
      <c r="G18" s="118">
        <f>'11. 추정 BS'!AC17-'11. 추정 BS'!AB17</f>
        <v>-244944.91211499984</v>
      </c>
      <c r="H18" s="795">
        <f>'11. 추정 BS'!AD17-'11. 추정 BS'!AC17</f>
        <v>42492.342997999978</v>
      </c>
      <c r="I18" s="118">
        <f>'11. 추정 BS'!AE17-'11. 추정 BS'!AD17</f>
        <v>-34786.92454633076</v>
      </c>
      <c r="J18" s="118">
        <f>'11. 추정 BS'!AF17-'11. 추정 BS'!AE17</f>
        <v>7886.8852218135144</v>
      </c>
      <c r="K18" s="118">
        <f>'11. 추정 BS'!AG17-'11. 추정 BS'!AF17</f>
        <v>8154.6991266460391</v>
      </c>
      <c r="L18" s="118">
        <f>'11. 추정 BS'!AH17-'11. 추정 BS'!AG17</f>
        <v>8888.2388389684493</v>
      </c>
      <c r="M18" s="118">
        <f>'11. 추정 BS'!AI17-'11. 추정 BS'!AH17</f>
        <v>9076.192056859727</v>
      </c>
      <c r="N18" s="118">
        <f>'11. 추정 BS'!AJ17-'11. 추정 BS'!AI17</f>
        <v>10104.753427541582</v>
      </c>
      <c r="O18" s="118">
        <f>'11. 추정 BS'!AK17-'11. 추정 BS'!AJ17</f>
        <v>11004.196468000533</v>
      </c>
    </row>
    <row r="19" spans="2:25" ht="16.5" customHeight="1" x14ac:dyDescent="0.3">
      <c r="B19" s="694" t="s">
        <v>150</v>
      </c>
      <c r="C19" s="118">
        <f>'11. 추정 BS'!Y18-'11. 추정 BS'!X18</f>
        <v>3489.5928730000051</v>
      </c>
      <c r="D19" s="118">
        <f>'11. 추정 BS'!Z18-'11. 추정 BS'!Y18</f>
        <v>-623.22838300000876</v>
      </c>
      <c r="E19" s="118">
        <f>'11. 추정 BS'!AA18-'11. 추정 BS'!Z18</f>
        <v>24534.771319999982</v>
      </c>
      <c r="F19" s="118">
        <f>'11. 추정 BS'!AB18-'11. 추정 BS'!AA18</f>
        <v>-4852.8939539999774</v>
      </c>
      <c r="G19" s="118">
        <f>'11. 추정 BS'!AC18-'11. 추정 BS'!AB18</f>
        <v>4602.1124229999987</v>
      </c>
      <c r="H19" s="795">
        <f>'11. 추정 BS'!AD18-'11. 추정 BS'!AC18</f>
        <v>13784.684148</v>
      </c>
      <c r="I19" s="118">
        <f>'11. 추정 BS'!AE18-'11. 추정 BS'!AD18</f>
        <v>7672.774018621596</v>
      </c>
      <c r="J19" s="118">
        <f>'11. 추정 BS'!AF18-'11. 추정 BS'!AE18</f>
        <v>6800.506261389266</v>
      </c>
      <c r="K19" s="118">
        <f>'11. 추정 BS'!AG18-'11. 추정 BS'!AF18</f>
        <v>920.40138661704259</v>
      </c>
      <c r="L19" s="118">
        <f>'11. 추정 BS'!AH18-'11. 추정 BS'!AG18</f>
        <v>6135.8538970912632</v>
      </c>
      <c r="M19" s="118">
        <f>'11. 추정 BS'!AI18-'11. 추정 BS'!AH18</f>
        <v>5203.690428493559</v>
      </c>
      <c r="N19" s="118">
        <f>'11. 추정 BS'!AJ18-'11. 추정 BS'!AI18</f>
        <v>4507.0951907171402</v>
      </c>
      <c r="O19" s="118">
        <f>'11. 추정 BS'!AK18-'11. 추정 BS'!AJ18</f>
        <v>5970.2040165423241</v>
      </c>
    </row>
    <row r="20" spans="2:25" ht="16.5" customHeight="1" x14ac:dyDescent="0.3">
      <c r="B20" s="694" t="s">
        <v>498</v>
      </c>
      <c r="C20" s="118">
        <f>'11. 추정 BS'!Y19-'11. 추정 BS'!X19</f>
        <v>-20844.243886999844</v>
      </c>
      <c r="D20" s="118">
        <f>'11. 추정 BS'!Z19-'11. 추정 BS'!Y19</f>
        <v>121347.12067599979</v>
      </c>
      <c r="E20" s="118">
        <f>'11. 추정 BS'!AA19-'11. 추정 BS'!Z19</f>
        <v>-44614.53424399998</v>
      </c>
      <c r="F20" s="118">
        <f>'11. 추정 BS'!AB19-'11. 추정 BS'!AA19</f>
        <v>-58244.524065000005</v>
      </c>
      <c r="G20" s="118">
        <f>'11. 추정 BS'!AC19-'11. 추정 BS'!AB19</f>
        <v>-29139.27209299989</v>
      </c>
      <c r="H20" s="795">
        <f>'11. 추정 BS'!AD19-'11. 추정 BS'!AC19</f>
        <v>-33881.671197000076</v>
      </c>
      <c r="I20" s="118">
        <f>'11. 추정 BS'!AE19-'11. 추정 BS'!AD19</f>
        <v>9108.3646857063286</v>
      </c>
      <c r="J20" s="118">
        <f>'11. 추정 BS'!AF19-'11. 추정 BS'!AE19</f>
        <v>-12306.177541297337</v>
      </c>
      <c r="K20" s="118">
        <f>'11. 추정 BS'!AG19-'11. 추정 BS'!AF19</f>
        <v>-10544.077817160869</v>
      </c>
      <c r="L20" s="118">
        <f>'11. 추정 BS'!AH19-'11. 추정 BS'!AG19</f>
        <v>-7185.729141510441</v>
      </c>
      <c r="M20" s="118">
        <f>'11. 추정 BS'!AI19-'11. 추정 BS'!AH19</f>
        <v>-3040.4237930182135</v>
      </c>
      <c r="N20" s="118">
        <f>'11. 추정 BS'!AJ19-'11. 추정 BS'!AI19</f>
        <v>-2472.079818647122</v>
      </c>
      <c r="O20" s="118">
        <f>'11. 추정 BS'!AK19-'11. 추정 BS'!AJ19</f>
        <v>-1034.251290171349</v>
      </c>
      <c r="P20" s="786" t="s">
        <v>861</v>
      </c>
      <c r="Q20" s="62">
        <f>'11. 추정 BS'!AC19-'11. 추정 BS'!AB19-F20</f>
        <v>29105.251972000115</v>
      </c>
      <c r="R20" s="62">
        <f>'11. 추정 BS'!AD19-'11. 추정 BS'!AC19-G20</f>
        <v>-4742.3991040001856</v>
      </c>
      <c r="S20" s="62">
        <f>'11. 추정 BS'!AE19-'11. 추정 BS'!AD19-H20</f>
        <v>42990.035882706405</v>
      </c>
      <c r="T20" s="62">
        <f>'11. 추정 BS'!AF19-'11. 추정 BS'!AE19-I20</f>
        <v>-21414.542227003665</v>
      </c>
      <c r="U20" s="62">
        <f>'11. 추정 BS'!AG19-'11. 추정 BS'!AF19-J20</f>
        <v>1762.0997241364676</v>
      </c>
      <c r="V20" s="62">
        <f>'11. 추정 BS'!AH19-'11. 추정 BS'!AG19-K20</f>
        <v>3358.348675650428</v>
      </c>
      <c r="W20" s="62">
        <f>'11. 추정 BS'!AI19-'11. 추정 BS'!AH19-L20</f>
        <v>4145.3053484922275</v>
      </c>
      <c r="X20" s="62">
        <f>'11. 추정 BS'!AJ19-'11. 추정 BS'!AI19-M20</f>
        <v>568.34397437109146</v>
      </c>
      <c r="Y20" s="62">
        <f>'11. 추정 BS'!AK19-'11. 추정 BS'!AJ19-N20</f>
        <v>1437.8285284757731</v>
      </c>
    </row>
    <row r="21" spans="2:25" ht="16.5" customHeight="1" x14ac:dyDescent="0.3">
      <c r="B21" s="694" t="s">
        <v>757</v>
      </c>
      <c r="C21" s="118">
        <f>'11. 추정 BS'!Y37</f>
        <v>0</v>
      </c>
      <c r="D21" s="118">
        <f>'11. 추정 BS'!Z37</f>
        <v>0</v>
      </c>
      <c r="E21" s="118">
        <f>'11. 추정 BS'!AA37</f>
        <v>0</v>
      </c>
      <c r="F21" s="118">
        <f>'11. 추정 BS'!AB37</f>
        <v>0</v>
      </c>
      <c r="G21" s="118">
        <f>'11. 추정 BS'!AC37</f>
        <v>0</v>
      </c>
      <c r="H21" s="795">
        <f>'11. 추정 BS'!AD37</f>
        <v>0</v>
      </c>
      <c r="I21" s="118">
        <f>'11. 추정 BS'!AE37</f>
        <v>0</v>
      </c>
      <c r="J21" s="118">
        <f>'11. 추정 BS'!AF37</f>
        <v>0</v>
      </c>
      <c r="K21" s="118">
        <f>'11. 추정 BS'!AG37</f>
        <v>0</v>
      </c>
      <c r="L21" s="118">
        <f>'11. 추정 BS'!AH37</f>
        <v>0</v>
      </c>
      <c r="M21" s="118">
        <f>'11. 추정 BS'!AI37</f>
        <v>0</v>
      </c>
      <c r="N21" s="118">
        <f>'11. 추정 BS'!AJ37</f>
        <v>0</v>
      </c>
      <c r="O21" s="118">
        <f>'11. 추정 BS'!AK37</f>
        <v>0</v>
      </c>
      <c r="Q21" s="62">
        <f t="shared" ref="Q21:Y21" si="4">Q20+Q22</f>
        <v>54537.251972000115</v>
      </c>
      <c r="R21" s="62">
        <f t="shared" si="4"/>
        <v>14331.600895999814</v>
      </c>
      <c r="S21" s="62">
        <f t="shared" si="4"/>
        <v>57295.535882706405</v>
      </c>
      <c r="T21" s="62">
        <f t="shared" si="4"/>
        <v>-10685.417227003665</v>
      </c>
      <c r="U21" s="62">
        <f t="shared" si="4"/>
        <v>9808.9434741364676</v>
      </c>
      <c r="V21" s="62">
        <f t="shared" si="4"/>
        <v>9393.481488150428</v>
      </c>
      <c r="W21" s="62">
        <f t="shared" si="4"/>
        <v>8671.6549578672275</v>
      </c>
      <c r="X21" s="62">
        <f t="shared" si="4"/>
        <v>3963.1061814023415</v>
      </c>
      <c r="Y21" s="62">
        <f t="shared" si="4"/>
        <v>3983.9001837492106</v>
      </c>
    </row>
    <row r="22" spans="2:25" ht="16.5" customHeight="1" x14ac:dyDescent="0.3">
      <c r="B22" s="694" t="s">
        <v>210</v>
      </c>
      <c r="C22" s="118">
        <f>'11. 추정 BS'!Y38</f>
        <v>5221.6409130000002</v>
      </c>
      <c r="D22" s="118">
        <f>'11. 추정 BS'!Z38</f>
        <v>-22869.866399999999</v>
      </c>
      <c r="E22" s="118">
        <f>'11. 추정 BS'!AA38</f>
        <v>27610.466734999998</v>
      </c>
      <c r="F22" s="118">
        <f>'11. 추정 BS'!AB38</f>
        <v>-13170.541355000001</v>
      </c>
      <c r="G22" s="118">
        <f>'11. 추정 BS'!AC38</f>
        <v>853.19391299999995</v>
      </c>
      <c r="H22" s="795">
        <f>'11. 추정 BS'!AD38</f>
        <v>6074</v>
      </c>
      <c r="I22" s="118">
        <f>'11. 추정 BS'!AE38</f>
        <v>0</v>
      </c>
      <c r="J22" s="118">
        <f>'11. 추정 BS'!AF38</f>
        <v>0</v>
      </c>
      <c r="K22" s="118">
        <f>'11. 추정 BS'!AG38</f>
        <v>0</v>
      </c>
      <c r="L22" s="118">
        <f>'11. 추정 BS'!AH38</f>
        <v>0</v>
      </c>
      <c r="M22" s="118">
        <f>'11. 추정 BS'!AI38</f>
        <v>0</v>
      </c>
      <c r="N22" s="118">
        <f>'11. 추정 BS'!AJ38</f>
        <v>0</v>
      </c>
      <c r="O22" s="118">
        <f>'11. 추정 BS'!AK38</f>
        <v>0</v>
      </c>
      <c r="Q22" s="62">
        <v>25432</v>
      </c>
      <c r="R22" s="62">
        <f>Q22*3/4</f>
        <v>19074</v>
      </c>
      <c r="S22" s="62">
        <f t="shared" ref="S22:Y22" si="5">R22*3/4</f>
        <v>14305.5</v>
      </c>
      <c r="T22" s="62">
        <f t="shared" si="5"/>
        <v>10729.125</v>
      </c>
      <c r="U22" s="62">
        <f t="shared" si="5"/>
        <v>8046.84375</v>
      </c>
      <c r="V22" s="62">
        <f t="shared" si="5"/>
        <v>6035.1328125</v>
      </c>
      <c r="W22" s="62">
        <f t="shared" si="5"/>
        <v>4526.349609375</v>
      </c>
      <c r="X22" s="62">
        <f t="shared" si="5"/>
        <v>3394.76220703125</v>
      </c>
      <c r="Y22" s="62">
        <f t="shared" si="5"/>
        <v>2546.0716552734375</v>
      </c>
    </row>
    <row r="23" spans="2:25" ht="16.5" customHeight="1" x14ac:dyDescent="0.3">
      <c r="B23" s="118" t="s">
        <v>500</v>
      </c>
      <c r="C23" s="118">
        <f>SUM(C24,C25,C31)</f>
        <v>-585725.62738600152</v>
      </c>
      <c r="D23" s="118">
        <f t="shared" ref="D23:O23" si="6">SUM(D24,D25,D31)</f>
        <v>-2205356.1178019987</v>
      </c>
      <c r="E23" s="118">
        <f t="shared" si="6"/>
        <v>-247663.62858800014</v>
      </c>
      <c r="F23" s="118">
        <f t="shared" si="6"/>
        <v>-396245.67455400346</v>
      </c>
      <c r="G23" s="118">
        <f t="shared" si="6"/>
        <v>-310693.73909199971</v>
      </c>
      <c r="H23" s="795">
        <f t="shared" si="6"/>
        <v>-251265.68672200289</v>
      </c>
      <c r="I23" s="118">
        <f t="shared" si="6"/>
        <v>-666567.73191330349</v>
      </c>
      <c r="J23" s="118">
        <f t="shared" si="6"/>
        <v>-526005.55183868902</v>
      </c>
      <c r="K23" s="118">
        <f t="shared" si="6"/>
        <v>-519478.57038439414</v>
      </c>
      <c r="L23" s="118">
        <f t="shared" si="6"/>
        <v>-560835.15064695361</v>
      </c>
      <c r="M23" s="118">
        <f t="shared" si="6"/>
        <v>-579787.98408274911</v>
      </c>
      <c r="N23" s="118">
        <f t="shared" si="6"/>
        <v>-585993.31581816054</v>
      </c>
      <c r="O23" s="118">
        <f t="shared" si="6"/>
        <v>-602315.56442976021</v>
      </c>
      <c r="P23" s="62">
        <f t="shared" ref="P23:Y23" si="7">F23-E23</f>
        <v>-148582.04596600332</v>
      </c>
      <c r="Q23" s="62">
        <f t="shared" si="7"/>
        <v>85551.935462003748</v>
      </c>
      <c r="R23" s="62">
        <f t="shared" si="7"/>
        <v>59428.052369996818</v>
      </c>
      <c r="S23" s="62">
        <f t="shared" si="7"/>
        <v>-415302.04519130057</v>
      </c>
      <c r="T23" s="62">
        <f t="shared" si="7"/>
        <v>140562.18007461447</v>
      </c>
      <c r="U23" s="62">
        <f t="shared" si="7"/>
        <v>6526.9814542948734</v>
      </c>
      <c r="V23" s="62">
        <f t="shared" si="7"/>
        <v>-41356.580262559466</v>
      </c>
      <c r="W23" s="62">
        <f t="shared" si="7"/>
        <v>-18952.833435795503</v>
      </c>
      <c r="X23" s="62">
        <f t="shared" si="7"/>
        <v>-6205.3317354114261</v>
      </c>
      <c r="Y23" s="62">
        <f t="shared" si="7"/>
        <v>-16322.248611599673</v>
      </c>
    </row>
    <row r="24" spans="2:25" ht="16.5" customHeight="1" x14ac:dyDescent="0.3">
      <c r="B24" s="708" t="s">
        <v>501</v>
      </c>
      <c r="C24" s="118">
        <f>'11. 추정 BS'!X7-'11. 추정 BS'!Y7</f>
        <v>41278.185759</v>
      </c>
      <c r="D24" s="118">
        <f>'11. 추정 BS'!Y7-'11. 추정 BS'!Z7</f>
        <v>-142065.44604000001</v>
      </c>
      <c r="E24" s="118">
        <f>'11. 추정 BS'!Z7-'11. 추정 BS'!AA7</f>
        <v>167112.89559</v>
      </c>
      <c r="F24" s="118">
        <f>'11. 추정 BS'!AA7-'11. 추정 BS'!AB7</f>
        <v>-22500.885843999997</v>
      </c>
      <c r="G24" s="118">
        <f>'11. 추정 BS'!AB7-'11. 추정 BS'!AC7</f>
        <v>1723.0198459999956</v>
      </c>
      <c r="H24" s="795">
        <f>'11. 추정 BS'!AC7-'11. 추정 BS'!AD7</f>
        <v>27474.032118000003</v>
      </c>
      <c r="I24" s="118">
        <f>'11. 추정 BS'!AD7-'11. 추정 BS'!AE7</f>
        <v>-28870.726903999996</v>
      </c>
      <c r="J24" s="118">
        <f>'11. 추정 BS'!AE7-'11. 추정 BS'!AF7</f>
        <v>0</v>
      </c>
      <c r="K24" s="118">
        <f>'11. 추정 BS'!AF7-'11. 추정 BS'!AG7</f>
        <v>0</v>
      </c>
      <c r="L24" s="118">
        <f>'11. 추정 BS'!AG7-'11. 추정 BS'!AH7</f>
        <v>0</v>
      </c>
      <c r="M24" s="118">
        <f>'11. 추정 BS'!AH7-'11. 추정 BS'!AI7</f>
        <v>0</v>
      </c>
      <c r="N24" s="118">
        <f>'11. 추정 BS'!AI7-'11. 추정 BS'!AJ7</f>
        <v>0</v>
      </c>
      <c r="O24" s="118">
        <f>'11. 추정 BS'!AJ7-'11. 추정 BS'!AK7</f>
        <v>0</v>
      </c>
    </row>
    <row r="25" spans="2:25" ht="16.5" customHeight="1" x14ac:dyDescent="0.3">
      <c r="B25" s="708" t="s">
        <v>502</v>
      </c>
      <c r="C25" s="118">
        <f>SUM(C26:C30)</f>
        <v>-213988.24125800162</v>
      </c>
      <c r="D25" s="118">
        <f t="shared" ref="D25:O25" si="8">SUM(D26:D30)</f>
        <v>-1490009.549001998</v>
      </c>
      <c r="E25" s="118">
        <f t="shared" si="8"/>
        <v>202205.52853699963</v>
      </c>
      <c r="F25" s="118">
        <f t="shared" si="8"/>
        <v>299688.5831699972</v>
      </c>
      <c r="G25" s="118">
        <f t="shared" si="8"/>
        <v>235603.87625900027</v>
      </c>
      <c r="H25" s="795">
        <f t="shared" si="8"/>
        <v>154156.86952699686</v>
      </c>
      <c r="I25" s="118">
        <f t="shared" si="8"/>
        <v>-81885.868933962993</v>
      </c>
      <c r="J25" s="118">
        <f t="shared" si="8"/>
        <v>7978.0166020590314</v>
      </c>
      <c r="K25" s="118">
        <f t="shared" si="8"/>
        <v>17372.184782952907</v>
      </c>
      <c r="L25" s="118">
        <f t="shared" si="8"/>
        <v>10907.749168918235</v>
      </c>
      <c r="M25" s="118">
        <f t="shared" si="8"/>
        <v>-1793.6887903665192</v>
      </c>
      <c r="N25" s="118">
        <f t="shared" si="8"/>
        <v>4396.1916502721142</v>
      </c>
      <c r="O25" s="118">
        <f t="shared" si="8"/>
        <v>1365.962272652192</v>
      </c>
    </row>
    <row r="26" spans="2:25" ht="16.5" customHeight="1" x14ac:dyDescent="0.3">
      <c r="B26" s="694" t="s">
        <v>503</v>
      </c>
      <c r="C26" s="118">
        <f>'11. 추정 BS'!X8-'11. 추정 BS'!Y8</f>
        <v>-216423.04953400162</v>
      </c>
      <c r="D26" s="118">
        <f>'11. 추정 BS'!Y8-'11. 추정 BS'!Z8</f>
        <v>-1269178.530224998</v>
      </c>
      <c r="E26" s="118">
        <f>'11. 추정 BS'!Z8-'11. 추정 BS'!AA8</f>
        <v>157981.27263999963</v>
      </c>
      <c r="F26" s="118">
        <f>'11. 추정 BS'!AA8-'11. 추정 BS'!AB8</f>
        <v>182879.93573899986</v>
      </c>
      <c r="G26" s="118">
        <f>'11. 추정 BS'!AB8-'11. 추정 BS'!AC8</f>
        <v>994200.60526100034</v>
      </c>
      <c r="H26" s="795">
        <f>'11. 추정 BS'!AC8-'11. 추정 BS'!AD8</f>
        <v>54670.113547999877</v>
      </c>
      <c r="I26" s="118">
        <f>'11. 추정 BS'!AD8-'11. 추정 BS'!AE8</f>
        <v>-81722.916157962987</v>
      </c>
      <c r="J26" s="118">
        <f>'11. 추정 BS'!AE8-'11. 추정 BS'!AF8</f>
        <v>8140.9693780590314</v>
      </c>
      <c r="K26" s="118">
        <f>'11. 추정 BS'!AF8-'11. 추정 BS'!AG8</f>
        <v>17535.137558952905</v>
      </c>
      <c r="L26" s="118">
        <f>'11. 추정 BS'!AG8-'11. 추정 BS'!AH8</f>
        <v>10907.749168918235</v>
      </c>
      <c r="M26" s="118">
        <f>'11. 추정 BS'!AH8-'11. 추정 BS'!AI8</f>
        <v>-1793.6887903665192</v>
      </c>
      <c r="N26" s="118">
        <f>'11. 추정 BS'!AI8-'11. 추정 BS'!AJ8</f>
        <v>4396.1916502721142</v>
      </c>
      <c r="O26" s="118">
        <f>'11. 추정 BS'!AJ8-'11. 추정 BS'!AK8</f>
        <v>1365.962272652192</v>
      </c>
      <c r="P26" s="786" t="s">
        <v>862</v>
      </c>
    </row>
    <row r="27" spans="2:25" ht="16.5" customHeight="1" x14ac:dyDescent="0.3">
      <c r="B27" s="694" t="s">
        <v>491</v>
      </c>
      <c r="C27" s="118">
        <f>-C9</f>
        <v>-3918.4150490000002</v>
      </c>
      <c r="D27" s="118">
        <f t="shared" ref="D27:O27" si="9">-D9</f>
        <v>-1214.5052049999999</v>
      </c>
      <c r="E27" s="118">
        <f t="shared" si="9"/>
        <v>0</v>
      </c>
      <c r="F27" s="118">
        <f t="shared" si="9"/>
        <v>-11191.715326</v>
      </c>
      <c r="G27" s="118">
        <f t="shared" si="9"/>
        <v>0</v>
      </c>
      <c r="H27" s="795">
        <f t="shared" si="9"/>
        <v>0</v>
      </c>
      <c r="I27" s="118">
        <f t="shared" si="9"/>
        <v>0</v>
      </c>
      <c r="J27" s="118">
        <f t="shared" si="9"/>
        <v>0</v>
      </c>
      <c r="K27" s="118">
        <f t="shared" si="9"/>
        <v>0</v>
      </c>
      <c r="L27" s="118">
        <f t="shared" si="9"/>
        <v>0</v>
      </c>
      <c r="M27" s="118">
        <f t="shared" si="9"/>
        <v>0</v>
      </c>
      <c r="N27" s="118">
        <f t="shared" si="9"/>
        <v>0</v>
      </c>
      <c r="O27" s="118">
        <f t="shared" si="9"/>
        <v>0</v>
      </c>
    </row>
    <row r="28" spans="2:25" ht="16.5" customHeight="1" x14ac:dyDescent="0.3">
      <c r="B28" s="694" t="s">
        <v>494</v>
      </c>
      <c r="C28" s="118">
        <f>C12</f>
        <v>0</v>
      </c>
      <c r="D28" s="118">
        <f t="shared" ref="D28:O28" si="10">D12</f>
        <v>28359.628100999998</v>
      </c>
      <c r="E28" s="118">
        <f t="shared" si="10"/>
        <v>14673.927170999999</v>
      </c>
      <c r="F28" s="118">
        <f t="shared" si="10"/>
        <v>0</v>
      </c>
      <c r="G28" s="118">
        <f t="shared" si="10"/>
        <v>1052.0385900000001</v>
      </c>
      <c r="H28" s="795">
        <f t="shared" si="10"/>
        <v>9180</v>
      </c>
      <c r="I28" s="118">
        <f t="shared" si="10"/>
        <v>-162.95277600000006</v>
      </c>
      <c r="J28" s="118">
        <f t="shared" si="10"/>
        <v>-162.95277600000006</v>
      </c>
      <c r="K28" s="118">
        <f t="shared" si="10"/>
        <v>-162.95277600000006</v>
      </c>
      <c r="L28" s="118">
        <f t="shared" si="10"/>
        <v>0</v>
      </c>
      <c r="M28" s="118">
        <f t="shared" si="10"/>
        <v>0</v>
      </c>
      <c r="N28" s="118">
        <f t="shared" si="10"/>
        <v>0</v>
      </c>
      <c r="O28" s="118">
        <f t="shared" si="10"/>
        <v>0</v>
      </c>
    </row>
    <row r="29" spans="2:25" ht="16.5" customHeight="1" x14ac:dyDescent="0.3">
      <c r="B29" s="694" t="s">
        <v>504</v>
      </c>
      <c r="C29" s="118">
        <f>SUM('11. 추정 BS'!Y34:Y36)</f>
        <v>6353.2233249999999</v>
      </c>
      <c r="D29" s="118">
        <f>SUM('11. 추정 BS'!Z34:Z36)</f>
        <v>-80869.729180000009</v>
      </c>
      <c r="E29" s="118">
        <f>SUM('11. 추정 BS'!AA34:AA36)</f>
        <v>29550.328726000014</v>
      </c>
      <c r="F29" s="118">
        <f>SUM('11. 추정 BS'!AB34:AB36)+'11. 추정 BS'!AB33</f>
        <v>128000.36275699738</v>
      </c>
      <c r="G29" s="118">
        <f>SUM('11. 추정 BS'!AC34:AC36)</f>
        <v>72711.999714000005</v>
      </c>
      <c r="H29" s="795">
        <f>SUM('11. 추정 BS'!AD35:AD36)+'11. 추정 BS'!AD33-0.7</f>
        <v>90306.755978996996</v>
      </c>
      <c r="I29" s="118">
        <f>SUM('11. 추정 BS'!AE34:AE36)</f>
        <v>0</v>
      </c>
      <c r="J29" s="118">
        <f>SUM('11. 추정 BS'!AF34:AF36)</f>
        <v>0</v>
      </c>
      <c r="K29" s="118">
        <f>SUM('11. 추정 BS'!AG34:AG36)</f>
        <v>0</v>
      </c>
      <c r="L29" s="118">
        <f>SUM('11. 추정 BS'!AH34:AH36)</f>
        <v>0</v>
      </c>
      <c r="M29" s="118">
        <f>SUM('11. 추정 BS'!AI34:AI36)</f>
        <v>0</v>
      </c>
      <c r="N29" s="118">
        <f>SUM('11. 추정 BS'!AJ34:AJ36)</f>
        <v>0</v>
      </c>
      <c r="O29" s="118">
        <f>SUM('11. 추정 BS'!AK34:AK36)</f>
        <v>0</v>
      </c>
    </row>
    <row r="30" spans="2:25" ht="16.5" customHeight="1" x14ac:dyDescent="0.3">
      <c r="B30" s="694" t="s">
        <v>863</v>
      </c>
      <c r="C30" s="787"/>
      <c r="D30" s="118">
        <f>SUM('11. 추정 BS'!Z32:Z33)</f>
        <v>-167106.41249300004</v>
      </c>
      <c r="E30" s="118"/>
      <c r="F30" s="118"/>
      <c r="G30" s="118">
        <f>'11. 추정 BS'!AC32</f>
        <v>-832360.76730599999</v>
      </c>
      <c r="H30" s="795"/>
      <c r="I30" s="118"/>
      <c r="J30" s="118"/>
      <c r="K30" s="118"/>
      <c r="L30" s="118"/>
      <c r="M30" s="118"/>
      <c r="N30" s="118"/>
      <c r="O30" s="118"/>
    </row>
    <row r="31" spans="2:25" ht="16.5" customHeight="1" x14ac:dyDescent="0.3">
      <c r="B31" s="708" t="s">
        <v>506</v>
      </c>
      <c r="C31" s="118">
        <f>SUM(C32:C33)</f>
        <v>-413015.57188699988</v>
      </c>
      <c r="D31" s="118">
        <f t="shared" ref="D31:O31" si="11">SUM(D32:D33)</f>
        <v>-573281.12276000041</v>
      </c>
      <c r="E31" s="118">
        <f t="shared" si="11"/>
        <v>-616982.05271499977</v>
      </c>
      <c r="F31" s="118">
        <f t="shared" si="11"/>
        <v>-673433.37188000069</v>
      </c>
      <c r="G31" s="118">
        <f t="shared" si="11"/>
        <v>-548020.635197</v>
      </c>
      <c r="H31" s="795">
        <f t="shared" si="11"/>
        <v>-432896.58836699976</v>
      </c>
      <c r="I31" s="118">
        <f t="shared" si="11"/>
        <v>-555811.13607534056</v>
      </c>
      <c r="J31" s="118">
        <f t="shared" si="11"/>
        <v>-533983.56844074803</v>
      </c>
      <c r="K31" s="118">
        <f t="shared" si="11"/>
        <v>-536850.75516734703</v>
      </c>
      <c r="L31" s="118">
        <f t="shared" si="11"/>
        <v>-571742.89981587185</v>
      </c>
      <c r="M31" s="118">
        <f t="shared" si="11"/>
        <v>-577994.29529238259</v>
      </c>
      <c r="N31" s="118">
        <f t="shared" si="11"/>
        <v>-590389.50746843265</v>
      </c>
      <c r="O31" s="118">
        <f t="shared" si="11"/>
        <v>-603681.5267024124</v>
      </c>
    </row>
    <row r="32" spans="2:25" ht="16.5" customHeight="1" x14ac:dyDescent="0.3">
      <c r="B32" s="694" t="s">
        <v>507</v>
      </c>
      <c r="C32" s="118">
        <v>-415086.98468099989</v>
      </c>
      <c r="D32" s="118">
        <v>-590385.95422000042</v>
      </c>
      <c r="E32" s="118">
        <v>-617584.8560309998</v>
      </c>
      <c r="F32" s="118">
        <v>-675566.46958700067</v>
      </c>
      <c r="G32" s="118">
        <f>-'12-1. 추정 투자_삭제'!G5+14786</f>
        <v>-560223.13931100001</v>
      </c>
      <c r="H32" s="795">
        <f>-'12-1. 추정 투자_삭제'!H5</f>
        <v>-439012.58836699976</v>
      </c>
      <c r="I32" s="118">
        <f>-'12-1. 추정 투자_삭제'!I5</f>
        <v>-566361.42583971482</v>
      </c>
      <c r="J32" s="118">
        <f>-'12-1. 추정 투자_삭제'!J5</f>
        <v>-561137.14164411835</v>
      </c>
      <c r="K32" s="118">
        <f>-'12-1. 추정 투자_삭제'!K5</f>
        <v>-564304.94102829252</v>
      </c>
      <c r="L32" s="118">
        <f>-'12-1. 추정 투자_삭제'!L5</f>
        <v>-593462.24942543521</v>
      </c>
      <c r="M32" s="118">
        <f>-'12-1. 추정 투자_삭제'!M5</f>
        <v>-603436.66485034232</v>
      </c>
      <c r="N32" s="118">
        <f>-'12-1. 추정 투자_삭제'!N5</f>
        <v>-615261.47581125551</v>
      </c>
      <c r="O32" s="118">
        <f>-'12-1. 추정 투자_삭제'!O5</f>
        <v>-627692.75587252772</v>
      </c>
    </row>
    <row r="33" spans="1:20" ht="16.5" customHeight="1" x14ac:dyDescent="0.3">
      <c r="B33" s="694" t="s">
        <v>493</v>
      </c>
      <c r="C33" s="118">
        <f>C11</f>
        <v>2071.4127939999998</v>
      </c>
      <c r="D33" s="118">
        <f t="shared" ref="D33:O33" si="12">D11</f>
        <v>17104.831460000001</v>
      </c>
      <c r="E33" s="118">
        <f t="shared" si="12"/>
        <v>602.803316</v>
      </c>
      <c r="F33" s="118">
        <f t="shared" si="12"/>
        <v>2133.0977069999999</v>
      </c>
      <c r="G33" s="118">
        <f t="shared" si="12"/>
        <v>12202.504114000001</v>
      </c>
      <c r="H33" s="795">
        <f t="shared" si="12"/>
        <v>6116</v>
      </c>
      <c r="I33" s="118">
        <f t="shared" si="12"/>
        <v>10550.289764374216</v>
      </c>
      <c r="J33" s="118">
        <f t="shared" si="12"/>
        <v>27153.573203370284</v>
      </c>
      <c r="K33" s="118">
        <f t="shared" si="12"/>
        <v>27454.185860945545</v>
      </c>
      <c r="L33" s="118">
        <f t="shared" si="12"/>
        <v>21719.349609563349</v>
      </c>
      <c r="M33" s="118">
        <f t="shared" si="12"/>
        <v>25442.369557959726</v>
      </c>
      <c r="N33" s="118">
        <f t="shared" si="12"/>
        <v>24871.968342822875</v>
      </c>
      <c r="O33" s="118">
        <f t="shared" si="12"/>
        <v>24011.229170115319</v>
      </c>
    </row>
    <row r="34" spans="1:20" ht="16.5" customHeight="1" x14ac:dyDescent="0.3">
      <c r="B34" s="118" t="s">
        <v>508</v>
      </c>
      <c r="C34" s="118">
        <f>SUM(C35:C37)</f>
        <v>-174050.46143100027</v>
      </c>
      <c r="D34" s="118">
        <f t="shared" ref="D34:O34" si="13">SUM(D35:D37)</f>
        <v>968539.49033300008</v>
      </c>
      <c r="E34" s="118">
        <f t="shared" si="13"/>
        <v>209604.0642609997</v>
      </c>
      <c r="F34" s="118">
        <f t="shared" si="13"/>
        <v>143445.76082100024</v>
      </c>
      <c r="G34" s="118">
        <f t="shared" si="13"/>
        <v>-106118.07817400128</v>
      </c>
      <c r="H34" s="795">
        <f t="shared" si="13"/>
        <v>-147377.0616829978</v>
      </c>
      <c r="I34" s="118">
        <f t="shared" si="13"/>
        <v>-112574.98233045987</v>
      </c>
      <c r="J34" s="118">
        <f t="shared" si="13"/>
        <v>-68138.454710236751</v>
      </c>
      <c r="K34" s="118">
        <f t="shared" si="13"/>
        <v>-69789.31045452808</v>
      </c>
      <c r="L34" s="118">
        <f t="shared" si="13"/>
        <v>-68950.83926920197</v>
      </c>
      <c r="M34" s="118">
        <f t="shared" si="13"/>
        <v>-69392.773376779631</v>
      </c>
      <c r="N34" s="118">
        <f t="shared" si="13"/>
        <v>-75793.70699443249</v>
      </c>
      <c r="O34" s="118">
        <f t="shared" si="13"/>
        <v>-77828.99326777691</v>
      </c>
      <c r="Q34" s="62" t="s">
        <v>864</v>
      </c>
      <c r="T34" s="62" t="s">
        <v>865</v>
      </c>
    </row>
    <row r="35" spans="1:20" ht="16.5" customHeight="1" x14ac:dyDescent="0.3">
      <c r="B35" s="708" t="s">
        <v>509</v>
      </c>
      <c r="C35" s="118">
        <f>'11. 추정 BS'!Y15-'11. 추정 BS'!X15</f>
        <v>-63493.469371000188</v>
      </c>
      <c r="D35" s="118">
        <f>'11. 추정 BS'!Z15-'11. 추정 BS'!Y15</f>
        <v>635767.0342570002</v>
      </c>
      <c r="E35" s="118">
        <f>'11. 추정 BS'!AA15-'11. 추정 BS'!Z15</f>
        <v>283712.03144799988</v>
      </c>
      <c r="F35" s="118">
        <f>'11. 추정 BS'!AB15-'11. 추정 BS'!AA15</f>
        <v>126273.38487100019</v>
      </c>
      <c r="G35" s="118">
        <f>'11. 추정 BS'!AC15-'11. 추정 BS'!AB15</f>
        <v>7403.4352789977565</v>
      </c>
      <c r="H35" s="795">
        <f>'11. 추정 BS'!AD15-'11. 추정 BS'!AC15</f>
        <v>-49392.784422997851</v>
      </c>
      <c r="I35" s="118">
        <f>'11. 추정 BS'!AE15-'11. 추정 BS'!AD15</f>
        <v>-45497.512026459211</v>
      </c>
      <c r="J35" s="118">
        <f>'11. 추정 BS'!AF15-'11. 추정 BS'!AE15</f>
        <v>15510.755800435087</v>
      </c>
      <c r="K35" s="118">
        <f>'11. 추정 BS'!AG15-'11. 추정 BS'!AF15</f>
        <v>20694.599337140564</v>
      </c>
      <c r="L35" s="118">
        <f>'11. 추정 BS'!AH15-'11. 추정 BS'!AG15</f>
        <v>19167.193932511844</v>
      </c>
      <c r="M35" s="118">
        <f>'11. 추정 BS'!AI15-'11. 추정 BS'!AH15</f>
        <v>17920.782994509442</v>
      </c>
      <c r="N35" s="118">
        <f>'11. 추정 BS'!AJ15-'11. 추정 BS'!AI15</f>
        <v>16940.337027945323</v>
      </c>
      <c r="O35" s="118">
        <f>'11. 추정 BS'!AK15-'11. 추정 BS'!AJ15</f>
        <v>17011.951879765373</v>
      </c>
    </row>
    <row r="36" spans="1:20" ht="16.5" customHeight="1" x14ac:dyDescent="0.3">
      <c r="B36" s="708" t="s">
        <v>510</v>
      </c>
      <c r="C36" s="118">
        <f>'11. 추정 BS'!Y16-'11. 추정 BS'!X16</f>
        <v>-52806.992060000077</v>
      </c>
      <c r="D36" s="118">
        <f>'11. 추정 BS'!Z16-'11. 추정 BS'!Y16</f>
        <v>402072.45607599989</v>
      </c>
      <c r="E36" s="118">
        <f>'11. 추정 BS'!AA16-'11. 추정 BS'!Z16</f>
        <v>48508.062812999822</v>
      </c>
      <c r="F36" s="118">
        <f>'11. 추정 BS'!AB16-'11. 추정 BS'!AA16</f>
        <v>61109.786700000055</v>
      </c>
      <c r="G36" s="118">
        <f>'11. 추정 BS'!AC16-'11. 추정 BS'!AB16+'12-1. 추정 투자_삭제'!G6</f>
        <v>-61802.385452999035</v>
      </c>
      <c r="H36" s="795">
        <f>'11. 추정 BS'!AD16-'11. 추정 BS'!AC16+'12-1. 추정 투자_삭제'!H6</f>
        <v>-56201.482259999961</v>
      </c>
      <c r="I36" s="118">
        <f>'11. 추정 BS'!AE16-'11. 추정 BS'!AD16+'12-1. 추정 투자_삭제'!I6</f>
        <v>-33430.470304000657</v>
      </c>
      <c r="J36" s="118">
        <f>'11. 추정 BS'!AF16-'11. 추정 BS'!AE16+'12-1. 추정 투자_삭제'!J6</f>
        <v>-26336.210510671837</v>
      </c>
      <c r="K36" s="118">
        <f>'11. 추정 BS'!AG16-'11. 추정 BS'!AF16+'12-1. 추정 투자_삭제'!K6</f>
        <v>-22147.909791668644</v>
      </c>
      <c r="L36" s="118">
        <f>'11. 추정 BS'!AH16-'11. 추정 BS'!AG16+'12-1. 추정 투자_삭제'!L6</f>
        <v>-20165.033201713813</v>
      </c>
      <c r="M36" s="118">
        <f>'11. 추정 BS'!AI16-'11. 추정 BS'!AH16+'12-1. 추정 투자_삭제'!M6</f>
        <v>-18938.556371289073</v>
      </c>
      <c r="N36" s="118">
        <f>'11. 추정 BS'!AJ16-'11. 추정 BS'!AI16+'12-1. 추정 투자_삭제'!N6</f>
        <v>-19528.044022377813</v>
      </c>
      <c r="O36" s="118">
        <f>'11. 추정 BS'!AK16-'11. 추정 BS'!AJ16+'12-1. 추정 투자_삭제'!O6</f>
        <v>-19399.945147542283</v>
      </c>
    </row>
    <row r="37" spans="1:20" ht="16.5" customHeight="1" x14ac:dyDescent="0.3">
      <c r="B37" s="708" t="s">
        <v>232</v>
      </c>
      <c r="C37" s="118">
        <f>'11. 추정 BS'!Y40</f>
        <v>-57750</v>
      </c>
      <c r="D37" s="118">
        <f>'11. 추정 BS'!Z40</f>
        <v>-69300</v>
      </c>
      <c r="E37" s="118">
        <f>'11. 추정 BS'!AA40</f>
        <v>-122616.03</v>
      </c>
      <c r="F37" s="118">
        <f>'11. 추정 BS'!AB40</f>
        <v>-43937.410750000003</v>
      </c>
      <c r="G37" s="118">
        <f>'11. 추정 BS'!AC40</f>
        <v>-51719.127999999997</v>
      </c>
      <c r="H37" s="795">
        <f>'11. 추정 BS'!AD40</f>
        <v>-41782.794999999998</v>
      </c>
      <c r="I37" s="118">
        <f>'11. 추정 BS'!AE40</f>
        <v>-33647</v>
      </c>
      <c r="J37" s="118">
        <f>'11. 추정 BS'!AF40</f>
        <v>-57313</v>
      </c>
      <c r="K37" s="118">
        <f>'11. 추정 BS'!AG40</f>
        <v>-68336</v>
      </c>
      <c r="L37" s="118">
        <f>'11. 추정 BS'!AH40</f>
        <v>-67953</v>
      </c>
      <c r="M37" s="118">
        <f>'11. 추정 BS'!AI40</f>
        <v>-68375</v>
      </c>
      <c r="N37" s="118">
        <f>'11. 추정 BS'!AJ40</f>
        <v>-73206</v>
      </c>
      <c r="O37" s="118">
        <f>'11. 추정 BS'!AK40</f>
        <v>-75441</v>
      </c>
    </row>
    <row r="38" spans="1:20" ht="16.5" customHeight="1" x14ac:dyDescent="0.3">
      <c r="B38" s="118" t="s">
        <v>511</v>
      </c>
      <c r="C38" s="118">
        <f>C4+C23+C34</f>
        <v>-4824.1544090009993</v>
      </c>
      <c r="D38" s="118">
        <f t="shared" ref="D38:O38" si="14">D4+D23+D34</f>
        <v>7305.5590470003663</v>
      </c>
      <c r="E38" s="118">
        <f t="shared" si="14"/>
        <v>293197.07113499939</v>
      </c>
      <c r="F38" s="118">
        <f t="shared" si="14"/>
        <v>50424.167658999009</v>
      </c>
      <c r="G38" s="118">
        <f t="shared" si="14"/>
        <v>-341107.16102800076</v>
      </c>
      <c r="H38" s="795">
        <f t="shared" si="14"/>
        <v>209610.90601599932</v>
      </c>
      <c r="I38" s="118">
        <f t="shared" si="14"/>
        <v>-143953.46636212803</v>
      </c>
      <c r="J38" s="118">
        <f t="shared" si="14"/>
        <v>37219.839055148885</v>
      </c>
      <c r="K38" s="118">
        <f t="shared" si="14"/>
        <v>39080.831007906352</v>
      </c>
      <c r="L38" s="118">
        <f t="shared" si="14"/>
        <v>16935.026770091965</v>
      </c>
      <c r="M38" s="118">
        <f t="shared" si="14"/>
        <v>18628.529447102104</v>
      </c>
      <c r="N38" s="118">
        <f t="shared" si="14"/>
        <v>20491.382391812163</v>
      </c>
      <c r="O38" s="118">
        <f t="shared" si="14"/>
        <v>22540.520630993648</v>
      </c>
    </row>
    <row r="39" spans="1:20" ht="16.5" customHeight="1" x14ac:dyDescent="0.3">
      <c r="B39" s="118" t="s">
        <v>512</v>
      </c>
      <c r="C39" s="118">
        <f>'11. 추정 BS'!X6</f>
        <v>22397.107106000003</v>
      </c>
      <c r="D39" s="118">
        <f>'11. 추정 BS'!Y6</f>
        <v>17572.952697000001</v>
      </c>
      <c r="E39" s="118">
        <f>'11. 추정 BS'!Z6</f>
        <v>24878.511743999999</v>
      </c>
      <c r="F39" s="118">
        <f>'11. 추정 BS'!AA6</f>
        <v>318075.60317899997</v>
      </c>
      <c r="G39" s="118">
        <f>'11. 추정 BS'!AB6</f>
        <v>368499.75053799996</v>
      </c>
      <c r="H39" s="795">
        <f>'11. 추정 BS'!AC6</f>
        <v>27392.137847000002</v>
      </c>
      <c r="I39" s="118">
        <f>'11. 추정 BS'!AD6</f>
        <v>237003</v>
      </c>
      <c r="J39" s="118">
        <f>'11. 추정 BS'!AE6</f>
        <v>93049.597637871993</v>
      </c>
      <c r="K39" s="118">
        <f>'11. 추정 BS'!AF6</f>
        <v>130269.43669302078</v>
      </c>
      <c r="L39" s="118">
        <f>'11. 추정 BS'!AG6</f>
        <v>169350.26770092701</v>
      </c>
      <c r="M39" s="118">
        <f>'11. 추정 BS'!AH6</f>
        <v>186285.29447101973</v>
      </c>
      <c r="N39" s="118">
        <f>'11. 추정 BS'!AI6</f>
        <v>204913.82391812172</v>
      </c>
      <c r="O39" s="118">
        <f>'11. 추정 BS'!AJ6</f>
        <v>225405.20630993391</v>
      </c>
    </row>
    <row r="40" spans="1:20" ht="16.5" customHeight="1" x14ac:dyDescent="0.3">
      <c r="B40" s="118" t="s">
        <v>513</v>
      </c>
      <c r="C40" s="118">
        <f>C38+C39</f>
        <v>17572.952696999004</v>
      </c>
      <c r="D40" s="118">
        <f t="shared" ref="D40:O40" si="15">D38+D39</f>
        <v>24878.511744000367</v>
      </c>
      <c r="E40" s="118">
        <f t="shared" si="15"/>
        <v>318075.58287899941</v>
      </c>
      <c r="F40" s="118">
        <f t="shared" si="15"/>
        <v>368499.77083799895</v>
      </c>
      <c r="G40" s="118">
        <f t="shared" si="15"/>
        <v>27392.589509999205</v>
      </c>
      <c r="H40" s="795">
        <f t="shared" si="15"/>
        <v>237003.04386299933</v>
      </c>
      <c r="I40" s="118">
        <f t="shared" si="15"/>
        <v>93049.533637871966</v>
      </c>
      <c r="J40" s="118">
        <f t="shared" si="15"/>
        <v>130269.43669302088</v>
      </c>
      <c r="K40" s="118">
        <f t="shared" si="15"/>
        <v>169350.26770092713</v>
      </c>
      <c r="L40" s="118">
        <f t="shared" si="15"/>
        <v>186285.29447101898</v>
      </c>
      <c r="M40" s="118">
        <f t="shared" si="15"/>
        <v>204913.82391812184</v>
      </c>
      <c r="N40" s="118">
        <f t="shared" si="15"/>
        <v>225405.20630993388</v>
      </c>
      <c r="O40" s="118">
        <f t="shared" si="15"/>
        <v>247945.72694092756</v>
      </c>
    </row>
    <row r="41" spans="1:20" ht="16.5" customHeight="1" x14ac:dyDescent="0.3">
      <c r="H41" s="200"/>
    </row>
    <row r="42" spans="1:20" ht="16.5" hidden="1" customHeight="1" outlineLevel="1" x14ac:dyDescent="0.3">
      <c r="A42" s="690"/>
      <c r="B42" s="725"/>
      <c r="C42" s="725">
        <f>C40-'11. 추정 BS'!Y6</f>
        <v>-9.9680619314312935E-10</v>
      </c>
      <c r="D42" s="725">
        <f>D40-'11. 추정 BS'!Z6</f>
        <v>3.6743585951626301E-10</v>
      </c>
      <c r="E42" s="725">
        <f>E40-'11. 추정 BS'!AA6</f>
        <v>-2.0300000556744635E-2</v>
      </c>
      <c r="F42" s="725">
        <f>F40-'11. 추정 BS'!AB6</f>
        <v>2.029999898513779E-2</v>
      </c>
      <c r="G42" s="725">
        <f>G40-'11. 추정 BS'!AC6</f>
        <v>0.45166299920310848</v>
      </c>
      <c r="H42" s="726">
        <f>H40-'11. 추정 BS'!AD6</f>
        <v>4.3862999329576269E-2</v>
      </c>
      <c r="I42" s="725">
        <f>I40-'11. 추정 BS'!AE6</f>
        <v>-6.4000000027590431E-2</v>
      </c>
      <c r="J42" s="725">
        <f>J40-'11. 추정 BS'!AF6</f>
        <v>0</v>
      </c>
      <c r="K42" s="725">
        <f>K40-'11. 추정 BS'!AG6</f>
        <v>0</v>
      </c>
      <c r="L42" s="725">
        <f>L40-'11. 추정 BS'!AH6</f>
        <v>-7.5669959187507629E-10</v>
      </c>
      <c r="M42" s="725">
        <f>M40-'11. 추정 BS'!AI6</f>
        <v>0</v>
      </c>
      <c r="N42" s="725">
        <f>N40-'11. 추정 BS'!AJ6</f>
        <v>0</v>
      </c>
      <c r="O42" s="725">
        <f>O40-'11. 추정 BS'!AK6</f>
        <v>2.3283064365386963E-10</v>
      </c>
    </row>
    <row r="43" spans="1:20" ht="23.25" customHeight="1" collapsed="1" x14ac:dyDescent="0.3"/>
  </sheetData>
  <mergeCells count="1">
    <mergeCell ref="B1:O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C5DC-ECC4-438A-999C-BE6A98512AB2}">
  <sheetPr filterMode="1">
    <tabColor theme="0" tint="-0.499984740745262"/>
  </sheetPr>
  <dimension ref="A1:AA1252"/>
  <sheetViews>
    <sheetView topLeftCell="L1" workbookViewId="0">
      <selection activeCell="V219" sqref="V219"/>
    </sheetView>
  </sheetViews>
  <sheetFormatPr defaultRowHeight="16.5" outlineLevelRow="2" outlineLevelCol="1" x14ac:dyDescent="0.3"/>
  <cols>
    <col min="1" max="1" width="6.625" customWidth="1"/>
    <col min="2" max="2" width="20" bestFit="1" customWidth="1"/>
    <col min="3" max="4" width="1.75" customWidth="1"/>
    <col min="5" max="5" width="37.125" style="250" customWidth="1"/>
    <col min="6" max="7" width="8.75" hidden="1" customWidth="1" outlineLevel="1"/>
    <col min="8" max="8" width="16" hidden="1" customWidth="1" outlineLevel="1"/>
    <col min="9" max="9" width="8.75" hidden="1" customWidth="1" outlineLevel="1"/>
    <col min="10" max="10" width="16.125" customWidth="1" collapsed="1"/>
    <col min="11" max="22" width="16.125" customWidth="1"/>
    <col min="23" max="23" width="1.75" customWidth="1"/>
    <col min="24" max="25" width="16.125" customWidth="1"/>
  </cols>
  <sheetData>
    <row r="1" spans="1:27" x14ac:dyDescent="0.3">
      <c r="C1" s="249"/>
      <c r="D1" s="249"/>
      <c r="U1" s="303"/>
    </row>
    <row r="2" spans="1:27" ht="26.25" x14ac:dyDescent="0.3">
      <c r="B2" s="249"/>
      <c r="C2" s="251" t="s">
        <v>8855</v>
      </c>
      <c r="D2" s="252"/>
      <c r="E2" s="253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</row>
    <row r="3" spans="1:27" ht="26.25" x14ac:dyDescent="0.3">
      <c r="B3" s="249"/>
      <c r="C3" s="251"/>
      <c r="D3" s="252"/>
      <c r="E3" s="253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</row>
    <row r="4" spans="1:27" x14ac:dyDescent="0.3">
      <c r="B4" t="s">
        <v>894</v>
      </c>
      <c r="E4" s="254">
        <v>1000</v>
      </c>
      <c r="J4" s="303"/>
      <c r="K4" s="303"/>
      <c r="L4" s="303"/>
      <c r="M4" s="303"/>
      <c r="N4" s="303"/>
      <c r="O4" s="303"/>
      <c r="P4" s="303"/>
      <c r="Q4" s="303"/>
      <c r="R4" s="303"/>
      <c r="S4" s="303"/>
      <c r="T4" s="303"/>
      <c r="U4" s="303"/>
      <c r="V4" s="255" t="s">
        <v>896</v>
      </c>
      <c r="Y4" s="303"/>
    </row>
    <row r="5" spans="1:27" s="249" customFormat="1" x14ac:dyDescent="0.3">
      <c r="C5" s="256" t="s">
        <v>8856</v>
      </c>
      <c r="D5" s="256"/>
      <c r="E5" s="257"/>
      <c r="F5" s="258" t="s">
        <v>8857</v>
      </c>
      <c r="G5" s="259" t="s">
        <v>8858</v>
      </c>
      <c r="H5" s="260" t="s">
        <v>900</v>
      </c>
      <c r="I5" s="261" t="s">
        <v>901</v>
      </c>
      <c r="J5" s="262">
        <v>1</v>
      </c>
      <c r="K5" s="263">
        <v>2</v>
      </c>
      <c r="L5" s="263">
        <v>3</v>
      </c>
      <c r="M5" s="263">
        <v>4</v>
      </c>
      <c r="N5" s="263">
        <v>5</v>
      </c>
      <c r="O5" s="263">
        <v>6</v>
      </c>
      <c r="P5" s="263">
        <v>7</v>
      </c>
      <c r="Q5" s="263">
        <v>8</v>
      </c>
      <c r="R5" s="263">
        <v>9</v>
      </c>
      <c r="S5" s="263">
        <v>10</v>
      </c>
      <c r="T5" s="263">
        <v>11</v>
      </c>
      <c r="U5" s="264">
        <v>12</v>
      </c>
      <c r="V5" s="265" t="s">
        <v>8859</v>
      </c>
      <c r="X5" s="266" t="s">
        <v>903</v>
      </c>
      <c r="Y5" s="260" t="s">
        <v>904</v>
      </c>
    </row>
    <row r="6" spans="1:27" s="2" customFormat="1" hidden="1" x14ac:dyDescent="0.3">
      <c r="A6"/>
      <c r="B6"/>
      <c r="C6" s="267" t="s">
        <v>905</v>
      </c>
      <c r="D6" s="267"/>
      <c r="E6" s="268"/>
      <c r="F6" s="269"/>
      <c r="G6" s="270"/>
      <c r="H6" s="271"/>
      <c r="I6" s="272"/>
      <c r="J6" s="273">
        <v>1365243174.5970006</v>
      </c>
      <c r="K6" s="274">
        <v>1259430339.9469998</v>
      </c>
      <c r="L6" s="274">
        <v>1424156253.1689999</v>
      </c>
      <c r="M6" s="274">
        <v>1419569091.3790002</v>
      </c>
      <c r="N6" s="274">
        <v>1481540129.065999</v>
      </c>
      <c r="O6" s="274">
        <v>1446219213.9419997</v>
      </c>
      <c r="P6" s="274">
        <v>1535494483.1260002</v>
      </c>
      <c r="Q6" s="274">
        <v>1525632141.9659991</v>
      </c>
      <c r="R6" s="274">
        <v>1500473878.4790003</v>
      </c>
      <c r="S6" s="274">
        <v>1503927652.4120014</v>
      </c>
      <c r="T6" s="274">
        <v>1460473120.0809999</v>
      </c>
      <c r="U6" s="275">
        <v>1434473353.3550014</v>
      </c>
      <c r="V6" s="276">
        <v>17356632831.519001</v>
      </c>
      <c r="W6" s="277"/>
      <c r="X6" s="278">
        <v>1434473353.3550014</v>
      </c>
      <c r="Y6" s="279">
        <v>17356632831.519001</v>
      </c>
      <c r="AA6" s="388"/>
    </row>
    <row r="7" spans="1:27" ht="16.5" customHeight="1" x14ac:dyDescent="0.3">
      <c r="A7" s="248" t="s">
        <v>58</v>
      </c>
      <c r="B7" s="248"/>
      <c r="C7" s="280" t="s">
        <v>906</v>
      </c>
      <c r="D7" s="281"/>
      <c r="E7" s="282"/>
      <c r="F7" s="283" t="s">
        <v>907</v>
      </c>
      <c r="G7" s="284"/>
      <c r="H7" s="285"/>
      <c r="I7" s="286"/>
      <c r="J7" s="287">
        <v>919905223.3900001</v>
      </c>
      <c r="K7" s="288">
        <v>831838940.47700012</v>
      </c>
      <c r="L7" s="288">
        <v>950163229.19899988</v>
      </c>
      <c r="M7" s="288">
        <v>962744128.18899989</v>
      </c>
      <c r="N7" s="288">
        <v>999201665.82100022</v>
      </c>
      <c r="O7" s="288">
        <v>967437140.7700001</v>
      </c>
      <c r="P7" s="288">
        <v>1064462378.3529998</v>
      </c>
      <c r="Q7" s="288">
        <v>1031069752.6960001</v>
      </c>
      <c r="R7" s="288">
        <v>1065131003.4339999</v>
      </c>
      <c r="S7" s="288">
        <v>1035771837.1620002</v>
      </c>
      <c r="T7" s="288">
        <v>961679973.15699995</v>
      </c>
      <c r="U7" s="289">
        <v>985238604.35500002</v>
      </c>
      <c r="V7" s="290">
        <v>11774643877.003</v>
      </c>
      <c r="W7" s="277"/>
      <c r="X7" s="291">
        <v>985238604.35500002</v>
      </c>
      <c r="Y7" s="292">
        <v>11774643877.003</v>
      </c>
      <c r="AA7" s="388"/>
    </row>
    <row r="8" spans="1:27" hidden="1" x14ac:dyDescent="0.3">
      <c r="A8" s="233"/>
      <c r="B8" s="234" t="s">
        <v>0</v>
      </c>
      <c r="D8" s="293" t="s">
        <v>908</v>
      </c>
      <c r="E8" s="294"/>
      <c r="F8" s="295" t="s">
        <v>909</v>
      </c>
      <c r="G8" s="296"/>
      <c r="H8" s="297"/>
      <c r="I8" s="298"/>
      <c r="J8" s="299">
        <v>790155606.80100012</v>
      </c>
      <c r="K8" s="300">
        <v>708224516.23300016</v>
      </c>
      <c r="L8" s="300">
        <v>798950220.85899997</v>
      </c>
      <c r="M8" s="300">
        <v>826934037.68599999</v>
      </c>
      <c r="N8" s="300">
        <v>854014159.56500006</v>
      </c>
      <c r="O8" s="300">
        <v>820054285.64100003</v>
      </c>
      <c r="P8" s="300">
        <v>916478850.60099983</v>
      </c>
      <c r="Q8" s="300">
        <v>887558473.91399992</v>
      </c>
      <c r="R8" s="300">
        <v>928678100.78599989</v>
      </c>
      <c r="S8" s="300">
        <v>889651170.34300005</v>
      </c>
      <c r="T8" s="300">
        <v>815035990.11099994</v>
      </c>
      <c r="U8" s="301">
        <v>838415397.58200002</v>
      </c>
      <c r="V8" s="302">
        <v>10074150810.122002</v>
      </c>
      <c r="W8" s="303"/>
      <c r="X8" s="304">
        <v>838415397.58200002</v>
      </c>
      <c r="Y8" s="305">
        <v>10074150810.122002</v>
      </c>
      <c r="AA8" s="388"/>
    </row>
    <row r="9" spans="1:27" hidden="1" outlineLevel="1" x14ac:dyDescent="0.3">
      <c r="E9" s="250" t="s">
        <v>910</v>
      </c>
      <c r="F9" s="306">
        <v>4100101</v>
      </c>
      <c r="G9" s="307"/>
      <c r="H9" s="308">
        <v>4100010103</v>
      </c>
      <c r="I9" s="309"/>
      <c r="J9" s="310">
        <v>71873085.665999994</v>
      </c>
      <c r="K9" s="311">
        <v>65696095.256999999</v>
      </c>
      <c r="L9" s="311">
        <v>78174694.041000009</v>
      </c>
      <c r="M9" s="311">
        <v>76997303.280000001</v>
      </c>
      <c r="N9" s="311">
        <v>79399634.574000001</v>
      </c>
      <c r="O9" s="311">
        <v>76108438.156000003</v>
      </c>
      <c r="P9" s="311">
        <v>79238970.129999995</v>
      </c>
      <c r="Q9" s="311">
        <v>77415948.037999988</v>
      </c>
      <c r="R9" s="311">
        <v>79540523.645999998</v>
      </c>
      <c r="S9" s="311">
        <v>79669750.820000008</v>
      </c>
      <c r="T9" s="311">
        <v>77144087.253000006</v>
      </c>
      <c r="U9" s="312">
        <v>75359396.030000001</v>
      </c>
      <c r="V9" s="313">
        <v>916617926.89100003</v>
      </c>
      <c r="W9" s="314"/>
      <c r="X9" s="315">
        <v>75359396.030000001</v>
      </c>
      <c r="Y9" s="316">
        <v>916617926.89100003</v>
      </c>
      <c r="AA9" s="388"/>
    </row>
    <row r="10" spans="1:27" hidden="1" outlineLevel="1" x14ac:dyDescent="0.3">
      <c r="E10" s="250" t="s">
        <v>911</v>
      </c>
      <c r="F10" s="317">
        <v>4100102</v>
      </c>
      <c r="G10" s="318"/>
      <c r="H10" s="319">
        <v>4100010101</v>
      </c>
      <c r="I10" s="320"/>
      <c r="J10" s="310">
        <v>35432057.791000001</v>
      </c>
      <c r="K10" s="321">
        <v>27130985.721000001</v>
      </c>
      <c r="L10" s="321">
        <v>32195604.173000004</v>
      </c>
      <c r="M10" s="321">
        <v>29660457.915000003</v>
      </c>
      <c r="N10" s="321">
        <v>32088746.506000001</v>
      </c>
      <c r="O10" s="321">
        <v>29928766.515999999</v>
      </c>
      <c r="P10" s="321">
        <v>30920123.986000001</v>
      </c>
      <c r="Q10" s="321">
        <v>32260166.635000002</v>
      </c>
      <c r="R10" s="321">
        <v>31911287.019000001</v>
      </c>
      <c r="S10" s="321">
        <v>29392149.925000001</v>
      </c>
      <c r="T10" s="321">
        <v>30689730.384</v>
      </c>
      <c r="U10" s="322">
        <v>30603746.734999999</v>
      </c>
      <c r="V10" s="323">
        <v>372213823.30600005</v>
      </c>
      <c r="W10" s="303"/>
      <c r="X10" s="324">
        <v>30603746.734999999</v>
      </c>
      <c r="Y10" s="325">
        <v>372213823.30600005</v>
      </c>
      <c r="AA10" s="388"/>
    </row>
    <row r="11" spans="1:27" hidden="1" outlineLevel="1" x14ac:dyDescent="0.3">
      <c r="E11" s="250" t="s">
        <v>912</v>
      </c>
      <c r="F11" s="317">
        <v>4100103</v>
      </c>
      <c r="G11" s="318"/>
      <c r="H11" s="319">
        <v>4100010105</v>
      </c>
      <c r="I11" s="320"/>
      <c r="J11" s="310">
        <v>639856512.47600007</v>
      </c>
      <c r="K11" s="321">
        <v>580662520.60300004</v>
      </c>
      <c r="L11" s="321">
        <v>649297862.36000001</v>
      </c>
      <c r="M11" s="321">
        <v>682339706.75699997</v>
      </c>
      <c r="N11" s="321">
        <v>699645226.86000001</v>
      </c>
      <c r="O11" s="321">
        <v>674268286.32099998</v>
      </c>
      <c r="P11" s="321">
        <v>761437794.76999998</v>
      </c>
      <c r="Q11" s="321">
        <v>732689220.07599998</v>
      </c>
      <c r="R11" s="321">
        <v>769607698.13499999</v>
      </c>
      <c r="S11" s="321">
        <v>738304701.56000006</v>
      </c>
      <c r="T11" s="321">
        <v>662546772.60699999</v>
      </c>
      <c r="U11" s="322">
        <v>687433326.95700002</v>
      </c>
      <c r="V11" s="323">
        <v>8278089629.4820013</v>
      </c>
      <c r="W11" s="303"/>
      <c r="X11" s="324">
        <v>687433326.95700002</v>
      </c>
      <c r="Y11" s="325">
        <v>8278089629.4820013</v>
      </c>
      <c r="AA11" s="388"/>
    </row>
    <row r="12" spans="1:27" hidden="1" outlineLevel="1" x14ac:dyDescent="0.3">
      <c r="E12" s="250" t="s">
        <v>913</v>
      </c>
      <c r="F12" s="317">
        <v>4100104</v>
      </c>
      <c r="G12" s="318"/>
      <c r="H12" s="319"/>
      <c r="I12" s="320"/>
      <c r="J12" s="310">
        <v>47974111.062000006</v>
      </c>
      <c r="K12" s="321">
        <v>38990377.829999998</v>
      </c>
      <c r="L12" s="321">
        <v>44341571.965999998</v>
      </c>
      <c r="M12" s="321">
        <v>42536407.458999999</v>
      </c>
      <c r="N12" s="321">
        <v>47935528.949000001</v>
      </c>
      <c r="O12" s="321">
        <v>44538948.566</v>
      </c>
      <c r="P12" s="321">
        <v>49569200.123999998</v>
      </c>
      <c r="Q12" s="321">
        <v>50057551.932999998</v>
      </c>
      <c r="R12" s="321">
        <v>52073200.201000005</v>
      </c>
      <c r="S12" s="321">
        <v>47536241.517000005</v>
      </c>
      <c r="T12" s="321">
        <v>49383302.210999995</v>
      </c>
      <c r="U12" s="322">
        <v>50226398.785999998</v>
      </c>
      <c r="V12" s="323">
        <v>565162840.60400009</v>
      </c>
      <c r="W12" s="303"/>
      <c r="X12" s="324">
        <v>50226398.785999998</v>
      </c>
      <c r="Y12" s="325">
        <v>565162840.60400009</v>
      </c>
      <c r="AA12" s="388"/>
    </row>
    <row r="13" spans="1:27" hidden="1" outlineLevel="1" x14ac:dyDescent="0.3">
      <c r="E13" s="250" t="s">
        <v>914</v>
      </c>
      <c r="F13" s="317">
        <v>4100190</v>
      </c>
      <c r="G13" s="318"/>
      <c r="H13" s="319"/>
      <c r="I13" s="320"/>
      <c r="J13" s="310">
        <v>0</v>
      </c>
      <c r="K13" s="321">
        <v>0</v>
      </c>
      <c r="L13" s="321">
        <v>0</v>
      </c>
      <c r="M13" s="321">
        <v>0</v>
      </c>
      <c r="N13" s="321">
        <v>0</v>
      </c>
      <c r="O13" s="321">
        <v>0</v>
      </c>
      <c r="P13" s="321">
        <v>0</v>
      </c>
      <c r="Q13" s="321">
        <v>0</v>
      </c>
      <c r="R13" s="321">
        <v>0</v>
      </c>
      <c r="S13" s="321">
        <v>0</v>
      </c>
      <c r="T13" s="321">
        <v>0</v>
      </c>
      <c r="U13" s="322">
        <v>0</v>
      </c>
      <c r="V13" s="323">
        <v>0</v>
      </c>
      <c r="W13" s="303"/>
      <c r="X13" s="324">
        <v>0</v>
      </c>
      <c r="Y13" s="325">
        <v>0</v>
      </c>
      <c r="AA13" s="388"/>
    </row>
    <row r="14" spans="1:27" s="326" customFormat="1" hidden="1" outlineLevel="2" x14ac:dyDescent="0.3">
      <c r="E14" s="250" t="s">
        <v>915</v>
      </c>
      <c r="F14" s="317">
        <v>4100191</v>
      </c>
      <c r="G14" s="327"/>
      <c r="H14" s="328">
        <v>4100010107</v>
      </c>
      <c r="I14" s="329"/>
      <c r="J14" s="310">
        <v>-4980160.1940000001</v>
      </c>
      <c r="K14" s="330">
        <v>-4255463.1780000003</v>
      </c>
      <c r="L14" s="330">
        <v>-5059511.6809999999</v>
      </c>
      <c r="M14" s="330">
        <v>-4599837.7249999996</v>
      </c>
      <c r="N14" s="330">
        <v>-5054977.324</v>
      </c>
      <c r="O14" s="330">
        <v>-4790153.9179999996</v>
      </c>
      <c r="P14" s="330">
        <v>-4687238.409</v>
      </c>
      <c r="Q14" s="330">
        <v>-4864412.7680000002</v>
      </c>
      <c r="R14" s="330">
        <v>-4454608.2149999999</v>
      </c>
      <c r="S14" s="330">
        <v>-5251673.4790000003</v>
      </c>
      <c r="T14" s="330">
        <v>-4727902.3439999996</v>
      </c>
      <c r="U14" s="331">
        <v>-5207470.926</v>
      </c>
      <c r="V14" s="332">
        <v>-57933410.160999998</v>
      </c>
      <c r="W14" s="333"/>
      <c r="X14" s="334">
        <v>-5207470.926</v>
      </c>
      <c r="Y14" s="335">
        <v>-57933410.160999998</v>
      </c>
      <c r="AA14" s="388"/>
    </row>
    <row r="15" spans="1:27" s="326" customFormat="1" hidden="1" outlineLevel="2" x14ac:dyDescent="0.3">
      <c r="E15" s="326" t="s">
        <v>916</v>
      </c>
      <c r="F15" s="336"/>
      <c r="G15" s="327"/>
      <c r="H15" s="328"/>
      <c r="I15" s="329"/>
      <c r="J15" s="310">
        <v>0</v>
      </c>
      <c r="K15" s="330">
        <v>0</v>
      </c>
      <c r="L15" s="330">
        <v>0</v>
      </c>
      <c r="M15" s="330">
        <v>0</v>
      </c>
      <c r="N15" s="330">
        <v>0</v>
      </c>
      <c r="O15" s="330">
        <v>0</v>
      </c>
      <c r="P15" s="330">
        <v>0</v>
      </c>
      <c r="Q15" s="330">
        <v>0</v>
      </c>
      <c r="R15" s="330">
        <v>0</v>
      </c>
      <c r="S15" s="330">
        <v>0</v>
      </c>
      <c r="T15" s="330">
        <v>0</v>
      </c>
      <c r="U15" s="331">
        <v>0</v>
      </c>
      <c r="V15" s="332">
        <v>0</v>
      </c>
      <c r="W15" s="333"/>
      <c r="X15" s="334">
        <v>0</v>
      </c>
      <c r="Y15" s="335">
        <v>0</v>
      </c>
      <c r="AA15" s="388"/>
    </row>
    <row r="16" spans="1:27" s="326" customFormat="1" hidden="1" outlineLevel="2" x14ac:dyDescent="0.3">
      <c r="E16" s="326" t="s">
        <v>917</v>
      </c>
      <c r="F16" s="336"/>
      <c r="G16" s="327"/>
      <c r="H16" s="328"/>
      <c r="I16" s="329"/>
      <c r="J16" s="310">
        <v>0</v>
      </c>
      <c r="K16" s="330">
        <v>0</v>
      </c>
      <c r="L16" s="330">
        <v>0</v>
      </c>
      <c r="M16" s="330">
        <v>0</v>
      </c>
      <c r="N16" s="330">
        <v>0</v>
      </c>
      <c r="O16" s="330">
        <v>0</v>
      </c>
      <c r="P16" s="330">
        <v>0</v>
      </c>
      <c r="Q16" s="330">
        <v>0</v>
      </c>
      <c r="R16" s="330">
        <v>0</v>
      </c>
      <c r="S16" s="330">
        <v>0</v>
      </c>
      <c r="T16" s="330">
        <v>0</v>
      </c>
      <c r="U16" s="331">
        <v>0</v>
      </c>
      <c r="V16" s="332">
        <v>0</v>
      </c>
      <c r="W16" s="333"/>
      <c r="X16" s="334">
        <v>0</v>
      </c>
      <c r="Y16" s="335">
        <v>0</v>
      </c>
      <c r="AA16" s="388"/>
    </row>
    <row r="17" spans="1:27" s="326" customFormat="1" hidden="1" outlineLevel="2" x14ac:dyDescent="0.3">
      <c r="E17" s="326" t="s">
        <v>918</v>
      </c>
      <c r="F17" s="336"/>
      <c r="G17" s="327"/>
      <c r="H17" s="328"/>
      <c r="I17" s="329"/>
      <c r="J17" s="310">
        <v>0</v>
      </c>
      <c r="K17" s="330">
        <v>0</v>
      </c>
      <c r="L17" s="330">
        <v>0</v>
      </c>
      <c r="M17" s="330">
        <v>0</v>
      </c>
      <c r="N17" s="330">
        <v>0</v>
      </c>
      <c r="O17" s="330">
        <v>0</v>
      </c>
      <c r="P17" s="330">
        <v>0</v>
      </c>
      <c r="Q17" s="330">
        <v>0</v>
      </c>
      <c r="R17" s="330">
        <v>0</v>
      </c>
      <c r="S17" s="330">
        <v>0</v>
      </c>
      <c r="T17" s="330">
        <v>0</v>
      </c>
      <c r="U17" s="331">
        <v>0</v>
      </c>
      <c r="V17" s="332">
        <v>0</v>
      </c>
      <c r="W17" s="333"/>
      <c r="X17" s="334">
        <v>0</v>
      </c>
      <c r="Y17" s="335">
        <v>0</v>
      </c>
      <c r="AA17" s="388"/>
    </row>
    <row r="18" spans="1:27" hidden="1" collapsed="1" x14ac:dyDescent="0.3">
      <c r="A18" s="233"/>
      <c r="B18" s="234" t="s">
        <v>1</v>
      </c>
      <c r="D18" s="293" t="s">
        <v>919</v>
      </c>
      <c r="E18" s="294"/>
      <c r="F18" s="295" t="s">
        <v>920</v>
      </c>
      <c r="G18" s="296"/>
      <c r="H18" s="297"/>
      <c r="I18" s="298"/>
      <c r="J18" s="299">
        <v>-13512324.154000001</v>
      </c>
      <c r="K18" s="300">
        <v>-13345490.226</v>
      </c>
      <c r="L18" s="300">
        <v>-16372630.811999999</v>
      </c>
      <c r="M18" s="300">
        <v>-17421465.888</v>
      </c>
      <c r="N18" s="300">
        <v>-15033738.745000001</v>
      </c>
      <c r="O18" s="300">
        <v>-15254308.18</v>
      </c>
      <c r="P18" s="300">
        <v>-14184112.198999999</v>
      </c>
      <c r="Q18" s="300">
        <v>-15353443.215</v>
      </c>
      <c r="R18" s="300">
        <v>-13574563.105</v>
      </c>
      <c r="S18" s="300">
        <v>-13009370.463</v>
      </c>
      <c r="T18" s="300">
        <v>-12543227.039999999</v>
      </c>
      <c r="U18" s="301">
        <v>-12461584.718999999</v>
      </c>
      <c r="V18" s="302">
        <v>-172066258.74599999</v>
      </c>
      <c r="W18" s="303"/>
      <c r="X18" s="304">
        <v>-12461584.718999999</v>
      </c>
      <c r="Y18" s="305">
        <v>-172066258.74599999</v>
      </c>
      <c r="AA18" s="388"/>
    </row>
    <row r="19" spans="1:27" hidden="1" outlineLevel="1" x14ac:dyDescent="0.3">
      <c r="E19" s="250" t="s">
        <v>921</v>
      </c>
      <c r="F19" s="317">
        <v>4100200</v>
      </c>
      <c r="G19" s="318"/>
      <c r="H19" s="319">
        <v>4100010109</v>
      </c>
      <c r="I19" s="320"/>
      <c r="J19" s="337">
        <v>-13512324.154000001</v>
      </c>
      <c r="K19" s="321">
        <v>-13345490.226</v>
      </c>
      <c r="L19" s="321">
        <v>-16372630.811999999</v>
      </c>
      <c r="M19" s="321">
        <v>-17421465.888</v>
      </c>
      <c r="N19" s="321">
        <v>-15033738.745000001</v>
      </c>
      <c r="O19" s="321">
        <v>-15254308.18</v>
      </c>
      <c r="P19" s="321">
        <v>-14184112.198999999</v>
      </c>
      <c r="Q19" s="321">
        <v>-15353443.215</v>
      </c>
      <c r="R19" s="321">
        <v>-13574563.105</v>
      </c>
      <c r="S19" s="321">
        <v>-13009370.463</v>
      </c>
      <c r="T19" s="321">
        <v>-12543227.039999999</v>
      </c>
      <c r="U19" s="322">
        <v>-12461584.718999999</v>
      </c>
      <c r="V19" s="323">
        <v>-172066258.74599999</v>
      </c>
      <c r="W19" s="303"/>
      <c r="X19" s="324">
        <v>-12461584.718999999</v>
      </c>
      <c r="Y19" s="325">
        <v>-172066258.74599999</v>
      </c>
      <c r="AA19" s="388"/>
    </row>
    <row r="20" spans="1:27" s="326" customFormat="1" hidden="1" outlineLevel="2" x14ac:dyDescent="0.3">
      <c r="E20" s="326" t="s">
        <v>922</v>
      </c>
      <c r="F20" s="336"/>
      <c r="G20" s="327"/>
      <c r="H20" s="328"/>
      <c r="I20" s="329"/>
      <c r="J20" s="338">
        <v>0</v>
      </c>
      <c r="K20" s="330">
        <v>0</v>
      </c>
      <c r="L20" s="330">
        <v>0</v>
      </c>
      <c r="M20" s="330">
        <v>0</v>
      </c>
      <c r="N20" s="330">
        <v>0</v>
      </c>
      <c r="O20" s="330">
        <v>0</v>
      </c>
      <c r="P20" s="330">
        <v>0</v>
      </c>
      <c r="Q20" s="330">
        <v>0</v>
      </c>
      <c r="R20" s="330">
        <v>0</v>
      </c>
      <c r="S20" s="330">
        <v>0</v>
      </c>
      <c r="T20" s="330">
        <v>0</v>
      </c>
      <c r="U20" s="331">
        <v>0</v>
      </c>
      <c r="V20" s="332">
        <v>0</v>
      </c>
      <c r="W20" s="333"/>
      <c r="X20" s="334">
        <v>0</v>
      </c>
      <c r="Y20" s="335">
        <v>0</v>
      </c>
      <c r="AA20" s="388"/>
    </row>
    <row r="21" spans="1:27" s="326" customFormat="1" hidden="1" outlineLevel="2" x14ac:dyDescent="0.3">
      <c r="E21" s="326" t="s">
        <v>923</v>
      </c>
      <c r="F21" s="336"/>
      <c r="G21" s="327"/>
      <c r="H21" s="328"/>
      <c r="I21" s="329"/>
      <c r="J21" s="338">
        <v>0</v>
      </c>
      <c r="K21" s="330">
        <v>0</v>
      </c>
      <c r="L21" s="330">
        <v>0</v>
      </c>
      <c r="M21" s="330">
        <v>0</v>
      </c>
      <c r="N21" s="330">
        <v>0</v>
      </c>
      <c r="O21" s="330">
        <v>0</v>
      </c>
      <c r="P21" s="330">
        <v>0</v>
      </c>
      <c r="Q21" s="330">
        <v>0</v>
      </c>
      <c r="R21" s="330">
        <v>0</v>
      </c>
      <c r="S21" s="330">
        <v>0</v>
      </c>
      <c r="T21" s="330">
        <v>0</v>
      </c>
      <c r="U21" s="331">
        <v>0</v>
      </c>
      <c r="V21" s="332">
        <v>0</v>
      </c>
      <c r="W21" s="333"/>
      <c r="X21" s="334">
        <v>0</v>
      </c>
      <c r="Y21" s="335">
        <v>0</v>
      </c>
      <c r="AA21" s="388"/>
    </row>
    <row r="22" spans="1:27" s="326" customFormat="1" hidden="1" outlineLevel="2" x14ac:dyDescent="0.3">
      <c r="E22" s="326" t="s">
        <v>924</v>
      </c>
      <c r="F22" s="336"/>
      <c r="G22" s="327"/>
      <c r="H22" s="328"/>
      <c r="I22" s="329"/>
      <c r="J22" s="338">
        <v>0</v>
      </c>
      <c r="K22" s="330">
        <v>0</v>
      </c>
      <c r="L22" s="330">
        <v>0</v>
      </c>
      <c r="M22" s="330">
        <v>0</v>
      </c>
      <c r="N22" s="330">
        <v>0</v>
      </c>
      <c r="O22" s="330">
        <v>0</v>
      </c>
      <c r="P22" s="330">
        <v>0</v>
      </c>
      <c r="Q22" s="330">
        <v>0</v>
      </c>
      <c r="R22" s="330">
        <v>0</v>
      </c>
      <c r="S22" s="330">
        <v>0</v>
      </c>
      <c r="T22" s="330">
        <v>0</v>
      </c>
      <c r="U22" s="331">
        <v>0</v>
      </c>
      <c r="V22" s="332">
        <v>0</v>
      </c>
      <c r="W22" s="333"/>
      <c r="X22" s="334">
        <v>0</v>
      </c>
      <c r="Y22" s="335">
        <v>0</v>
      </c>
      <c r="AA22" s="388"/>
    </row>
    <row r="23" spans="1:27" hidden="1" collapsed="1" x14ac:dyDescent="0.3">
      <c r="A23" s="233"/>
      <c r="B23" s="234" t="s">
        <v>59</v>
      </c>
      <c r="D23" s="293" t="s">
        <v>925</v>
      </c>
      <c r="E23" s="294"/>
      <c r="F23" s="295" t="s">
        <v>926</v>
      </c>
      <c r="G23" s="296"/>
      <c r="H23" s="297"/>
      <c r="I23" s="298"/>
      <c r="J23" s="299">
        <v>-13889134.609999999</v>
      </c>
      <c r="K23" s="300">
        <v>-9821974.5810000002</v>
      </c>
      <c r="L23" s="300">
        <v>-1316421.304999999</v>
      </c>
      <c r="M23" s="300">
        <v>-13947338.686999999</v>
      </c>
      <c r="N23" s="300">
        <v>-13111065.237999998</v>
      </c>
      <c r="O23" s="300">
        <v>-10654006.938000001</v>
      </c>
      <c r="P23" s="300">
        <v>-14648851.732000001</v>
      </c>
      <c r="Q23" s="300">
        <v>-14080713.91</v>
      </c>
      <c r="R23" s="300">
        <v>-22459585.895000003</v>
      </c>
      <c r="S23" s="300">
        <v>-13583363.991999999</v>
      </c>
      <c r="T23" s="300">
        <v>-11092108.655000001</v>
      </c>
      <c r="U23" s="301">
        <v>-12970544.891000003</v>
      </c>
      <c r="V23" s="302">
        <v>-151575110.43400002</v>
      </c>
      <c r="W23" s="303"/>
      <c r="X23" s="304">
        <v>-12970544.891000003</v>
      </c>
      <c r="Y23" s="305">
        <v>-151575110.43400002</v>
      </c>
      <c r="AA23" s="388"/>
    </row>
    <row r="24" spans="1:27" hidden="1" x14ac:dyDescent="0.3">
      <c r="E24" s="339" t="s">
        <v>927</v>
      </c>
      <c r="F24" s="340" t="s">
        <v>928</v>
      </c>
      <c r="G24" s="341"/>
      <c r="H24" s="342"/>
      <c r="I24" s="343"/>
      <c r="J24" s="344">
        <v>-1451333.3319999999</v>
      </c>
      <c r="K24" s="345">
        <v>-100653.93900000003</v>
      </c>
      <c r="L24" s="345">
        <v>1518501.0040000002</v>
      </c>
      <c r="M24" s="345">
        <v>-1094390.0689999999</v>
      </c>
      <c r="N24" s="345">
        <v>-245747.34900000002</v>
      </c>
      <c r="O24" s="345">
        <v>790313.01299999992</v>
      </c>
      <c r="P24" s="345">
        <v>-1142957.3830000001</v>
      </c>
      <c r="Q24" s="345">
        <v>-379677.484</v>
      </c>
      <c r="R24" s="345">
        <v>638823.98499999999</v>
      </c>
      <c r="S24" s="345">
        <v>-1333856.798</v>
      </c>
      <c r="T24" s="345">
        <v>-428389.44200000004</v>
      </c>
      <c r="U24" s="346">
        <v>884581.57</v>
      </c>
      <c r="V24" s="347">
        <v>-2344786.2239999999</v>
      </c>
      <c r="W24" s="303"/>
      <c r="X24" s="348">
        <v>884581.57</v>
      </c>
      <c r="Y24" s="349">
        <v>-2344786.2239999999</v>
      </c>
      <c r="AA24" s="388"/>
    </row>
    <row r="25" spans="1:27" hidden="1" outlineLevel="1" x14ac:dyDescent="0.3">
      <c r="E25" s="250" t="s">
        <v>929</v>
      </c>
      <c r="F25" s="317">
        <v>4100408</v>
      </c>
      <c r="G25" s="318"/>
      <c r="H25" s="319"/>
      <c r="I25" s="320"/>
      <c r="J25" s="337">
        <v>310627.57399999996</v>
      </c>
      <c r="K25" s="321">
        <v>340454.98499999999</v>
      </c>
      <c r="L25" s="321">
        <v>-5557.8619999999992</v>
      </c>
      <c r="M25" s="321">
        <v>-94098.555999999997</v>
      </c>
      <c r="N25" s="321">
        <v>-52711.683000000005</v>
      </c>
      <c r="O25" s="321">
        <v>-43822.377999999997</v>
      </c>
      <c r="P25" s="321">
        <v>64244.644</v>
      </c>
      <c r="Q25" s="321">
        <v>-30556.474999999999</v>
      </c>
      <c r="R25" s="321">
        <v>-177340.236</v>
      </c>
      <c r="S25" s="321">
        <v>-11414.05</v>
      </c>
      <c r="T25" s="321">
        <v>20274.258000000002</v>
      </c>
      <c r="U25" s="322">
        <v>-104517.81499999999</v>
      </c>
      <c r="V25" s="323">
        <v>215582.4059999999</v>
      </c>
      <c r="W25" s="303"/>
      <c r="X25" s="324">
        <v>-104517.81499999999</v>
      </c>
      <c r="Y25" s="325">
        <v>215582.4059999999</v>
      </c>
      <c r="AA25" s="388"/>
    </row>
    <row r="26" spans="1:27" hidden="1" outlineLevel="1" x14ac:dyDescent="0.3">
      <c r="E26" s="250" t="s">
        <v>930</v>
      </c>
      <c r="F26" s="317">
        <v>4303206</v>
      </c>
      <c r="G26" s="318"/>
      <c r="H26" s="319"/>
      <c r="I26" s="320"/>
      <c r="J26" s="337">
        <v>-89574.002999999997</v>
      </c>
      <c r="K26" s="321">
        <v>-75324.775999999998</v>
      </c>
      <c r="L26" s="321">
        <v>-61077.97</v>
      </c>
      <c r="M26" s="321">
        <v>-54209.13</v>
      </c>
      <c r="N26" s="321">
        <v>-57960.845999999998</v>
      </c>
      <c r="O26" s="321">
        <v>-57009.372000000003</v>
      </c>
      <c r="P26" s="321">
        <v>-58078.127</v>
      </c>
      <c r="Q26" s="321">
        <v>-60400.887999999999</v>
      </c>
      <c r="R26" s="321">
        <v>-54306.514999999999</v>
      </c>
      <c r="S26" s="321">
        <v>-52223.648000000001</v>
      </c>
      <c r="T26" s="321">
        <v>-54061.885000000002</v>
      </c>
      <c r="U26" s="322">
        <v>-55248.749000000003</v>
      </c>
      <c r="V26" s="323">
        <v>-729475.90899999987</v>
      </c>
      <c r="W26" s="303"/>
      <c r="X26" s="324">
        <v>-55248.749000000003</v>
      </c>
      <c r="Y26" s="325">
        <v>-729475.90899999987</v>
      </c>
      <c r="AA26" s="388"/>
    </row>
    <row r="27" spans="1:27" hidden="1" outlineLevel="1" x14ac:dyDescent="0.3">
      <c r="E27" s="250" t="s">
        <v>931</v>
      </c>
      <c r="F27" s="317">
        <v>4303207</v>
      </c>
      <c r="G27" s="318"/>
      <c r="H27" s="319"/>
      <c r="I27" s="320"/>
      <c r="J27" s="337">
        <v>-1680373.2959999999</v>
      </c>
      <c r="K27" s="321">
        <v>-365304.57</v>
      </c>
      <c r="L27" s="321">
        <v>823720.99300000013</v>
      </c>
      <c r="M27" s="321">
        <v>-615524.53700000001</v>
      </c>
      <c r="N27" s="321">
        <v>2028.2609999999995</v>
      </c>
      <c r="O27" s="321">
        <v>607794.51300000004</v>
      </c>
      <c r="P27" s="321">
        <v>-620843.37</v>
      </c>
      <c r="Q27" s="321">
        <v>3472.0450000000001</v>
      </c>
      <c r="R27" s="321">
        <v>563545.0340000001</v>
      </c>
      <c r="S27" s="321">
        <v>-564368.15899999999</v>
      </c>
      <c r="T27" s="321">
        <v>2613.192</v>
      </c>
      <c r="U27" s="322">
        <v>537704.98100000003</v>
      </c>
      <c r="V27" s="323">
        <v>-1305534.9129999997</v>
      </c>
      <c r="W27" s="303"/>
      <c r="X27" s="324">
        <v>537704.98100000003</v>
      </c>
      <c r="Y27" s="325">
        <v>-1305534.9129999997</v>
      </c>
      <c r="AA27" s="388"/>
    </row>
    <row r="28" spans="1:27" hidden="1" outlineLevel="1" x14ac:dyDescent="0.3">
      <c r="E28" s="250" t="s">
        <v>932</v>
      </c>
      <c r="F28" s="317">
        <v>4100182</v>
      </c>
      <c r="G28" s="318"/>
      <c r="H28" s="319">
        <v>4100010111</v>
      </c>
      <c r="I28" s="320"/>
      <c r="J28" s="337">
        <v>7986.393</v>
      </c>
      <c r="K28" s="321">
        <v>13243.27</v>
      </c>
      <c r="L28" s="321">
        <v>0</v>
      </c>
      <c r="M28" s="321">
        <v>0</v>
      </c>
      <c r="N28" s="321">
        <v>0</v>
      </c>
      <c r="O28" s="321">
        <v>0</v>
      </c>
      <c r="P28" s="321">
        <v>0</v>
      </c>
      <c r="Q28" s="321">
        <v>0</v>
      </c>
      <c r="R28" s="321">
        <v>0</v>
      </c>
      <c r="S28" s="321">
        <v>0</v>
      </c>
      <c r="T28" s="321">
        <v>0</v>
      </c>
      <c r="U28" s="322">
        <v>0</v>
      </c>
      <c r="V28" s="323">
        <v>21229.663</v>
      </c>
      <c r="W28" s="303"/>
      <c r="X28" s="324">
        <v>0</v>
      </c>
      <c r="Y28" s="325">
        <v>21229.663</v>
      </c>
      <c r="AA28" s="388"/>
    </row>
    <row r="29" spans="1:27" s="350" customFormat="1" hidden="1" outlineLevel="2" x14ac:dyDescent="0.3">
      <c r="E29" s="350" t="s">
        <v>933</v>
      </c>
      <c r="F29" s="306">
        <v>4303301</v>
      </c>
      <c r="G29" s="307"/>
      <c r="H29" s="308"/>
      <c r="I29" s="309"/>
      <c r="J29" s="310">
        <v>0</v>
      </c>
      <c r="K29" s="311">
        <v>-13274.454</v>
      </c>
      <c r="L29" s="311">
        <v>198623.584</v>
      </c>
      <c r="M29" s="311">
        <v>-328332.30800000002</v>
      </c>
      <c r="N29" s="311">
        <v>-134781.53599999999</v>
      </c>
      <c r="O29" s="311">
        <v>282928.08199999999</v>
      </c>
      <c r="P29" s="311">
        <v>-526327.23</v>
      </c>
      <c r="Q29" s="311">
        <v>-291824.60099999997</v>
      </c>
      <c r="R29" s="311">
        <v>307910.53399999999</v>
      </c>
      <c r="S29" s="311">
        <v>-701903.67</v>
      </c>
      <c r="T29" s="311">
        <v>-394982.49000000005</v>
      </c>
      <c r="U29" s="312">
        <v>508989.087</v>
      </c>
      <c r="V29" s="313">
        <v>-1092975.0019999999</v>
      </c>
      <c r="W29" s="314"/>
      <c r="X29" s="315">
        <v>508989.087</v>
      </c>
      <c r="Y29" s="316">
        <v>-1092975.0019999999</v>
      </c>
      <c r="AA29" s="314"/>
    </row>
    <row r="30" spans="1:27" s="350" customFormat="1" hidden="1" outlineLevel="2" x14ac:dyDescent="0.3">
      <c r="E30" s="350" t="s">
        <v>934</v>
      </c>
      <c r="F30" s="306">
        <v>4303302</v>
      </c>
      <c r="G30" s="307">
        <v>4303303</v>
      </c>
      <c r="H30" s="308"/>
      <c r="I30" s="309"/>
      <c r="J30" s="310">
        <v>0</v>
      </c>
      <c r="K30" s="311">
        <v>-448.39400000000001</v>
      </c>
      <c r="L30" s="311">
        <v>562792.25899999996</v>
      </c>
      <c r="M30" s="311">
        <v>-2225.5380000000005</v>
      </c>
      <c r="N30" s="311">
        <v>-2321.5450000000001</v>
      </c>
      <c r="O30" s="311">
        <v>422.16800000000001</v>
      </c>
      <c r="P30" s="311">
        <v>-1953.3</v>
      </c>
      <c r="Q30" s="311">
        <v>-367.56500000000011</v>
      </c>
      <c r="R30" s="311">
        <v>-984.83200000000011</v>
      </c>
      <c r="S30" s="311">
        <v>-3947.2709999999997</v>
      </c>
      <c r="T30" s="311">
        <v>-2232.5169999999998</v>
      </c>
      <c r="U30" s="312">
        <v>-2345.9340000000002</v>
      </c>
      <c r="V30" s="313">
        <v>546387.53099999996</v>
      </c>
      <c r="W30" s="314"/>
      <c r="X30" s="315">
        <v>-2345.9340000000002</v>
      </c>
      <c r="Y30" s="316">
        <v>546387.53099999996</v>
      </c>
      <c r="AA30" s="314"/>
    </row>
    <row r="31" spans="1:27" s="326" customFormat="1" hidden="1" outlineLevel="2" x14ac:dyDescent="0.3">
      <c r="E31" s="326" t="s">
        <v>935</v>
      </c>
      <c r="F31" s="336"/>
      <c r="G31" s="327"/>
      <c r="H31" s="328"/>
      <c r="I31" s="329"/>
      <c r="J31" s="337">
        <v>0</v>
      </c>
      <c r="K31" s="330">
        <v>0</v>
      </c>
      <c r="L31" s="330">
        <v>0</v>
      </c>
      <c r="M31" s="330">
        <v>0</v>
      </c>
      <c r="N31" s="330">
        <v>0</v>
      </c>
      <c r="O31" s="330">
        <v>0</v>
      </c>
      <c r="P31" s="330">
        <v>0</v>
      </c>
      <c r="Q31" s="330">
        <v>0</v>
      </c>
      <c r="R31" s="330">
        <v>0</v>
      </c>
      <c r="S31" s="330">
        <v>0</v>
      </c>
      <c r="T31" s="330">
        <v>0</v>
      </c>
      <c r="U31" s="331">
        <v>0</v>
      </c>
      <c r="V31" s="332">
        <v>0</v>
      </c>
      <c r="W31" s="333"/>
      <c r="X31" s="334">
        <v>0</v>
      </c>
      <c r="Y31" s="335">
        <v>0</v>
      </c>
      <c r="AA31" s="388"/>
    </row>
    <row r="32" spans="1:27" hidden="1" collapsed="1" x14ac:dyDescent="0.3">
      <c r="E32" s="339" t="s">
        <v>936</v>
      </c>
      <c r="F32" s="340" t="s">
        <v>937</v>
      </c>
      <c r="G32" s="341"/>
      <c r="H32" s="342"/>
      <c r="I32" s="343"/>
      <c r="J32" s="344">
        <v>-831062.49100000004</v>
      </c>
      <c r="K32" s="345">
        <v>-583625.29500000004</v>
      </c>
      <c r="L32" s="345">
        <v>-999731.92299999995</v>
      </c>
      <c r="M32" s="345">
        <v>-661570.70000000007</v>
      </c>
      <c r="N32" s="345">
        <v>-1134086.7650000001</v>
      </c>
      <c r="O32" s="345">
        <v>-1447659.0969999998</v>
      </c>
      <c r="P32" s="345">
        <v>-1251040.2589999998</v>
      </c>
      <c r="Q32" s="345">
        <v>-1930466.7109999999</v>
      </c>
      <c r="R32" s="345">
        <v>-1902214.1220000002</v>
      </c>
      <c r="S32" s="345">
        <v>-1367547.649</v>
      </c>
      <c r="T32" s="345">
        <v>-1236517.9099999999</v>
      </c>
      <c r="U32" s="346">
        <v>-1736891.094</v>
      </c>
      <c r="V32" s="347">
        <v>-15082414.016000001</v>
      </c>
      <c r="W32" s="303"/>
      <c r="X32" s="348">
        <v>-1736891.094</v>
      </c>
      <c r="Y32" s="349">
        <v>-15082414.016000001</v>
      </c>
      <c r="AA32" s="388"/>
    </row>
    <row r="33" spans="5:27" s="350" customFormat="1" hidden="1" outlineLevel="1" x14ac:dyDescent="0.3">
      <c r="E33" s="350" t="s">
        <v>938</v>
      </c>
      <c r="F33" s="306">
        <v>4303211</v>
      </c>
      <c r="G33" s="307"/>
      <c r="H33" s="308"/>
      <c r="I33" s="309"/>
      <c r="J33" s="310">
        <v>0</v>
      </c>
      <c r="K33" s="311">
        <v>0</v>
      </c>
      <c r="L33" s="311">
        <v>0</v>
      </c>
      <c r="M33" s="311">
        <v>0</v>
      </c>
      <c r="N33" s="311">
        <v>0</v>
      </c>
      <c r="O33" s="311">
        <v>0</v>
      </c>
      <c r="P33" s="311">
        <v>0</v>
      </c>
      <c r="Q33" s="311">
        <v>0</v>
      </c>
      <c r="R33" s="311">
        <v>0</v>
      </c>
      <c r="S33" s="311">
        <v>0</v>
      </c>
      <c r="T33" s="311">
        <v>0</v>
      </c>
      <c r="U33" s="312">
        <v>0</v>
      </c>
      <c r="V33" s="313">
        <v>0</v>
      </c>
      <c r="W33" s="314"/>
      <c r="X33" s="315">
        <v>0</v>
      </c>
      <c r="Y33" s="316">
        <v>0</v>
      </c>
      <c r="AA33" s="388"/>
    </row>
    <row r="34" spans="5:27" hidden="1" outlineLevel="1" x14ac:dyDescent="0.3">
      <c r="E34" s="350" t="s">
        <v>939</v>
      </c>
      <c r="F34" s="317">
        <v>4303212</v>
      </c>
      <c r="G34" s="318"/>
      <c r="H34" s="319"/>
      <c r="I34" s="320"/>
      <c r="J34" s="310">
        <v>-831065.32700000005</v>
      </c>
      <c r="K34" s="321">
        <v>-583651.73800000001</v>
      </c>
      <c r="L34" s="321">
        <v>-999729.14299999992</v>
      </c>
      <c r="M34" s="321">
        <v>-661588.94700000004</v>
      </c>
      <c r="N34" s="321">
        <v>-1134078.1100000001</v>
      </c>
      <c r="O34" s="321">
        <v>-1447674.6579999998</v>
      </c>
      <c r="P34" s="321">
        <v>-1251032.1509999998</v>
      </c>
      <c r="Q34" s="321">
        <v>-1930474.639</v>
      </c>
      <c r="R34" s="321">
        <v>-1902220.7540000002</v>
      </c>
      <c r="S34" s="321">
        <v>-1367547.649</v>
      </c>
      <c r="T34" s="321">
        <v>-1236517.9099999999</v>
      </c>
      <c r="U34" s="322">
        <v>-1736891.094</v>
      </c>
      <c r="V34" s="323">
        <v>-15082472.120000001</v>
      </c>
      <c r="W34" s="303"/>
      <c r="X34" s="324">
        <v>-1736891.094</v>
      </c>
      <c r="Y34" s="325">
        <v>-15082472.120000001</v>
      </c>
      <c r="AA34" s="388"/>
    </row>
    <row r="35" spans="5:27" hidden="1" outlineLevel="1" x14ac:dyDescent="0.3">
      <c r="E35" s="350" t="s">
        <v>940</v>
      </c>
      <c r="F35" s="317">
        <v>4303219</v>
      </c>
      <c r="G35" s="318"/>
      <c r="H35" s="319"/>
      <c r="I35" s="320"/>
      <c r="J35" s="310">
        <v>2.8359999999999999</v>
      </c>
      <c r="K35" s="321">
        <v>26.443000000000001</v>
      </c>
      <c r="L35" s="321">
        <v>-2.78</v>
      </c>
      <c r="M35" s="321">
        <v>18.247</v>
      </c>
      <c r="N35" s="321">
        <v>-8.6549999999999994</v>
      </c>
      <c r="O35" s="321">
        <v>15.561</v>
      </c>
      <c r="P35" s="321">
        <v>-8.1080000000000005</v>
      </c>
      <c r="Q35" s="321">
        <v>7.9279999999999999</v>
      </c>
      <c r="R35" s="321">
        <v>6.6319999999999997</v>
      </c>
      <c r="S35" s="321">
        <v>0</v>
      </c>
      <c r="T35" s="321">
        <v>0</v>
      </c>
      <c r="U35" s="322">
        <v>0</v>
      </c>
      <c r="V35" s="323">
        <v>58.103999999999992</v>
      </c>
      <c r="W35" s="303"/>
      <c r="X35" s="324">
        <v>0</v>
      </c>
      <c r="Y35" s="325">
        <v>58.103999999999992</v>
      </c>
      <c r="AA35" s="388"/>
    </row>
    <row r="36" spans="5:27" s="361" customFormat="1" hidden="1" outlineLevel="2" x14ac:dyDescent="0.3">
      <c r="E36" s="326" t="s">
        <v>941</v>
      </c>
      <c r="F36" s="351"/>
      <c r="G36" s="352"/>
      <c r="H36" s="353"/>
      <c r="I36" s="354"/>
      <c r="J36" s="310">
        <v>0</v>
      </c>
      <c r="K36" s="355">
        <v>0</v>
      </c>
      <c r="L36" s="355">
        <v>0</v>
      </c>
      <c r="M36" s="355">
        <v>0</v>
      </c>
      <c r="N36" s="355">
        <v>0</v>
      </c>
      <c r="O36" s="355">
        <v>0</v>
      </c>
      <c r="P36" s="355">
        <v>0</v>
      </c>
      <c r="Q36" s="355">
        <v>0</v>
      </c>
      <c r="R36" s="355">
        <v>0</v>
      </c>
      <c r="S36" s="355">
        <v>0</v>
      </c>
      <c r="T36" s="355">
        <v>0</v>
      </c>
      <c r="U36" s="356">
        <v>0</v>
      </c>
      <c r="V36" s="357">
        <v>0</v>
      </c>
      <c r="W36" s="358"/>
      <c r="X36" s="359">
        <v>0</v>
      </c>
      <c r="Y36" s="360">
        <v>0</v>
      </c>
      <c r="AA36" s="388"/>
    </row>
    <row r="37" spans="5:27" s="361" customFormat="1" hidden="1" outlineLevel="2" x14ac:dyDescent="0.3">
      <c r="E37" s="326" t="s">
        <v>942</v>
      </c>
      <c r="F37" s="351"/>
      <c r="G37" s="352"/>
      <c r="H37" s="353"/>
      <c r="I37" s="354"/>
      <c r="J37" s="310">
        <v>0</v>
      </c>
      <c r="K37" s="355">
        <v>0</v>
      </c>
      <c r="L37" s="355">
        <v>0</v>
      </c>
      <c r="M37" s="355">
        <v>0</v>
      </c>
      <c r="N37" s="355">
        <v>0</v>
      </c>
      <c r="O37" s="355">
        <v>0</v>
      </c>
      <c r="P37" s="355">
        <v>0</v>
      </c>
      <c r="Q37" s="355">
        <v>0</v>
      </c>
      <c r="R37" s="355">
        <v>0</v>
      </c>
      <c r="S37" s="355">
        <v>0</v>
      </c>
      <c r="T37" s="355">
        <v>0</v>
      </c>
      <c r="U37" s="356">
        <v>0</v>
      </c>
      <c r="V37" s="357">
        <v>0</v>
      </c>
      <c r="W37" s="358"/>
      <c r="X37" s="359">
        <v>0</v>
      </c>
      <c r="Y37" s="360">
        <v>0</v>
      </c>
      <c r="AA37" s="388"/>
    </row>
    <row r="38" spans="5:27" s="361" customFormat="1" hidden="1" outlineLevel="2" x14ac:dyDescent="0.3">
      <c r="E38" s="326" t="s">
        <v>943</v>
      </c>
      <c r="F38" s="351"/>
      <c r="G38" s="352"/>
      <c r="H38" s="353"/>
      <c r="I38" s="354"/>
      <c r="J38" s="310">
        <v>0</v>
      </c>
      <c r="K38" s="355">
        <v>0</v>
      </c>
      <c r="L38" s="355">
        <v>0</v>
      </c>
      <c r="M38" s="355">
        <v>0</v>
      </c>
      <c r="N38" s="355">
        <v>0</v>
      </c>
      <c r="O38" s="355">
        <v>0</v>
      </c>
      <c r="P38" s="355">
        <v>0</v>
      </c>
      <c r="Q38" s="355">
        <v>0</v>
      </c>
      <c r="R38" s="355">
        <v>0</v>
      </c>
      <c r="S38" s="355">
        <v>0</v>
      </c>
      <c r="T38" s="355">
        <v>0</v>
      </c>
      <c r="U38" s="356">
        <v>0</v>
      </c>
      <c r="V38" s="357">
        <v>0</v>
      </c>
      <c r="W38" s="358"/>
      <c r="X38" s="359">
        <v>0</v>
      </c>
      <c r="Y38" s="360">
        <v>0</v>
      </c>
      <c r="AA38" s="388"/>
    </row>
    <row r="39" spans="5:27" hidden="1" collapsed="1" x14ac:dyDescent="0.3">
      <c r="E39" s="339" t="s">
        <v>944</v>
      </c>
      <c r="F39" s="340" t="s">
        <v>945</v>
      </c>
      <c r="G39" s="341"/>
      <c r="H39" s="342"/>
      <c r="I39" s="343"/>
      <c r="J39" s="344">
        <v>-11606738.787</v>
      </c>
      <c r="K39" s="345">
        <v>-9137695.347000001</v>
      </c>
      <c r="L39" s="345">
        <v>-1835190.3859999992</v>
      </c>
      <c r="M39" s="345">
        <v>-12191377.918</v>
      </c>
      <c r="N39" s="345">
        <v>-11731231.123999998</v>
      </c>
      <c r="O39" s="345">
        <v>-9996660.8540000003</v>
      </c>
      <c r="P39" s="345">
        <v>-12254854.09</v>
      </c>
      <c r="Q39" s="345">
        <v>-11770569.715</v>
      </c>
      <c r="R39" s="345">
        <v>-21196195.758000005</v>
      </c>
      <c r="S39" s="345">
        <v>-10881959.544999998</v>
      </c>
      <c r="T39" s="345">
        <v>-9427201.3030000012</v>
      </c>
      <c r="U39" s="346">
        <v>-12118235.367000002</v>
      </c>
      <c r="V39" s="347">
        <v>-134147910.19400001</v>
      </c>
      <c r="W39" s="303"/>
      <c r="X39" s="348">
        <v>-12118235.367000002</v>
      </c>
      <c r="Y39" s="349">
        <v>-134147910.19400001</v>
      </c>
      <c r="AA39" s="388"/>
    </row>
    <row r="40" spans="5:27" hidden="1" outlineLevel="1" x14ac:dyDescent="0.3">
      <c r="E40" s="250" t="s">
        <v>946</v>
      </c>
      <c r="F40" s="317">
        <v>4100400</v>
      </c>
      <c r="G40" s="318"/>
      <c r="H40" s="319">
        <v>4100010115</v>
      </c>
      <c r="I40" s="320"/>
      <c r="J40" s="337">
        <v>-7988996.4809999997</v>
      </c>
      <c r="K40" s="321">
        <v>-6982861.1090000002</v>
      </c>
      <c r="L40" s="321">
        <v>-8461755.9749999996</v>
      </c>
      <c r="M40" s="321">
        <v>-9171164.2929999996</v>
      </c>
      <c r="N40" s="321">
        <v>-9102135.5260000005</v>
      </c>
      <c r="O40" s="321">
        <v>-11474028.936000001</v>
      </c>
      <c r="P40" s="321">
        <v>-9793614.4729999993</v>
      </c>
      <c r="Q40" s="321">
        <v>-9761261.4890000001</v>
      </c>
      <c r="R40" s="321">
        <v>-15821711.989</v>
      </c>
      <c r="S40" s="321">
        <v>-9450133.5789999999</v>
      </c>
      <c r="T40" s="321">
        <v>-7403832.4309999999</v>
      </c>
      <c r="U40" s="322">
        <v>-8105546.3629999999</v>
      </c>
      <c r="V40" s="323">
        <v>-113517042.64399999</v>
      </c>
      <c r="W40" s="303"/>
      <c r="X40" s="324">
        <v>-8105546.3629999999</v>
      </c>
      <c r="Y40" s="325">
        <v>-113517042.64399999</v>
      </c>
      <c r="AA40" s="388"/>
    </row>
    <row r="41" spans="5:27" hidden="1" outlineLevel="1" x14ac:dyDescent="0.3">
      <c r="E41" s="250" t="s">
        <v>947</v>
      </c>
      <c r="F41" s="317">
        <v>4100401</v>
      </c>
      <c r="G41" s="318"/>
      <c r="H41" s="319"/>
      <c r="I41" s="320"/>
      <c r="J41" s="337">
        <v>-1134522.2379999999</v>
      </c>
      <c r="K41" s="321">
        <v>-921746.53500000003</v>
      </c>
      <c r="L41" s="321">
        <v>-1144528.023</v>
      </c>
      <c r="M41" s="321">
        <v>-1068783.7079999999</v>
      </c>
      <c r="N41" s="321">
        <v>-1170573.3359999999</v>
      </c>
      <c r="O41" s="321">
        <v>-1967016.2089999998</v>
      </c>
      <c r="P41" s="321">
        <v>-1018232.206</v>
      </c>
      <c r="Q41" s="321">
        <v>-1075477.0079999999</v>
      </c>
      <c r="R41" s="321">
        <v>-1064970.7069999999</v>
      </c>
      <c r="S41" s="321">
        <v>-1095240.2579999999</v>
      </c>
      <c r="T41" s="321">
        <v>-1054881.7420000001</v>
      </c>
      <c r="U41" s="322">
        <v>-976736.73300000001</v>
      </c>
      <c r="V41" s="323">
        <v>-13692708.702999998</v>
      </c>
      <c r="W41" s="303"/>
      <c r="X41" s="324">
        <v>-976736.73300000001</v>
      </c>
      <c r="Y41" s="325">
        <v>-13692708.702999998</v>
      </c>
      <c r="AA41" s="388"/>
    </row>
    <row r="42" spans="5:27" hidden="1" outlineLevel="1" x14ac:dyDescent="0.3">
      <c r="E42" s="250" t="s">
        <v>948</v>
      </c>
      <c r="F42" s="317">
        <v>4100402</v>
      </c>
      <c r="G42" s="318"/>
      <c r="H42" s="319"/>
      <c r="I42" s="320"/>
      <c r="J42" s="337">
        <v>-43160.679000000004</v>
      </c>
      <c r="K42" s="321">
        <v>2393.2439999999997</v>
      </c>
      <c r="L42" s="321">
        <v>-74571.677000000011</v>
      </c>
      <c r="M42" s="321">
        <v>-66732.009999999995</v>
      </c>
      <c r="N42" s="321">
        <v>-30429.395</v>
      </c>
      <c r="O42" s="321">
        <v>192627.14799999999</v>
      </c>
      <c r="P42" s="321">
        <v>-97096.58</v>
      </c>
      <c r="Q42" s="321">
        <v>60778.925999999999</v>
      </c>
      <c r="R42" s="321">
        <v>-253509.69900000002</v>
      </c>
      <c r="S42" s="321">
        <v>-51223.627999999997</v>
      </c>
      <c r="T42" s="321">
        <v>142883.921</v>
      </c>
      <c r="U42" s="322">
        <v>-430917.56599999999</v>
      </c>
      <c r="V42" s="323">
        <v>-648957.99500000011</v>
      </c>
      <c r="W42" s="303"/>
      <c r="X42" s="324">
        <v>-430917.56599999999</v>
      </c>
      <c r="Y42" s="325">
        <v>-648957.99500000011</v>
      </c>
      <c r="AA42" s="388"/>
    </row>
    <row r="43" spans="5:27" hidden="1" outlineLevel="1" x14ac:dyDescent="0.3">
      <c r="E43" s="250" t="s">
        <v>949</v>
      </c>
      <c r="F43" s="317">
        <v>4100404</v>
      </c>
      <c r="G43" s="318"/>
      <c r="H43" s="319"/>
      <c r="I43" s="320"/>
      <c r="J43" s="337">
        <v>-2042535.8970000001</v>
      </c>
      <c r="K43" s="321">
        <v>-609767.19099999999</v>
      </c>
      <c r="L43" s="321">
        <v>-762339.50100000005</v>
      </c>
      <c r="M43" s="321">
        <v>-954267.87600000005</v>
      </c>
      <c r="N43" s="321">
        <v>-971493.38399999996</v>
      </c>
      <c r="O43" s="321">
        <v>-747407.67799999996</v>
      </c>
      <c r="P43" s="321">
        <v>-876884.41200000001</v>
      </c>
      <c r="Q43" s="321">
        <v>-533281.82200000004</v>
      </c>
      <c r="R43" s="321">
        <v>-444260.158</v>
      </c>
      <c r="S43" s="321">
        <v>-556498.84900000005</v>
      </c>
      <c r="T43" s="321">
        <v>-621963.26800000004</v>
      </c>
      <c r="U43" s="322">
        <v>-391471.10200000001</v>
      </c>
      <c r="V43" s="323">
        <v>-9512171.1379999984</v>
      </c>
      <c r="W43" s="303"/>
      <c r="X43" s="324">
        <v>-391471.10200000001</v>
      </c>
      <c r="Y43" s="325">
        <v>-9512171.1379999984</v>
      </c>
      <c r="AA43" s="388"/>
    </row>
    <row r="44" spans="5:27" hidden="1" outlineLevel="1" x14ac:dyDescent="0.3">
      <c r="E44" s="250" t="s">
        <v>950</v>
      </c>
      <c r="F44" s="317">
        <v>4100405</v>
      </c>
      <c r="G44" s="318"/>
      <c r="H44" s="319"/>
      <c r="I44" s="320"/>
      <c r="J44" s="337">
        <v>-135592.13500000001</v>
      </c>
      <c r="K44" s="321">
        <v>-187083.228</v>
      </c>
      <c r="L44" s="321">
        <v>-223185.15800000002</v>
      </c>
      <c r="M44" s="321">
        <v>-203750.973</v>
      </c>
      <c r="N44" s="321">
        <v>-154057.76999999999</v>
      </c>
      <c r="O44" s="321">
        <v>-144429.02799999999</v>
      </c>
      <c r="P44" s="321">
        <v>-164963.79499999998</v>
      </c>
      <c r="Q44" s="321">
        <v>-179503.43800000002</v>
      </c>
      <c r="R44" s="321">
        <v>-191637.44699999999</v>
      </c>
      <c r="S44" s="321">
        <v>-187036.53099999999</v>
      </c>
      <c r="T44" s="321">
        <v>-195180.90100000001</v>
      </c>
      <c r="U44" s="322">
        <v>-214777.125</v>
      </c>
      <c r="V44" s="323">
        <v>-2181197.5290000001</v>
      </c>
      <c r="W44" s="303"/>
      <c r="X44" s="324">
        <v>-214777.125</v>
      </c>
      <c r="Y44" s="325">
        <v>-2181197.5290000001</v>
      </c>
      <c r="AA44" s="388"/>
    </row>
    <row r="45" spans="5:27" hidden="1" outlineLevel="1" x14ac:dyDescent="0.3">
      <c r="E45" s="250" t="s">
        <v>951</v>
      </c>
      <c r="F45" s="317">
        <v>4100407</v>
      </c>
      <c r="G45" s="318"/>
      <c r="H45" s="319"/>
      <c r="I45" s="320"/>
      <c r="J45" s="337">
        <v>-64590.946000000004</v>
      </c>
      <c r="K45" s="321">
        <v>-206717.242</v>
      </c>
      <c r="L45" s="321">
        <v>8926528.9629999995</v>
      </c>
      <c r="M45" s="321">
        <v>-499588.06</v>
      </c>
      <c r="N45" s="321">
        <v>-78780.255999999994</v>
      </c>
      <c r="O45" s="321">
        <v>4361545.6289999997</v>
      </c>
      <c r="P45" s="321">
        <v>-75518.967999999993</v>
      </c>
      <c r="Q45" s="321">
        <v>-69905.877999999997</v>
      </c>
      <c r="R45" s="321">
        <v>-3171045.77</v>
      </c>
      <c r="S45" s="321">
        <v>709676.37599999993</v>
      </c>
      <c r="T45" s="321">
        <v>-76115.547000000006</v>
      </c>
      <c r="U45" s="322">
        <v>-1049638.1190000002</v>
      </c>
      <c r="V45" s="323">
        <v>8705850.1819999982</v>
      </c>
      <c r="W45" s="303"/>
      <c r="X45" s="324">
        <v>-1049638.1190000002</v>
      </c>
      <c r="Y45" s="325">
        <v>8705850.1819999982</v>
      </c>
      <c r="AA45" s="388"/>
    </row>
    <row r="46" spans="5:27" hidden="1" outlineLevel="1" x14ac:dyDescent="0.3">
      <c r="E46" s="250" t="s">
        <v>952</v>
      </c>
      <c r="F46" s="317">
        <v>4100409</v>
      </c>
      <c r="G46" s="318"/>
      <c r="H46" s="319"/>
      <c r="I46" s="320"/>
      <c r="J46" s="337">
        <v>-69624.713000000003</v>
      </c>
      <c r="K46" s="321">
        <v>-99519.81</v>
      </c>
      <c r="L46" s="321">
        <v>-81230.096000000005</v>
      </c>
      <c r="M46" s="321">
        <v>-84231.351999999999</v>
      </c>
      <c r="N46" s="321">
        <v>-77465.676999999996</v>
      </c>
      <c r="O46" s="321">
        <v>-75951.611999999994</v>
      </c>
      <c r="P46" s="321">
        <v>-91320.705000000002</v>
      </c>
      <c r="Q46" s="321">
        <v>-74887.805999999997</v>
      </c>
      <c r="R46" s="321">
        <v>-82676.055999999997</v>
      </c>
      <c r="S46" s="321">
        <v>-97556.32</v>
      </c>
      <c r="T46" s="321">
        <v>-84488.072</v>
      </c>
      <c r="U46" s="322">
        <v>-315914.27</v>
      </c>
      <c r="V46" s="323">
        <v>-1234866.4890000001</v>
      </c>
      <c r="W46" s="303"/>
      <c r="X46" s="324">
        <v>-315914.27</v>
      </c>
      <c r="Y46" s="325">
        <v>-1234866.4890000001</v>
      </c>
      <c r="AA46" s="388"/>
    </row>
    <row r="47" spans="5:27" hidden="1" outlineLevel="1" x14ac:dyDescent="0.3">
      <c r="E47" s="250" t="s">
        <v>953</v>
      </c>
      <c r="F47" s="317">
        <v>4100410</v>
      </c>
      <c r="G47" s="318"/>
      <c r="H47" s="319"/>
      <c r="I47" s="320"/>
      <c r="J47" s="337">
        <v>0</v>
      </c>
      <c r="K47" s="321">
        <v>0</v>
      </c>
      <c r="L47" s="321">
        <v>133306.628</v>
      </c>
      <c r="M47" s="321">
        <v>0</v>
      </c>
      <c r="N47" s="321">
        <v>0</v>
      </c>
      <c r="O47" s="321">
        <v>-13221.715</v>
      </c>
      <c r="P47" s="321">
        <v>0</v>
      </c>
      <c r="Q47" s="321">
        <v>0</v>
      </c>
      <c r="R47" s="321">
        <v>-23746.666000000001</v>
      </c>
      <c r="S47" s="321">
        <v>0</v>
      </c>
      <c r="T47" s="321">
        <v>0</v>
      </c>
      <c r="U47" s="322">
        <v>-149511.538</v>
      </c>
      <c r="V47" s="323">
        <v>-53173.290999999997</v>
      </c>
      <c r="W47" s="303"/>
      <c r="X47" s="324">
        <v>-149511.538</v>
      </c>
      <c r="Y47" s="325">
        <v>-53173.290999999997</v>
      </c>
      <c r="AA47" s="388"/>
    </row>
    <row r="48" spans="5:27" s="361" customFormat="1" hidden="1" outlineLevel="2" x14ac:dyDescent="0.3">
      <c r="E48" s="350" t="s">
        <v>954</v>
      </c>
      <c r="F48" s="306">
        <v>4100411</v>
      </c>
      <c r="G48" s="307"/>
      <c r="H48" s="308"/>
      <c r="I48" s="309"/>
      <c r="J48" s="310">
        <v>-205.547</v>
      </c>
      <c r="K48" s="311">
        <v>-83.171000000000006</v>
      </c>
      <c r="L48" s="311">
        <v>-97.447999999999993</v>
      </c>
      <c r="M48" s="311">
        <v>-113.125</v>
      </c>
      <c r="N48" s="311">
        <v>-116.19499999999999</v>
      </c>
      <c r="O48" s="311">
        <v>-108.06399999999999</v>
      </c>
      <c r="P48" s="311">
        <v>-122.059</v>
      </c>
      <c r="Q48" s="311">
        <v>-105.673</v>
      </c>
      <c r="R48" s="311">
        <v>-94.813000000000002</v>
      </c>
      <c r="S48" s="311">
        <v>-127.166</v>
      </c>
      <c r="T48" s="311">
        <v>-115.295</v>
      </c>
      <c r="U48" s="312">
        <v>-388.61799999999999</v>
      </c>
      <c r="V48" s="313">
        <v>-1677.174</v>
      </c>
      <c r="W48" s="314"/>
      <c r="X48" s="315">
        <v>-388.61799999999999</v>
      </c>
      <c r="Y48" s="316">
        <v>-1677.174</v>
      </c>
      <c r="AA48" s="388"/>
    </row>
    <row r="49" spans="1:27" s="350" customFormat="1" hidden="1" outlineLevel="2" x14ac:dyDescent="0.3">
      <c r="E49" s="350" t="s">
        <v>955</v>
      </c>
      <c r="F49" s="306">
        <v>4100412</v>
      </c>
      <c r="G49" s="307"/>
      <c r="H49" s="308"/>
      <c r="I49" s="309"/>
      <c r="J49" s="310">
        <v>-127510.151</v>
      </c>
      <c r="K49" s="311">
        <v>-132310.30499999999</v>
      </c>
      <c r="L49" s="311">
        <v>-147318.09899999999</v>
      </c>
      <c r="M49" s="311">
        <v>-142746.52100000001</v>
      </c>
      <c r="N49" s="311">
        <v>-146179.58499999999</v>
      </c>
      <c r="O49" s="311">
        <v>-128670.389</v>
      </c>
      <c r="P49" s="311">
        <v>-137100.89199999999</v>
      </c>
      <c r="Q49" s="311">
        <v>-136925.527</v>
      </c>
      <c r="R49" s="311">
        <v>-142542.45300000001</v>
      </c>
      <c r="S49" s="311">
        <v>-153819.59</v>
      </c>
      <c r="T49" s="311">
        <v>-133507.96799999999</v>
      </c>
      <c r="U49" s="312">
        <v>-483333.93300000002</v>
      </c>
      <c r="V49" s="313">
        <v>-2011965.4129999999</v>
      </c>
      <c r="W49" s="314"/>
      <c r="X49" s="315">
        <v>-483333.93300000002</v>
      </c>
      <c r="Y49" s="316">
        <v>-2011965.4129999999</v>
      </c>
      <c r="AA49" s="314"/>
    </row>
    <row r="50" spans="1:27" s="361" customFormat="1" hidden="1" outlineLevel="2" x14ac:dyDescent="0.3">
      <c r="A50" s="350"/>
      <c r="B50" s="350"/>
      <c r="E50" s="326" t="s">
        <v>935</v>
      </c>
      <c r="F50" s="351"/>
      <c r="G50" s="352"/>
      <c r="H50" s="353"/>
      <c r="I50" s="354"/>
      <c r="J50" s="337">
        <v>0</v>
      </c>
      <c r="K50" s="355">
        <v>0</v>
      </c>
      <c r="L50" s="355">
        <v>0</v>
      </c>
      <c r="M50" s="355">
        <v>0</v>
      </c>
      <c r="N50" s="355">
        <v>0</v>
      </c>
      <c r="O50" s="355">
        <v>0</v>
      </c>
      <c r="P50" s="355">
        <v>0</v>
      </c>
      <c r="Q50" s="355">
        <v>0</v>
      </c>
      <c r="R50" s="355">
        <v>0</v>
      </c>
      <c r="S50" s="355">
        <v>0</v>
      </c>
      <c r="T50" s="355">
        <v>0</v>
      </c>
      <c r="U50" s="356">
        <v>0</v>
      </c>
      <c r="V50" s="357">
        <v>0</v>
      </c>
      <c r="W50" s="358"/>
      <c r="X50" s="359">
        <v>0</v>
      </c>
      <c r="Y50" s="360">
        <v>0</v>
      </c>
      <c r="AA50" s="388"/>
    </row>
    <row r="51" spans="1:27" hidden="1" collapsed="1" x14ac:dyDescent="0.3">
      <c r="A51" s="233"/>
      <c r="B51" s="234" t="s">
        <v>3</v>
      </c>
      <c r="D51" s="293" t="s">
        <v>956</v>
      </c>
      <c r="E51" s="294"/>
      <c r="F51" s="295" t="s">
        <v>957</v>
      </c>
      <c r="G51" s="296"/>
      <c r="H51" s="297"/>
      <c r="I51" s="298"/>
      <c r="J51" s="299">
        <v>155591524.06699997</v>
      </c>
      <c r="K51" s="300">
        <v>140942432.80500001</v>
      </c>
      <c r="L51" s="300">
        <v>166757902.06599998</v>
      </c>
      <c r="M51" s="300">
        <v>169277385.07700002</v>
      </c>
      <c r="N51" s="300">
        <v>176397712.54700002</v>
      </c>
      <c r="O51" s="300">
        <v>173133759.53099999</v>
      </c>
      <c r="P51" s="300">
        <v>184708677.98800001</v>
      </c>
      <c r="Q51" s="300">
        <v>190114660.89899999</v>
      </c>
      <c r="R51" s="300">
        <v>196819831.039</v>
      </c>
      <c r="S51" s="300">
        <v>183207700.625</v>
      </c>
      <c r="T51" s="300">
        <v>169613095.86300001</v>
      </c>
      <c r="U51" s="301">
        <v>166088897.868</v>
      </c>
      <c r="V51" s="302">
        <v>2072653580.3750007</v>
      </c>
      <c r="W51" s="303"/>
      <c r="X51" s="304">
        <v>166088897.868</v>
      </c>
      <c r="Y51" s="305">
        <v>2072653580.3750007</v>
      </c>
      <c r="AA51" s="388"/>
    </row>
    <row r="52" spans="1:27" hidden="1" outlineLevel="1" x14ac:dyDescent="0.3">
      <c r="E52" s="250" t="s">
        <v>958</v>
      </c>
      <c r="F52" s="317">
        <v>4100501</v>
      </c>
      <c r="G52" s="318"/>
      <c r="H52" s="319">
        <v>4100030101</v>
      </c>
      <c r="I52" s="320"/>
      <c r="J52" s="337">
        <v>282913.73200000002</v>
      </c>
      <c r="K52" s="321">
        <v>65949.532000000007</v>
      </c>
      <c r="L52" s="321">
        <v>1318279.125</v>
      </c>
      <c r="M52" s="321">
        <v>987889.48699999996</v>
      </c>
      <c r="N52" s="321">
        <v>225608.97099999999</v>
      </c>
      <c r="O52" s="321">
        <v>-93585.039000000004</v>
      </c>
      <c r="P52" s="321">
        <v>261491.47099999999</v>
      </c>
      <c r="Q52" s="321">
        <v>536936.23</v>
      </c>
      <c r="R52" s="321">
        <v>222081.58100000001</v>
      </c>
      <c r="S52" s="321">
        <v>397744.88299999997</v>
      </c>
      <c r="T52" s="321">
        <v>604269.88300000003</v>
      </c>
      <c r="U52" s="322">
        <v>45892.597000000002</v>
      </c>
      <c r="V52" s="323">
        <v>4855472.4530000007</v>
      </c>
      <c r="W52" s="303"/>
      <c r="X52" s="324">
        <v>45892.597000000002</v>
      </c>
      <c r="Y52" s="325">
        <v>4855472.4530000007</v>
      </c>
      <c r="AA52" s="388"/>
    </row>
    <row r="53" spans="1:27" hidden="1" outlineLevel="1" x14ac:dyDescent="0.3">
      <c r="E53" s="250" t="s">
        <v>959</v>
      </c>
      <c r="F53" s="317">
        <v>4100502</v>
      </c>
      <c r="G53" s="318"/>
      <c r="H53" s="319">
        <v>4100030103</v>
      </c>
      <c r="I53" s="320"/>
      <c r="J53" s="337">
        <v>111842465.84099999</v>
      </c>
      <c r="K53" s="321">
        <v>100560355.285</v>
      </c>
      <c r="L53" s="321">
        <v>121684716.78399999</v>
      </c>
      <c r="M53" s="321">
        <v>122264689.44800001</v>
      </c>
      <c r="N53" s="321">
        <v>128509789.24000001</v>
      </c>
      <c r="O53" s="321">
        <v>128169176.51599999</v>
      </c>
      <c r="P53" s="321">
        <v>133883333.611</v>
      </c>
      <c r="Q53" s="321">
        <v>138237493.22999999</v>
      </c>
      <c r="R53" s="321">
        <v>143462838.12</v>
      </c>
      <c r="S53" s="321">
        <v>132225312.858</v>
      </c>
      <c r="T53" s="321">
        <v>125218473.561</v>
      </c>
      <c r="U53" s="322">
        <v>120383052.09099999</v>
      </c>
      <c r="V53" s="323">
        <v>1506441696.5850005</v>
      </c>
      <c r="W53" s="303"/>
      <c r="X53" s="324">
        <v>120383052.09099999</v>
      </c>
      <c r="Y53" s="325">
        <v>1506441696.5850005</v>
      </c>
      <c r="AA53" s="388"/>
    </row>
    <row r="54" spans="1:27" hidden="1" outlineLevel="1" x14ac:dyDescent="0.3">
      <c r="E54" s="250" t="s">
        <v>960</v>
      </c>
      <c r="F54" s="317">
        <v>4100510</v>
      </c>
      <c r="G54" s="318"/>
      <c r="H54" s="319">
        <v>4100030107</v>
      </c>
      <c r="I54" s="320"/>
      <c r="J54" s="337">
        <v>800000</v>
      </c>
      <c r="K54" s="321">
        <v>745000</v>
      </c>
      <c r="L54" s="321">
        <v>868500</v>
      </c>
      <c r="M54" s="321">
        <v>918000</v>
      </c>
      <c r="N54" s="321">
        <v>937500</v>
      </c>
      <c r="O54" s="321">
        <v>892000</v>
      </c>
      <c r="P54" s="321">
        <v>1006000</v>
      </c>
      <c r="Q54" s="321">
        <v>946000</v>
      </c>
      <c r="R54" s="321">
        <v>985500</v>
      </c>
      <c r="S54" s="321">
        <v>883000</v>
      </c>
      <c r="T54" s="321">
        <v>706000</v>
      </c>
      <c r="U54" s="322">
        <v>736000</v>
      </c>
      <c r="V54" s="323">
        <v>10423500</v>
      </c>
      <c r="W54" s="303"/>
      <c r="X54" s="324">
        <v>736000</v>
      </c>
      <c r="Y54" s="325">
        <v>10423500</v>
      </c>
      <c r="AA54" s="388"/>
    </row>
    <row r="55" spans="1:27" hidden="1" outlineLevel="1" x14ac:dyDescent="0.3">
      <c r="E55" s="250" t="s">
        <v>961</v>
      </c>
      <c r="F55" s="317">
        <v>4100511</v>
      </c>
      <c r="G55" s="318"/>
      <c r="H55" s="319">
        <v>4100030109</v>
      </c>
      <c r="I55" s="320"/>
      <c r="J55" s="337">
        <v>42679183.585999995</v>
      </c>
      <c r="K55" s="321">
        <v>39580859.614</v>
      </c>
      <c r="L55" s="321">
        <v>42908785.348999999</v>
      </c>
      <c r="M55" s="321">
        <v>45132202.277000003</v>
      </c>
      <c r="N55" s="321">
        <v>46748034.842999995</v>
      </c>
      <c r="O55" s="321">
        <v>44186227.290000007</v>
      </c>
      <c r="P55" s="321">
        <v>49575801.898000002</v>
      </c>
      <c r="Q55" s="321">
        <v>50412608.906000003</v>
      </c>
      <c r="R55" s="321">
        <v>52166704.428999998</v>
      </c>
      <c r="S55" s="321">
        <v>49716599.901000001</v>
      </c>
      <c r="T55" s="321">
        <v>43099006.398999996</v>
      </c>
      <c r="U55" s="322">
        <v>44936299.601999998</v>
      </c>
      <c r="V55" s="323">
        <v>551142314.0940001</v>
      </c>
      <c r="W55" s="303"/>
      <c r="X55" s="324">
        <v>44936299.601999998</v>
      </c>
      <c r="Y55" s="325">
        <v>551142314.0940001</v>
      </c>
      <c r="AA55" s="388"/>
    </row>
    <row r="56" spans="1:27" hidden="1" outlineLevel="1" x14ac:dyDescent="0.3">
      <c r="E56" s="250" t="s">
        <v>962</v>
      </c>
      <c r="F56" s="317">
        <v>4302608</v>
      </c>
      <c r="G56" s="318"/>
      <c r="H56" s="319"/>
      <c r="I56" s="320"/>
      <c r="J56" s="337">
        <v>-13039.092000000001</v>
      </c>
      <c r="K56" s="321">
        <v>-9731.6260000000002</v>
      </c>
      <c r="L56" s="321">
        <v>-22379.191999999999</v>
      </c>
      <c r="M56" s="321">
        <v>-25396.134999999998</v>
      </c>
      <c r="N56" s="321">
        <v>-23220.507000000001</v>
      </c>
      <c r="O56" s="321">
        <v>-20059.236000000001</v>
      </c>
      <c r="P56" s="321">
        <v>-17948.991999999998</v>
      </c>
      <c r="Q56" s="321">
        <v>-18377.467000000001</v>
      </c>
      <c r="R56" s="321">
        <v>-17293.091</v>
      </c>
      <c r="S56" s="321">
        <v>-14957.017</v>
      </c>
      <c r="T56" s="321">
        <v>-14653.98</v>
      </c>
      <c r="U56" s="322">
        <v>-12346.422</v>
      </c>
      <c r="V56" s="323">
        <v>-209402.75699999998</v>
      </c>
      <c r="W56" s="303"/>
      <c r="X56" s="324">
        <v>-12346.422</v>
      </c>
      <c r="Y56" s="325">
        <v>-209402.75699999998</v>
      </c>
      <c r="AA56" s="388"/>
    </row>
    <row r="57" spans="1:27" s="326" customFormat="1" hidden="1" outlineLevel="2" x14ac:dyDescent="0.3">
      <c r="E57" s="326" t="s">
        <v>963</v>
      </c>
      <c r="F57" s="336"/>
      <c r="G57" s="327"/>
      <c r="H57" s="328"/>
      <c r="I57" s="329"/>
      <c r="J57" s="337">
        <v>0</v>
      </c>
      <c r="K57" s="330">
        <v>0</v>
      </c>
      <c r="L57" s="330">
        <v>0</v>
      </c>
      <c r="M57" s="330">
        <v>0</v>
      </c>
      <c r="N57" s="330">
        <v>0</v>
      </c>
      <c r="O57" s="330">
        <v>0</v>
      </c>
      <c r="P57" s="330">
        <v>0</v>
      </c>
      <c r="Q57" s="330">
        <v>0</v>
      </c>
      <c r="R57" s="330">
        <v>0</v>
      </c>
      <c r="S57" s="330">
        <v>0</v>
      </c>
      <c r="T57" s="330">
        <v>0</v>
      </c>
      <c r="U57" s="331">
        <v>0</v>
      </c>
      <c r="V57" s="332">
        <v>0</v>
      </c>
      <c r="W57" s="333"/>
      <c r="X57" s="334">
        <v>0</v>
      </c>
      <c r="Y57" s="335">
        <v>0</v>
      </c>
      <c r="AA57" s="388"/>
    </row>
    <row r="58" spans="1:27" s="326" customFormat="1" hidden="1" outlineLevel="2" x14ac:dyDescent="0.3">
      <c r="E58" s="326" t="s">
        <v>964</v>
      </c>
      <c r="F58" s="336"/>
      <c r="G58" s="327"/>
      <c r="H58" s="328"/>
      <c r="I58" s="329"/>
      <c r="J58" s="337">
        <v>0</v>
      </c>
      <c r="K58" s="330">
        <v>0</v>
      </c>
      <c r="L58" s="330">
        <v>0</v>
      </c>
      <c r="M58" s="330">
        <v>0</v>
      </c>
      <c r="N58" s="330">
        <v>0</v>
      </c>
      <c r="O58" s="330">
        <v>0</v>
      </c>
      <c r="P58" s="330">
        <v>0</v>
      </c>
      <c r="Q58" s="330">
        <v>0</v>
      </c>
      <c r="R58" s="330">
        <v>0</v>
      </c>
      <c r="S58" s="330">
        <v>0</v>
      </c>
      <c r="T58" s="330">
        <v>0</v>
      </c>
      <c r="U58" s="331">
        <v>0</v>
      </c>
      <c r="V58" s="332">
        <v>0</v>
      </c>
      <c r="W58" s="333"/>
      <c r="X58" s="334">
        <v>0</v>
      </c>
      <c r="Y58" s="335">
        <v>0</v>
      </c>
      <c r="AA58" s="388"/>
    </row>
    <row r="59" spans="1:27" s="326" customFormat="1" hidden="1" outlineLevel="2" x14ac:dyDescent="0.3">
      <c r="E59" s="326" t="s">
        <v>965</v>
      </c>
      <c r="F59" s="336"/>
      <c r="G59" s="327"/>
      <c r="H59" s="328"/>
      <c r="I59" s="329"/>
      <c r="J59" s="337">
        <v>0</v>
      </c>
      <c r="K59" s="330">
        <v>0</v>
      </c>
      <c r="L59" s="330">
        <v>0</v>
      </c>
      <c r="M59" s="330">
        <v>0</v>
      </c>
      <c r="N59" s="330">
        <v>0</v>
      </c>
      <c r="O59" s="330">
        <v>0</v>
      </c>
      <c r="P59" s="330">
        <v>0</v>
      </c>
      <c r="Q59" s="330">
        <v>0</v>
      </c>
      <c r="R59" s="330">
        <v>0</v>
      </c>
      <c r="S59" s="330">
        <v>0</v>
      </c>
      <c r="T59" s="330">
        <v>0</v>
      </c>
      <c r="U59" s="331">
        <v>0</v>
      </c>
      <c r="V59" s="332">
        <v>0</v>
      </c>
      <c r="W59" s="333"/>
      <c r="X59" s="334">
        <v>0</v>
      </c>
      <c r="Y59" s="335">
        <v>0</v>
      </c>
      <c r="AA59" s="388"/>
    </row>
    <row r="60" spans="1:27" hidden="1" collapsed="1" x14ac:dyDescent="0.3">
      <c r="A60" s="233"/>
      <c r="B60" s="234" t="s">
        <v>3</v>
      </c>
      <c r="D60" s="293" t="s">
        <v>966</v>
      </c>
      <c r="E60" s="294"/>
      <c r="F60" s="295" t="s">
        <v>967</v>
      </c>
      <c r="G60" s="296"/>
      <c r="H60" s="297"/>
      <c r="I60" s="298"/>
      <c r="J60" s="299">
        <v>-82943675.574000001</v>
      </c>
      <c r="K60" s="300">
        <v>-77433295.044999987</v>
      </c>
      <c r="L60" s="300">
        <v>-85474468.932000011</v>
      </c>
      <c r="M60" s="300">
        <v>-88121802.655000001</v>
      </c>
      <c r="N60" s="300">
        <v>-90757864.824000001</v>
      </c>
      <c r="O60" s="300">
        <v>-85857842.449000001</v>
      </c>
      <c r="P60" s="300">
        <v>-95342849.928000003</v>
      </c>
      <c r="Q60" s="300">
        <v>-97398802.240999997</v>
      </c>
      <c r="R60" s="300">
        <v>-95192880.750999987</v>
      </c>
      <c r="S60" s="300">
        <v>-94330782.708000004</v>
      </c>
      <c r="T60" s="300">
        <v>-86133940.726999998</v>
      </c>
      <c r="U60" s="301">
        <v>-85545072.525000006</v>
      </c>
      <c r="V60" s="302">
        <v>-1064533278.3590002</v>
      </c>
      <c r="W60" s="303"/>
      <c r="X60" s="304">
        <v>-85545072.525000006</v>
      </c>
      <c r="Y60" s="305">
        <v>-1064533278.3590002</v>
      </c>
      <c r="AA60" s="388"/>
    </row>
    <row r="61" spans="1:27" hidden="1" x14ac:dyDescent="0.3">
      <c r="E61" s="339" t="s">
        <v>968</v>
      </c>
      <c r="F61" s="340" t="s">
        <v>969</v>
      </c>
      <c r="G61" s="341"/>
      <c r="H61" s="342"/>
      <c r="I61" s="343"/>
      <c r="J61" s="344">
        <v>-42679183.585999995</v>
      </c>
      <c r="K61" s="345">
        <v>-39580859.614</v>
      </c>
      <c r="L61" s="345">
        <v>-42908785.348999999</v>
      </c>
      <c r="M61" s="345">
        <v>-45132201.652000003</v>
      </c>
      <c r="N61" s="345">
        <v>-46748035.467999995</v>
      </c>
      <c r="O61" s="345">
        <v>-44186227.290000007</v>
      </c>
      <c r="P61" s="345">
        <v>-49575801.898000002</v>
      </c>
      <c r="Q61" s="345">
        <v>-50412608.906000003</v>
      </c>
      <c r="R61" s="345">
        <v>-52166704.428999998</v>
      </c>
      <c r="S61" s="345">
        <v>-49716599.901000001</v>
      </c>
      <c r="T61" s="345">
        <v>-43099006.398999996</v>
      </c>
      <c r="U61" s="346">
        <v>-44936299.601999998</v>
      </c>
      <c r="V61" s="347">
        <v>-551142314.0940001</v>
      </c>
      <c r="W61" s="303"/>
      <c r="X61" s="348">
        <v>-44936299.601999998</v>
      </c>
      <c r="Y61" s="349">
        <v>-551142314.0940001</v>
      </c>
      <c r="AA61" s="388"/>
    </row>
    <row r="62" spans="1:27" hidden="1" outlineLevel="1" x14ac:dyDescent="0.3">
      <c r="E62" s="250" t="s">
        <v>970</v>
      </c>
      <c r="F62" s="317">
        <v>4100581</v>
      </c>
      <c r="G62" s="318"/>
      <c r="H62" s="319">
        <v>4100030111</v>
      </c>
      <c r="I62" s="320"/>
      <c r="J62" s="337">
        <v>-42679183.585999995</v>
      </c>
      <c r="K62" s="321">
        <v>-39580859.614</v>
      </c>
      <c r="L62" s="321">
        <v>-42908785.348999999</v>
      </c>
      <c r="M62" s="321">
        <v>-45132201.652000003</v>
      </c>
      <c r="N62" s="321">
        <v>-46748035.467999995</v>
      </c>
      <c r="O62" s="321">
        <v>-44186227.290000007</v>
      </c>
      <c r="P62" s="321">
        <v>-49575801.898000002</v>
      </c>
      <c r="Q62" s="321">
        <v>-50412608.906000003</v>
      </c>
      <c r="R62" s="321">
        <v>-52166704.428999998</v>
      </c>
      <c r="S62" s="321">
        <v>-49716599.901000001</v>
      </c>
      <c r="T62" s="321">
        <v>-43099006.398999996</v>
      </c>
      <c r="U62" s="322">
        <v>-44936299.601999998</v>
      </c>
      <c r="V62" s="323">
        <v>-551142314.0940001</v>
      </c>
      <c r="W62" s="303"/>
      <c r="X62" s="324">
        <v>-44936299.601999998</v>
      </c>
      <c r="Y62" s="325">
        <v>-551142314.0940001</v>
      </c>
      <c r="AA62" s="388"/>
    </row>
    <row r="63" spans="1:27" s="326" customFormat="1" hidden="1" outlineLevel="2" x14ac:dyDescent="0.3">
      <c r="E63" s="326" t="s">
        <v>963</v>
      </c>
      <c r="F63" s="336"/>
      <c r="G63" s="327"/>
      <c r="H63" s="328"/>
      <c r="I63" s="329"/>
      <c r="J63" s="337">
        <v>0</v>
      </c>
      <c r="K63" s="330">
        <v>0</v>
      </c>
      <c r="L63" s="330">
        <v>0</v>
      </c>
      <c r="M63" s="330">
        <v>0</v>
      </c>
      <c r="N63" s="330">
        <v>0</v>
      </c>
      <c r="O63" s="330">
        <v>0</v>
      </c>
      <c r="P63" s="330">
        <v>0</v>
      </c>
      <c r="Q63" s="330">
        <v>0</v>
      </c>
      <c r="R63" s="330">
        <v>0</v>
      </c>
      <c r="S63" s="330">
        <v>0</v>
      </c>
      <c r="T63" s="330">
        <v>0</v>
      </c>
      <c r="U63" s="331">
        <v>0</v>
      </c>
      <c r="V63" s="332">
        <v>0</v>
      </c>
      <c r="W63" s="333"/>
      <c r="X63" s="334">
        <v>0</v>
      </c>
      <c r="Y63" s="335">
        <v>0</v>
      </c>
      <c r="AA63" s="388"/>
    </row>
    <row r="64" spans="1:27" s="326" customFormat="1" hidden="1" outlineLevel="2" x14ac:dyDescent="0.3">
      <c r="E64" s="326" t="s">
        <v>964</v>
      </c>
      <c r="F64" s="336"/>
      <c r="G64" s="327"/>
      <c r="H64" s="328"/>
      <c r="I64" s="329"/>
      <c r="J64" s="337">
        <v>0</v>
      </c>
      <c r="K64" s="330">
        <v>0</v>
      </c>
      <c r="L64" s="330">
        <v>0</v>
      </c>
      <c r="M64" s="330">
        <v>0</v>
      </c>
      <c r="N64" s="330">
        <v>0</v>
      </c>
      <c r="O64" s="330">
        <v>0</v>
      </c>
      <c r="P64" s="330">
        <v>0</v>
      </c>
      <c r="Q64" s="330">
        <v>0</v>
      </c>
      <c r="R64" s="330">
        <v>0</v>
      </c>
      <c r="S64" s="330">
        <v>0</v>
      </c>
      <c r="T64" s="330">
        <v>0</v>
      </c>
      <c r="U64" s="331">
        <v>0</v>
      </c>
      <c r="V64" s="332">
        <v>0</v>
      </c>
      <c r="W64" s="333"/>
      <c r="X64" s="334">
        <v>0</v>
      </c>
      <c r="Y64" s="335">
        <v>0</v>
      </c>
      <c r="AA64" s="388"/>
    </row>
    <row r="65" spans="1:27" s="326" customFormat="1" hidden="1" outlineLevel="2" x14ac:dyDescent="0.3">
      <c r="E65" s="326" t="s">
        <v>965</v>
      </c>
      <c r="F65" s="336"/>
      <c r="G65" s="327"/>
      <c r="H65" s="328"/>
      <c r="I65" s="329"/>
      <c r="J65" s="337">
        <v>0</v>
      </c>
      <c r="K65" s="330">
        <v>0</v>
      </c>
      <c r="L65" s="330">
        <v>0</v>
      </c>
      <c r="M65" s="330">
        <v>0</v>
      </c>
      <c r="N65" s="330">
        <v>0</v>
      </c>
      <c r="O65" s="330">
        <v>0</v>
      </c>
      <c r="P65" s="330">
        <v>0</v>
      </c>
      <c r="Q65" s="330">
        <v>0</v>
      </c>
      <c r="R65" s="330">
        <v>0</v>
      </c>
      <c r="S65" s="330">
        <v>0</v>
      </c>
      <c r="T65" s="330">
        <v>0</v>
      </c>
      <c r="U65" s="331">
        <v>0</v>
      </c>
      <c r="V65" s="332">
        <v>0</v>
      </c>
      <c r="W65" s="333"/>
      <c r="X65" s="334">
        <v>0</v>
      </c>
      <c r="Y65" s="335">
        <v>0</v>
      </c>
      <c r="AA65" s="388"/>
    </row>
    <row r="66" spans="1:27" hidden="1" collapsed="1" x14ac:dyDescent="0.3">
      <c r="E66" s="339" t="s">
        <v>971</v>
      </c>
      <c r="F66" s="340" t="s">
        <v>972</v>
      </c>
      <c r="G66" s="341"/>
      <c r="H66" s="342"/>
      <c r="I66" s="343"/>
      <c r="J66" s="344">
        <v>-40264491.987999998</v>
      </c>
      <c r="K66" s="345">
        <v>-37852435.430999987</v>
      </c>
      <c r="L66" s="345">
        <v>-42565683.583000012</v>
      </c>
      <c r="M66" s="345">
        <v>-42989601.002999991</v>
      </c>
      <c r="N66" s="345">
        <v>-44009829.356000006</v>
      </c>
      <c r="O66" s="345">
        <v>-41671615.159000002</v>
      </c>
      <c r="P66" s="345">
        <v>-45767048.030000001</v>
      </c>
      <c r="Q66" s="345">
        <v>-46986193.334999986</v>
      </c>
      <c r="R66" s="345">
        <v>-43026176.321999997</v>
      </c>
      <c r="S66" s="345">
        <v>-44614182.806999996</v>
      </c>
      <c r="T66" s="345">
        <v>-43034934.328000002</v>
      </c>
      <c r="U66" s="346">
        <v>-40608772.923</v>
      </c>
      <c r="V66" s="347">
        <v>-513390964.2650001</v>
      </c>
      <c r="W66" s="303"/>
      <c r="X66" s="348">
        <v>-40608772.923</v>
      </c>
      <c r="Y66" s="349">
        <v>-513390964.2650001</v>
      </c>
      <c r="AA66" s="388"/>
    </row>
    <row r="67" spans="1:27" hidden="1" outlineLevel="1" x14ac:dyDescent="0.3">
      <c r="E67" s="250" t="s">
        <v>973</v>
      </c>
      <c r="F67" s="317">
        <v>4100591</v>
      </c>
      <c r="G67" s="318"/>
      <c r="H67" s="319"/>
      <c r="I67" s="320"/>
      <c r="J67" s="337">
        <v>-36804945.093999997</v>
      </c>
      <c r="K67" s="321">
        <v>-34650577.608000003</v>
      </c>
      <c r="L67" s="321">
        <v>-38887979.805999994</v>
      </c>
      <c r="M67" s="321">
        <v>-38845941.905000001</v>
      </c>
      <c r="N67" s="321">
        <v>-40442226.581</v>
      </c>
      <c r="O67" s="321">
        <v>-40067957.549000002</v>
      </c>
      <c r="P67" s="321">
        <v>-41376400.314999998</v>
      </c>
      <c r="Q67" s="321">
        <v>-42297643.993999995</v>
      </c>
      <c r="R67" s="321">
        <v>-41078348.637000002</v>
      </c>
      <c r="S67" s="321">
        <v>-40994565.993999995</v>
      </c>
      <c r="T67" s="321">
        <v>-39339829.701000005</v>
      </c>
      <c r="U67" s="322">
        <v>-38524797.463</v>
      </c>
      <c r="V67" s="323">
        <v>-473311214.64700001</v>
      </c>
      <c r="W67" s="303"/>
      <c r="X67" s="324">
        <v>-38524797.463</v>
      </c>
      <c r="Y67" s="325">
        <v>-473311214.64700001</v>
      </c>
      <c r="AA67" s="388"/>
    </row>
    <row r="68" spans="1:27" hidden="1" outlineLevel="1" x14ac:dyDescent="0.3">
      <c r="E68" s="250" t="s">
        <v>974</v>
      </c>
      <c r="F68" s="317">
        <v>4100592</v>
      </c>
      <c r="G68" s="318"/>
      <c r="H68" s="319"/>
      <c r="I68" s="320"/>
      <c r="J68" s="337">
        <v>0</v>
      </c>
      <c r="K68" s="321">
        <v>0</v>
      </c>
      <c r="L68" s="321">
        <v>0</v>
      </c>
      <c r="M68" s="321">
        <v>0</v>
      </c>
      <c r="N68" s="321">
        <v>0</v>
      </c>
      <c r="O68" s="321">
        <v>0</v>
      </c>
      <c r="P68" s="321">
        <v>0</v>
      </c>
      <c r="Q68" s="321">
        <v>0</v>
      </c>
      <c r="R68" s="321">
        <v>0</v>
      </c>
      <c r="S68" s="321">
        <v>0</v>
      </c>
      <c r="T68" s="321">
        <v>0</v>
      </c>
      <c r="U68" s="322">
        <v>0</v>
      </c>
      <c r="V68" s="323">
        <v>0</v>
      </c>
      <c r="W68" s="303"/>
      <c r="X68" s="324">
        <v>0</v>
      </c>
      <c r="Y68" s="325">
        <v>0</v>
      </c>
      <c r="AA68" s="388"/>
    </row>
    <row r="69" spans="1:27" hidden="1" outlineLevel="1" x14ac:dyDescent="0.3">
      <c r="E69" s="250" t="s">
        <v>975</v>
      </c>
      <c r="F69" s="317">
        <v>4100593</v>
      </c>
      <c r="G69" s="318"/>
      <c r="H69" s="319"/>
      <c r="I69" s="320"/>
      <c r="J69" s="337">
        <v>-159081.98300000001</v>
      </c>
      <c r="K69" s="321">
        <v>-157370.42499999999</v>
      </c>
      <c r="L69" s="321">
        <v>-136716.32</v>
      </c>
      <c r="M69" s="321">
        <v>-106090.30499999999</v>
      </c>
      <c r="N69" s="321">
        <v>-99082.861000000004</v>
      </c>
      <c r="O69" s="321">
        <v>-104061.723</v>
      </c>
      <c r="P69" s="321">
        <v>-132803.484</v>
      </c>
      <c r="Q69" s="321">
        <v>-139290.08499999999</v>
      </c>
      <c r="R69" s="321">
        <v>-142751.921</v>
      </c>
      <c r="S69" s="321">
        <v>-101902.808</v>
      </c>
      <c r="T69" s="321">
        <v>-85332.936000000002</v>
      </c>
      <c r="U69" s="322">
        <v>-89957.907000000007</v>
      </c>
      <c r="V69" s="323">
        <v>-1454442.7579999999</v>
      </c>
      <c r="W69" s="303"/>
      <c r="X69" s="324">
        <v>-89957.907000000007</v>
      </c>
      <c r="Y69" s="325">
        <v>-1454442.7579999999</v>
      </c>
      <c r="AA69" s="388"/>
    </row>
    <row r="70" spans="1:27" hidden="1" outlineLevel="1" x14ac:dyDescent="0.3">
      <c r="E70" s="250" t="s">
        <v>976</v>
      </c>
      <c r="F70" s="317">
        <v>4100594</v>
      </c>
      <c r="G70" s="318"/>
      <c r="H70" s="319"/>
      <c r="I70" s="320"/>
      <c r="J70" s="337">
        <v>-192229.875</v>
      </c>
      <c r="K70" s="321">
        <v>-315610.05699999997</v>
      </c>
      <c r="L70" s="321">
        <v>-149486.71100000001</v>
      </c>
      <c r="M70" s="321">
        <v>-127899.27799999999</v>
      </c>
      <c r="N70" s="321">
        <v>-106294.325</v>
      </c>
      <c r="O70" s="321">
        <v>-95237.281000000003</v>
      </c>
      <c r="P70" s="321">
        <v>-85448.255000000005</v>
      </c>
      <c r="Q70" s="321">
        <v>-71316.277999999991</v>
      </c>
      <c r="R70" s="321">
        <v>-85896.341</v>
      </c>
      <c r="S70" s="321">
        <v>-71651.284</v>
      </c>
      <c r="T70" s="321">
        <v>-69334.232999999993</v>
      </c>
      <c r="U70" s="322">
        <v>-69230.646000000008</v>
      </c>
      <c r="V70" s="323">
        <v>-1439634.5639999995</v>
      </c>
      <c r="W70" s="303"/>
      <c r="X70" s="324">
        <v>-69230.646000000008</v>
      </c>
      <c r="Y70" s="325">
        <v>-1439634.5639999995</v>
      </c>
      <c r="AA70" s="388"/>
    </row>
    <row r="71" spans="1:27" hidden="1" outlineLevel="1" x14ac:dyDescent="0.3">
      <c r="E71" s="250" t="s">
        <v>977</v>
      </c>
      <c r="F71" s="317">
        <v>4100595</v>
      </c>
      <c r="G71" s="318"/>
      <c r="H71" s="319"/>
      <c r="I71" s="320"/>
      <c r="J71" s="337">
        <v>-874891.18499999994</v>
      </c>
      <c r="K71" s="321">
        <v>-806407.38500000001</v>
      </c>
      <c r="L71" s="321">
        <v>-909278.21500000008</v>
      </c>
      <c r="M71" s="321">
        <v>-808555.42499999993</v>
      </c>
      <c r="N71" s="321">
        <v>-846866.17599999998</v>
      </c>
      <c r="O71" s="321">
        <v>-832836.37899999996</v>
      </c>
      <c r="P71" s="321">
        <v>-883140.40700000001</v>
      </c>
      <c r="Q71" s="321">
        <v>-946722.55699999991</v>
      </c>
      <c r="R71" s="321">
        <v>-889456.30299999996</v>
      </c>
      <c r="S71" s="321">
        <v>-854430.84199999995</v>
      </c>
      <c r="T71" s="321">
        <v>-872741.26600000006</v>
      </c>
      <c r="U71" s="322">
        <v>-914304.95400000003</v>
      </c>
      <c r="V71" s="323">
        <v>-10439631.094000001</v>
      </c>
      <c r="W71" s="303"/>
      <c r="X71" s="324">
        <v>-914304.95400000003</v>
      </c>
      <c r="Y71" s="325">
        <v>-10439631.094000001</v>
      </c>
      <c r="AA71" s="388"/>
    </row>
    <row r="72" spans="1:27" hidden="1" outlineLevel="1" x14ac:dyDescent="0.3">
      <c r="E72" s="250" t="s">
        <v>978</v>
      </c>
      <c r="F72" s="317">
        <v>4100406</v>
      </c>
      <c r="G72" s="318"/>
      <c r="H72" s="319">
        <v>4100030113</v>
      </c>
      <c r="I72" s="320"/>
      <c r="J72" s="337">
        <v>-121909.773</v>
      </c>
      <c r="K72" s="321">
        <v>93113.752999999997</v>
      </c>
      <c r="L72" s="321">
        <v>103090.227</v>
      </c>
      <c r="M72" s="321">
        <v>-668485.26399999997</v>
      </c>
      <c r="N72" s="321">
        <v>-25564.31</v>
      </c>
      <c r="O72" s="321">
        <v>124292.60400000001</v>
      </c>
      <c r="P72" s="321">
        <v>-96564.31</v>
      </c>
      <c r="Q72" s="321">
        <v>-293251.05699999997</v>
      </c>
      <c r="R72" s="321">
        <v>246267.34599999999</v>
      </c>
      <c r="S72" s="321">
        <v>82507.099000000002</v>
      </c>
      <c r="T72" s="321">
        <v>-121558.99099999999</v>
      </c>
      <c r="U72" s="322">
        <v>345279.348</v>
      </c>
      <c r="V72" s="323">
        <v>-332783.3280000001</v>
      </c>
      <c r="W72" s="303"/>
      <c r="X72" s="324">
        <v>345279.348</v>
      </c>
      <c r="Y72" s="325">
        <v>-332783.3280000001</v>
      </c>
      <c r="AA72" s="388"/>
    </row>
    <row r="73" spans="1:27" s="326" customFormat="1" hidden="1" outlineLevel="2" x14ac:dyDescent="0.3">
      <c r="E73" s="250" t="s">
        <v>979</v>
      </c>
      <c r="F73" s="306">
        <v>4100596</v>
      </c>
      <c r="G73" s="307"/>
      <c r="H73" s="308"/>
      <c r="I73" s="309"/>
      <c r="J73" s="310">
        <v>-1984819.4509999999</v>
      </c>
      <c r="K73" s="311">
        <v>-1865340.05</v>
      </c>
      <c r="L73" s="311">
        <v>-2069384.3910000001</v>
      </c>
      <c r="M73" s="311">
        <v>-1962256.206</v>
      </c>
      <c r="N73" s="311">
        <v>-2040621.335</v>
      </c>
      <c r="O73" s="311">
        <v>-214902.318</v>
      </c>
      <c r="P73" s="311">
        <v>-2608979.2659999998</v>
      </c>
      <c r="Q73" s="311">
        <v>-2634031.4419999998</v>
      </c>
      <c r="R73" s="311">
        <v>-626580.44999999995</v>
      </c>
      <c r="S73" s="311">
        <v>-2242070.0419999999</v>
      </c>
      <c r="T73" s="311">
        <v>-2100555.9079999998</v>
      </c>
      <c r="U73" s="312">
        <v>-626569.39399999997</v>
      </c>
      <c r="V73" s="313">
        <v>-20976110.253000002</v>
      </c>
      <c r="W73" s="314"/>
      <c r="X73" s="315">
        <v>-626569.39399999997</v>
      </c>
      <c r="Y73" s="316">
        <v>-20976110.253000002</v>
      </c>
      <c r="AA73" s="388"/>
    </row>
    <row r="74" spans="1:27" s="350" customFormat="1" hidden="1" outlineLevel="2" x14ac:dyDescent="0.3">
      <c r="E74" s="350" t="s">
        <v>980</v>
      </c>
      <c r="F74" s="306">
        <v>4100597</v>
      </c>
      <c r="G74" s="307"/>
      <c r="H74" s="308"/>
      <c r="I74" s="309"/>
      <c r="J74" s="310">
        <v>-126614.62699999999</v>
      </c>
      <c r="K74" s="311">
        <v>-104243.822</v>
      </c>
      <c r="L74" s="311">
        <v>-138411.17800000001</v>
      </c>
      <c r="M74" s="311">
        <v>-112604.9</v>
      </c>
      <c r="N74" s="311">
        <v>-85690.278999999995</v>
      </c>
      <c r="O74" s="311">
        <v>-104242.93</v>
      </c>
      <c r="P74" s="311">
        <v>-225834.74</v>
      </c>
      <c r="Q74" s="311">
        <v>-256760.514</v>
      </c>
      <c r="R74" s="311">
        <v>-108947.951</v>
      </c>
      <c r="S74" s="311">
        <v>-106274.882</v>
      </c>
      <c r="T74" s="311">
        <v>-106393.723</v>
      </c>
      <c r="U74" s="312">
        <v>-296753.864</v>
      </c>
      <c r="V74" s="313">
        <v>-1772773.4100000001</v>
      </c>
      <c r="W74" s="314"/>
      <c r="X74" s="315">
        <v>-296753.864</v>
      </c>
      <c r="Y74" s="316">
        <v>-1772773.4100000001</v>
      </c>
      <c r="AA74" s="314"/>
    </row>
    <row r="75" spans="1:27" s="350" customFormat="1" hidden="1" outlineLevel="2" x14ac:dyDescent="0.3">
      <c r="E75" s="350" t="s">
        <v>981</v>
      </c>
      <c r="F75" s="306">
        <v>4100598</v>
      </c>
      <c r="G75" s="307"/>
      <c r="H75" s="308"/>
      <c r="I75" s="309"/>
      <c r="J75" s="310">
        <v>0</v>
      </c>
      <c r="K75" s="311">
        <v>-45999.837</v>
      </c>
      <c r="L75" s="311">
        <v>-377517.18900000001</v>
      </c>
      <c r="M75" s="311">
        <v>-357767.72</v>
      </c>
      <c r="N75" s="311">
        <v>-363483.489</v>
      </c>
      <c r="O75" s="311">
        <v>-376669.58299999998</v>
      </c>
      <c r="P75" s="311">
        <v>-357877.25300000003</v>
      </c>
      <c r="Q75" s="311">
        <v>-347177.408</v>
      </c>
      <c r="R75" s="311">
        <v>-340462.065</v>
      </c>
      <c r="S75" s="311">
        <v>-325794.054</v>
      </c>
      <c r="T75" s="311">
        <v>-339187.57</v>
      </c>
      <c r="U75" s="312">
        <v>-432438.04300000001</v>
      </c>
      <c r="V75" s="313">
        <v>-3664374.2109999997</v>
      </c>
      <c r="W75" s="314"/>
      <c r="X75" s="315">
        <v>-432438.04300000001</v>
      </c>
      <c r="Y75" s="316">
        <v>-3664374.2109999997</v>
      </c>
      <c r="AA75" s="314"/>
    </row>
    <row r="76" spans="1:27" hidden="1" collapsed="1" x14ac:dyDescent="0.3">
      <c r="A76" s="233"/>
      <c r="B76" s="234" t="s">
        <v>5</v>
      </c>
      <c r="D76" s="294" t="s">
        <v>982</v>
      </c>
      <c r="E76" s="294"/>
      <c r="F76" s="295" t="s">
        <v>983</v>
      </c>
      <c r="G76" s="296"/>
      <c r="H76" s="297"/>
      <c r="I76" s="298"/>
      <c r="J76" s="299">
        <v>50996767.648999996</v>
      </c>
      <c r="K76" s="300">
        <v>50788693.592000008</v>
      </c>
      <c r="L76" s="300">
        <v>52001078.724000007</v>
      </c>
      <c r="M76" s="300">
        <v>52281407.425999992</v>
      </c>
      <c r="N76" s="300">
        <v>52954475.770999998</v>
      </c>
      <c r="O76" s="300">
        <v>49842731.330999993</v>
      </c>
      <c r="P76" s="300">
        <v>50282339.113000005</v>
      </c>
      <c r="Q76" s="300">
        <v>45371714.716999993</v>
      </c>
      <c r="R76" s="300">
        <v>49584055.006999999</v>
      </c>
      <c r="S76" s="300">
        <v>49595835.856000006</v>
      </c>
      <c r="T76" s="300">
        <v>50161740.305000007</v>
      </c>
      <c r="U76" s="301">
        <v>56090078.202</v>
      </c>
      <c r="V76" s="302">
        <v>609950917.69299996</v>
      </c>
      <c r="W76" s="303"/>
      <c r="X76" s="304">
        <v>56090078.202</v>
      </c>
      <c r="Y76" s="305">
        <v>609950917.69299996</v>
      </c>
      <c r="AA76" s="388"/>
    </row>
    <row r="77" spans="1:27" hidden="1" outlineLevel="1" x14ac:dyDescent="0.3">
      <c r="E77" s="250" t="s">
        <v>984</v>
      </c>
      <c r="F77" s="317">
        <v>4100701</v>
      </c>
      <c r="G77" s="318"/>
      <c r="H77" s="319">
        <v>4100130101</v>
      </c>
      <c r="I77" s="320"/>
      <c r="J77" s="337">
        <v>35450376.552000001</v>
      </c>
      <c r="K77" s="321">
        <v>35868422.488000005</v>
      </c>
      <c r="L77" s="321">
        <v>35634812.545000002</v>
      </c>
      <c r="M77" s="321">
        <v>36220286.184</v>
      </c>
      <c r="N77" s="321">
        <v>37555557.512999997</v>
      </c>
      <c r="O77" s="321">
        <v>36369236.244999997</v>
      </c>
      <c r="P77" s="321">
        <v>36017749.886</v>
      </c>
      <c r="Q77" s="321">
        <v>32407626.562999997</v>
      </c>
      <c r="R77" s="321">
        <v>35715044.928999998</v>
      </c>
      <c r="S77" s="321">
        <v>36782806.630000003</v>
      </c>
      <c r="T77" s="321">
        <v>36468308.458999999</v>
      </c>
      <c r="U77" s="322">
        <v>41597981.792000003</v>
      </c>
      <c r="V77" s="323">
        <v>436088209.78600001</v>
      </c>
      <c r="W77" s="303"/>
      <c r="X77" s="324">
        <v>41597981.792000003</v>
      </c>
      <c r="Y77" s="325">
        <v>436088209.78600001</v>
      </c>
      <c r="AA77" s="388"/>
    </row>
    <row r="78" spans="1:27" hidden="1" outlineLevel="1" x14ac:dyDescent="0.3">
      <c r="E78" s="250" t="s">
        <v>985</v>
      </c>
      <c r="F78" s="317">
        <v>4100702</v>
      </c>
      <c r="G78" s="318"/>
      <c r="H78" s="319"/>
      <c r="I78" s="320"/>
      <c r="J78" s="337">
        <v>0</v>
      </c>
      <c r="K78" s="321">
        <v>0</v>
      </c>
      <c r="L78" s="321">
        <v>0</v>
      </c>
      <c r="M78" s="321">
        <v>0</v>
      </c>
      <c r="N78" s="321">
        <v>0</v>
      </c>
      <c r="O78" s="321">
        <v>0</v>
      </c>
      <c r="P78" s="321">
        <v>0</v>
      </c>
      <c r="Q78" s="321">
        <v>0</v>
      </c>
      <c r="R78" s="321">
        <v>0</v>
      </c>
      <c r="S78" s="321">
        <v>0</v>
      </c>
      <c r="T78" s="321">
        <v>0</v>
      </c>
      <c r="U78" s="322">
        <v>0</v>
      </c>
      <c r="V78" s="323">
        <v>0</v>
      </c>
      <c r="W78" s="303"/>
      <c r="X78" s="324">
        <v>0</v>
      </c>
      <c r="Y78" s="325">
        <v>0</v>
      </c>
      <c r="AA78" s="388"/>
    </row>
    <row r="79" spans="1:27" hidden="1" outlineLevel="1" x14ac:dyDescent="0.3">
      <c r="E79" s="250" t="s">
        <v>986</v>
      </c>
      <c r="F79" s="317">
        <v>4100703</v>
      </c>
      <c r="G79" s="318"/>
      <c r="H79" s="319"/>
      <c r="I79" s="320"/>
      <c r="J79" s="337">
        <v>2507629.7680000002</v>
      </c>
      <c r="K79" s="321">
        <v>3412881.86</v>
      </c>
      <c r="L79" s="321">
        <v>2714748.0010000002</v>
      </c>
      <c r="M79" s="321">
        <v>2547278.5109999999</v>
      </c>
      <c r="N79" s="321">
        <v>2400559.3489999999</v>
      </c>
      <c r="O79" s="321">
        <v>2376656.622</v>
      </c>
      <c r="P79" s="321">
        <v>2649232.9109999998</v>
      </c>
      <c r="Q79" s="321">
        <v>2495281.2459999998</v>
      </c>
      <c r="R79" s="321">
        <v>2896928.9649999999</v>
      </c>
      <c r="S79" s="321">
        <v>2306029.253</v>
      </c>
      <c r="T79" s="321">
        <v>2623591.662</v>
      </c>
      <c r="U79" s="322">
        <v>2966821.51</v>
      </c>
      <c r="V79" s="323">
        <v>31897639.658</v>
      </c>
      <c r="W79" s="303"/>
      <c r="X79" s="324">
        <v>2966821.51</v>
      </c>
      <c r="Y79" s="325">
        <v>31897639.658</v>
      </c>
      <c r="AA79" s="388"/>
    </row>
    <row r="80" spans="1:27" hidden="1" outlineLevel="1" x14ac:dyDescent="0.3">
      <c r="E80" s="250" t="s">
        <v>987</v>
      </c>
      <c r="F80" s="317">
        <v>4100704</v>
      </c>
      <c r="G80" s="318"/>
      <c r="H80" s="319"/>
      <c r="I80" s="320"/>
      <c r="J80" s="337">
        <v>0</v>
      </c>
      <c r="K80" s="321">
        <v>0</v>
      </c>
      <c r="L80" s="321">
        <v>0</v>
      </c>
      <c r="M80" s="321">
        <v>0</v>
      </c>
      <c r="N80" s="321">
        <v>0</v>
      </c>
      <c r="O80" s="321">
        <v>0</v>
      </c>
      <c r="P80" s="321">
        <v>0</v>
      </c>
      <c r="Q80" s="321">
        <v>0</v>
      </c>
      <c r="R80" s="321">
        <v>0</v>
      </c>
      <c r="S80" s="321">
        <v>0</v>
      </c>
      <c r="T80" s="321">
        <v>0</v>
      </c>
      <c r="U80" s="322">
        <v>0</v>
      </c>
      <c r="V80" s="323">
        <v>0</v>
      </c>
      <c r="W80" s="303"/>
      <c r="X80" s="324">
        <v>0</v>
      </c>
      <c r="Y80" s="325">
        <v>0</v>
      </c>
      <c r="AA80" s="388"/>
    </row>
    <row r="81" spans="1:27" hidden="1" outlineLevel="1" x14ac:dyDescent="0.3">
      <c r="E81" s="250" t="s">
        <v>988</v>
      </c>
      <c r="F81" s="317">
        <v>4100705</v>
      </c>
      <c r="G81" s="318"/>
      <c r="H81" s="319"/>
      <c r="I81" s="320"/>
      <c r="J81" s="337">
        <v>3621414.5320000001</v>
      </c>
      <c r="K81" s="321">
        <v>3319623.395</v>
      </c>
      <c r="L81" s="321">
        <v>3856884.9380000001</v>
      </c>
      <c r="M81" s="321">
        <v>3247915.7629999998</v>
      </c>
      <c r="N81" s="321">
        <v>2944314.3640000001</v>
      </c>
      <c r="O81" s="321">
        <v>2322732.7540000002</v>
      </c>
      <c r="P81" s="321">
        <v>3173397.7319999998</v>
      </c>
      <c r="Q81" s="321">
        <v>3042184.6030000001</v>
      </c>
      <c r="R81" s="321">
        <v>2668634.3250000002</v>
      </c>
      <c r="S81" s="321">
        <v>2743354.5959999999</v>
      </c>
      <c r="T81" s="321">
        <v>2577102.2209999999</v>
      </c>
      <c r="U81" s="322">
        <v>3483961.1</v>
      </c>
      <c r="V81" s="323">
        <v>37001520.322999999</v>
      </c>
      <c r="W81" s="303"/>
      <c r="X81" s="324">
        <v>3483961.1</v>
      </c>
      <c r="Y81" s="325">
        <v>37001520.322999999</v>
      </c>
      <c r="AA81" s="388"/>
    </row>
    <row r="82" spans="1:27" hidden="1" outlineLevel="1" x14ac:dyDescent="0.3">
      <c r="E82" s="250" t="s">
        <v>989</v>
      </c>
      <c r="F82" s="317">
        <v>4100706</v>
      </c>
      <c r="G82" s="318"/>
      <c r="H82" s="319"/>
      <c r="I82" s="320"/>
      <c r="J82" s="337">
        <v>4147381.1850000001</v>
      </c>
      <c r="K82" s="321">
        <v>2798013</v>
      </c>
      <c r="L82" s="321">
        <v>4464468.5999999996</v>
      </c>
      <c r="M82" s="321">
        <v>5117569.84</v>
      </c>
      <c r="N82" s="321">
        <v>4450058</v>
      </c>
      <c r="O82" s="321">
        <v>3990896.35</v>
      </c>
      <c r="P82" s="321">
        <v>3214120</v>
      </c>
      <c r="Q82" s="321">
        <v>2821050.9049999998</v>
      </c>
      <c r="R82" s="321">
        <v>3189440</v>
      </c>
      <c r="S82" s="321">
        <v>2727070</v>
      </c>
      <c r="T82" s="321">
        <v>3379170</v>
      </c>
      <c r="U82" s="322">
        <v>2908589.7</v>
      </c>
      <c r="V82" s="323">
        <v>43207827.580000006</v>
      </c>
      <c r="W82" s="303"/>
      <c r="X82" s="324">
        <v>2908589.7</v>
      </c>
      <c r="Y82" s="325">
        <v>43207827.580000006</v>
      </c>
      <c r="AA82" s="388"/>
    </row>
    <row r="83" spans="1:27" hidden="1" outlineLevel="1" x14ac:dyDescent="0.3">
      <c r="E83" s="250" t="s">
        <v>990</v>
      </c>
      <c r="F83" s="317">
        <v>4100707</v>
      </c>
      <c r="G83" s="318"/>
      <c r="H83" s="319"/>
      <c r="I83" s="320"/>
      <c r="J83" s="337">
        <v>2360881.0260000001</v>
      </c>
      <c r="K83" s="321">
        <v>2583221.7450000001</v>
      </c>
      <c r="L83" s="321">
        <v>2450269.4989999998</v>
      </c>
      <c r="M83" s="321">
        <v>2480328.0619999999</v>
      </c>
      <c r="N83" s="321">
        <v>2223146.2110000001</v>
      </c>
      <c r="O83" s="321">
        <v>1973443.219</v>
      </c>
      <c r="P83" s="321">
        <v>2295344.7149999999</v>
      </c>
      <c r="Q83" s="321">
        <v>1986335.662</v>
      </c>
      <c r="R83" s="321">
        <v>2341931.7799999998</v>
      </c>
      <c r="S83" s="321">
        <v>2204730.0819999999</v>
      </c>
      <c r="T83" s="321">
        <v>2438010.284</v>
      </c>
      <c r="U83" s="322">
        <v>2532730.0950000002</v>
      </c>
      <c r="V83" s="323">
        <v>27870372.379999995</v>
      </c>
      <c r="W83" s="303"/>
      <c r="X83" s="324">
        <v>2532730.0950000002</v>
      </c>
      <c r="Y83" s="325">
        <v>27870372.379999995</v>
      </c>
      <c r="AA83" s="388"/>
    </row>
    <row r="84" spans="1:27" hidden="1" outlineLevel="1" x14ac:dyDescent="0.3">
      <c r="E84" s="250" t="s">
        <v>991</v>
      </c>
      <c r="F84" s="317">
        <v>4100709</v>
      </c>
      <c r="G84" s="318"/>
      <c r="H84" s="319"/>
      <c r="I84" s="320"/>
      <c r="J84" s="337">
        <v>2212925.5019999999</v>
      </c>
      <c r="K84" s="321">
        <v>2118485.6490000002</v>
      </c>
      <c r="L84" s="321">
        <v>2089454.3319999999</v>
      </c>
      <c r="M84" s="321">
        <v>1965513.791</v>
      </c>
      <c r="N84" s="321">
        <v>2679345.6690000002</v>
      </c>
      <c r="O84" s="321">
        <v>2218973.98</v>
      </c>
      <c r="P84" s="321">
        <v>2365246.0040000002</v>
      </c>
      <c r="Q84" s="321">
        <v>1993143.19</v>
      </c>
      <c r="R84" s="321">
        <v>2278499.9470000002</v>
      </c>
      <c r="S84" s="321">
        <v>2392341.0079999999</v>
      </c>
      <c r="T84" s="321">
        <v>2092445.1329999999</v>
      </c>
      <c r="U84" s="322">
        <v>1996461.004</v>
      </c>
      <c r="V84" s="323">
        <v>26402835.209000006</v>
      </c>
      <c r="W84" s="303"/>
      <c r="X84" s="324">
        <v>1996461.004</v>
      </c>
      <c r="Y84" s="325">
        <v>26402835.209000006</v>
      </c>
      <c r="AA84" s="388"/>
    </row>
    <row r="85" spans="1:27" hidden="1" outlineLevel="1" x14ac:dyDescent="0.3">
      <c r="E85" s="250" t="s">
        <v>992</v>
      </c>
      <c r="F85" s="317">
        <v>4100793</v>
      </c>
      <c r="G85" s="318"/>
      <c r="H85" s="319"/>
      <c r="I85" s="320"/>
      <c r="J85" s="337">
        <v>696159.08400000003</v>
      </c>
      <c r="K85" s="321">
        <v>688045.45499999996</v>
      </c>
      <c r="L85" s="321">
        <v>790431.81799999997</v>
      </c>
      <c r="M85" s="321">
        <v>702500</v>
      </c>
      <c r="N85" s="321">
        <v>701477.27300000004</v>
      </c>
      <c r="O85" s="321">
        <v>590772.72699999996</v>
      </c>
      <c r="P85" s="321">
        <v>567227.27300000004</v>
      </c>
      <c r="Q85" s="321">
        <v>626068.18200000003</v>
      </c>
      <c r="R85" s="321">
        <v>493545.44900000002</v>
      </c>
      <c r="S85" s="321">
        <v>439477.27299999999</v>
      </c>
      <c r="T85" s="321">
        <v>583090.90899999999</v>
      </c>
      <c r="U85" s="322">
        <v>603522.72699999996</v>
      </c>
      <c r="V85" s="323">
        <v>7482318.1699999999</v>
      </c>
      <c r="W85" s="303"/>
      <c r="X85" s="324">
        <v>603522.72699999996</v>
      </c>
      <c r="Y85" s="325">
        <v>7482318.1699999999</v>
      </c>
      <c r="AA85" s="388"/>
    </row>
    <row r="86" spans="1:27" hidden="1" outlineLevel="1" x14ac:dyDescent="0.3">
      <c r="E86" s="250" t="s">
        <v>993</v>
      </c>
      <c r="F86" s="317">
        <v>4100799</v>
      </c>
      <c r="G86" s="318"/>
      <c r="H86" s="319"/>
      <c r="I86" s="320"/>
      <c r="J86" s="337">
        <v>0</v>
      </c>
      <c r="K86" s="321">
        <v>0</v>
      </c>
      <c r="L86" s="321">
        <v>8.9909999999999997</v>
      </c>
      <c r="M86" s="321">
        <v>15.275</v>
      </c>
      <c r="N86" s="321">
        <v>17.391999999999999</v>
      </c>
      <c r="O86" s="321">
        <v>19.434000000000001</v>
      </c>
      <c r="P86" s="321">
        <v>20.591999999999999</v>
      </c>
      <c r="Q86" s="321">
        <v>24.366</v>
      </c>
      <c r="R86" s="321">
        <v>29.611999999999998</v>
      </c>
      <c r="S86" s="321">
        <v>27.013999999999999</v>
      </c>
      <c r="T86" s="321">
        <v>21.637</v>
      </c>
      <c r="U86" s="322">
        <v>10.273999999999999</v>
      </c>
      <c r="V86" s="323">
        <v>194.58700000000002</v>
      </c>
      <c r="W86" s="303"/>
      <c r="X86" s="324">
        <v>10.273999999999999</v>
      </c>
      <c r="Y86" s="325">
        <v>194.58700000000002</v>
      </c>
      <c r="AA86" s="388"/>
    </row>
    <row r="87" spans="1:27" s="361" customFormat="1" hidden="1" outlineLevel="2" x14ac:dyDescent="0.3">
      <c r="E87" s="326" t="s">
        <v>994</v>
      </c>
      <c r="F87" s="351"/>
      <c r="G87" s="352"/>
      <c r="H87" s="353"/>
      <c r="I87" s="354"/>
      <c r="J87" s="337">
        <v>0</v>
      </c>
      <c r="K87" s="355">
        <v>0</v>
      </c>
      <c r="L87" s="355">
        <v>0</v>
      </c>
      <c r="M87" s="355">
        <v>0</v>
      </c>
      <c r="N87" s="355">
        <v>0</v>
      </c>
      <c r="O87" s="355">
        <v>0</v>
      </c>
      <c r="P87" s="355">
        <v>0</v>
      </c>
      <c r="Q87" s="355">
        <v>0</v>
      </c>
      <c r="R87" s="355">
        <v>0</v>
      </c>
      <c r="S87" s="355">
        <v>0</v>
      </c>
      <c r="T87" s="355">
        <v>0</v>
      </c>
      <c r="U87" s="356">
        <v>0</v>
      </c>
      <c r="V87" s="357">
        <v>0</v>
      </c>
      <c r="W87" s="358"/>
      <c r="X87" s="359">
        <v>0</v>
      </c>
      <c r="Y87" s="360">
        <v>0</v>
      </c>
      <c r="AA87" s="388"/>
    </row>
    <row r="88" spans="1:27" s="361" customFormat="1" hidden="1" outlineLevel="2" x14ac:dyDescent="0.3">
      <c r="E88" s="326" t="s">
        <v>995</v>
      </c>
      <c r="F88" s="351"/>
      <c r="G88" s="352"/>
      <c r="H88" s="353"/>
      <c r="I88" s="354"/>
      <c r="J88" s="337">
        <v>0</v>
      </c>
      <c r="K88" s="355">
        <v>0</v>
      </c>
      <c r="L88" s="355">
        <v>0</v>
      </c>
      <c r="M88" s="355">
        <v>0</v>
      </c>
      <c r="N88" s="355">
        <v>0</v>
      </c>
      <c r="O88" s="355">
        <v>0</v>
      </c>
      <c r="P88" s="355">
        <v>0</v>
      </c>
      <c r="Q88" s="355">
        <v>0</v>
      </c>
      <c r="R88" s="355">
        <v>0</v>
      </c>
      <c r="S88" s="355">
        <v>0</v>
      </c>
      <c r="T88" s="355">
        <v>0</v>
      </c>
      <c r="U88" s="356">
        <v>0</v>
      </c>
      <c r="V88" s="357">
        <v>0</v>
      </c>
      <c r="W88" s="358"/>
      <c r="X88" s="359">
        <v>0</v>
      </c>
      <c r="Y88" s="360">
        <v>0</v>
      </c>
      <c r="AA88" s="388"/>
    </row>
    <row r="89" spans="1:27" s="361" customFormat="1" hidden="1" outlineLevel="2" x14ac:dyDescent="0.3">
      <c r="E89" s="326" t="s">
        <v>996</v>
      </c>
      <c r="F89" s="351"/>
      <c r="G89" s="352"/>
      <c r="H89" s="353"/>
      <c r="I89" s="354"/>
      <c r="J89" s="337">
        <v>0</v>
      </c>
      <c r="K89" s="355">
        <v>0</v>
      </c>
      <c r="L89" s="355">
        <v>0</v>
      </c>
      <c r="M89" s="355">
        <v>0</v>
      </c>
      <c r="N89" s="355">
        <v>0</v>
      </c>
      <c r="O89" s="355">
        <v>0</v>
      </c>
      <c r="P89" s="355">
        <v>0</v>
      </c>
      <c r="Q89" s="355">
        <v>0</v>
      </c>
      <c r="R89" s="355">
        <v>0</v>
      </c>
      <c r="S89" s="355">
        <v>0</v>
      </c>
      <c r="T89" s="355">
        <v>0</v>
      </c>
      <c r="U89" s="356">
        <v>0</v>
      </c>
      <c r="V89" s="357">
        <v>0</v>
      </c>
      <c r="W89" s="358"/>
      <c r="X89" s="359">
        <v>0</v>
      </c>
      <c r="Y89" s="360">
        <v>0</v>
      </c>
      <c r="AA89" s="388"/>
    </row>
    <row r="90" spans="1:27" hidden="1" collapsed="1" x14ac:dyDescent="0.3">
      <c r="A90" s="233"/>
      <c r="B90" s="234" t="s">
        <v>5</v>
      </c>
      <c r="D90" s="293" t="s">
        <v>997</v>
      </c>
      <c r="E90" s="294"/>
      <c r="F90" s="295" t="s">
        <v>998</v>
      </c>
      <c r="G90" s="296"/>
      <c r="H90" s="297"/>
      <c r="I90" s="298"/>
      <c r="J90" s="299">
        <v>-5265036.4649999999</v>
      </c>
      <c r="K90" s="300">
        <v>-4863150.432</v>
      </c>
      <c r="L90" s="300">
        <v>-4408994.7579999994</v>
      </c>
      <c r="M90" s="300">
        <v>-4891118.8400000008</v>
      </c>
      <c r="N90" s="300">
        <v>-4596557.3490000004</v>
      </c>
      <c r="O90" s="300">
        <v>-4265745.193</v>
      </c>
      <c r="P90" s="300">
        <v>-4895151.8269999996</v>
      </c>
      <c r="Q90" s="300">
        <v>-4123188.3110000002</v>
      </c>
      <c r="R90" s="300">
        <v>-7177115.8029999994</v>
      </c>
      <c r="S90" s="300">
        <v>-4360264.6109999996</v>
      </c>
      <c r="T90" s="300">
        <v>-3182627.3369999998</v>
      </c>
      <c r="U90" s="301">
        <v>-4817837.8569999998</v>
      </c>
      <c r="V90" s="302">
        <v>-56846788.783</v>
      </c>
      <c r="W90" s="303"/>
      <c r="X90" s="304">
        <v>-4817837.8569999998</v>
      </c>
      <c r="Y90" s="305">
        <v>-56846788.783</v>
      </c>
      <c r="AA90" s="388"/>
    </row>
    <row r="91" spans="1:27" hidden="1" outlineLevel="1" x14ac:dyDescent="0.3">
      <c r="E91" s="250" t="s">
        <v>999</v>
      </c>
      <c r="F91" s="317">
        <v>4100798</v>
      </c>
      <c r="G91" s="318"/>
      <c r="H91" s="319"/>
      <c r="I91" s="320"/>
      <c r="J91" s="337">
        <v>-1273635.7450000001</v>
      </c>
      <c r="K91" s="321">
        <v>-159544.158</v>
      </c>
      <c r="L91" s="321">
        <v>599183.08499999996</v>
      </c>
      <c r="M91" s="321">
        <v>-154420.402</v>
      </c>
      <c r="N91" s="321">
        <v>70832.86</v>
      </c>
      <c r="O91" s="321">
        <v>-75484.142999999996</v>
      </c>
      <c r="P91" s="321">
        <v>-171079.51199999999</v>
      </c>
      <c r="Q91" s="321">
        <v>299295.54399999999</v>
      </c>
      <c r="R91" s="321">
        <v>-2112998.037</v>
      </c>
      <c r="S91" s="321">
        <v>761565.772</v>
      </c>
      <c r="T91" s="321">
        <v>1252197.531</v>
      </c>
      <c r="U91" s="322">
        <v>34972.553</v>
      </c>
      <c r="V91" s="323">
        <v>-929114.65200000058</v>
      </c>
      <c r="W91" s="303"/>
      <c r="X91" s="324">
        <v>34972.553</v>
      </c>
      <c r="Y91" s="325">
        <v>-929114.65200000058</v>
      </c>
      <c r="AA91" s="388"/>
    </row>
    <row r="92" spans="1:27" hidden="1" outlineLevel="1" x14ac:dyDescent="0.3">
      <c r="E92" s="250" t="s">
        <v>1000</v>
      </c>
      <c r="F92" s="317">
        <v>4100796</v>
      </c>
      <c r="G92" s="318"/>
      <c r="H92" s="319"/>
      <c r="I92" s="320"/>
      <c r="J92" s="337">
        <v>0</v>
      </c>
      <c r="K92" s="321">
        <v>0</v>
      </c>
      <c r="L92" s="321">
        <v>25229.874</v>
      </c>
      <c r="M92" s="321">
        <v>0</v>
      </c>
      <c r="N92" s="321">
        <v>0</v>
      </c>
      <c r="O92" s="321">
        <v>-146818.861</v>
      </c>
      <c r="P92" s="321">
        <v>0</v>
      </c>
      <c r="Q92" s="321">
        <v>0</v>
      </c>
      <c r="R92" s="321">
        <v>16188.173000000001</v>
      </c>
      <c r="S92" s="321">
        <v>0</v>
      </c>
      <c r="T92" s="321">
        <v>0</v>
      </c>
      <c r="U92" s="322">
        <v>88773.08</v>
      </c>
      <c r="V92" s="323">
        <v>-16627.734000000011</v>
      </c>
      <c r="W92" s="303"/>
      <c r="X92" s="324">
        <v>88773.08</v>
      </c>
      <c r="Y92" s="325">
        <v>-16627.734000000011</v>
      </c>
      <c r="AA92" s="388"/>
    </row>
    <row r="93" spans="1:27" hidden="1" outlineLevel="1" x14ac:dyDescent="0.3">
      <c r="E93" s="250" t="s">
        <v>1001</v>
      </c>
      <c r="F93" s="317">
        <v>4100795</v>
      </c>
      <c r="G93" s="318"/>
      <c r="H93" s="319"/>
      <c r="I93" s="320"/>
      <c r="J93" s="337">
        <v>0</v>
      </c>
      <c r="K93" s="321">
        <v>0</v>
      </c>
      <c r="L93" s="321">
        <v>-358118.58799999999</v>
      </c>
      <c r="M93" s="321">
        <v>0</v>
      </c>
      <c r="N93" s="321">
        <v>0</v>
      </c>
      <c r="O93" s="321">
        <v>423978.25900000002</v>
      </c>
      <c r="P93" s="321">
        <v>0</v>
      </c>
      <c r="Q93" s="321">
        <v>0</v>
      </c>
      <c r="R93" s="321">
        <v>9344.09</v>
      </c>
      <c r="S93" s="321">
        <v>0</v>
      </c>
      <c r="T93" s="321">
        <v>0</v>
      </c>
      <c r="U93" s="322">
        <v>-29258.108</v>
      </c>
      <c r="V93" s="323">
        <v>45945.653000000028</v>
      </c>
      <c r="W93" s="303"/>
      <c r="X93" s="324">
        <v>-29258.108</v>
      </c>
      <c r="Y93" s="325">
        <v>45945.653000000028</v>
      </c>
      <c r="AA93" s="388"/>
    </row>
    <row r="94" spans="1:27" hidden="1" outlineLevel="1" x14ac:dyDescent="0.3">
      <c r="E94" s="250" t="s">
        <v>1002</v>
      </c>
      <c r="F94" s="317">
        <v>4100794</v>
      </c>
      <c r="G94" s="318"/>
      <c r="H94" s="319"/>
      <c r="I94" s="320"/>
      <c r="J94" s="337">
        <v>-1322869.5449999999</v>
      </c>
      <c r="K94" s="321">
        <v>-1890876.38</v>
      </c>
      <c r="L94" s="321">
        <v>-1543371.8430000001</v>
      </c>
      <c r="M94" s="321">
        <v>-1600395.656</v>
      </c>
      <c r="N94" s="321">
        <v>-1471847.8529999999</v>
      </c>
      <c r="O94" s="321">
        <v>-1443080.6459999999</v>
      </c>
      <c r="P94" s="321">
        <v>-1735093.378</v>
      </c>
      <c r="Q94" s="321">
        <v>-1422868.3149999999</v>
      </c>
      <c r="R94" s="321">
        <v>-1570845.047</v>
      </c>
      <c r="S94" s="321">
        <v>-1853570.0859999999</v>
      </c>
      <c r="T94" s="321">
        <v>-1605273.3570000001</v>
      </c>
      <c r="U94" s="322">
        <v>-1886149.5530000001</v>
      </c>
      <c r="V94" s="323">
        <v>-19346241.658999998</v>
      </c>
      <c r="W94" s="303"/>
      <c r="X94" s="324">
        <v>-1886149.5530000001</v>
      </c>
      <c r="Y94" s="325">
        <v>-19346241.658999998</v>
      </c>
      <c r="AA94" s="388"/>
    </row>
    <row r="95" spans="1:27" hidden="1" outlineLevel="1" x14ac:dyDescent="0.3">
      <c r="E95" s="250" t="s">
        <v>1003</v>
      </c>
      <c r="F95" s="317">
        <v>4100797</v>
      </c>
      <c r="G95" s="318"/>
      <c r="H95" s="319"/>
      <c r="I95" s="320"/>
      <c r="J95" s="337">
        <v>-241932.9</v>
      </c>
      <c r="K95" s="321">
        <v>-290374.50099999999</v>
      </c>
      <c r="L95" s="321">
        <v>-172135.03899999999</v>
      </c>
      <c r="M95" s="321">
        <v>-311740.45</v>
      </c>
      <c r="N95" s="321">
        <v>-306806.2</v>
      </c>
      <c r="O95" s="321">
        <v>-527055.478</v>
      </c>
      <c r="P95" s="321">
        <v>-322095.75099999999</v>
      </c>
      <c r="Q95" s="321">
        <v>-267798.7</v>
      </c>
      <c r="R95" s="321">
        <v>-738954.26699999999</v>
      </c>
      <c r="S95" s="321">
        <v>-273314.32500000001</v>
      </c>
      <c r="T95" s="321">
        <v>-269670.59999999998</v>
      </c>
      <c r="U95" s="322">
        <v>-498516.641</v>
      </c>
      <c r="V95" s="323">
        <v>-4220394.8520000009</v>
      </c>
      <c r="W95" s="303"/>
      <c r="X95" s="324">
        <v>-498516.641</v>
      </c>
      <c r="Y95" s="325">
        <v>-4220394.8520000009</v>
      </c>
      <c r="AA95" s="388"/>
    </row>
    <row r="96" spans="1:27" s="361" customFormat="1" hidden="1" outlineLevel="2" x14ac:dyDescent="0.3">
      <c r="E96" s="350" t="s">
        <v>1004</v>
      </c>
      <c r="F96" s="306">
        <v>4100792</v>
      </c>
      <c r="G96" s="307"/>
      <c r="H96" s="308"/>
      <c r="I96" s="309"/>
      <c r="J96" s="310">
        <v>-3905.3969999999999</v>
      </c>
      <c r="K96" s="311">
        <v>-1580.2660000000001</v>
      </c>
      <c r="L96" s="311">
        <v>-1851.499</v>
      </c>
      <c r="M96" s="311">
        <v>-2149.3739999999998</v>
      </c>
      <c r="N96" s="311">
        <v>-2207.7249999999999</v>
      </c>
      <c r="O96" s="311">
        <v>-2053.2260000000001</v>
      </c>
      <c r="P96" s="311">
        <v>-2319.116</v>
      </c>
      <c r="Q96" s="311">
        <v>-2007.7760000000001</v>
      </c>
      <c r="R96" s="311">
        <v>-1801.46</v>
      </c>
      <c r="S96" s="311">
        <v>-2416.1709999999998</v>
      </c>
      <c r="T96" s="311">
        <v>-2190.6260000000002</v>
      </c>
      <c r="U96" s="312">
        <v>-1793.0640000000001</v>
      </c>
      <c r="V96" s="313">
        <v>-26275.699999999997</v>
      </c>
      <c r="W96" s="314"/>
      <c r="X96" s="315">
        <v>-1793.0640000000001</v>
      </c>
      <c r="Y96" s="316">
        <v>-26275.699999999997</v>
      </c>
      <c r="AA96" s="388"/>
    </row>
    <row r="97" spans="1:27" s="350" customFormat="1" hidden="1" outlineLevel="2" x14ac:dyDescent="0.3">
      <c r="E97" s="350" t="s">
        <v>1005</v>
      </c>
      <c r="F97" s="306">
        <v>4100791</v>
      </c>
      <c r="G97" s="307"/>
      <c r="H97" s="308"/>
      <c r="I97" s="309"/>
      <c r="J97" s="310">
        <v>-2422692.878</v>
      </c>
      <c r="K97" s="311">
        <v>-2513895.798</v>
      </c>
      <c r="L97" s="311">
        <v>-2799043.8849999998</v>
      </c>
      <c r="M97" s="311">
        <v>-2712183.8930000002</v>
      </c>
      <c r="N97" s="311">
        <v>-2777412.1170000001</v>
      </c>
      <c r="O97" s="311">
        <v>-2444737.398</v>
      </c>
      <c r="P97" s="311">
        <v>-2604916.9559999998</v>
      </c>
      <c r="Q97" s="311">
        <v>-2601585.0180000002</v>
      </c>
      <c r="R97" s="311">
        <v>-2708306.608</v>
      </c>
      <c r="S97" s="311">
        <v>-2922572.2149999999</v>
      </c>
      <c r="T97" s="311">
        <v>-2536651.3939999999</v>
      </c>
      <c r="U97" s="312">
        <v>-2476793.324</v>
      </c>
      <c r="V97" s="313">
        <v>-31520791.484000001</v>
      </c>
      <c r="W97" s="314"/>
      <c r="X97" s="315">
        <v>-2476793.324</v>
      </c>
      <c r="Y97" s="316">
        <v>-31520791.484000001</v>
      </c>
      <c r="AA97" s="314"/>
    </row>
    <row r="98" spans="1:27" s="350" customFormat="1" hidden="1" outlineLevel="2" x14ac:dyDescent="0.3">
      <c r="E98" s="350" t="s">
        <v>1006</v>
      </c>
      <c r="F98" s="306">
        <v>4100781</v>
      </c>
      <c r="G98" s="307">
        <v>4100783</v>
      </c>
      <c r="H98" s="308"/>
      <c r="I98" s="309"/>
      <c r="J98" s="310">
        <v>0</v>
      </c>
      <c r="K98" s="311">
        <v>-6879.3289999999997</v>
      </c>
      <c r="L98" s="311">
        <v>-158886.86300000001</v>
      </c>
      <c r="M98" s="311">
        <v>-110229.065</v>
      </c>
      <c r="N98" s="311">
        <v>-109116.31400000001</v>
      </c>
      <c r="O98" s="311">
        <v>-50493.7</v>
      </c>
      <c r="P98" s="311">
        <v>-59647.113999999994</v>
      </c>
      <c r="Q98" s="311">
        <v>-128224.046</v>
      </c>
      <c r="R98" s="311">
        <v>-69742.646999999997</v>
      </c>
      <c r="S98" s="311">
        <v>-69957.58600000001</v>
      </c>
      <c r="T98" s="311">
        <v>-21038.891</v>
      </c>
      <c r="U98" s="312">
        <v>-49072.799999999996</v>
      </c>
      <c r="V98" s="313">
        <v>-833288.35499999998</v>
      </c>
      <c r="W98" s="314"/>
      <c r="X98" s="315">
        <v>-49072.799999999996</v>
      </c>
      <c r="Y98" s="316">
        <v>-833288.35499999998</v>
      </c>
      <c r="AA98" s="314"/>
    </row>
    <row r="99" spans="1:27" hidden="1" collapsed="1" x14ac:dyDescent="0.3">
      <c r="A99" s="233"/>
      <c r="B99" s="234" t="s">
        <v>61</v>
      </c>
      <c r="D99" s="293" t="s">
        <v>1007</v>
      </c>
      <c r="E99" s="294"/>
      <c r="F99" s="295" t="s">
        <v>1008</v>
      </c>
      <c r="G99" s="296"/>
      <c r="H99" s="297"/>
      <c r="I99" s="298"/>
      <c r="J99" s="299">
        <v>21043067.659000002</v>
      </c>
      <c r="K99" s="300">
        <v>19481965.782000002</v>
      </c>
      <c r="L99" s="300">
        <v>21294211.842</v>
      </c>
      <c r="M99" s="300">
        <v>20889814.809</v>
      </c>
      <c r="N99" s="300">
        <v>22176374.409000002</v>
      </c>
      <c r="O99" s="300">
        <v>21774812.807</v>
      </c>
      <c r="P99" s="300">
        <v>22952974.544</v>
      </c>
      <c r="Q99" s="300">
        <v>21420652.886</v>
      </c>
      <c r="R99" s="300">
        <v>21222199.385000002</v>
      </c>
      <c r="S99" s="300">
        <v>21022509.804000001</v>
      </c>
      <c r="T99" s="300">
        <v>22939789.208000001</v>
      </c>
      <c r="U99" s="301">
        <v>23377028.138</v>
      </c>
      <c r="V99" s="302">
        <v>259595401.273</v>
      </c>
      <c r="W99" s="303"/>
      <c r="X99" s="304">
        <v>23377028.138</v>
      </c>
      <c r="Y99" s="305">
        <v>259595401.273</v>
      </c>
      <c r="AA99" s="388"/>
    </row>
    <row r="100" spans="1:27" hidden="1" outlineLevel="1" x14ac:dyDescent="0.3">
      <c r="E100" s="250" t="s">
        <v>1009</v>
      </c>
      <c r="F100" s="317">
        <v>4100801</v>
      </c>
      <c r="G100" s="318"/>
      <c r="H100" s="319">
        <v>4100070101</v>
      </c>
      <c r="I100" s="320"/>
      <c r="J100" s="337">
        <v>21043067.659000002</v>
      </c>
      <c r="K100" s="321">
        <v>19481965.782000002</v>
      </c>
      <c r="L100" s="321">
        <v>21294211.842</v>
      </c>
      <c r="M100" s="321">
        <v>20889814.809</v>
      </c>
      <c r="N100" s="321">
        <v>22176374.409000002</v>
      </c>
      <c r="O100" s="321">
        <v>21774812.807</v>
      </c>
      <c r="P100" s="321">
        <v>22952974.544</v>
      </c>
      <c r="Q100" s="321">
        <v>21420652.886</v>
      </c>
      <c r="R100" s="321">
        <v>21222199.385000002</v>
      </c>
      <c r="S100" s="321">
        <v>21022509.804000001</v>
      </c>
      <c r="T100" s="321">
        <v>22939789.208000001</v>
      </c>
      <c r="U100" s="322">
        <v>23377028.138</v>
      </c>
      <c r="V100" s="323">
        <v>259595401.273</v>
      </c>
      <c r="W100" s="303"/>
      <c r="X100" s="324">
        <v>23377028.138</v>
      </c>
      <c r="Y100" s="325">
        <v>259595401.273</v>
      </c>
      <c r="AA100" s="388"/>
    </row>
    <row r="101" spans="1:27" s="326" customFormat="1" hidden="1" outlineLevel="2" x14ac:dyDescent="0.3">
      <c r="E101" s="326" t="s">
        <v>1010</v>
      </c>
      <c r="F101" s="336"/>
      <c r="G101" s="327"/>
      <c r="H101" s="328"/>
      <c r="I101" s="329"/>
      <c r="J101" s="337">
        <v>0</v>
      </c>
      <c r="K101" s="330">
        <v>0</v>
      </c>
      <c r="L101" s="330">
        <v>0</v>
      </c>
      <c r="M101" s="330">
        <v>0</v>
      </c>
      <c r="N101" s="330">
        <v>0</v>
      </c>
      <c r="O101" s="330">
        <v>0</v>
      </c>
      <c r="P101" s="330">
        <v>0</v>
      </c>
      <c r="Q101" s="330">
        <v>0</v>
      </c>
      <c r="R101" s="330">
        <v>0</v>
      </c>
      <c r="S101" s="330">
        <v>0</v>
      </c>
      <c r="T101" s="330">
        <v>0</v>
      </c>
      <c r="U101" s="331">
        <v>0</v>
      </c>
      <c r="V101" s="332">
        <v>0</v>
      </c>
      <c r="W101" s="333"/>
      <c r="X101" s="334">
        <v>0</v>
      </c>
      <c r="Y101" s="335">
        <v>0</v>
      </c>
      <c r="AA101" s="388"/>
    </row>
    <row r="102" spans="1:27" s="326" customFormat="1" hidden="1" outlineLevel="2" x14ac:dyDescent="0.3">
      <c r="E102" s="326" t="s">
        <v>1011</v>
      </c>
      <c r="F102" s="336"/>
      <c r="G102" s="327"/>
      <c r="H102" s="328"/>
      <c r="I102" s="329"/>
      <c r="J102" s="337">
        <v>0</v>
      </c>
      <c r="K102" s="330">
        <v>0</v>
      </c>
      <c r="L102" s="330">
        <v>0</v>
      </c>
      <c r="M102" s="330">
        <v>0</v>
      </c>
      <c r="N102" s="330">
        <v>0</v>
      </c>
      <c r="O102" s="330">
        <v>0</v>
      </c>
      <c r="P102" s="330">
        <v>0</v>
      </c>
      <c r="Q102" s="330">
        <v>0</v>
      </c>
      <c r="R102" s="330">
        <v>0</v>
      </c>
      <c r="S102" s="330">
        <v>0</v>
      </c>
      <c r="T102" s="330">
        <v>0</v>
      </c>
      <c r="U102" s="331">
        <v>0</v>
      </c>
      <c r="V102" s="332">
        <v>0</v>
      </c>
      <c r="W102" s="333"/>
      <c r="X102" s="334">
        <v>0</v>
      </c>
      <c r="Y102" s="335">
        <v>0</v>
      </c>
      <c r="AA102" s="388"/>
    </row>
    <row r="103" spans="1:27" s="326" customFormat="1" hidden="1" outlineLevel="2" x14ac:dyDescent="0.3">
      <c r="E103" s="326" t="s">
        <v>1012</v>
      </c>
      <c r="F103" s="336"/>
      <c r="G103" s="327"/>
      <c r="H103" s="328"/>
      <c r="I103" s="329"/>
      <c r="J103" s="337">
        <v>0</v>
      </c>
      <c r="K103" s="330">
        <v>0</v>
      </c>
      <c r="L103" s="330">
        <v>0</v>
      </c>
      <c r="M103" s="330">
        <v>0</v>
      </c>
      <c r="N103" s="330">
        <v>0</v>
      </c>
      <c r="O103" s="330">
        <v>0</v>
      </c>
      <c r="P103" s="330">
        <v>0</v>
      </c>
      <c r="Q103" s="330">
        <v>0</v>
      </c>
      <c r="R103" s="330">
        <v>0</v>
      </c>
      <c r="S103" s="330">
        <v>0</v>
      </c>
      <c r="T103" s="330">
        <v>0</v>
      </c>
      <c r="U103" s="331">
        <v>0</v>
      </c>
      <c r="V103" s="332">
        <v>0</v>
      </c>
      <c r="W103" s="333"/>
      <c r="X103" s="334">
        <v>0</v>
      </c>
      <c r="Y103" s="335">
        <v>0</v>
      </c>
      <c r="AA103" s="388"/>
    </row>
    <row r="104" spans="1:27" hidden="1" collapsed="1" x14ac:dyDescent="0.3">
      <c r="A104" s="233"/>
      <c r="B104" s="234" t="s">
        <v>4</v>
      </c>
      <c r="D104" s="294" t="s">
        <v>1013</v>
      </c>
      <c r="E104" s="294"/>
      <c r="F104" s="295" t="s">
        <v>1014</v>
      </c>
      <c r="G104" s="296"/>
      <c r="H104" s="297"/>
      <c r="I104" s="298"/>
      <c r="J104" s="299">
        <v>9809516.8059999999</v>
      </c>
      <c r="K104" s="300">
        <v>9763545.9109999985</v>
      </c>
      <c r="L104" s="300">
        <v>10152350.356999999</v>
      </c>
      <c r="M104" s="300">
        <v>9747659.4130000006</v>
      </c>
      <c r="N104" s="300">
        <v>9776991.2199999988</v>
      </c>
      <c r="O104" s="300">
        <v>10672171.316000002</v>
      </c>
      <c r="P104" s="300">
        <v>9907081.0199999996</v>
      </c>
      <c r="Q104" s="300">
        <v>9852986.5819999985</v>
      </c>
      <c r="R104" s="300">
        <v>10387256.350999998</v>
      </c>
      <c r="S104" s="300">
        <v>9940002.745000001</v>
      </c>
      <c r="T104" s="300">
        <v>9993433.2470000014</v>
      </c>
      <c r="U104" s="301">
        <v>10565764.733999999</v>
      </c>
      <c r="V104" s="302">
        <v>120568759.70199999</v>
      </c>
      <c r="W104" s="303"/>
      <c r="X104" s="304">
        <v>10565764.733999999</v>
      </c>
      <c r="Y104" s="305">
        <v>120568759.70199999</v>
      </c>
      <c r="AA104" s="388"/>
    </row>
    <row r="105" spans="1:27" hidden="1" outlineLevel="1" x14ac:dyDescent="0.3">
      <c r="E105" s="250" t="s">
        <v>1015</v>
      </c>
      <c r="F105" s="317">
        <v>4101001</v>
      </c>
      <c r="G105" s="318"/>
      <c r="H105" s="319">
        <v>4100050101</v>
      </c>
      <c r="I105" s="320"/>
      <c r="J105" s="337">
        <v>7931288.3800000008</v>
      </c>
      <c r="K105" s="321">
        <v>7924368.5329999989</v>
      </c>
      <c r="L105" s="321">
        <v>8098554.2319999998</v>
      </c>
      <c r="M105" s="321">
        <v>7845241.1919999998</v>
      </c>
      <c r="N105" s="321">
        <v>7859920.3989999993</v>
      </c>
      <c r="O105" s="321">
        <v>8647952.8560000006</v>
      </c>
      <c r="P105" s="321">
        <v>8051973.0159999998</v>
      </c>
      <c r="Q105" s="321">
        <v>7989626.3739999989</v>
      </c>
      <c r="R105" s="321">
        <v>8404211.4319999982</v>
      </c>
      <c r="S105" s="321">
        <v>7987160.5499999998</v>
      </c>
      <c r="T105" s="321">
        <v>8051548.4500000002</v>
      </c>
      <c r="U105" s="322">
        <v>8458954.243999999</v>
      </c>
      <c r="V105" s="323">
        <v>97250799.657999992</v>
      </c>
      <c r="W105" s="303"/>
      <c r="X105" s="324">
        <v>8458954.243999999</v>
      </c>
      <c r="Y105" s="325">
        <v>97250799.657999992</v>
      </c>
      <c r="AA105" s="388"/>
    </row>
    <row r="106" spans="1:27" hidden="1" outlineLevel="1" x14ac:dyDescent="0.3">
      <c r="E106" s="250" t="s">
        <v>1016</v>
      </c>
      <c r="F106" s="317">
        <v>4101002</v>
      </c>
      <c r="G106" s="318"/>
      <c r="H106" s="319"/>
      <c r="I106" s="320"/>
      <c r="J106" s="337">
        <v>19044.395</v>
      </c>
      <c r="K106" s="321">
        <v>16674.931</v>
      </c>
      <c r="L106" s="321">
        <v>18497.810000000001</v>
      </c>
      <c r="M106" s="321">
        <v>19489.317999999999</v>
      </c>
      <c r="N106" s="321">
        <v>19639.152999999998</v>
      </c>
      <c r="O106" s="321">
        <v>18725.218000000001</v>
      </c>
      <c r="P106" s="321">
        <v>18888.399000000001</v>
      </c>
      <c r="Q106" s="321">
        <v>20598.917000000001</v>
      </c>
      <c r="R106" s="321">
        <v>17577.418000000001</v>
      </c>
      <c r="S106" s="321">
        <v>18832.737000000001</v>
      </c>
      <c r="T106" s="321">
        <v>17250.150000000001</v>
      </c>
      <c r="U106" s="322">
        <v>17787.803</v>
      </c>
      <c r="V106" s="323">
        <v>223006.24900000001</v>
      </c>
      <c r="W106" s="303"/>
      <c r="X106" s="324">
        <v>17787.803</v>
      </c>
      <c r="Y106" s="325">
        <v>223006.24900000001</v>
      </c>
      <c r="AA106" s="388"/>
    </row>
    <row r="107" spans="1:27" hidden="1" outlineLevel="1" x14ac:dyDescent="0.3">
      <c r="E107" s="250" t="s">
        <v>1017</v>
      </c>
      <c r="F107" s="317">
        <v>4101003</v>
      </c>
      <c r="G107" s="318"/>
      <c r="H107" s="319">
        <v>4100050103</v>
      </c>
      <c r="I107" s="320"/>
      <c r="J107" s="337">
        <v>423473.75599999999</v>
      </c>
      <c r="K107" s="321">
        <v>424649.37399999995</v>
      </c>
      <c r="L107" s="321">
        <v>569121.37</v>
      </c>
      <c r="M107" s="321">
        <v>426348.04800000001</v>
      </c>
      <c r="N107" s="321">
        <v>413393.10100000002</v>
      </c>
      <c r="O107" s="321">
        <v>555005.13500000001</v>
      </c>
      <c r="P107" s="321">
        <v>404141.62699999998</v>
      </c>
      <c r="Q107" s="321">
        <v>437360.837</v>
      </c>
      <c r="R107" s="321">
        <v>564719.09199999995</v>
      </c>
      <c r="S107" s="321">
        <v>425764.647</v>
      </c>
      <c r="T107" s="321">
        <v>419134.51699999999</v>
      </c>
      <c r="U107" s="322">
        <v>570889.09299999999</v>
      </c>
      <c r="V107" s="323">
        <v>5634000.5970000001</v>
      </c>
      <c r="W107" s="303"/>
      <c r="X107" s="324">
        <v>570889.09299999999</v>
      </c>
      <c r="Y107" s="325">
        <v>5634000.5970000001</v>
      </c>
      <c r="AA107" s="388"/>
    </row>
    <row r="108" spans="1:27" hidden="1" outlineLevel="1" x14ac:dyDescent="0.3">
      <c r="E108" s="250" t="s">
        <v>1018</v>
      </c>
      <c r="F108" s="317">
        <v>4101099</v>
      </c>
      <c r="G108" s="318"/>
      <c r="H108" s="319">
        <v>4100050105</v>
      </c>
      <c r="I108" s="320"/>
      <c r="J108" s="337">
        <v>1435710.2750000001</v>
      </c>
      <c r="K108" s="321">
        <v>1397853.0730000001</v>
      </c>
      <c r="L108" s="321">
        <v>1466176.9450000001</v>
      </c>
      <c r="M108" s="321">
        <v>1456580.855</v>
      </c>
      <c r="N108" s="321">
        <v>1484038.5669999998</v>
      </c>
      <c r="O108" s="321">
        <v>1450488.1070000001</v>
      </c>
      <c r="P108" s="321">
        <v>1432077.9780000001</v>
      </c>
      <c r="Q108" s="321">
        <v>1405400.4539999999</v>
      </c>
      <c r="R108" s="321">
        <v>1400748.409</v>
      </c>
      <c r="S108" s="321">
        <v>1508244.811</v>
      </c>
      <c r="T108" s="321">
        <v>1505500.1300000001</v>
      </c>
      <c r="U108" s="322">
        <v>1518133.594</v>
      </c>
      <c r="V108" s="323">
        <v>17460953.198000003</v>
      </c>
      <c r="W108" s="303"/>
      <c r="X108" s="324">
        <v>1518133.594</v>
      </c>
      <c r="Y108" s="325">
        <v>17460953.198000003</v>
      </c>
      <c r="AA108" s="388"/>
    </row>
    <row r="109" spans="1:27" s="361" customFormat="1" hidden="1" outlineLevel="2" x14ac:dyDescent="0.3">
      <c r="E109" s="326" t="s">
        <v>1019</v>
      </c>
      <c r="F109" s="351"/>
      <c r="G109" s="352"/>
      <c r="H109" s="353"/>
      <c r="I109" s="354"/>
      <c r="J109" s="337">
        <v>0</v>
      </c>
      <c r="K109" s="355">
        <v>0</v>
      </c>
      <c r="L109" s="355">
        <v>0</v>
      </c>
      <c r="M109" s="355">
        <v>0</v>
      </c>
      <c r="N109" s="355">
        <v>0</v>
      </c>
      <c r="O109" s="355">
        <v>0</v>
      </c>
      <c r="P109" s="355">
        <v>0</v>
      </c>
      <c r="Q109" s="355">
        <v>0</v>
      </c>
      <c r="R109" s="355">
        <v>0</v>
      </c>
      <c r="S109" s="355">
        <v>0</v>
      </c>
      <c r="T109" s="355">
        <v>0</v>
      </c>
      <c r="U109" s="356">
        <v>0</v>
      </c>
      <c r="V109" s="357">
        <v>0</v>
      </c>
      <c r="W109" s="358"/>
      <c r="X109" s="359">
        <v>0</v>
      </c>
      <c r="Y109" s="360">
        <v>0</v>
      </c>
      <c r="AA109" s="388"/>
    </row>
    <row r="110" spans="1:27" s="361" customFormat="1" hidden="1" outlineLevel="2" x14ac:dyDescent="0.3">
      <c r="E110" s="326" t="s">
        <v>1020</v>
      </c>
      <c r="F110" s="351"/>
      <c r="G110" s="352"/>
      <c r="H110" s="353"/>
      <c r="I110" s="354"/>
      <c r="J110" s="337">
        <v>0</v>
      </c>
      <c r="K110" s="355">
        <v>0</v>
      </c>
      <c r="L110" s="355">
        <v>0</v>
      </c>
      <c r="M110" s="355">
        <v>0</v>
      </c>
      <c r="N110" s="355">
        <v>0</v>
      </c>
      <c r="O110" s="355">
        <v>0</v>
      </c>
      <c r="P110" s="355">
        <v>0</v>
      </c>
      <c r="Q110" s="355">
        <v>0</v>
      </c>
      <c r="R110" s="355">
        <v>0</v>
      </c>
      <c r="S110" s="355">
        <v>0</v>
      </c>
      <c r="T110" s="355">
        <v>0</v>
      </c>
      <c r="U110" s="356">
        <v>0</v>
      </c>
      <c r="V110" s="357">
        <v>0</v>
      </c>
      <c r="W110" s="358"/>
      <c r="X110" s="359">
        <v>0</v>
      </c>
      <c r="Y110" s="360">
        <v>0</v>
      </c>
      <c r="AA110" s="388"/>
    </row>
    <row r="111" spans="1:27" s="361" customFormat="1" hidden="1" outlineLevel="2" x14ac:dyDescent="0.3">
      <c r="E111" s="326" t="s">
        <v>1021</v>
      </c>
      <c r="F111" s="351"/>
      <c r="G111" s="352"/>
      <c r="H111" s="353"/>
      <c r="I111" s="354"/>
      <c r="J111" s="337">
        <v>0</v>
      </c>
      <c r="K111" s="355">
        <v>0</v>
      </c>
      <c r="L111" s="355">
        <v>0</v>
      </c>
      <c r="M111" s="355">
        <v>0</v>
      </c>
      <c r="N111" s="355">
        <v>0</v>
      </c>
      <c r="O111" s="355">
        <v>0</v>
      </c>
      <c r="P111" s="355">
        <v>0</v>
      </c>
      <c r="Q111" s="355">
        <v>0</v>
      </c>
      <c r="R111" s="355">
        <v>0</v>
      </c>
      <c r="S111" s="355">
        <v>0</v>
      </c>
      <c r="T111" s="355">
        <v>0</v>
      </c>
      <c r="U111" s="356">
        <v>0</v>
      </c>
      <c r="V111" s="357">
        <v>0</v>
      </c>
      <c r="W111" s="358"/>
      <c r="X111" s="359">
        <v>0</v>
      </c>
      <c r="Y111" s="360">
        <v>0</v>
      </c>
      <c r="AA111" s="388"/>
    </row>
    <row r="112" spans="1:27" s="361" customFormat="1" hidden="1" outlineLevel="2" x14ac:dyDescent="0.3">
      <c r="E112" s="326" t="s">
        <v>1022</v>
      </c>
      <c r="F112" s="351"/>
      <c r="G112" s="352"/>
      <c r="H112" s="353"/>
      <c r="I112" s="354"/>
      <c r="J112" s="337">
        <v>0</v>
      </c>
      <c r="K112" s="355">
        <v>0</v>
      </c>
      <c r="L112" s="355">
        <v>0</v>
      </c>
      <c r="M112" s="355">
        <v>0</v>
      </c>
      <c r="N112" s="355">
        <v>0</v>
      </c>
      <c r="O112" s="355">
        <v>0</v>
      </c>
      <c r="P112" s="355">
        <v>0</v>
      </c>
      <c r="Q112" s="355">
        <v>0</v>
      </c>
      <c r="R112" s="355">
        <v>0</v>
      </c>
      <c r="S112" s="355">
        <v>0</v>
      </c>
      <c r="T112" s="355">
        <v>0</v>
      </c>
      <c r="U112" s="356">
        <v>0</v>
      </c>
      <c r="V112" s="357">
        <v>0</v>
      </c>
      <c r="W112" s="358"/>
      <c r="X112" s="359">
        <v>0</v>
      </c>
      <c r="Y112" s="360">
        <v>0</v>
      </c>
      <c r="AA112" s="388"/>
    </row>
    <row r="113" spans="1:27" s="361" customFormat="1" hidden="1" outlineLevel="2" x14ac:dyDescent="0.3">
      <c r="E113" s="326" t="s">
        <v>1023</v>
      </c>
      <c r="F113" s="351"/>
      <c r="G113" s="352"/>
      <c r="H113" s="353"/>
      <c r="I113" s="354"/>
      <c r="J113" s="337">
        <v>0</v>
      </c>
      <c r="K113" s="355">
        <v>0</v>
      </c>
      <c r="L113" s="355">
        <v>0</v>
      </c>
      <c r="M113" s="355">
        <v>0</v>
      </c>
      <c r="N113" s="355">
        <v>0</v>
      </c>
      <c r="O113" s="355">
        <v>0</v>
      </c>
      <c r="P113" s="355">
        <v>0</v>
      </c>
      <c r="Q113" s="355">
        <v>0</v>
      </c>
      <c r="R113" s="355">
        <v>0</v>
      </c>
      <c r="S113" s="355">
        <v>0</v>
      </c>
      <c r="T113" s="355">
        <v>0</v>
      </c>
      <c r="U113" s="356">
        <v>0</v>
      </c>
      <c r="V113" s="357">
        <v>0</v>
      </c>
      <c r="W113" s="358"/>
      <c r="X113" s="359">
        <v>0</v>
      </c>
      <c r="Y113" s="360">
        <v>0</v>
      </c>
      <c r="AA113" s="388"/>
    </row>
    <row r="114" spans="1:27" hidden="1" collapsed="1" x14ac:dyDescent="0.3">
      <c r="A114" s="233"/>
      <c r="B114" s="234" t="s">
        <v>4</v>
      </c>
      <c r="D114" s="293" t="s">
        <v>1024</v>
      </c>
      <c r="E114" s="294"/>
      <c r="F114" s="295" t="s">
        <v>1025</v>
      </c>
      <c r="G114" s="296"/>
      <c r="H114" s="297"/>
      <c r="I114" s="298"/>
      <c r="J114" s="299">
        <v>236119.11</v>
      </c>
      <c r="K114" s="300">
        <v>238342.63200000001</v>
      </c>
      <c r="L114" s="300">
        <v>243673.78700000001</v>
      </c>
      <c r="M114" s="300">
        <v>243158.10599999997</v>
      </c>
      <c r="N114" s="300">
        <v>243504.02800000002</v>
      </c>
      <c r="O114" s="300">
        <v>248328.09600000002</v>
      </c>
      <c r="P114" s="300">
        <v>246472.66200000004</v>
      </c>
      <c r="Q114" s="300">
        <v>248920.78</v>
      </c>
      <c r="R114" s="300">
        <v>255399.508</v>
      </c>
      <c r="S114" s="300">
        <v>252471.25599999999</v>
      </c>
      <c r="T114" s="300">
        <v>250963.30799999999</v>
      </c>
      <c r="U114" s="301">
        <v>257937.397</v>
      </c>
      <c r="V114" s="302">
        <v>2965290.6700000004</v>
      </c>
      <c r="W114" s="303"/>
      <c r="X114" s="304">
        <v>257937.397</v>
      </c>
      <c r="Y114" s="305">
        <v>2965290.6700000004</v>
      </c>
      <c r="AA114" s="388"/>
    </row>
    <row r="115" spans="1:27" hidden="1" outlineLevel="1" x14ac:dyDescent="0.3">
      <c r="E115" s="250" t="s">
        <v>1026</v>
      </c>
      <c r="F115" s="317">
        <v>4409882</v>
      </c>
      <c r="G115" s="318"/>
      <c r="H115" s="319">
        <v>4100050107</v>
      </c>
      <c r="I115" s="320"/>
      <c r="J115" s="337">
        <v>236119.11</v>
      </c>
      <c r="K115" s="321">
        <v>238342.63200000001</v>
      </c>
      <c r="L115" s="321">
        <v>243673.78700000001</v>
      </c>
      <c r="M115" s="321">
        <v>243158.10599999997</v>
      </c>
      <c r="N115" s="321">
        <v>243504.02800000002</v>
      </c>
      <c r="O115" s="321">
        <v>248328.09600000002</v>
      </c>
      <c r="P115" s="321">
        <v>246472.66200000004</v>
      </c>
      <c r="Q115" s="321">
        <v>248920.78</v>
      </c>
      <c r="R115" s="321">
        <v>255399.508</v>
      </c>
      <c r="S115" s="321">
        <v>252471.25599999999</v>
      </c>
      <c r="T115" s="321">
        <v>250963.30799999999</v>
      </c>
      <c r="U115" s="322">
        <v>257937.397</v>
      </c>
      <c r="V115" s="323">
        <v>2965290.6700000004</v>
      </c>
      <c r="W115" s="303"/>
      <c r="X115" s="324">
        <v>257937.397</v>
      </c>
      <c r="Y115" s="325">
        <v>2965290.6700000004</v>
      </c>
      <c r="AA115" s="388"/>
    </row>
    <row r="116" spans="1:27" s="326" customFormat="1" hidden="1" outlineLevel="2" x14ac:dyDescent="0.3">
      <c r="E116" s="326" t="s">
        <v>1027</v>
      </c>
      <c r="F116" s="336"/>
      <c r="G116" s="327"/>
      <c r="H116" s="328"/>
      <c r="I116" s="329"/>
      <c r="J116" s="337">
        <v>0</v>
      </c>
      <c r="K116" s="330">
        <v>0</v>
      </c>
      <c r="L116" s="330">
        <v>0</v>
      </c>
      <c r="M116" s="330">
        <v>0</v>
      </c>
      <c r="N116" s="330">
        <v>0</v>
      </c>
      <c r="O116" s="330">
        <v>0</v>
      </c>
      <c r="P116" s="330">
        <v>0</v>
      </c>
      <c r="Q116" s="330">
        <v>0</v>
      </c>
      <c r="R116" s="330">
        <v>0</v>
      </c>
      <c r="S116" s="330">
        <v>0</v>
      </c>
      <c r="T116" s="330">
        <v>0</v>
      </c>
      <c r="U116" s="331">
        <v>0</v>
      </c>
      <c r="V116" s="332">
        <v>0</v>
      </c>
      <c r="W116" s="333"/>
      <c r="X116" s="334">
        <v>0</v>
      </c>
      <c r="Y116" s="335">
        <v>0</v>
      </c>
      <c r="AA116" s="388"/>
    </row>
    <row r="117" spans="1:27" s="326" customFormat="1" hidden="1" outlineLevel="2" x14ac:dyDescent="0.3">
      <c r="E117" s="326" t="s">
        <v>1028</v>
      </c>
      <c r="F117" s="336"/>
      <c r="G117" s="327"/>
      <c r="H117" s="328"/>
      <c r="I117" s="329"/>
      <c r="J117" s="337">
        <v>0</v>
      </c>
      <c r="K117" s="330">
        <v>0</v>
      </c>
      <c r="L117" s="330">
        <v>0</v>
      </c>
      <c r="M117" s="330">
        <v>0</v>
      </c>
      <c r="N117" s="330">
        <v>0</v>
      </c>
      <c r="O117" s="330">
        <v>0</v>
      </c>
      <c r="P117" s="330">
        <v>0</v>
      </c>
      <c r="Q117" s="330">
        <v>0</v>
      </c>
      <c r="R117" s="330">
        <v>0</v>
      </c>
      <c r="S117" s="330">
        <v>0</v>
      </c>
      <c r="T117" s="330">
        <v>0</v>
      </c>
      <c r="U117" s="331">
        <v>0</v>
      </c>
      <c r="V117" s="332">
        <v>0</v>
      </c>
      <c r="W117" s="333"/>
      <c r="X117" s="334">
        <v>0</v>
      </c>
      <c r="Y117" s="335">
        <v>0</v>
      </c>
      <c r="AA117" s="388"/>
    </row>
    <row r="118" spans="1:27" s="326" customFormat="1" hidden="1" outlineLevel="2" x14ac:dyDescent="0.3">
      <c r="E118" s="326" t="s">
        <v>1029</v>
      </c>
      <c r="F118" s="336"/>
      <c r="G118" s="327"/>
      <c r="H118" s="328"/>
      <c r="I118" s="329"/>
      <c r="J118" s="337">
        <v>0</v>
      </c>
      <c r="K118" s="330">
        <v>0</v>
      </c>
      <c r="L118" s="330">
        <v>0</v>
      </c>
      <c r="M118" s="330">
        <v>0</v>
      </c>
      <c r="N118" s="330">
        <v>0</v>
      </c>
      <c r="O118" s="330">
        <v>0</v>
      </c>
      <c r="P118" s="330">
        <v>0</v>
      </c>
      <c r="Q118" s="330">
        <v>0</v>
      </c>
      <c r="R118" s="330">
        <v>0</v>
      </c>
      <c r="S118" s="330">
        <v>0</v>
      </c>
      <c r="T118" s="330">
        <v>0</v>
      </c>
      <c r="U118" s="331">
        <v>0</v>
      </c>
      <c r="V118" s="332">
        <v>0</v>
      </c>
      <c r="W118" s="333"/>
      <c r="X118" s="334">
        <v>0</v>
      </c>
      <c r="Y118" s="335">
        <v>0</v>
      </c>
      <c r="AA118" s="388"/>
    </row>
    <row r="119" spans="1:27" hidden="1" collapsed="1" x14ac:dyDescent="0.3">
      <c r="A119" s="233"/>
      <c r="B119" s="234" t="s">
        <v>5</v>
      </c>
      <c r="D119" s="294" t="s">
        <v>1030</v>
      </c>
      <c r="E119" s="294"/>
      <c r="F119" s="295" t="s">
        <v>1031</v>
      </c>
      <c r="G119" s="296"/>
      <c r="H119" s="297"/>
      <c r="I119" s="298"/>
      <c r="J119" s="299">
        <v>7550340.9379999936</v>
      </c>
      <c r="K119" s="300">
        <v>7777418.2140000006</v>
      </c>
      <c r="L119" s="300">
        <v>8170825.8450000007</v>
      </c>
      <c r="M119" s="300">
        <v>7648396.3599999975</v>
      </c>
      <c r="N119" s="300">
        <v>7093662.0540000079</v>
      </c>
      <c r="O119" s="300">
        <v>7724895.5040000007</v>
      </c>
      <c r="P119" s="300">
        <v>8935471.9740000013</v>
      </c>
      <c r="Q119" s="300">
        <v>7332929.5559999999</v>
      </c>
      <c r="R119" s="300">
        <v>-3507982.1040000049</v>
      </c>
      <c r="S119" s="300">
        <v>7343263.974999994</v>
      </c>
      <c r="T119" s="300">
        <v>6616664.074000001</v>
      </c>
      <c r="U119" s="301">
        <v>6212685.1930000009</v>
      </c>
      <c r="V119" s="302">
        <v>78898571.582999915</v>
      </c>
      <c r="W119" s="303"/>
      <c r="X119" s="304">
        <v>6212685.1930000009</v>
      </c>
      <c r="Y119" s="305">
        <v>78898571.582999915</v>
      </c>
      <c r="AA119" s="388"/>
    </row>
    <row r="120" spans="1:27" hidden="1" outlineLevel="1" x14ac:dyDescent="0.3">
      <c r="E120" s="250" t="s">
        <v>1032</v>
      </c>
      <c r="F120" s="317">
        <v>4109001</v>
      </c>
      <c r="G120" s="318"/>
      <c r="H120" s="319">
        <v>4100990109</v>
      </c>
      <c r="I120" s="320"/>
      <c r="J120" s="337">
        <v>63145.350999999995</v>
      </c>
      <c r="K120" s="321">
        <v>74035.516000000003</v>
      </c>
      <c r="L120" s="321">
        <v>67228.649000000005</v>
      </c>
      <c r="M120" s="321">
        <v>73668.953999999983</v>
      </c>
      <c r="N120" s="321">
        <v>73823.917999999991</v>
      </c>
      <c r="O120" s="321">
        <v>71408.18299999999</v>
      </c>
      <c r="P120" s="321">
        <v>70637.931999999986</v>
      </c>
      <c r="Q120" s="321">
        <v>62050.512999999999</v>
      </c>
      <c r="R120" s="321">
        <v>71918.703999999998</v>
      </c>
      <c r="S120" s="321">
        <v>68324.207999999999</v>
      </c>
      <c r="T120" s="321">
        <v>73761.315000000002</v>
      </c>
      <c r="U120" s="322">
        <v>68307.798999999999</v>
      </c>
      <c r="V120" s="323">
        <v>838311.04200000002</v>
      </c>
      <c r="W120" s="303"/>
      <c r="X120" s="324">
        <v>68307.798999999999</v>
      </c>
      <c r="Y120" s="325">
        <v>838311.04200000002</v>
      </c>
      <c r="AA120" s="388"/>
    </row>
    <row r="121" spans="1:27" hidden="1" outlineLevel="1" x14ac:dyDescent="0.3">
      <c r="E121" s="250" t="s">
        <v>1033</v>
      </c>
      <c r="F121" s="317">
        <v>4109002</v>
      </c>
      <c r="G121" s="318">
        <v>4109022</v>
      </c>
      <c r="H121" s="319"/>
      <c r="I121" s="320"/>
      <c r="J121" s="337">
        <v>101487.818</v>
      </c>
      <c r="K121" s="321">
        <v>120650.44</v>
      </c>
      <c r="L121" s="321">
        <v>126870.07800000001</v>
      </c>
      <c r="M121" s="321">
        <v>202082.50400000002</v>
      </c>
      <c r="N121" s="321">
        <v>198719.24400000001</v>
      </c>
      <c r="O121" s="321">
        <v>273246.04700000002</v>
      </c>
      <c r="P121" s="321">
        <v>339890.62900000002</v>
      </c>
      <c r="Q121" s="321">
        <v>291331.61599999998</v>
      </c>
      <c r="R121" s="321">
        <v>438154.33499999996</v>
      </c>
      <c r="S121" s="321">
        <v>525936.93200000003</v>
      </c>
      <c r="T121" s="321">
        <v>698539.69</v>
      </c>
      <c r="U121" s="322">
        <v>752068.52899999998</v>
      </c>
      <c r="V121" s="323">
        <v>4068977.8620000002</v>
      </c>
      <c r="W121" s="303"/>
      <c r="X121" s="324">
        <v>752068.52899999998</v>
      </c>
      <c r="Y121" s="325">
        <v>4068977.8620000002</v>
      </c>
      <c r="AA121" s="388"/>
    </row>
    <row r="122" spans="1:27" hidden="1" outlineLevel="1" x14ac:dyDescent="0.3">
      <c r="E122" s="250" t="s">
        <v>1034</v>
      </c>
      <c r="F122" s="317">
        <v>4109003</v>
      </c>
      <c r="G122" s="318"/>
      <c r="H122" s="319">
        <v>4100990101</v>
      </c>
      <c r="I122" s="320"/>
      <c r="J122" s="337">
        <v>5870632.8329999987</v>
      </c>
      <c r="K122" s="321">
        <v>5467912.879999999</v>
      </c>
      <c r="L122" s="321">
        <v>5832327.6339999996</v>
      </c>
      <c r="M122" s="321">
        <v>5360793.4710000008</v>
      </c>
      <c r="N122" s="321">
        <v>5621016.0649999995</v>
      </c>
      <c r="O122" s="321">
        <v>5390385.5259999996</v>
      </c>
      <c r="P122" s="321">
        <v>6027699.2660000008</v>
      </c>
      <c r="Q122" s="321">
        <v>6082178.8609999986</v>
      </c>
      <c r="R122" s="321">
        <v>5862663.7139999997</v>
      </c>
      <c r="S122" s="321">
        <v>6308788.8789999997</v>
      </c>
      <c r="T122" s="321">
        <v>6690376.7700000005</v>
      </c>
      <c r="U122" s="322">
        <v>6708001.068</v>
      </c>
      <c r="V122" s="323">
        <v>71222776.967000008</v>
      </c>
      <c r="W122" s="303"/>
      <c r="X122" s="324">
        <v>6708001.068</v>
      </c>
      <c r="Y122" s="325">
        <v>71222776.967000008</v>
      </c>
      <c r="AA122" s="388"/>
    </row>
    <row r="123" spans="1:27" hidden="1" outlineLevel="1" x14ac:dyDescent="0.3">
      <c r="E123" s="250" t="s">
        <v>1035</v>
      </c>
      <c r="F123" s="317">
        <v>4109004</v>
      </c>
      <c r="G123" s="318"/>
      <c r="H123" s="319"/>
      <c r="I123" s="320"/>
      <c r="J123" s="337">
        <v>0</v>
      </c>
      <c r="K123" s="321">
        <v>0</v>
      </c>
      <c r="L123" s="321">
        <v>0</v>
      </c>
      <c r="M123" s="321">
        <v>0</v>
      </c>
      <c r="N123" s="321">
        <v>0</v>
      </c>
      <c r="O123" s="321">
        <v>0</v>
      </c>
      <c r="P123" s="321">
        <v>0</v>
      </c>
      <c r="Q123" s="321">
        <v>0</v>
      </c>
      <c r="R123" s="321">
        <v>0</v>
      </c>
      <c r="S123" s="321">
        <v>0</v>
      </c>
      <c r="T123" s="321">
        <v>0</v>
      </c>
      <c r="U123" s="322">
        <v>0</v>
      </c>
      <c r="V123" s="323">
        <v>0</v>
      </c>
      <c r="W123" s="303"/>
      <c r="X123" s="324">
        <v>0</v>
      </c>
      <c r="Y123" s="325">
        <v>0</v>
      </c>
      <c r="AA123" s="388"/>
    </row>
    <row r="124" spans="1:27" hidden="1" outlineLevel="1" x14ac:dyDescent="0.3">
      <c r="E124" s="250" t="s">
        <v>1036</v>
      </c>
      <c r="F124" s="317">
        <v>4109005</v>
      </c>
      <c r="G124" s="318"/>
      <c r="H124" s="319"/>
      <c r="I124" s="320"/>
      <c r="J124" s="337">
        <v>55695.959000000003</v>
      </c>
      <c r="K124" s="321">
        <v>171691.247</v>
      </c>
      <c r="L124" s="321">
        <v>234714.92799999999</v>
      </c>
      <c r="M124" s="321">
        <v>80118.104999999996</v>
      </c>
      <c r="N124" s="321">
        <v>57242.805</v>
      </c>
      <c r="O124" s="321">
        <v>37351.216999999997</v>
      </c>
      <c r="P124" s="321">
        <v>780.755</v>
      </c>
      <c r="Q124" s="321">
        <v>5508.4709999999995</v>
      </c>
      <c r="R124" s="321">
        <v>-54129.964999999997</v>
      </c>
      <c r="S124" s="321">
        <v>57735.002999999997</v>
      </c>
      <c r="T124" s="321">
        <v>1089.153</v>
      </c>
      <c r="U124" s="322">
        <v>3834.7460000000001</v>
      </c>
      <c r="V124" s="323">
        <v>651632.42400000012</v>
      </c>
      <c r="W124" s="303"/>
      <c r="X124" s="324">
        <v>3834.7460000000001</v>
      </c>
      <c r="Y124" s="325">
        <v>651632.42400000012</v>
      </c>
      <c r="AA124" s="388"/>
    </row>
    <row r="125" spans="1:27" hidden="1" outlineLevel="1" x14ac:dyDescent="0.3">
      <c r="E125" s="250" t="s">
        <v>1037</v>
      </c>
      <c r="F125" s="317">
        <v>4109006</v>
      </c>
      <c r="G125" s="318"/>
      <c r="H125" s="319"/>
      <c r="I125" s="320"/>
      <c r="J125" s="337">
        <v>1391176.1700000002</v>
      </c>
      <c r="K125" s="321">
        <v>987475.91800000006</v>
      </c>
      <c r="L125" s="321">
        <v>1082487.673</v>
      </c>
      <c r="M125" s="321">
        <v>1233405.8640000001</v>
      </c>
      <c r="N125" s="321">
        <v>1183833.8220000002</v>
      </c>
      <c r="O125" s="321">
        <v>1174369.3830000001</v>
      </c>
      <c r="P125" s="321">
        <v>1375255.8969999999</v>
      </c>
      <c r="Q125" s="321">
        <v>1208512.3799999999</v>
      </c>
      <c r="R125" s="321">
        <v>1300811.9029999999</v>
      </c>
      <c r="S125" s="321">
        <v>1273212.5930000001</v>
      </c>
      <c r="T125" s="321">
        <v>1054952.949</v>
      </c>
      <c r="U125" s="322">
        <v>1094948.811</v>
      </c>
      <c r="V125" s="323">
        <v>14360443.363000002</v>
      </c>
      <c r="W125" s="303"/>
      <c r="X125" s="324">
        <v>1094948.811</v>
      </c>
      <c r="Y125" s="325">
        <v>14360443.363000002</v>
      </c>
      <c r="AA125" s="388"/>
    </row>
    <row r="126" spans="1:27" hidden="1" outlineLevel="1" x14ac:dyDescent="0.3">
      <c r="E126" s="250" t="s">
        <v>1038</v>
      </c>
      <c r="F126" s="317">
        <v>4109008</v>
      </c>
      <c r="G126" s="318"/>
      <c r="H126" s="319"/>
      <c r="I126" s="320"/>
      <c r="J126" s="337">
        <v>0</v>
      </c>
      <c r="K126" s="321">
        <v>0</v>
      </c>
      <c r="L126" s="321">
        <v>0</v>
      </c>
      <c r="M126" s="321">
        <v>0</v>
      </c>
      <c r="N126" s="321">
        <v>0</v>
      </c>
      <c r="O126" s="321">
        <v>0</v>
      </c>
      <c r="P126" s="321">
        <v>0</v>
      </c>
      <c r="Q126" s="321">
        <v>0</v>
      </c>
      <c r="R126" s="321">
        <v>0</v>
      </c>
      <c r="S126" s="321">
        <v>0</v>
      </c>
      <c r="T126" s="321">
        <v>0</v>
      </c>
      <c r="U126" s="322">
        <v>0</v>
      </c>
      <c r="V126" s="323">
        <v>0</v>
      </c>
      <c r="W126" s="303"/>
      <c r="X126" s="324">
        <v>0</v>
      </c>
      <c r="Y126" s="325">
        <v>0</v>
      </c>
      <c r="AA126" s="388"/>
    </row>
    <row r="127" spans="1:27" hidden="1" outlineLevel="1" x14ac:dyDescent="0.3">
      <c r="E127" s="250" t="s">
        <v>1039</v>
      </c>
      <c r="F127" s="317">
        <v>4109010</v>
      </c>
      <c r="G127" s="318"/>
      <c r="H127" s="319"/>
      <c r="I127" s="320"/>
      <c r="J127" s="337">
        <v>0</v>
      </c>
      <c r="K127" s="321">
        <v>0</v>
      </c>
      <c r="L127" s="321">
        <v>0</v>
      </c>
      <c r="M127" s="321">
        <v>101.61799999999999</v>
      </c>
      <c r="N127" s="321">
        <v>103.636</v>
      </c>
      <c r="O127" s="321">
        <v>0</v>
      </c>
      <c r="P127" s="321">
        <v>0</v>
      </c>
      <c r="Q127" s="321">
        <v>0</v>
      </c>
      <c r="R127" s="321">
        <v>0</v>
      </c>
      <c r="S127" s="321">
        <v>0</v>
      </c>
      <c r="T127" s="321">
        <v>134.45500000000001</v>
      </c>
      <c r="U127" s="322">
        <v>0</v>
      </c>
      <c r="V127" s="323">
        <v>339.709</v>
      </c>
      <c r="W127" s="303"/>
      <c r="X127" s="324">
        <v>0</v>
      </c>
      <c r="Y127" s="325">
        <v>339.709</v>
      </c>
      <c r="AA127" s="388"/>
    </row>
    <row r="128" spans="1:27" hidden="1" outlineLevel="1" x14ac:dyDescent="0.3">
      <c r="E128" s="250" t="s">
        <v>1040</v>
      </c>
      <c r="F128" s="317">
        <v>4109011</v>
      </c>
      <c r="G128" s="318"/>
      <c r="H128" s="319"/>
      <c r="I128" s="320"/>
      <c r="J128" s="337">
        <v>1275604.139</v>
      </c>
      <c r="K128" s="321">
        <v>1280105.872</v>
      </c>
      <c r="L128" s="321">
        <v>1287399.048</v>
      </c>
      <c r="M128" s="321">
        <v>1287407.53</v>
      </c>
      <c r="N128" s="321">
        <v>1287108.55</v>
      </c>
      <c r="O128" s="321">
        <v>1287948.5419999999</v>
      </c>
      <c r="P128" s="321">
        <v>1289077.486</v>
      </c>
      <c r="Q128" s="321">
        <v>1292644.1740000001</v>
      </c>
      <c r="R128" s="321">
        <v>1300924.5159999998</v>
      </c>
      <c r="S128" s="321">
        <v>1300963.0959999999</v>
      </c>
      <c r="T128" s="321">
        <v>1306866.378</v>
      </c>
      <c r="U128" s="322">
        <v>1304632.21</v>
      </c>
      <c r="V128" s="323">
        <v>15500681.541000001</v>
      </c>
      <c r="W128" s="303"/>
      <c r="X128" s="324">
        <v>1304632.21</v>
      </c>
      <c r="Y128" s="325">
        <v>15500681.541000001</v>
      </c>
      <c r="AA128" s="388"/>
    </row>
    <row r="129" spans="1:27" hidden="1" outlineLevel="1" x14ac:dyDescent="0.3">
      <c r="E129" s="250" t="s">
        <v>1041</v>
      </c>
      <c r="F129" s="317">
        <v>4109012</v>
      </c>
      <c r="G129" s="318"/>
      <c r="H129" s="319"/>
      <c r="I129" s="320"/>
      <c r="J129" s="337">
        <v>0</v>
      </c>
      <c r="K129" s="321">
        <v>0</v>
      </c>
      <c r="L129" s="321">
        <v>0</v>
      </c>
      <c r="M129" s="321">
        <v>0</v>
      </c>
      <c r="N129" s="321">
        <v>0</v>
      </c>
      <c r="O129" s="321">
        <v>0</v>
      </c>
      <c r="P129" s="321">
        <v>0</v>
      </c>
      <c r="Q129" s="321">
        <v>0</v>
      </c>
      <c r="R129" s="321">
        <v>0</v>
      </c>
      <c r="S129" s="321">
        <v>0</v>
      </c>
      <c r="T129" s="321">
        <v>0</v>
      </c>
      <c r="U129" s="322">
        <v>0</v>
      </c>
      <c r="V129" s="323">
        <v>0</v>
      </c>
      <c r="W129" s="303"/>
      <c r="X129" s="324">
        <v>0</v>
      </c>
      <c r="Y129" s="325">
        <v>0</v>
      </c>
      <c r="AA129" s="388"/>
    </row>
    <row r="130" spans="1:27" hidden="1" outlineLevel="1" x14ac:dyDescent="0.3">
      <c r="E130" s="250" t="s">
        <v>1042</v>
      </c>
      <c r="F130" s="317">
        <v>4109013</v>
      </c>
      <c r="G130" s="318"/>
      <c r="H130" s="319">
        <v>4100990105</v>
      </c>
      <c r="I130" s="320"/>
      <c r="J130" s="337">
        <v>15420211.348999999</v>
      </c>
      <c r="K130" s="321">
        <v>15469853.199999999</v>
      </c>
      <c r="L130" s="321">
        <v>19472119.645</v>
      </c>
      <c r="M130" s="321">
        <v>17519630.875999998</v>
      </c>
      <c r="N130" s="321">
        <v>18778619.927999999</v>
      </c>
      <c r="O130" s="321">
        <v>23878477.541000001</v>
      </c>
      <c r="P130" s="321">
        <v>22421290.853</v>
      </c>
      <c r="Q130" s="321">
        <v>23709978.620000001</v>
      </c>
      <c r="R130" s="321">
        <v>25327316.460999999</v>
      </c>
      <c r="S130" s="321">
        <v>19756898.671999998</v>
      </c>
      <c r="T130" s="321">
        <v>16681454.299000001</v>
      </c>
      <c r="U130" s="322">
        <v>18819994.138</v>
      </c>
      <c r="V130" s="323">
        <v>237255845.58199999</v>
      </c>
      <c r="W130" s="303"/>
      <c r="X130" s="324">
        <v>18819994.138</v>
      </c>
      <c r="Y130" s="325">
        <v>237255845.58199999</v>
      </c>
      <c r="AA130" s="388"/>
    </row>
    <row r="131" spans="1:27" hidden="1" outlineLevel="1" x14ac:dyDescent="0.3">
      <c r="E131" s="250" t="s">
        <v>1043</v>
      </c>
      <c r="F131" s="317">
        <v>4109014</v>
      </c>
      <c r="G131" s="318"/>
      <c r="H131" s="319"/>
      <c r="I131" s="320"/>
      <c r="J131" s="337">
        <v>45869.334000000003</v>
      </c>
      <c r="K131" s="321">
        <v>40264.752</v>
      </c>
      <c r="L131" s="321">
        <v>43616.493000000002</v>
      </c>
      <c r="M131" s="321">
        <v>42624.19</v>
      </c>
      <c r="N131" s="321">
        <v>45133.957999999999</v>
      </c>
      <c r="O131" s="321">
        <v>44031.525999999998</v>
      </c>
      <c r="P131" s="321">
        <v>47015.483</v>
      </c>
      <c r="Q131" s="321">
        <v>46657.332999999999</v>
      </c>
      <c r="R131" s="321">
        <v>42741.103000000003</v>
      </c>
      <c r="S131" s="321">
        <v>42952.665000000001</v>
      </c>
      <c r="T131" s="321">
        <v>43943.777999999998</v>
      </c>
      <c r="U131" s="322">
        <v>47202.654999999999</v>
      </c>
      <c r="V131" s="323">
        <v>532053.27</v>
      </c>
      <c r="W131" s="303"/>
      <c r="X131" s="324">
        <v>47202.654999999999</v>
      </c>
      <c r="Y131" s="325">
        <v>532053.27</v>
      </c>
      <c r="AA131" s="388"/>
    </row>
    <row r="132" spans="1:27" hidden="1" outlineLevel="1" x14ac:dyDescent="0.3">
      <c r="E132" s="250" t="s">
        <v>1044</v>
      </c>
      <c r="F132" s="317">
        <v>4109016</v>
      </c>
      <c r="G132" s="318"/>
      <c r="H132" s="319">
        <v>4100990107</v>
      </c>
      <c r="I132" s="320"/>
      <c r="J132" s="337">
        <v>0</v>
      </c>
      <c r="K132" s="321">
        <v>0</v>
      </c>
      <c r="L132" s="321">
        <v>0</v>
      </c>
      <c r="M132" s="321">
        <v>0</v>
      </c>
      <c r="N132" s="321">
        <v>0</v>
      </c>
      <c r="O132" s="321">
        <v>0</v>
      </c>
      <c r="P132" s="321">
        <v>0</v>
      </c>
      <c r="Q132" s="321">
        <v>0</v>
      </c>
      <c r="R132" s="321">
        <v>0</v>
      </c>
      <c r="S132" s="321">
        <v>0</v>
      </c>
      <c r="T132" s="321">
        <v>0</v>
      </c>
      <c r="U132" s="322">
        <v>0</v>
      </c>
      <c r="V132" s="323">
        <v>0</v>
      </c>
      <c r="W132" s="303"/>
      <c r="X132" s="324">
        <v>0</v>
      </c>
      <c r="Y132" s="325">
        <v>0</v>
      </c>
      <c r="AA132" s="388"/>
    </row>
    <row r="133" spans="1:27" hidden="1" outlineLevel="1" x14ac:dyDescent="0.3">
      <c r="E133" s="250" t="s">
        <v>1045</v>
      </c>
      <c r="F133" s="317">
        <v>4109017</v>
      </c>
      <c r="G133" s="318"/>
      <c r="H133" s="319"/>
      <c r="I133" s="320"/>
      <c r="J133" s="337">
        <v>574389.071</v>
      </c>
      <c r="K133" s="321">
        <v>590121.40500000003</v>
      </c>
      <c r="L133" s="321">
        <v>662899.38800000004</v>
      </c>
      <c r="M133" s="321">
        <v>654801.76199999999</v>
      </c>
      <c r="N133" s="321">
        <v>640282.39599999995</v>
      </c>
      <c r="O133" s="321">
        <v>558534.35199999996</v>
      </c>
      <c r="P133" s="321">
        <v>411697.266</v>
      </c>
      <c r="Q133" s="321">
        <v>543060.15500000003</v>
      </c>
      <c r="R133" s="321">
        <v>616913.12</v>
      </c>
      <c r="S133" s="321">
        <v>612034.42799999996</v>
      </c>
      <c r="T133" s="321">
        <v>497935.34299999999</v>
      </c>
      <c r="U133" s="322">
        <v>569800.74399999995</v>
      </c>
      <c r="V133" s="323">
        <v>6932469.4300000006</v>
      </c>
      <c r="W133" s="303"/>
      <c r="X133" s="324">
        <v>569800.74399999995</v>
      </c>
      <c r="Y133" s="325">
        <v>6932469.4300000006</v>
      </c>
      <c r="AA133" s="388"/>
    </row>
    <row r="134" spans="1:27" hidden="1" outlineLevel="1" x14ac:dyDescent="0.3">
      <c r="E134" s="250" t="s">
        <v>1046</v>
      </c>
      <c r="F134" s="317">
        <v>4109019</v>
      </c>
      <c r="G134" s="318"/>
      <c r="H134" s="319"/>
      <c r="I134" s="320"/>
      <c r="J134" s="337">
        <v>2818.9929999999999</v>
      </c>
      <c r="K134" s="321">
        <v>2695.5549999999998</v>
      </c>
      <c r="L134" s="321">
        <v>2877.9630000000002</v>
      </c>
      <c r="M134" s="321">
        <v>2766.7939999999999</v>
      </c>
      <c r="N134" s="321">
        <v>2806.723</v>
      </c>
      <c r="O134" s="321">
        <v>2454.2550000000001</v>
      </c>
      <c r="P134" s="321">
        <v>2678.7820000000002</v>
      </c>
      <c r="Q134" s="321">
        <v>2163.279</v>
      </c>
      <c r="R134" s="321">
        <v>2663.0419999999999</v>
      </c>
      <c r="S134" s="321">
        <v>2487.16</v>
      </c>
      <c r="T134" s="321">
        <v>2831.4940000000001</v>
      </c>
      <c r="U134" s="322">
        <v>2840.877</v>
      </c>
      <c r="V134" s="323">
        <v>32084.916999999998</v>
      </c>
      <c r="W134" s="303"/>
      <c r="X134" s="324">
        <v>2840.877</v>
      </c>
      <c r="Y134" s="325">
        <v>32084.916999999998</v>
      </c>
      <c r="AA134" s="388"/>
    </row>
    <row r="135" spans="1:27" hidden="1" outlineLevel="1" x14ac:dyDescent="0.3">
      <c r="E135" s="250" t="s">
        <v>1047</v>
      </c>
      <c r="F135" s="317">
        <v>4109021</v>
      </c>
      <c r="G135" s="318"/>
      <c r="H135" s="319"/>
      <c r="I135" s="320"/>
      <c r="J135" s="337">
        <v>28328.881000000001</v>
      </c>
      <c r="K135" s="321">
        <v>18525.129000000001</v>
      </c>
      <c r="L135" s="321">
        <v>16844.673000000003</v>
      </c>
      <c r="M135" s="321">
        <v>13331.602999999999</v>
      </c>
      <c r="N135" s="321">
        <v>7316.451</v>
      </c>
      <c r="O135" s="321">
        <v>6636.6660000000002</v>
      </c>
      <c r="P135" s="321">
        <v>6610</v>
      </c>
      <c r="Q135" s="321">
        <v>6110</v>
      </c>
      <c r="R135" s="321">
        <v>5610</v>
      </c>
      <c r="S135" s="321">
        <v>5110</v>
      </c>
      <c r="T135" s="321">
        <v>5110</v>
      </c>
      <c r="U135" s="322">
        <v>5076.6679999999997</v>
      </c>
      <c r="V135" s="323">
        <v>124610.07100000001</v>
      </c>
      <c r="W135" s="303"/>
      <c r="X135" s="324">
        <v>5076.6679999999997</v>
      </c>
      <c r="Y135" s="325">
        <v>124610.07100000001</v>
      </c>
      <c r="AA135" s="388"/>
    </row>
    <row r="136" spans="1:27" hidden="1" outlineLevel="1" x14ac:dyDescent="0.3">
      <c r="E136" s="250" t="s">
        <v>1048</v>
      </c>
      <c r="F136" s="317">
        <v>4109080</v>
      </c>
      <c r="G136" s="318"/>
      <c r="H136" s="319">
        <v>4100990111</v>
      </c>
      <c r="I136" s="320"/>
      <c r="J136" s="337">
        <v>-19530904.881000001</v>
      </c>
      <c r="K136" s="321">
        <v>-19376851.890000001</v>
      </c>
      <c r="L136" s="321">
        <v>-23552943.449000001</v>
      </c>
      <c r="M136" s="321">
        <v>-21220112.548</v>
      </c>
      <c r="N136" s="321">
        <v>-22348356.153999999</v>
      </c>
      <c r="O136" s="321">
        <v>-26856634.477000002</v>
      </c>
      <c r="P136" s="321">
        <v>-25858688.177999999</v>
      </c>
      <c r="Q136" s="321">
        <v>-27647129.230999999</v>
      </c>
      <c r="R136" s="321">
        <v>-29327512.367000002</v>
      </c>
      <c r="S136" s="321">
        <v>-24300808.999000002</v>
      </c>
      <c r="T136" s="321">
        <v>-21142619.493000001</v>
      </c>
      <c r="U136" s="322">
        <v>-23769450.695</v>
      </c>
      <c r="V136" s="323">
        <v>-284932012.36200005</v>
      </c>
      <c r="W136" s="303"/>
      <c r="X136" s="324">
        <v>-23769450.695</v>
      </c>
      <c r="Y136" s="325">
        <v>-284932012.36200005</v>
      </c>
      <c r="AA136" s="388"/>
    </row>
    <row r="137" spans="1:27" hidden="1" outlineLevel="1" x14ac:dyDescent="0.3">
      <c r="E137" s="250" t="s">
        <v>1049</v>
      </c>
      <c r="F137" s="317">
        <v>4109099</v>
      </c>
      <c r="G137" s="318"/>
      <c r="H137" s="319"/>
      <c r="I137" s="320"/>
      <c r="J137" s="337">
        <v>2100397.9759999998</v>
      </c>
      <c r="K137" s="321">
        <v>2776057.5490000001</v>
      </c>
      <c r="L137" s="321">
        <v>2737849.781</v>
      </c>
      <c r="M137" s="321">
        <v>2239294.6529999999</v>
      </c>
      <c r="N137" s="321">
        <v>1384464.2749999999</v>
      </c>
      <c r="O137" s="321">
        <v>1695465.3220000002</v>
      </c>
      <c r="P137" s="321">
        <v>2637122.6179999998</v>
      </c>
      <c r="Q137" s="321">
        <v>1563311.9190000002</v>
      </c>
      <c r="R137" s="321">
        <v>-9264471.4370000008</v>
      </c>
      <c r="S137" s="321">
        <v>1519939.7349999999</v>
      </c>
      <c r="T137" s="321">
        <v>530794.64899999998</v>
      </c>
      <c r="U137" s="322">
        <v>434299.62699999998</v>
      </c>
      <c r="V137" s="323">
        <v>10354526.666999998</v>
      </c>
      <c r="W137" s="303"/>
      <c r="X137" s="324">
        <v>434299.62699999998</v>
      </c>
      <c r="Y137" s="325">
        <v>10354526.666999998</v>
      </c>
      <c r="AA137" s="388"/>
    </row>
    <row r="138" spans="1:27" hidden="1" outlineLevel="1" x14ac:dyDescent="0.3">
      <c r="E138" s="250" t="s">
        <v>1050</v>
      </c>
      <c r="F138" s="317">
        <v>4409883</v>
      </c>
      <c r="G138" s="318"/>
      <c r="H138" s="319">
        <v>4100990113</v>
      </c>
      <c r="I138" s="320"/>
      <c r="J138" s="337">
        <v>151487.94500000001</v>
      </c>
      <c r="K138" s="321">
        <v>154880.641</v>
      </c>
      <c r="L138" s="321">
        <v>156533.34100000001</v>
      </c>
      <c r="M138" s="321">
        <v>158480.984</v>
      </c>
      <c r="N138" s="321">
        <v>161546.43699999998</v>
      </c>
      <c r="O138" s="321">
        <v>161221.421</v>
      </c>
      <c r="P138" s="321">
        <v>164403.185</v>
      </c>
      <c r="Q138" s="321">
        <v>166551.46599999999</v>
      </c>
      <c r="R138" s="321">
        <v>168414.76699999999</v>
      </c>
      <c r="S138" s="321">
        <v>169689.603</v>
      </c>
      <c r="T138" s="321">
        <v>171493.29399999999</v>
      </c>
      <c r="U138" s="322">
        <v>171128.016</v>
      </c>
      <c r="V138" s="323">
        <v>1955831.1</v>
      </c>
      <c r="W138" s="303"/>
      <c r="X138" s="324">
        <v>171128.016</v>
      </c>
      <c r="Y138" s="325">
        <v>1955831.1</v>
      </c>
      <c r="AA138" s="388"/>
    </row>
    <row r="139" spans="1:27" s="361" customFormat="1" hidden="1" outlineLevel="2" x14ac:dyDescent="0.3">
      <c r="E139" s="350" t="s">
        <v>1051</v>
      </c>
      <c r="F139" s="306"/>
      <c r="G139" s="307"/>
      <c r="H139" s="308">
        <v>4100110100</v>
      </c>
      <c r="I139" s="309"/>
      <c r="J139" s="310">
        <v>0</v>
      </c>
      <c r="K139" s="311">
        <v>0</v>
      </c>
      <c r="L139" s="311">
        <v>0</v>
      </c>
      <c r="M139" s="311">
        <v>0</v>
      </c>
      <c r="N139" s="311">
        <v>0</v>
      </c>
      <c r="O139" s="311">
        <v>0</v>
      </c>
      <c r="P139" s="311">
        <v>0</v>
      </c>
      <c r="Q139" s="311">
        <v>0</v>
      </c>
      <c r="R139" s="311">
        <v>0</v>
      </c>
      <c r="S139" s="311">
        <v>0</v>
      </c>
      <c r="T139" s="311">
        <v>0</v>
      </c>
      <c r="U139" s="312">
        <v>0</v>
      </c>
      <c r="V139" s="313">
        <v>0</v>
      </c>
      <c r="W139" s="314"/>
      <c r="X139" s="315">
        <v>0</v>
      </c>
      <c r="Y139" s="316">
        <v>0</v>
      </c>
      <c r="AA139" s="388"/>
    </row>
    <row r="140" spans="1:27" s="361" customFormat="1" hidden="1" outlineLevel="2" x14ac:dyDescent="0.3">
      <c r="E140" s="350" t="s">
        <v>1052</v>
      </c>
      <c r="F140" s="306"/>
      <c r="G140" s="307"/>
      <c r="H140" s="308">
        <v>4100090101</v>
      </c>
      <c r="I140" s="309"/>
      <c r="J140" s="310">
        <v>0</v>
      </c>
      <c r="K140" s="311">
        <v>0</v>
      </c>
      <c r="L140" s="311">
        <v>0</v>
      </c>
      <c r="M140" s="311">
        <v>0</v>
      </c>
      <c r="N140" s="311">
        <v>0</v>
      </c>
      <c r="O140" s="311">
        <v>0</v>
      </c>
      <c r="P140" s="311">
        <v>0</v>
      </c>
      <c r="Q140" s="311">
        <v>0</v>
      </c>
      <c r="R140" s="311">
        <v>0</v>
      </c>
      <c r="S140" s="311">
        <v>0</v>
      </c>
      <c r="T140" s="311">
        <v>0</v>
      </c>
      <c r="U140" s="312">
        <v>0</v>
      </c>
      <c r="V140" s="313">
        <v>0</v>
      </c>
      <c r="W140" s="314"/>
      <c r="X140" s="315">
        <v>0</v>
      </c>
      <c r="Y140" s="316">
        <v>0</v>
      </c>
      <c r="AA140" s="388"/>
    </row>
    <row r="141" spans="1:27" s="361" customFormat="1" hidden="1" outlineLevel="2" x14ac:dyDescent="0.3">
      <c r="E141" s="326" t="s">
        <v>1053</v>
      </c>
      <c r="F141" s="351"/>
      <c r="G141" s="352"/>
      <c r="H141" s="353"/>
      <c r="I141" s="354"/>
      <c r="J141" s="337">
        <v>0</v>
      </c>
      <c r="K141" s="355">
        <v>0</v>
      </c>
      <c r="L141" s="355">
        <v>0</v>
      </c>
      <c r="M141" s="355">
        <v>0</v>
      </c>
      <c r="N141" s="355">
        <v>0</v>
      </c>
      <c r="O141" s="355">
        <v>0</v>
      </c>
      <c r="P141" s="355">
        <v>0</v>
      </c>
      <c r="Q141" s="355">
        <v>0</v>
      </c>
      <c r="R141" s="355">
        <v>0</v>
      </c>
      <c r="S141" s="355">
        <v>0</v>
      </c>
      <c r="T141" s="355">
        <v>0</v>
      </c>
      <c r="U141" s="356">
        <v>0</v>
      </c>
      <c r="V141" s="357">
        <v>0</v>
      </c>
      <c r="W141" s="358"/>
      <c r="X141" s="359">
        <v>0</v>
      </c>
      <c r="Y141" s="360">
        <v>0</v>
      </c>
      <c r="AA141" s="388"/>
    </row>
    <row r="142" spans="1:27" hidden="1" collapsed="1" x14ac:dyDescent="0.3">
      <c r="A142" s="233"/>
      <c r="B142" s="234" t="s">
        <v>5</v>
      </c>
      <c r="D142" s="293" t="s">
        <v>1054</v>
      </c>
      <c r="E142" s="294"/>
      <c r="F142" s="295" t="s">
        <v>1055</v>
      </c>
      <c r="G142" s="296"/>
      <c r="H142" s="297"/>
      <c r="I142" s="298"/>
      <c r="J142" s="299">
        <v>132451.163</v>
      </c>
      <c r="K142" s="300">
        <v>85935.592000000004</v>
      </c>
      <c r="L142" s="300">
        <v>165481.52600000001</v>
      </c>
      <c r="M142" s="300">
        <v>103995.382</v>
      </c>
      <c r="N142" s="300">
        <v>44012.383000000002</v>
      </c>
      <c r="O142" s="300">
        <v>18059.304</v>
      </c>
      <c r="P142" s="300">
        <v>21476.136999999999</v>
      </c>
      <c r="Q142" s="300">
        <v>125561.039</v>
      </c>
      <c r="R142" s="300">
        <v>96289.016000000003</v>
      </c>
      <c r="S142" s="300">
        <v>42664.332000000002</v>
      </c>
      <c r="T142" s="300">
        <v>20200.8</v>
      </c>
      <c r="U142" s="301">
        <v>25855.233</v>
      </c>
      <c r="V142" s="302">
        <v>881981.90700000001</v>
      </c>
      <c r="W142" s="303"/>
      <c r="X142" s="304">
        <v>25855.233</v>
      </c>
      <c r="Y142" s="305">
        <v>881981.90700000001</v>
      </c>
      <c r="AA142" s="388"/>
    </row>
    <row r="143" spans="1:27" hidden="1" outlineLevel="1" x14ac:dyDescent="0.3">
      <c r="E143" s="250" t="s">
        <v>1056</v>
      </c>
      <c r="F143" s="317">
        <v>4109098</v>
      </c>
      <c r="G143" s="318"/>
      <c r="H143" s="319">
        <v>4100990115</v>
      </c>
      <c r="I143" s="320"/>
      <c r="J143" s="337">
        <v>132451.163</v>
      </c>
      <c r="K143" s="321">
        <v>85935.592000000004</v>
      </c>
      <c r="L143" s="321">
        <v>165481.52600000001</v>
      </c>
      <c r="M143" s="321">
        <v>103995.382</v>
      </c>
      <c r="N143" s="321">
        <v>44012.383000000002</v>
      </c>
      <c r="O143" s="321">
        <v>18059.304</v>
      </c>
      <c r="P143" s="321">
        <v>21476.136999999999</v>
      </c>
      <c r="Q143" s="321">
        <v>125561.039</v>
      </c>
      <c r="R143" s="321">
        <v>96289.016000000003</v>
      </c>
      <c r="S143" s="321">
        <v>42664.332000000002</v>
      </c>
      <c r="T143" s="321">
        <v>20200.8</v>
      </c>
      <c r="U143" s="322">
        <v>25855.233</v>
      </c>
      <c r="V143" s="323">
        <v>881981.90700000001</v>
      </c>
      <c r="W143" s="303"/>
      <c r="X143" s="324">
        <v>25855.233</v>
      </c>
      <c r="Y143" s="325">
        <v>881981.90700000001</v>
      </c>
      <c r="AA143" s="388"/>
    </row>
    <row r="144" spans="1:27" s="326" customFormat="1" hidden="1" outlineLevel="2" x14ac:dyDescent="0.3">
      <c r="E144" s="326" t="s">
        <v>1057</v>
      </c>
      <c r="F144" s="336"/>
      <c r="G144" s="327"/>
      <c r="H144" s="328"/>
      <c r="I144" s="329"/>
      <c r="J144" s="338">
        <v>0</v>
      </c>
      <c r="K144" s="330">
        <v>0</v>
      </c>
      <c r="L144" s="330">
        <v>0</v>
      </c>
      <c r="M144" s="330">
        <v>0</v>
      </c>
      <c r="N144" s="330">
        <v>0</v>
      </c>
      <c r="O144" s="330">
        <v>0</v>
      </c>
      <c r="P144" s="330">
        <v>0</v>
      </c>
      <c r="Q144" s="330">
        <v>0</v>
      </c>
      <c r="R144" s="330">
        <v>0</v>
      </c>
      <c r="S144" s="330">
        <v>0</v>
      </c>
      <c r="T144" s="330">
        <v>0</v>
      </c>
      <c r="U144" s="331">
        <v>0</v>
      </c>
      <c r="V144" s="332">
        <v>0</v>
      </c>
      <c r="W144" s="333"/>
      <c r="X144" s="334">
        <v>0</v>
      </c>
      <c r="Y144" s="335">
        <v>0</v>
      </c>
      <c r="AA144" s="388"/>
    </row>
    <row r="145" spans="1:27" s="326" customFormat="1" hidden="1" outlineLevel="2" x14ac:dyDescent="0.3">
      <c r="E145" s="326" t="s">
        <v>1058</v>
      </c>
      <c r="F145" s="336"/>
      <c r="G145" s="327"/>
      <c r="H145" s="328"/>
      <c r="I145" s="329"/>
      <c r="J145" s="338">
        <v>0</v>
      </c>
      <c r="K145" s="330">
        <v>0</v>
      </c>
      <c r="L145" s="330">
        <v>0</v>
      </c>
      <c r="M145" s="330">
        <v>0</v>
      </c>
      <c r="N145" s="330">
        <v>0</v>
      </c>
      <c r="O145" s="330">
        <v>0</v>
      </c>
      <c r="P145" s="330">
        <v>0</v>
      </c>
      <c r="Q145" s="330">
        <v>0</v>
      </c>
      <c r="R145" s="330">
        <v>0</v>
      </c>
      <c r="S145" s="330">
        <v>0</v>
      </c>
      <c r="T145" s="330">
        <v>0</v>
      </c>
      <c r="U145" s="331">
        <v>0</v>
      </c>
      <c r="V145" s="332">
        <v>0</v>
      </c>
      <c r="W145" s="333"/>
      <c r="X145" s="334">
        <v>0</v>
      </c>
      <c r="Y145" s="335">
        <v>0</v>
      </c>
      <c r="AA145" s="388"/>
    </row>
    <row r="146" spans="1:27" s="326" customFormat="1" hidden="1" outlineLevel="2" x14ac:dyDescent="0.3">
      <c r="E146" s="326" t="s">
        <v>1059</v>
      </c>
      <c r="F146" s="336"/>
      <c r="G146" s="327"/>
      <c r="H146" s="328"/>
      <c r="I146" s="329"/>
      <c r="J146" s="338">
        <v>0</v>
      </c>
      <c r="K146" s="330">
        <v>0</v>
      </c>
      <c r="L146" s="330">
        <v>0</v>
      </c>
      <c r="M146" s="330">
        <v>0</v>
      </c>
      <c r="N146" s="330">
        <v>0</v>
      </c>
      <c r="O146" s="330">
        <v>0</v>
      </c>
      <c r="P146" s="330">
        <v>0</v>
      </c>
      <c r="Q146" s="330">
        <v>0</v>
      </c>
      <c r="R146" s="330">
        <v>0</v>
      </c>
      <c r="S146" s="330">
        <v>0</v>
      </c>
      <c r="T146" s="330">
        <v>0</v>
      </c>
      <c r="U146" s="331">
        <v>0</v>
      </c>
      <c r="V146" s="332">
        <v>0</v>
      </c>
      <c r="W146" s="333"/>
      <c r="X146" s="334">
        <v>0</v>
      </c>
      <c r="Y146" s="335">
        <v>0</v>
      </c>
      <c r="AA146" s="388"/>
    </row>
    <row r="147" spans="1:27" s="326" customFormat="1" hidden="1" outlineLevel="2" x14ac:dyDescent="0.3">
      <c r="E147" s="326" t="s">
        <v>1060</v>
      </c>
      <c r="F147" s="336"/>
      <c r="G147" s="327"/>
      <c r="H147" s="328"/>
      <c r="I147" s="329"/>
      <c r="J147" s="338">
        <v>0</v>
      </c>
      <c r="K147" s="330">
        <v>0</v>
      </c>
      <c r="L147" s="330">
        <v>0</v>
      </c>
      <c r="M147" s="330">
        <v>0</v>
      </c>
      <c r="N147" s="330">
        <v>0</v>
      </c>
      <c r="O147" s="330">
        <v>0</v>
      </c>
      <c r="P147" s="330">
        <v>0</v>
      </c>
      <c r="Q147" s="330">
        <v>0</v>
      </c>
      <c r="R147" s="330">
        <v>0</v>
      </c>
      <c r="S147" s="330">
        <v>0</v>
      </c>
      <c r="T147" s="330">
        <v>0</v>
      </c>
      <c r="U147" s="331">
        <v>0</v>
      </c>
      <c r="V147" s="332">
        <v>0</v>
      </c>
      <c r="W147" s="333"/>
      <c r="X147" s="334">
        <v>0</v>
      </c>
      <c r="Y147" s="335">
        <v>0</v>
      </c>
      <c r="AA147" s="388"/>
    </row>
    <row r="148" spans="1:27" s="326" customFormat="1" hidden="1" outlineLevel="2" x14ac:dyDescent="0.3">
      <c r="E148" s="326" t="s">
        <v>1061</v>
      </c>
      <c r="F148" s="336"/>
      <c r="G148" s="327"/>
      <c r="H148" s="328"/>
      <c r="I148" s="329"/>
      <c r="J148" s="338">
        <v>0</v>
      </c>
      <c r="K148" s="330">
        <v>0</v>
      </c>
      <c r="L148" s="330">
        <v>0</v>
      </c>
      <c r="M148" s="330">
        <v>0</v>
      </c>
      <c r="N148" s="330">
        <v>0</v>
      </c>
      <c r="O148" s="330">
        <v>0</v>
      </c>
      <c r="P148" s="330">
        <v>0</v>
      </c>
      <c r="Q148" s="330">
        <v>0</v>
      </c>
      <c r="R148" s="330">
        <v>0</v>
      </c>
      <c r="S148" s="330">
        <v>0</v>
      </c>
      <c r="T148" s="330">
        <v>0</v>
      </c>
      <c r="U148" s="331">
        <v>0</v>
      </c>
      <c r="V148" s="332">
        <v>0</v>
      </c>
      <c r="W148" s="333"/>
      <c r="X148" s="334">
        <v>0</v>
      </c>
      <c r="Y148" s="335">
        <v>0</v>
      </c>
      <c r="AA148" s="388"/>
    </row>
    <row r="149" spans="1:27" ht="33" collapsed="1" x14ac:dyDescent="0.3">
      <c r="A149" s="248" t="s">
        <v>6</v>
      </c>
      <c r="B149" s="248"/>
      <c r="C149" s="280" t="s">
        <v>1062</v>
      </c>
      <c r="D149" s="281"/>
      <c r="E149" s="282"/>
      <c r="F149" s="283" t="s">
        <v>1063</v>
      </c>
      <c r="G149" s="284"/>
      <c r="H149" s="285"/>
      <c r="I149" s="286"/>
      <c r="J149" s="287">
        <v>704275678.30200005</v>
      </c>
      <c r="K149" s="288">
        <v>625999515.23100007</v>
      </c>
      <c r="L149" s="288">
        <v>709540867.97799981</v>
      </c>
      <c r="M149" s="288">
        <v>724880427.09899986</v>
      </c>
      <c r="N149" s="288">
        <v>751718517.69699967</v>
      </c>
      <c r="O149" s="288">
        <v>723258581.79600012</v>
      </c>
      <c r="P149" s="288">
        <v>814226837.19699991</v>
      </c>
      <c r="Q149" s="288">
        <v>779060205.73300028</v>
      </c>
      <c r="R149" s="288">
        <v>812031555.7359997</v>
      </c>
      <c r="S149" s="288">
        <v>781634320.82500005</v>
      </c>
      <c r="T149" s="288">
        <v>721444014.95299995</v>
      </c>
      <c r="U149" s="289">
        <v>754396794.89300001</v>
      </c>
      <c r="V149" s="290">
        <v>8902467317.4400005</v>
      </c>
      <c r="W149" s="277"/>
      <c r="X149" s="291">
        <v>754396794.89300001</v>
      </c>
      <c r="Y149" s="292">
        <v>8902467317.4400005</v>
      </c>
      <c r="AA149" s="388"/>
    </row>
    <row r="150" spans="1:27" hidden="1" x14ac:dyDescent="0.3">
      <c r="A150" s="233"/>
      <c r="B150" s="234" t="s">
        <v>7</v>
      </c>
      <c r="D150" s="293" t="s">
        <v>1064</v>
      </c>
      <c r="E150" s="294"/>
      <c r="F150" s="295" t="s">
        <v>1065</v>
      </c>
      <c r="G150" s="296"/>
      <c r="H150" s="297"/>
      <c r="I150" s="298"/>
      <c r="J150" s="299">
        <v>744712218.41900003</v>
      </c>
      <c r="K150" s="300">
        <v>662280681.37800002</v>
      </c>
      <c r="L150" s="300">
        <v>740179768.11199987</v>
      </c>
      <c r="M150" s="300">
        <v>768888656.93899989</v>
      </c>
      <c r="N150" s="300">
        <v>798324335.54199982</v>
      </c>
      <c r="O150" s="300">
        <v>768248517.36800015</v>
      </c>
      <c r="P150" s="300">
        <v>866143374.90899992</v>
      </c>
      <c r="Q150" s="300">
        <v>834204493.60900021</v>
      </c>
      <c r="R150" s="300">
        <v>871711717.58699965</v>
      </c>
      <c r="S150" s="300">
        <v>833301279.222</v>
      </c>
      <c r="T150" s="300">
        <v>761849481.50800002</v>
      </c>
      <c r="U150" s="301">
        <v>794568469.36300004</v>
      </c>
      <c r="V150" s="302">
        <v>9444412993.9559994</v>
      </c>
      <c r="W150" s="303"/>
      <c r="X150" s="304">
        <v>794568469.36300004</v>
      </c>
      <c r="Y150" s="305">
        <v>9444412993.9559994</v>
      </c>
      <c r="AA150" s="388"/>
    </row>
    <row r="151" spans="1:27" hidden="1" outlineLevel="1" x14ac:dyDescent="0.3">
      <c r="E151" s="250" t="s">
        <v>1066</v>
      </c>
      <c r="F151" s="317">
        <v>4201001</v>
      </c>
      <c r="G151" s="318"/>
      <c r="H151" s="319">
        <v>4500010101</v>
      </c>
      <c r="I151" s="320"/>
      <c r="J151" s="337">
        <v>769669376.69200003</v>
      </c>
      <c r="K151" s="321">
        <v>688285524.24000001</v>
      </c>
      <c r="L151" s="321">
        <v>774676582.74100006</v>
      </c>
      <c r="M151" s="321">
        <v>801191561.87800002</v>
      </c>
      <c r="N151" s="321">
        <v>828984830.34299994</v>
      </c>
      <c r="O151" s="321">
        <v>798467681.17200005</v>
      </c>
      <c r="P151" s="321">
        <v>895660011.12100005</v>
      </c>
      <c r="Q151" s="321">
        <v>864982704.12300014</v>
      </c>
      <c r="R151" s="321">
        <v>905597417.12099993</v>
      </c>
      <c r="S151" s="321">
        <v>864109832.43299997</v>
      </c>
      <c r="T151" s="321">
        <v>789366090.54499996</v>
      </c>
      <c r="U151" s="322">
        <v>819479727.33299994</v>
      </c>
      <c r="V151" s="323">
        <v>9800471339.7420006</v>
      </c>
      <c r="W151" s="303"/>
      <c r="X151" s="324">
        <v>819479727.33299994</v>
      </c>
      <c r="Y151" s="325">
        <v>9800471339.7420006</v>
      </c>
      <c r="AA151" s="388"/>
    </row>
    <row r="152" spans="1:27" hidden="1" outlineLevel="1" x14ac:dyDescent="0.3">
      <c r="E152" s="250" t="s">
        <v>1067</v>
      </c>
      <c r="F152" s="317">
        <v>4201002</v>
      </c>
      <c r="G152" s="318"/>
      <c r="H152" s="319">
        <v>4500010105</v>
      </c>
      <c r="I152" s="320"/>
      <c r="J152" s="337">
        <v>-4252942.8789999997</v>
      </c>
      <c r="K152" s="321">
        <v>-4224028.4630000005</v>
      </c>
      <c r="L152" s="321">
        <v>-4362116.1789999995</v>
      </c>
      <c r="M152" s="321">
        <v>-4152031.443</v>
      </c>
      <c r="N152" s="321">
        <v>-4529514.8930000002</v>
      </c>
      <c r="O152" s="321">
        <v>-4457275.3969999999</v>
      </c>
      <c r="P152" s="321">
        <v>-4903515.2690000003</v>
      </c>
      <c r="Q152" s="321">
        <v>-4631270.6150000002</v>
      </c>
      <c r="R152" s="321">
        <v>-4686583.6670000004</v>
      </c>
      <c r="S152" s="321">
        <v>-4365851.1260000002</v>
      </c>
      <c r="T152" s="321">
        <v>-4570009.8679999998</v>
      </c>
      <c r="U152" s="322">
        <v>-4539220.3600000003</v>
      </c>
      <c r="V152" s="323">
        <v>-53674360.159000009</v>
      </c>
      <c r="W152" s="303"/>
      <c r="X152" s="324">
        <v>-4539220.3600000003</v>
      </c>
      <c r="Y152" s="325">
        <v>-53674360.159000009</v>
      </c>
      <c r="AA152" s="388"/>
    </row>
    <row r="153" spans="1:27" hidden="1" outlineLevel="1" x14ac:dyDescent="0.3">
      <c r="E153" s="250" t="s">
        <v>1068</v>
      </c>
      <c r="F153" s="317">
        <v>4201004</v>
      </c>
      <c r="G153" s="318"/>
      <c r="H153" s="319">
        <v>4500010103</v>
      </c>
      <c r="I153" s="320"/>
      <c r="J153" s="337">
        <v>-4224493.2779999999</v>
      </c>
      <c r="K153" s="321">
        <v>-6507931.477</v>
      </c>
      <c r="L153" s="321">
        <v>-9022581.7430000007</v>
      </c>
      <c r="M153" s="321">
        <v>-8487591.8660000004</v>
      </c>
      <c r="N153" s="321">
        <v>-7694763.2560000001</v>
      </c>
      <c r="O153" s="321">
        <v>-8176837.9579999996</v>
      </c>
      <c r="P153" s="321">
        <v>-7056097.6160000004</v>
      </c>
      <c r="Q153" s="321">
        <v>-7612404.4230000004</v>
      </c>
      <c r="R153" s="321">
        <v>-9842770.0519999992</v>
      </c>
      <c r="S153" s="321">
        <v>-9630341.9010000005</v>
      </c>
      <c r="T153" s="321">
        <v>-7527073.8779999996</v>
      </c>
      <c r="U153" s="322">
        <v>-7507365.9440000001</v>
      </c>
      <c r="V153" s="323">
        <v>-93290253.392000005</v>
      </c>
      <c r="W153" s="303"/>
      <c r="X153" s="324">
        <v>-7507365.9440000001</v>
      </c>
      <c r="Y153" s="325">
        <v>-93290253.392000005</v>
      </c>
      <c r="AA153" s="388"/>
    </row>
    <row r="154" spans="1:27" hidden="1" outlineLevel="1" x14ac:dyDescent="0.3">
      <c r="E154" s="250" t="s">
        <v>1069</v>
      </c>
      <c r="F154" s="317">
        <v>4201005</v>
      </c>
      <c r="G154" s="318"/>
      <c r="H154" s="319"/>
      <c r="I154" s="320"/>
      <c r="J154" s="337">
        <v>-12246195.983999999</v>
      </c>
      <c r="K154" s="321">
        <v>-11969607.339</v>
      </c>
      <c r="L154" s="321">
        <v>-16866602.094000001</v>
      </c>
      <c r="M154" s="321">
        <v>-16075438.937000001</v>
      </c>
      <c r="N154" s="321">
        <v>-13435206.856000001</v>
      </c>
      <c r="O154" s="321">
        <v>-12663343.471999999</v>
      </c>
      <c r="P154" s="321">
        <v>-13476333.825999999</v>
      </c>
      <c r="Q154" s="321">
        <v>-13743987.483999999</v>
      </c>
      <c r="R154" s="321">
        <v>-15219062.209000001</v>
      </c>
      <c r="S154" s="321">
        <v>-11586616.43</v>
      </c>
      <c r="T154" s="321">
        <v>-10801643.790999999</v>
      </c>
      <c r="U154" s="322">
        <v>-7482344.1830000002</v>
      </c>
      <c r="V154" s="323">
        <v>-155566382.60500002</v>
      </c>
      <c r="W154" s="303"/>
      <c r="X154" s="324">
        <v>-7482344.1830000002</v>
      </c>
      <c r="Y154" s="325">
        <v>-155566382.60500002</v>
      </c>
      <c r="AA154" s="388"/>
    </row>
    <row r="155" spans="1:27" hidden="1" outlineLevel="1" x14ac:dyDescent="0.3">
      <c r="E155" s="250" t="s">
        <v>1070</v>
      </c>
      <c r="F155" s="317">
        <v>4201007</v>
      </c>
      <c r="G155" s="318"/>
      <c r="H155" s="319">
        <v>4500010107</v>
      </c>
      <c r="I155" s="320"/>
      <c r="J155" s="337">
        <v>697513.272</v>
      </c>
      <c r="K155" s="321">
        <v>737350.18299999996</v>
      </c>
      <c r="L155" s="321">
        <v>713545.36699999997</v>
      </c>
      <c r="M155" s="321">
        <v>723814.71400000004</v>
      </c>
      <c r="N155" s="321">
        <v>-125168.12000000005</v>
      </c>
      <c r="O155" s="321">
        <v>-267774.75899999996</v>
      </c>
      <c r="P155" s="321">
        <v>394415.37800000003</v>
      </c>
      <c r="Q155" s="321">
        <v>-39540.856</v>
      </c>
      <c r="R155" s="321">
        <v>308319.152</v>
      </c>
      <c r="S155" s="321">
        <v>-180157.64700000003</v>
      </c>
      <c r="T155" s="321">
        <v>-122680.053</v>
      </c>
      <c r="U155" s="322">
        <v>-302960.92799999996</v>
      </c>
      <c r="V155" s="323">
        <v>2536675.7030000007</v>
      </c>
      <c r="W155" s="303"/>
      <c r="X155" s="324">
        <v>-302960.92799999996</v>
      </c>
      <c r="Y155" s="325">
        <v>2536675.7030000007</v>
      </c>
      <c r="AA155" s="388"/>
    </row>
    <row r="156" spans="1:27" hidden="1" outlineLevel="1" x14ac:dyDescent="0.3">
      <c r="E156" s="250" t="s">
        <v>1071</v>
      </c>
      <c r="F156" s="317">
        <v>4201008</v>
      </c>
      <c r="G156" s="318"/>
      <c r="H156" s="319"/>
      <c r="I156" s="320"/>
      <c r="J156" s="337">
        <v>25643.585999999999</v>
      </c>
      <c r="K156" s="321">
        <v>35579.021000000001</v>
      </c>
      <c r="L156" s="321">
        <v>40519.860999999997</v>
      </c>
      <c r="M156" s="321">
        <v>43684.678999999996</v>
      </c>
      <c r="N156" s="321">
        <v>61788.74</v>
      </c>
      <c r="O156" s="321">
        <v>44622.856</v>
      </c>
      <c r="P156" s="321">
        <v>46985.930999999997</v>
      </c>
      <c r="Q156" s="321">
        <v>43441.040999999997</v>
      </c>
      <c r="R156" s="321">
        <v>31320.042999999998</v>
      </c>
      <c r="S156" s="321">
        <v>21232.085999999999</v>
      </c>
      <c r="T156" s="321">
        <v>39931.186999999998</v>
      </c>
      <c r="U156" s="322">
        <v>29704.599000000002</v>
      </c>
      <c r="V156" s="323">
        <v>464453.62999999995</v>
      </c>
      <c r="W156" s="303"/>
      <c r="X156" s="324">
        <v>29704.599000000002</v>
      </c>
      <c r="Y156" s="325">
        <v>464453.62999999995</v>
      </c>
      <c r="AA156" s="388"/>
    </row>
    <row r="157" spans="1:27" hidden="1" outlineLevel="1" x14ac:dyDescent="0.3">
      <c r="E157" s="250" t="s">
        <v>1072</v>
      </c>
      <c r="F157" s="317">
        <v>4201091</v>
      </c>
      <c r="G157" s="318"/>
      <c r="H157" s="319">
        <v>4500010109</v>
      </c>
      <c r="I157" s="320"/>
      <c r="J157" s="337">
        <v>-4996174.5690000001</v>
      </c>
      <c r="K157" s="321">
        <v>-4247380.852</v>
      </c>
      <c r="L157" s="321">
        <v>-5042916.8600000003</v>
      </c>
      <c r="M157" s="321">
        <v>-4547168.0520000001</v>
      </c>
      <c r="N157" s="321">
        <v>-5027369.3449999997</v>
      </c>
      <c r="O157" s="321">
        <v>-4790050.5269999998</v>
      </c>
      <c r="P157" s="321">
        <v>-4603774.7050000001</v>
      </c>
      <c r="Q157" s="321">
        <v>-4818932.7170000002</v>
      </c>
      <c r="R157" s="321">
        <v>-4436803.983</v>
      </c>
      <c r="S157" s="321">
        <v>-5082706.6960000005</v>
      </c>
      <c r="T157" s="321">
        <v>-4726361.1320000002</v>
      </c>
      <c r="U157" s="322">
        <v>-5168597.699</v>
      </c>
      <c r="V157" s="323">
        <v>-57488237.137000002</v>
      </c>
      <c r="W157" s="303"/>
      <c r="X157" s="324">
        <v>-5168597.699</v>
      </c>
      <c r="Y157" s="325">
        <v>-57488237.137000002</v>
      </c>
      <c r="AA157" s="388"/>
    </row>
    <row r="158" spans="1:27" hidden="1" outlineLevel="1" x14ac:dyDescent="0.3">
      <c r="E158" s="250" t="s">
        <v>1073</v>
      </c>
      <c r="F158" s="317">
        <v>4201095</v>
      </c>
      <c r="G158" s="318"/>
      <c r="H158" s="319"/>
      <c r="I158" s="320"/>
      <c r="J158" s="337">
        <v>1195.7090000000001</v>
      </c>
      <c r="K158" s="321">
        <v>1268.0160000000001</v>
      </c>
      <c r="L158" s="321">
        <v>1610.4079999999999</v>
      </c>
      <c r="M158" s="321">
        <v>1993.4459999999999</v>
      </c>
      <c r="N158" s="321">
        <v>1554.384</v>
      </c>
      <c r="O158" s="321">
        <v>1681.096</v>
      </c>
      <c r="P158" s="321">
        <v>1636.164</v>
      </c>
      <c r="Q158" s="321">
        <v>73.707999999999998</v>
      </c>
      <c r="R158" s="321">
        <v>3786.8139999999999</v>
      </c>
      <c r="S158" s="321">
        <v>1270.8800000000001</v>
      </c>
      <c r="T158" s="321">
        <v>1218.992</v>
      </c>
      <c r="U158" s="322">
        <v>5708.0569999999998</v>
      </c>
      <c r="V158" s="323">
        <v>22997.673999999999</v>
      </c>
      <c r="W158" s="303"/>
      <c r="X158" s="324">
        <v>5708.0569999999998</v>
      </c>
      <c r="Y158" s="325">
        <v>22997.673999999999</v>
      </c>
      <c r="AA158" s="388"/>
    </row>
    <row r="159" spans="1:27" hidden="1" outlineLevel="1" x14ac:dyDescent="0.3">
      <c r="E159" s="250" t="s">
        <v>1074</v>
      </c>
      <c r="F159" s="317">
        <v>4201096</v>
      </c>
      <c r="G159" s="318"/>
      <c r="H159" s="319"/>
      <c r="I159" s="320"/>
      <c r="J159" s="337">
        <v>0</v>
      </c>
      <c r="K159" s="321">
        <v>0</v>
      </c>
      <c r="L159" s="321">
        <v>0</v>
      </c>
      <c r="M159" s="321">
        <v>0</v>
      </c>
      <c r="N159" s="321">
        <v>0</v>
      </c>
      <c r="O159" s="321">
        <v>0</v>
      </c>
      <c r="P159" s="321">
        <v>0</v>
      </c>
      <c r="Q159" s="321">
        <v>0</v>
      </c>
      <c r="R159" s="321">
        <v>0</v>
      </c>
      <c r="S159" s="321">
        <v>0</v>
      </c>
      <c r="T159" s="321">
        <v>0</v>
      </c>
      <c r="U159" s="322">
        <v>0</v>
      </c>
      <c r="V159" s="323">
        <v>0</v>
      </c>
      <c r="W159" s="303"/>
      <c r="X159" s="324">
        <v>0</v>
      </c>
      <c r="Y159" s="325">
        <v>0</v>
      </c>
      <c r="AA159" s="388"/>
    </row>
    <row r="160" spans="1:27" hidden="1" outlineLevel="1" x14ac:dyDescent="0.3">
      <c r="E160" s="250" t="s">
        <v>1075</v>
      </c>
      <c r="F160" s="317">
        <v>4201097</v>
      </c>
      <c r="G160" s="318"/>
      <c r="H160" s="319"/>
      <c r="I160" s="320"/>
      <c r="J160" s="337">
        <v>0</v>
      </c>
      <c r="K160" s="321">
        <v>0</v>
      </c>
      <c r="L160" s="321">
        <v>-80057.25</v>
      </c>
      <c r="M160" s="321">
        <v>0</v>
      </c>
      <c r="N160" s="321">
        <v>0</v>
      </c>
      <c r="O160" s="321">
        <v>48473.767</v>
      </c>
      <c r="P160" s="321">
        <v>0</v>
      </c>
      <c r="Q160" s="321">
        <v>0</v>
      </c>
      <c r="R160" s="321">
        <v>-71500.5</v>
      </c>
      <c r="S160" s="321">
        <v>0</v>
      </c>
      <c r="T160" s="321">
        <v>0</v>
      </c>
      <c r="U160" s="322">
        <v>7625.5659999999998</v>
      </c>
      <c r="V160" s="323">
        <v>-95458.417000000001</v>
      </c>
      <c r="W160" s="303"/>
      <c r="X160" s="324">
        <v>7625.5659999999998</v>
      </c>
      <c r="Y160" s="325">
        <v>-95458.417000000001</v>
      </c>
      <c r="AA160" s="388"/>
    </row>
    <row r="161" spans="1:27" hidden="1" outlineLevel="1" x14ac:dyDescent="0.3">
      <c r="E161" s="250" t="s">
        <v>1076</v>
      </c>
      <c r="F161" s="317">
        <v>4201098</v>
      </c>
      <c r="G161" s="318"/>
      <c r="H161" s="319"/>
      <c r="I161" s="320"/>
      <c r="J161" s="337">
        <v>39419.373</v>
      </c>
      <c r="K161" s="321">
        <v>169908.049</v>
      </c>
      <c r="L161" s="321">
        <v>121783.86099999999</v>
      </c>
      <c r="M161" s="321">
        <v>189832.52</v>
      </c>
      <c r="N161" s="321">
        <v>88184.545000000013</v>
      </c>
      <c r="O161" s="321">
        <v>41340.589999999997</v>
      </c>
      <c r="P161" s="321">
        <v>80047.731</v>
      </c>
      <c r="Q161" s="321">
        <v>24410.831999999999</v>
      </c>
      <c r="R161" s="321">
        <v>27541.828000000001</v>
      </c>
      <c r="S161" s="321">
        <v>14617.623</v>
      </c>
      <c r="T161" s="321">
        <v>190009.50600000002</v>
      </c>
      <c r="U161" s="322">
        <v>46192.922000000006</v>
      </c>
      <c r="V161" s="323">
        <v>1033289.3800000001</v>
      </c>
      <c r="W161" s="303"/>
      <c r="X161" s="324">
        <v>46192.922000000006</v>
      </c>
      <c r="Y161" s="325">
        <v>1033289.3800000001</v>
      </c>
      <c r="AA161" s="388"/>
    </row>
    <row r="162" spans="1:27" s="250" customFormat="1" hidden="1" outlineLevel="2" x14ac:dyDescent="0.3">
      <c r="E162" s="250" t="s">
        <v>1077</v>
      </c>
      <c r="F162" s="306">
        <v>4201094</v>
      </c>
      <c r="G162" s="307"/>
      <c r="H162" s="308"/>
      <c r="I162" s="309"/>
      <c r="J162" s="310">
        <v>-1123.5029999999999</v>
      </c>
      <c r="K162" s="311">
        <v>0</v>
      </c>
      <c r="L162" s="311">
        <v>0</v>
      </c>
      <c r="M162" s="311">
        <v>0</v>
      </c>
      <c r="N162" s="311">
        <v>0</v>
      </c>
      <c r="O162" s="311">
        <v>0</v>
      </c>
      <c r="P162" s="311">
        <v>0</v>
      </c>
      <c r="Q162" s="311">
        <v>0</v>
      </c>
      <c r="R162" s="311">
        <v>53.04</v>
      </c>
      <c r="S162" s="311">
        <v>0</v>
      </c>
      <c r="T162" s="311">
        <v>0</v>
      </c>
      <c r="U162" s="312">
        <v>0</v>
      </c>
      <c r="V162" s="313">
        <v>-1070.463</v>
      </c>
      <c r="W162" s="314"/>
      <c r="X162" s="315">
        <v>0</v>
      </c>
      <c r="Y162" s="316">
        <v>-1070.463</v>
      </c>
      <c r="AA162" s="388"/>
    </row>
    <row r="163" spans="1:27" s="326" customFormat="1" hidden="1" outlineLevel="2" x14ac:dyDescent="0.3">
      <c r="E163" s="326" t="s">
        <v>1078</v>
      </c>
      <c r="F163" s="336"/>
      <c r="G163" s="327"/>
      <c r="H163" s="328"/>
      <c r="I163" s="329"/>
      <c r="J163" s="338">
        <v>0</v>
      </c>
      <c r="K163" s="330">
        <v>0</v>
      </c>
      <c r="L163" s="330">
        <v>0</v>
      </c>
      <c r="M163" s="330">
        <v>0</v>
      </c>
      <c r="N163" s="330">
        <v>0</v>
      </c>
      <c r="O163" s="330">
        <v>0</v>
      </c>
      <c r="P163" s="330">
        <v>0</v>
      </c>
      <c r="Q163" s="330">
        <v>0</v>
      </c>
      <c r="R163" s="330">
        <v>0</v>
      </c>
      <c r="S163" s="330">
        <v>0</v>
      </c>
      <c r="T163" s="330">
        <v>0</v>
      </c>
      <c r="U163" s="331">
        <v>0</v>
      </c>
      <c r="V163" s="332">
        <v>0</v>
      </c>
      <c r="W163" s="333"/>
      <c r="X163" s="334">
        <v>0</v>
      </c>
      <c r="Y163" s="335">
        <v>0</v>
      </c>
      <c r="AA163" s="388"/>
    </row>
    <row r="164" spans="1:27" s="326" customFormat="1" hidden="1" outlineLevel="2" x14ac:dyDescent="0.3">
      <c r="E164" s="326" t="s">
        <v>1079</v>
      </c>
      <c r="F164" s="336"/>
      <c r="G164" s="327"/>
      <c r="H164" s="328"/>
      <c r="I164" s="329"/>
      <c r="J164" s="338">
        <v>0</v>
      </c>
      <c r="K164" s="330">
        <v>0</v>
      </c>
      <c r="L164" s="330">
        <v>0</v>
      </c>
      <c r="M164" s="330">
        <v>0</v>
      </c>
      <c r="N164" s="330">
        <v>0</v>
      </c>
      <c r="O164" s="330">
        <v>0</v>
      </c>
      <c r="P164" s="330">
        <v>0</v>
      </c>
      <c r="Q164" s="330">
        <v>0</v>
      </c>
      <c r="R164" s="330">
        <v>0</v>
      </c>
      <c r="S164" s="330">
        <v>0</v>
      </c>
      <c r="T164" s="330">
        <v>0</v>
      </c>
      <c r="U164" s="331">
        <v>0</v>
      </c>
      <c r="V164" s="332">
        <v>0</v>
      </c>
      <c r="W164" s="333"/>
      <c r="X164" s="334">
        <v>0</v>
      </c>
      <c r="Y164" s="335">
        <v>0</v>
      </c>
      <c r="AA164" s="388"/>
    </row>
    <row r="165" spans="1:27" s="326" customFormat="1" hidden="1" outlineLevel="2" x14ac:dyDescent="0.3">
      <c r="E165" s="326" t="s">
        <v>1080</v>
      </c>
      <c r="F165" s="336"/>
      <c r="G165" s="327"/>
      <c r="H165" s="328"/>
      <c r="I165" s="329"/>
      <c r="J165" s="338">
        <v>0</v>
      </c>
      <c r="K165" s="330">
        <v>0</v>
      </c>
      <c r="L165" s="330">
        <v>0</v>
      </c>
      <c r="M165" s="330">
        <v>0</v>
      </c>
      <c r="N165" s="330">
        <v>0</v>
      </c>
      <c r="O165" s="330">
        <v>0</v>
      </c>
      <c r="P165" s="330">
        <v>0</v>
      </c>
      <c r="Q165" s="330">
        <v>0</v>
      </c>
      <c r="R165" s="330">
        <v>0</v>
      </c>
      <c r="S165" s="330">
        <v>0</v>
      </c>
      <c r="T165" s="330">
        <v>0</v>
      </c>
      <c r="U165" s="331">
        <v>0</v>
      </c>
      <c r="V165" s="332">
        <v>0</v>
      </c>
      <c r="W165" s="333"/>
      <c r="X165" s="334">
        <v>0</v>
      </c>
      <c r="Y165" s="335">
        <v>0</v>
      </c>
      <c r="AA165" s="388"/>
    </row>
    <row r="166" spans="1:27" hidden="1" collapsed="1" x14ac:dyDescent="0.3">
      <c r="A166" s="233"/>
      <c r="B166" s="234" t="s">
        <v>62</v>
      </c>
      <c r="D166" s="293" t="s">
        <v>1081</v>
      </c>
      <c r="E166" s="294"/>
      <c r="F166" s="295" t="s">
        <v>1082</v>
      </c>
      <c r="G166" s="296"/>
      <c r="H166" s="297"/>
      <c r="I166" s="298"/>
      <c r="J166" s="299">
        <v>-56956663.086999997</v>
      </c>
      <c r="K166" s="300">
        <v>-53593232.810000002</v>
      </c>
      <c r="L166" s="300">
        <v>-47676669.446999997</v>
      </c>
      <c r="M166" s="300">
        <v>-61127937.218000002</v>
      </c>
      <c r="N166" s="300">
        <v>-63943834.074999988</v>
      </c>
      <c r="O166" s="300">
        <v>-61916478.522000015</v>
      </c>
      <c r="P166" s="300">
        <v>-69347355.853000015</v>
      </c>
      <c r="Q166" s="300">
        <v>-71854317.155000001</v>
      </c>
      <c r="R166" s="300">
        <v>-76249006.459000006</v>
      </c>
      <c r="S166" s="300">
        <v>-67804936.370000005</v>
      </c>
      <c r="T166" s="300">
        <v>-56959014.629999995</v>
      </c>
      <c r="U166" s="301">
        <v>-63264331.288000003</v>
      </c>
      <c r="V166" s="302">
        <v>-750693776.91400015</v>
      </c>
      <c r="W166" s="303"/>
      <c r="X166" s="304">
        <v>-63264331.288000003</v>
      </c>
      <c r="Y166" s="305">
        <v>-750693776.91400015</v>
      </c>
      <c r="AA166" s="388"/>
    </row>
    <row r="167" spans="1:27" hidden="1" x14ac:dyDescent="0.3">
      <c r="A167" s="326"/>
      <c r="B167" s="326"/>
      <c r="E167" s="339" t="s">
        <v>1083</v>
      </c>
      <c r="F167" s="340" t="s">
        <v>1084</v>
      </c>
      <c r="G167" s="341"/>
      <c r="H167" s="342"/>
      <c r="I167" s="343"/>
      <c r="J167" s="344">
        <v>-56956663.086999997</v>
      </c>
      <c r="K167" s="345">
        <v>-53593232.810000002</v>
      </c>
      <c r="L167" s="345">
        <v>-47676669.446999997</v>
      </c>
      <c r="M167" s="345">
        <v>-61127937.218000002</v>
      </c>
      <c r="N167" s="345">
        <v>-63943834.074999988</v>
      </c>
      <c r="O167" s="345">
        <v>-61916478.522000015</v>
      </c>
      <c r="P167" s="345">
        <v>-69347355.853000015</v>
      </c>
      <c r="Q167" s="345">
        <v>-71854317.155000001</v>
      </c>
      <c r="R167" s="345">
        <v>-76249006.459000006</v>
      </c>
      <c r="S167" s="345">
        <v>-67804936.370000005</v>
      </c>
      <c r="T167" s="345">
        <v>-56959014.629999995</v>
      </c>
      <c r="U167" s="346">
        <v>-63264331.288000003</v>
      </c>
      <c r="V167" s="347">
        <v>-750693776.91400015</v>
      </c>
      <c r="W167" s="303"/>
      <c r="X167" s="348">
        <v>-63264331.288000003</v>
      </c>
      <c r="Y167" s="349">
        <v>-750693776.91400015</v>
      </c>
      <c r="AA167" s="388"/>
    </row>
    <row r="168" spans="1:27" hidden="1" outlineLevel="1" x14ac:dyDescent="0.3">
      <c r="E168" s="250" t="s">
        <v>1085</v>
      </c>
      <c r="F168" s="317">
        <v>4201401</v>
      </c>
      <c r="G168" s="318"/>
      <c r="H168" s="319">
        <v>4500010111</v>
      </c>
      <c r="I168" s="320"/>
      <c r="J168" s="337">
        <v>-42679183.585999995</v>
      </c>
      <c r="K168" s="321">
        <v>-39580859.614</v>
      </c>
      <c r="L168" s="321">
        <v>-42908785.348999999</v>
      </c>
      <c r="M168" s="321">
        <v>-45132201.652000003</v>
      </c>
      <c r="N168" s="321">
        <v>-46748035.467999995</v>
      </c>
      <c r="O168" s="321">
        <v>-44186227.290000007</v>
      </c>
      <c r="P168" s="321">
        <v>-49575801.898000002</v>
      </c>
      <c r="Q168" s="321">
        <v>-50412608.906000003</v>
      </c>
      <c r="R168" s="321">
        <v>-52166704.428999998</v>
      </c>
      <c r="S168" s="321">
        <v>-49716599.901000001</v>
      </c>
      <c r="T168" s="321">
        <v>-43099006.398999996</v>
      </c>
      <c r="U168" s="322">
        <v>-44936299.601999998</v>
      </c>
      <c r="V168" s="323">
        <v>-551142314.0940001</v>
      </c>
      <c r="W168" s="303"/>
      <c r="X168" s="324">
        <v>-44936299.601999998</v>
      </c>
      <c r="Y168" s="325">
        <v>-551142314.0940001</v>
      </c>
      <c r="AA168" s="388"/>
    </row>
    <row r="169" spans="1:27" hidden="1" outlineLevel="1" x14ac:dyDescent="0.3">
      <c r="E169" s="250" t="s">
        <v>1086</v>
      </c>
      <c r="F169" s="317">
        <v>4201402</v>
      </c>
      <c r="G169" s="318"/>
      <c r="H169" s="319"/>
      <c r="I169" s="320"/>
      <c r="J169" s="337">
        <v>-1297532.78</v>
      </c>
      <c r="K169" s="321">
        <v>-1321284.737</v>
      </c>
      <c r="L169" s="321">
        <v>-757132.40899999999</v>
      </c>
      <c r="M169" s="321">
        <v>-1029992.137</v>
      </c>
      <c r="N169" s="321">
        <v>-1367924.2879999999</v>
      </c>
      <c r="O169" s="321">
        <v>-1018948.831</v>
      </c>
      <c r="P169" s="321">
        <v>-1016432.1140000001</v>
      </c>
      <c r="Q169" s="321">
        <v>-1104983.3560000001</v>
      </c>
      <c r="R169" s="321">
        <v>-1181231.1170000001</v>
      </c>
      <c r="S169" s="321">
        <v>-1557176.2109999999</v>
      </c>
      <c r="T169" s="321">
        <v>-644868.17599999998</v>
      </c>
      <c r="U169" s="322">
        <v>-884055.77600000007</v>
      </c>
      <c r="V169" s="323">
        <v>-13181561.932</v>
      </c>
      <c r="W169" s="303"/>
      <c r="X169" s="324">
        <v>-884055.77600000007</v>
      </c>
      <c r="Y169" s="325">
        <v>-13181561.932</v>
      </c>
      <c r="AA169" s="388"/>
    </row>
    <row r="170" spans="1:27" hidden="1" outlineLevel="1" x14ac:dyDescent="0.3">
      <c r="E170" s="250" t="s">
        <v>1087</v>
      </c>
      <c r="F170" s="317">
        <v>4201403</v>
      </c>
      <c r="G170" s="318"/>
      <c r="H170" s="319"/>
      <c r="I170" s="320"/>
      <c r="J170" s="337">
        <v>-12128411.348999999</v>
      </c>
      <c r="K170" s="321">
        <v>-12289755.6</v>
      </c>
      <c r="L170" s="321">
        <v>-16196719.645</v>
      </c>
      <c r="M170" s="321">
        <v>-14183880.261</v>
      </c>
      <c r="N170" s="321">
        <v>-15124407.563999999</v>
      </c>
      <c r="O170" s="321">
        <v>-19969476.530999999</v>
      </c>
      <c r="P170" s="321">
        <v>-18341998.853</v>
      </c>
      <c r="Q170" s="321">
        <v>-19898398.620000001</v>
      </c>
      <c r="R170" s="321">
        <v>-21609928.460999999</v>
      </c>
      <c r="S170" s="321">
        <v>-16034946.672</v>
      </c>
      <c r="T170" s="321">
        <v>-12896490.299000001</v>
      </c>
      <c r="U170" s="322">
        <v>-15058976.588</v>
      </c>
      <c r="V170" s="323">
        <v>-193733390.44299999</v>
      </c>
      <c r="W170" s="303"/>
      <c r="X170" s="324">
        <v>-15058976.588</v>
      </c>
      <c r="Y170" s="325">
        <v>-193733390.44299999</v>
      </c>
      <c r="AA170" s="388"/>
    </row>
    <row r="171" spans="1:27" hidden="1" outlineLevel="1" x14ac:dyDescent="0.3">
      <c r="E171" s="250" t="s">
        <v>1088</v>
      </c>
      <c r="F171" s="317">
        <v>4201404</v>
      </c>
      <c r="G171" s="318"/>
      <c r="H171" s="319"/>
      <c r="I171" s="320"/>
      <c r="J171" s="337">
        <v>-42620.853000000003</v>
      </c>
      <c r="K171" s="321">
        <v>1044.8539999999998</v>
      </c>
      <c r="L171" s="321">
        <v>87694.055999999997</v>
      </c>
      <c r="M171" s="321">
        <v>-66478.448999999993</v>
      </c>
      <c r="N171" s="321">
        <v>-30373.128000000001</v>
      </c>
      <c r="O171" s="321">
        <v>66936.626999999993</v>
      </c>
      <c r="P171" s="321">
        <v>-96961.683999999994</v>
      </c>
      <c r="Q171" s="321">
        <v>60824.417000000001</v>
      </c>
      <c r="R171" s="321">
        <v>-173124.49600000001</v>
      </c>
      <c r="S171" s="321">
        <v>-51266.644999999997</v>
      </c>
      <c r="T171" s="321">
        <v>142500.61199999999</v>
      </c>
      <c r="U171" s="322">
        <v>-390923.73700000002</v>
      </c>
      <c r="V171" s="323">
        <v>-492748.42600000004</v>
      </c>
      <c r="W171" s="303"/>
      <c r="X171" s="324">
        <v>-390923.73700000002</v>
      </c>
      <c r="Y171" s="325">
        <v>-492748.42600000004</v>
      </c>
      <c r="AA171" s="388"/>
    </row>
    <row r="172" spans="1:27" hidden="1" outlineLevel="1" x14ac:dyDescent="0.3">
      <c r="E172" s="250" t="s">
        <v>1089</v>
      </c>
      <c r="F172" s="317">
        <v>4201405</v>
      </c>
      <c r="G172" s="318"/>
      <c r="H172" s="319"/>
      <c r="I172" s="320"/>
      <c r="J172" s="337">
        <v>-808914.51899999997</v>
      </c>
      <c r="K172" s="321">
        <v>-402377.71300000005</v>
      </c>
      <c r="L172" s="321">
        <v>8692885.9359999988</v>
      </c>
      <c r="M172" s="321">
        <v>-715384.71900000004</v>
      </c>
      <c r="N172" s="321">
        <v>-673093.62699999998</v>
      </c>
      <c r="O172" s="321">
        <v>3285812.162</v>
      </c>
      <c r="P172" s="321">
        <v>-316161.304</v>
      </c>
      <c r="Q172" s="321">
        <v>-499150.69</v>
      </c>
      <c r="R172" s="321">
        <v>-2304779.3910000003</v>
      </c>
      <c r="S172" s="321">
        <v>-444946.94099999999</v>
      </c>
      <c r="T172" s="321">
        <v>-461150.36800000002</v>
      </c>
      <c r="U172" s="322">
        <v>-1108729.077</v>
      </c>
      <c r="V172" s="323">
        <v>4244009.7489999998</v>
      </c>
      <c r="W172" s="303"/>
      <c r="X172" s="324">
        <v>-1108729.077</v>
      </c>
      <c r="Y172" s="325">
        <v>4244009.7489999998</v>
      </c>
      <c r="AA172" s="388"/>
    </row>
    <row r="173" spans="1:27" hidden="1" outlineLevel="1" x14ac:dyDescent="0.3">
      <c r="E173" s="250" t="s">
        <v>1090</v>
      </c>
      <c r="F173" s="317">
        <v>4201406</v>
      </c>
      <c r="G173" s="318"/>
      <c r="H173" s="319"/>
      <c r="I173" s="320"/>
      <c r="J173" s="337">
        <v>0</v>
      </c>
      <c r="K173" s="321">
        <v>0</v>
      </c>
      <c r="L173" s="321">
        <v>1754573.885</v>
      </c>
      <c r="M173" s="321">
        <v>0</v>
      </c>
      <c r="N173" s="321">
        <v>0</v>
      </c>
      <c r="O173" s="321">
        <v>-34679.449000000001</v>
      </c>
      <c r="P173" s="321">
        <v>0</v>
      </c>
      <c r="Q173" s="321">
        <v>0</v>
      </c>
      <c r="R173" s="321">
        <v>1769972.6129999999</v>
      </c>
      <c r="S173" s="321">
        <v>0</v>
      </c>
      <c r="T173" s="321">
        <v>0</v>
      </c>
      <c r="U173" s="322">
        <v>-1752154.8910000001</v>
      </c>
      <c r="V173" s="323">
        <v>1737712.1579999996</v>
      </c>
      <c r="W173" s="303"/>
      <c r="X173" s="324">
        <v>-1752154.8910000001</v>
      </c>
      <c r="Y173" s="325">
        <v>1737712.1579999996</v>
      </c>
      <c r="AA173" s="388"/>
    </row>
    <row r="174" spans="1:27" hidden="1" outlineLevel="1" x14ac:dyDescent="0.3">
      <c r="E174" s="250" t="s">
        <v>1091</v>
      </c>
      <c r="F174" s="317">
        <v>4201407</v>
      </c>
      <c r="G174" s="318"/>
      <c r="H174" s="319"/>
      <c r="I174" s="320"/>
      <c r="J174" s="337">
        <v>0</v>
      </c>
      <c r="K174" s="321">
        <v>0</v>
      </c>
      <c r="L174" s="321">
        <v>1650814.0789999999</v>
      </c>
      <c r="M174" s="321">
        <v>0</v>
      </c>
      <c r="N174" s="321">
        <v>0</v>
      </c>
      <c r="O174" s="321">
        <v>-59895.209999999992</v>
      </c>
      <c r="P174" s="321">
        <v>0</v>
      </c>
      <c r="Q174" s="321">
        <v>0</v>
      </c>
      <c r="R174" s="321">
        <v>-583211.17800000007</v>
      </c>
      <c r="S174" s="321">
        <v>0</v>
      </c>
      <c r="T174" s="321">
        <v>0</v>
      </c>
      <c r="U174" s="322">
        <v>866808.38300000003</v>
      </c>
      <c r="V174" s="323">
        <v>1874516.074</v>
      </c>
      <c r="W174" s="303"/>
      <c r="X174" s="324">
        <v>866808.38300000003</v>
      </c>
      <c r="Y174" s="325">
        <v>1874516.074</v>
      </c>
      <c r="AA174" s="388"/>
    </row>
    <row r="175" spans="1:27" s="361" customFormat="1" hidden="1" outlineLevel="2" x14ac:dyDescent="0.3">
      <c r="E175" s="326" t="s">
        <v>1092</v>
      </c>
      <c r="F175" s="351"/>
      <c r="G175" s="352"/>
      <c r="H175" s="353"/>
      <c r="I175" s="354"/>
      <c r="J175" s="362">
        <v>0</v>
      </c>
      <c r="K175" s="355">
        <v>0</v>
      </c>
      <c r="L175" s="355">
        <v>0</v>
      </c>
      <c r="M175" s="355">
        <v>0</v>
      </c>
      <c r="N175" s="355">
        <v>0</v>
      </c>
      <c r="O175" s="355">
        <v>0</v>
      </c>
      <c r="P175" s="355">
        <v>0</v>
      </c>
      <c r="Q175" s="355">
        <v>0</v>
      </c>
      <c r="R175" s="355">
        <v>0</v>
      </c>
      <c r="S175" s="355">
        <v>0</v>
      </c>
      <c r="T175" s="355">
        <v>0</v>
      </c>
      <c r="U175" s="356">
        <v>0</v>
      </c>
      <c r="V175" s="357">
        <v>0</v>
      </c>
      <c r="W175" s="358"/>
      <c r="X175" s="359">
        <v>0</v>
      </c>
      <c r="Y175" s="360">
        <v>0</v>
      </c>
      <c r="AA175" s="388"/>
    </row>
    <row r="176" spans="1:27" s="361" customFormat="1" hidden="1" outlineLevel="2" x14ac:dyDescent="0.3">
      <c r="E176" s="326" t="s">
        <v>1093</v>
      </c>
      <c r="F176" s="351"/>
      <c r="G176" s="352"/>
      <c r="H176" s="353"/>
      <c r="I176" s="354"/>
      <c r="J176" s="362">
        <v>0</v>
      </c>
      <c r="K176" s="355">
        <v>0</v>
      </c>
      <c r="L176" s="355">
        <v>0</v>
      </c>
      <c r="M176" s="355">
        <v>0</v>
      </c>
      <c r="N176" s="355">
        <v>0</v>
      </c>
      <c r="O176" s="355">
        <v>0</v>
      </c>
      <c r="P176" s="355">
        <v>0</v>
      </c>
      <c r="Q176" s="355">
        <v>0</v>
      </c>
      <c r="R176" s="355">
        <v>0</v>
      </c>
      <c r="S176" s="355">
        <v>0</v>
      </c>
      <c r="T176" s="355">
        <v>0</v>
      </c>
      <c r="U176" s="356">
        <v>0</v>
      </c>
      <c r="V176" s="357">
        <v>0</v>
      </c>
      <c r="W176" s="358"/>
      <c r="X176" s="359">
        <v>0</v>
      </c>
      <c r="Y176" s="360">
        <v>0</v>
      </c>
      <c r="AA176" s="388"/>
    </row>
    <row r="177" spans="1:27" s="361" customFormat="1" hidden="1" outlineLevel="2" x14ac:dyDescent="0.3">
      <c r="E177" s="326" t="s">
        <v>1094</v>
      </c>
      <c r="F177" s="351"/>
      <c r="G177" s="352"/>
      <c r="H177" s="353"/>
      <c r="I177" s="354"/>
      <c r="J177" s="362">
        <v>0</v>
      </c>
      <c r="K177" s="355">
        <v>0</v>
      </c>
      <c r="L177" s="355">
        <v>0</v>
      </c>
      <c r="M177" s="355">
        <v>0</v>
      </c>
      <c r="N177" s="355">
        <v>0</v>
      </c>
      <c r="O177" s="355">
        <v>0</v>
      </c>
      <c r="P177" s="355">
        <v>0</v>
      </c>
      <c r="Q177" s="355">
        <v>0</v>
      </c>
      <c r="R177" s="355">
        <v>0</v>
      </c>
      <c r="S177" s="355">
        <v>0</v>
      </c>
      <c r="T177" s="355">
        <v>0</v>
      </c>
      <c r="U177" s="356">
        <v>0</v>
      </c>
      <c r="V177" s="357">
        <v>0</v>
      </c>
      <c r="W177" s="358"/>
      <c r="X177" s="359">
        <v>0</v>
      </c>
      <c r="Y177" s="360">
        <v>0</v>
      </c>
      <c r="AA177" s="388"/>
    </row>
    <row r="178" spans="1:27" hidden="1" collapsed="1" x14ac:dyDescent="0.3">
      <c r="A178" s="233"/>
      <c r="B178" s="234" t="s">
        <v>8</v>
      </c>
      <c r="D178" s="293" t="s">
        <v>1095</v>
      </c>
      <c r="E178" s="294"/>
      <c r="F178" s="295" t="s">
        <v>1096</v>
      </c>
      <c r="G178" s="296"/>
      <c r="H178" s="297"/>
      <c r="I178" s="298"/>
      <c r="J178" s="299">
        <v>-44092.896999999997</v>
      </c>
      <c r="K178" s="300">
        <v>0</v>
      </c>
      <c r="L178" s="300">
        <v>0</v>
      </c>
      <c r="M178" s="300">
        <v>0</v>
      </c>
      <c r="N178" s="300">
        <v>0</v>
      </c>
      <c r="O178" s="300">
        <v>0</v>
      </c>
      <c r="P178" s="300">
        <v>-51128.076000000001</v>
      </c>
      <c r="Q178" s="300">
        <v>0</v>
      </c>
      <c r="R178" s="300">
        <v>1500</v>
      </c>
      <c r="S178" s="300">
        <v>0</v>
      </c>
      <c r="T178" s="300">
        <v>0</v>
      </c>
      <c r="U178" s="301">
        <v>5009713.0599999996</v>
      </c>
      <c r="V178" s="302">
        <v>4915992.0869999994</v>
      </c>
      <c r="W178" s="303"/>
      <c r="X178" s="304">
        <v>5009713.0599999996</v>
      </c>
      <c r="Y178" s="305">
        <v>4915992.0869999994</v>
      </c>
      <c r="AA178" s="388"/>
    </row>
    <row r="179" spans="1:27" hidden="1" outlineLevel="1" x14ac:dyDescent="0.3">
      <c r="A179" s="361"/>
      <c r="B179" s="361"/>
      <c r="E179" s="250" t="s">
        <v>1097</v>
      </c>
      <c r="F179" s="317">
        <v>4203001</v>
      </c>
      <c r="G179" s="318"/>
      <c r="H179" s="319">
        <v>4500030101</v>
      </c>
      <c r="I179" s="320"/>
      <c r="J179" s="337">
        <v>-44092.896999999997</v>
      </c>
      <c r="K179" s="321">
        <v>0</v>
      </c>
      <c r="L179" s="321">
        <v>0</v>
      </c>
      <c r="M179" s="321">
        <v>0</v>
      </c>
      <c r="N179" s="321">
        <v>0</v>
      </c>
      <c r="O179" s="321">
        <v>0</v>
      </c>
      <c r="P179" s="321">
        <v>-51128.076000000001</v>
      </c>
      <c r="Q179" s="321">
        <v>0</v>
      </c>
      <c r="R179" s="321">
        <v>1500</v>
      </c>
      <c r="S179" s="321">
        <v>0</v>
      </c>
      <c r="T179" s="321">
        <v>0</v>
      </c>
      <c r="U179" s="322">
        <v>5009713.0599999996</v>
      </c>
      <c r="V179" s="323">
        <v>4915992.0869999994</v>
      </c>
      <c r="W179" s="303"/>
      <c r="X179" s="324">
        <v>5009713.0599999996</v>
      </c>
      <c r="Y179" s="325">
        <v>4915992.0869999994</v>
      </c>
      <c r="AA179" s="388"/>
    </row>
    <row r="180" spans="1:27" s="326" customFormat="1" hidden="1" outlineLevel="2" x14ac:dyDescent="0.3">
      <c r="E180" s="326" t="s">
        <v>1098</v>
      </c>
      <c r="F180" s="336"/>
      <c r="G180" s="327"/>
      <c r="H180" s="328"/>
      <c r="I180" s="329"/>
      <c r="J180" s="338">
        <v>0</v>
      </c>
      <c r="K180" s="330">
        <v>0</v>
      </c>
      <c r="L180" s="330">
        <v>0</v>
      </c>
      <c r="M180" s="330">
        <v>0</v>
      </c>
      <c r="N180" s="330">
        <v>0</v>
      </c>
      <c r="O180" s="330">
        <v>0</v>
      </c>
      <c r="P180" s="330">
        <v>0</v>
      </c>
      <c r="Q180" s="330">
        <v>0</v>
      </c>
      <c r="R180" s="330">
        <v>0</v>
      </c>
      <c r="S180" s="330">
        <v>0</v>
      </c>
      <c r="T180" s="330">
        <v>0</v>
      </c>
      <c r="U180" s="331">
        <v>0</v>
      </c>
      <c r="V180" s="332">
        <v>0</v>
      </c>
      <c r="W180" s="333"/>
      <c r="X180" s="334">
        <v>0</v>
      </c>
      <c r="Y180" s="335">
        <v>0</v>
      </c>
      <c r="AA180" s="388"/>
    </row>
    <row r="181" spans="1:27" s="326" customFormat="1" hidden="1" outlineLevel="2" x14ac:dyDescent="0.3">
      <c r="E181" s="326" t="s">
        <v>1099</v>
      </c>
      <c r="F181" s="336"/>
      <c r="G181" s="327"/>
      <c r="H181" s="328"/>
      <c r="I181" s="329"/>
      <c r="J181" s="338">
        <v>0</v>
      </c>
      <c r="K181" s="330">
        <v>0</v>
      </c>
      <c r="L181" s="330">
        <v>0</v>
      </c>
      <c r="M181" s="330">
        <v>0</v>
      </c>
      <c r="N181" s="330">
        <v>0</v>
      </c>
      <c r="O181" s="330">
        <v>0</v>
      </c>
      <c r="P181" s="330">
        <v>0</v>
      </c>
      <c r="Q181" s="330">
        <v>0</v>
      </c>
      <c r="R181" s="330">
        <v>0</v>
      </c>
      <c r="S181" s="330">
        <v>0</v>
      </c>
      <c r="T181" s="330">
        <v>0</v>
      </c>
      <c r="U181" s="331">
        <v>0</v>
      </c>
      <c r="V181" s="332">
        <v>0</v>
      </c>
      <c r="W181" s="333"/>
      <c r="X181" s="334">
        <v>0</v>
      </c>
      <c r="Y181" s="335">
        <v>0</v>
      </c>
      <c r="AA181" s="388"/>
    </row>
    <row r="182" spans="1:27" s="326" customFormat="1" hidden="1" outlineLevel="2" x14ac:dyDescent="0.3">
      <c r="E182" s="326" t="s">
        <v>1100</v>
      </c>
      <c r="F182" s="336"/>
      <c r="G182" s="327"/>
      <c r="H182" s="328"/>
      <c r="I182" s="329"/>
      <c r="J182" s="338">
        <v>0</v>
      </c>
      <c r="K182" s="330">
        <v>0</v>
      </c>
      <c r="L182" s="330">
        <v>0</v>
      </c>
      <c r="M182" s="330">
        <v>0</v>
      </c>
      <c r="N182" s="330">
        <v>0</v>
      </c>
      <c r="O182" s="330">
        <v>0</v>
      </c>
      <c r="P182" s="330">
        <v>0</v>
      </c>
      <c r="Q182" s="330">
        <v>0</v>
      </c>
      <c r="R182" s="330">
        <v>0</v>
      </c>
      <c r="S182" s="330">
        <v>0</v>
      </c>
      <c r="T182" s="330">
        <v>0</v>
      </c>
      <c r="U182" s="331">
        <v>0</v>
      </c>
      <c r="V182" s="332">
        <v>0</v>
      </c>
      <c r="W182" s="333"/>
      <c r="X182" s="334">
        <v>0</v>
      </c>
      <c r="Y182" s="335">
        <v>0</v>
      </c>
      <c r="AA182" s="388"/>
    </row>
    <row r="183" spans="1:27" hidden="1" collapsed="1" x14ac:dyDescent="0.3">
      <c r="A183" s="233"/>
      <c r="B183" s="234" t="s">
        <v>10</v>
      </c>
      <c r="D183" s="293" t="s">
        <v>1101</v>
      </c>
      <c r="E183" s="294"/>
      <c r="F183" s="295" t="s">
        <v>1102</v>
      </c>
      <c r="G183" s="296"/>
      <c r="H183" s="297"/>
      <c r="I183" s="298"/>
      <c r="J183" s="299">
        <v>7443232.9739999995</v>
      </c>
      <c r="K183" s="300">
        <v>8200834.3079999993</v>
      </c>
      <c r="L183" s="300">
        <v>7475926.5209999997</v>
      </c>
      <c r="M183" s="300">
        <v>7689217.3420000002</v>
      </c>
      <c r="N183" s="300">
        <v>7904538.2819999997</v>
      </c>
      <c r="O183" s="300">
        <v>7278350.3439999996</v>
      </c>
      <c r="P183" s="300">
        <v>7862313.4080000008</v>
      </c>
      <c r="Q183" s="300">
        <v>7040180.7180000003</v>
      </c>
      <c r="R183" s="300">
        <v>7343066.0840000007</v>
      </c>
      <c r="S183" s="300">
        <v>7173182.436999999</v>
      </c>
      <c r="T183" s="300">
        <v>7336779.5249999994</v>
      </c>
      <c r="U183" s="301">
        <v>8078819.0930000003</v>
      </c>
      <c r="V183" s="302">
        <v>90826441.035999984</v>
      </c>
      <c r="W183" s="303"/>
      <c r="X183" s="304">
        <v>8078819.0930000003</v>
      </c>
      <c r="Y183" s="305">
        <v>90826441.035999984</v>
      </c>
      <c r="AA183" s="388"/>
    </row>
    <row r="184" spans="1:27" hidden="1" outlineLevel="1" x14ac:dyDescent="0.3">
      <c r="E184" s="250" t="s">
        <v>1103</v>
      </c>
      <c r="F184" s="317">
        <v>4204001</v>
      </c>
      <c r="G184" s="318"/>
      <c r="H184" s="319">
        <v>4500130101</v>
      </c>
      <c r="I184" s="320"/>
      <c r="J184" s="337">
        <v>3614042.5830000001</v>
      </c>
      <c r="K184" s="321">
        <v>3775155.6630000002</v>
      </c>
      <c r="L184" s="321">
        <v>3792301.1379999998</v>
      </c>
      <c r="M184" s="321">
        <v>4187255.1009999998</v>
      </c>
      <c r="N184" s="321">
        <v>4388157.818</v>
      </c>
      <c r="O184" s="321">
        <v>4211099.55</v>
      </c>
      <c r="P184" s="321">
        <v>4228396.0279999999</v>
      </c>
      <c r="Q184" s="321">
        <v>3625690.9309999999</v>
      </c>
      <c r="R184" s="321">
        <v>3578721.4559999998</v>
      </c>
      <c r="S184" s="321">
        <v>4069023.5329999998</v>
      </c>
      <c r="T184" s="321">
        <v>4052452.1979999999</v>
      </c>
      <c r="U184" s="322">
        <v>4311910.9730000002</v>
      </c>
      <c r="V184" s="323">
        <v>47834206.971999995</v>
      </c>
      <c r="W184" s="303"/>
      <c r="X184" s="324">
        <v>4311910.9730000002</v>
      </c>
      <c r="Y184" s="325">
        <v>47834206.971999995</v>
      </c>
      <c r="AA184" s="388"/>
    </row>
    <row r="185" spans="1:27" hidden="1" outlineLevel="1" x14ac:dyDescent="0.3">
      <c r="E185" s="250" t="s">
        <v>1104</v>
      </c>
      <c r="F185" s="317">
        <v>4204002</v>
      </c>
      <c r="G185" s="318"/>
      <c r="H185" s="319"/>
      <c r="I185" s="320"/>
      <c r="J185" s="337">
        <v>553582.39199999999</v>
      </c>
      <c r="K185" s="321">
        <v>451634.20600000001</v>
      </c>
      <c r="L185" s="321">
        <v>297307.973</v>
      </c>
      <c r="M185" s="321">
        <v>375217.92099999997</v>
      </c>
      <c r="N185" s="321">
        <v>573647.88500000001</v>
      </c>
      <c r="O185" s="321">
        <v>430296.402</v>
      </c>
      <c r="P185" s="321">
        <v>416844.93900000001</v>
      </c>
      <c r="Q185" s="321">
        <v>443257.54200000002</v>
      </c>
      <c r="R185" s="321">
        <v>469422.34499999997</v>
      </c>
      <c r="S185" s="321">
        <v>375349.96399999998</v>
      </c>
      <c r="T185" s="321">
        <v>372018.34399999998</v>
      </c>
      <c r="U185" s="322">
        <v>426897.96399999998</v>
      </c>
      <c r="V185" s="323">
        <v>5185477.8769999994</v>
      </c>
      <c r="W185" s="303"/>
      <c r="X185" s="324">
        <v>426897.96399999998</v>
      </c>
      <c r="Y185" s="325">
        <v>5185477.8769999994</v>
      </c>
      <c r="AA185" s="388"/>
    </row>
    <row r="186" spans="1:27" hidden="1" outlineLevel="1" x14ac:dyDescent="0.3">
      <c r="E186" s="250" t="s">
        <v>1105</v>
      </c>
      <c r="F186" s="317">
        <v>4204004</v>
      </c>
      <c r="G186" s="318"/>
      <c r="H186" s="319"/>
      <c r="I186" s="320"/>
      <c r="J186" s="337">
        <v>22718.478999999999</v>
      </c>
      <c r="K186" s="321">
        <v>24092.304</v>
      </c>
      <c r="L186" s="321">
        <v>30597.752</v>
      </c>
      <c r="M186" s="321">
        <v>37875.478999999999</v>
      </c>
      <c r="N186" s="321">
        <v>29533.295999999998</v>
      </c>
      <c r="O186" s="321">
        <v>31940.824000000001</v>
      </c>
      <c r="P186" s="321">
        <v>31087.116000000002</v>
      </c>
      <c r="Q186" s="321">
        <v>1400.4469999999999</v>
      </c>
      <c r="R186" s="321">
        <v>71949.456000000006</v>
      </c>
      <c r="S186" s="321">
        <v>24146.720000000001</v>
      </c>
      <c r="T186" s="321">
        <v>23160.848000000002</v>
      </c>
      <c r="U186" s="322">
        <v>31794.183000000001</v>
      </c>
      <c r="V186" s="323">
        <v>360296.90400000004</v>
      </c>
      <c r="W186" s="303"/>
      <c r="X186" s="324">
        <v>31794.183000000001</v>
      </c>
      <c r="Y186" s="325">
        <v>360296.90400000004</v>
      </c>
      <c r="AA186" s="388"/>
    </row>
    <row r="187" spans="1:27" hidden="1" outlineLevel="1" x14ac:dyDescent="0.3">
      <c r="E187" s="250" t="s">
        <v>1106</v>
      </c>
      <c r="F187" s="317">
        <v>4204005</v>
      </c>
      <c r="G187" s="318"/>
      <c r="H187" s="319"/>
      <c r="I187" s="320"/>
      <c r="J187" s="337">
        <v>0</v>
      </c>
      <c r="K187" s="321">
        <v>0</v>
      </c>
      <c r="L187" s="321">
        <v>0</v>
      </c>
      <c r="M187" s="321">
        <v>0</v>
      </c>
      <c r="N187" s="321">
        <v>0</v>
      </c>
      <c r="O187" s="321">
        <v>0</v>
      </c>
      <c r="P187" s="321">
        <v>0</v>
      </c>
      <c r="Q187" s="321">
        <v>0</v>
      </c>
      <c r="R187" s="321">
        <v>0</v>
      </c>
      <c r="S187" s="321">
        <v>0</v>
      </c>
      <c r="T187" s="321">
        <v>0</v>
      </c>
      <c r="U187" s="322">
        <v>0</v>
      </c>
      <c r="V187" s="323">
        <v>0</v>
      </c>
      <c r="W187" s="303"/>
      <c r="X187" s="324">
        <v>0</v>
      </c>
      <c r="Y187" s="325">
        <v>0</v>
      </c>
      <c r="AA187" s="388"/>
    </row>
    <row r="188" spans="1:27" hidden="1" outlineLevel="1" x14ac:dyDescent="0.3">
      <c r="E188" s="250" t="s">
        <v>1107</v>
      </c>
      <c r="F188" s="317">
        <v>4204003</v>
      </c>
      <c r="G188" s="318"/>
      <c r="H188" s="319"/>
      <c r="I188" s="320"/>
      <c r="J188" s="337">
        <v>3252889.52</v>
      </c>
      <c r="K188" s="321">
        <v>3949952.1349999998</v>
      </c>
      <c r="L188" s="321">
        <v>3355719.6579999998</v>
      </c>
      <c r="M188" s="321">
        <v>3088868.841</v>
      </c>
      <c r="N188" s="321">
        <v>2913199.2829999998</v>
      </c>
      <c r="O188" s="321">
        <v>2605013.568</v>
      </c>
      <c r="P188" s="321">
        <v>3185985.3250000002</v>
      </c>
      <c r="Q188" s="321">
        <v>2969831.798</v>
      </c>
      <c r="R188" s="321">
        <v>3222972.827</v>
      </c>
      <c r="S188" s="321">
        <v>2704662.22</v>
      </c>
      <c r="T188" s="321">
        <v>2889148.1349999998</v>
      </c>
      <c r="U188" s="322">
        <v>3308215.9730000002</v>
      </c>
      <c r="V188" s="323">
        <v>37446459.282999992</v>
      </c>
      <c r="W188" s="303"/>
      <c r="X188" s="324">
        <v>3308215.9730000002</v>
      </c>
      <c r="Y188" s="325">
        <v>37446459.282999992</v>
      </c>
      <c r="AA188" s="388"/>
    </row>
    <row r="189" spans="1:27" s="326" customFormat="1" hidden="1" outlineLevel="2" x14ac:dyDescent="0.3">
      <c r="E189" s="326" t="s">
        <v>1108</v>
      </c>
      <c r="F189" s="336"/>
      <c r="G189" s="327"/>
      <c r="H189" s="328"/>
      <c r="I189" s="329"/>
      <c r="J189" s="338">
        <v>0</v>
      </c>
      <c r="K189" s="330">
        <v>0</v>
      </c>
      <c r="L189" s="330">
        <v>0</v>
      </c>
      <c r="M189" s="330">
        <v>0</v>
      </c>
      <c r="N189" s="330">
        <v>0</v>
      </c>
      <c r="O189" s="330">
        <v>0</v>
      </c>
      <c r="P189" s="330">
        <v>0</v>
      </c>
      <c r="Q189" s="330">
        <v>0</v>
      </c>
      <c r="R189" s="330">
        <v>0</v>
      </c>
      <c r="S189" s="330">
        <v>0</v>
      </c>
      <c r="T189" s="330">
        <v>0</v>
      </c>
      <c r="U189" s="331">
        <v>0</v>
      </c>
      <c r="V189" s="332">
        <v>0</v>
      </c>
      <c r="W189" s="333"/>
      <c r="X189" s="334">
        <v>0</v>
      </c>
      <c r="Y189" s="335">
        <v>0</v>
      </c>
      <c r="AA189" s="388"/>
    </row>
    <row r="190" spans="1:27" s="326" customFormat="1" hidden="1" outlineLevel="2" x14ac:dyDescent="0.3">
      <c r="E190" s="326" t="s">
        <v>1109</v>
      </c>
      <c r="F190" s="336"/>
      <c r="G190" s="327"/>
      <c r="H190" s="328"/>
      <c r="I190" s="329"/>
      <c r="J190" s="338">
        <v>0</v>
      </c>
      <c r="K190" s="330">
        <v>0</v>
      </c>
      <c r="L190" s="330">
        <v>0</v>
      </c>
      <c r="M190" s="330">
        <v>0</v>
      </c>
      <c r="N190" s="330">
        <v>0</v>
      </c>
      <c r="O190" s="330">
        <v>0</v>
      </c>
      <c r="P190" s="330">
        <v>0</v>
      </c>
      <c r="Q190" s="330">
        <v>0</v>
      </c>
      <c r="R190" s="330">
        <v>0</v>
      </c>
      <c r="S190" s="330">
        <v>0</v>
      </c>
      <c r="T190" s="330">
        <v>0</v>
      </c>
      <c r="U190" s="331">
        <v>0</v>
      </c>
      <c r="V190" s="332">
        <v>0</v>
      </c>
      <c r="W190" s="333"/>
      <c r="X190" s="334">
        <v>0</v>
      </c>
      <c r="Y190" s="335">
        <v>0</v>
      </c>
      <c r="AA190" s="388"/>
    </row>
    <row r="191" spans="1:27" s="326" customFormat="1" hidden="1" outlineLevel="2" x14ac:dyDescent="0.3">
      <c r="E191" s="326" t="s">
        <v>1110</v>
      </c>
      <c r="F191" s="336"/>
      <c r="G191" s="327"/>
      <c r="H191" s="328"/>
      <c r="I191" s="329"/>
      <c r="J191" s="338">
        <v>0</v>
      </c>
      <c r="K191" s="330">
        <v>0</v>
      </c>
      <c r="L191" s="330">
        <v>0</v>
      </c>
      <c r="M191" s="330">
        <v>0</v>
      </c>
      <c r="N191" s="330">
        <v>0</v>
      </c>
      <c r="O191" s="330">
        <v>0</v>
      </c>
      <c r="P191" s="330">
        <v>0</v>
      </c>
      <c r="Q191" s="330">
        <v>0</v>
      </c>
      <c r="R191" s="330">
        <v>0</v>
      </c>
      <c r="S191" s="330">
        <v>0</v>
      </c>
      <c r="T191" s="330">
        <v>0</v>
      </c>
      <c r="U191" s="331">
        <v>0</v>
      </c>
      <c r="V191" s="332">
        <v>0</v>
      </c>
      <c r="W191" s="333"/>
      <c r="X191" s="334">
        <v>0</v>
      </c>
      <c r="Y191" s="335">
        <v>0</v>
      </c>
      <c r="AA191" s="388"/>
    </row>
    <row r="192" spans="1:27" hidden="1" collapsed="1" x14ac:dyDescent="0.3">
      <c r="A192" s="233"/>
      <c r="B192" s="234" t="s">
        <v>9</v>
      </c>
      <c r="D192" s="293" t="s">
        <v>1111</v>
      </c>
      <c r="E192" s="294"/>
      <c r="F192" s="295" t="s">
        <v>1112</v>
      </c>
      <c r="G192" s="296"/>
      <c r="H192" s="297"/>
      <c r="I192" s="298"/>
      <c r="J192" s="299">
        <v>8521894.6799999997</v>
      </c>
      <c r="K192" s="300">
        <v>8536655.1349999979</v>
      </c>
      <c r="L192" s="300">
        <v>8636773.2750000004</v>
      </c>
      <c r="M192" s="300">
        <v>8552152.7009999994</v>
      </c>
      <c r="N192" s="300">
        <v>8622916.3769999985</v>
      </c>
      <c r="O192" s="300">
        <v>8935197.9099999983</v>
      </c>
      <c r="P192" s="300">
        <v>8934702.5569999982</v>
      </c>
      <c r="Q192" s="300">
        <v>8962449.1049999986</v>
      </c>
      <c r="R192" s="300">
        <v>8624341.3569999989</v>
      </c>
      <c r="S192" s="300">
        <v>8445520.7200000007</v>
      </c>
      <c r="T192" s="300">
        <v>8668032.7290000003</v>
      </c>
      <c r="U192" s="301">
        <v>9420756.629999999</v>
      </c>
      <c r="V192" s="302">
        <v>104861393.17600001</v>
      </c>
      <c r="W192" s="303"/>
      <c r="X192" s="304">
        <v>9420756.629999999</v>
      </c>
      <c r="Y192" s="305">
        <v>104861393.17600001</v>
      </c>
      <c r="AA192" s="388"/>
    </row>
    <row r="193" spans="1:27" hidden="1" outlineLevel="1" x14ac:dyDescent="0.3">
      <c r="E193" s="250" t="s">
        <v>1113</v>
      </c>
      <c r="F193" s="317">
        <v>4205004</v>
      </c>
      <c r="G193" s="318"/>
      <c r="H193" s="319"/>
      <c r="I193" s="320"/>
      <c r="J193" s="337">
        <v>8354869.4749999996</v>
      </c>
      <c r="K193" s="321">
        <v>8338399.4359999998</v>
      </c>
      <c r="L193" s="321">
        <v>8468544.0350000001</v>
      </c>
      <c r="M193" s="321">
        <v>8359788.9160000002</v>
      </c>
      <c r="N193" s="321">
        <v>8452684.1750000007</v>
      </c>
      <c r="O193" s="321">
        <v>8684516.743999999</v>
      </c>
      <c r="P193" s="321">
        <v>8669981.1370000001</v>
      </c>
      <c r="Q193" s="321">
        <v>8720770.2750000004</v>
      </c>
      <c r="R193" s="321">
        <v>8157343.9790000003</v>
      </c>
      <c r="S193" s="321">
        <v>8471026.9360000007</v>
      </c>
      <c r="T193" s="321">
        <v>8434435.4879999999</v>
      </c>
      <c r="U193" s="322">
        <v>8666123.3279999997</v>
      </c>
      <c r="V193" s="323">
        <v>101778483.92400001</v>
      </c>
      <c r="W193" s="303"/>
      <c r="X193" s="324">
        <v>8666123.3279999997</v>
      </c>
      <c r="Y193" s="325">
        <v>101778483.92400001</v>
      </c>
      <c r="AA193" s="388"/>
    </row>
    <row r="194" spans="1:27" hidden="1" outlineLevel="1" x14ac:dyDescent="0.3">
      <c r="E194" s="350" t="s">
        <v>1114</v>
      </c>
      <c r="F194" s="317">
        <v>4205001</v>
      </c>
      <c r="G194" s="318"/>
      <c r="H194" s="319">
        <v>4500050101</v>
      </c>
      <c r="I194" s="320"/>
      <c r="J194" s="337">
        <v>108017.673</v>
      </c>
      <c r="K194" s="321">
        <v>142678.78700000001</v>
      </c>
      <c r="L194" s="321">
        <v>112033.34</v>
      </c>
      <c r="M194" s="321">
        <v>136918.16399999999</v>
      </c>
      <c r="N194" s="321">
        <v>114833.757</v>
      </c>
      <c r="O194" s="321">
        <v>194738.035</v>
      </c>
      <c r="P194" s="321">
        <v>209117.39300000001</v>
      </c>
      <c r="Q194" s="321">
        <v>172698.29300000001</v>
      </c>
      <c r="R194" s="321">
        <v>411505.136</v>
      </c>
      <c r="S194" s="321">
        <v>-85624.994000000006</v>
      </c>
      <c r="T194" s="321">
        <v>167328.62700000001</v>
      </c>
      <c r="U194" s="322">
        <v>691999.45299999998</v>
      </c>
      <c r="V194" s="323">
        <v>2376243.6639999999</v>
      </c>
      <c r="W194" s="303"/>
      <c r="X194" s="324">
        <v>691999.45299999998</v>
      </c>
      <c r="Y194" s="325">
        <v>2376243.6639999999</v>
      </c>
      <c r="AA194" s="388"/>
    </row>
    <row r="195" spans="1:27" hidden="1" outlineLevel="1" x14ac:dyDescent="0.3">
      <c r="E195" s="350" t="s">
        <v>1115</v>
      </c>
      <c r="F195" s="317">
        <v>4205002</v>
      </c>
      <c r="G195" s="318"/>
      <c r="H195" s="319"/>
      <c r="I195" s="320"/>
      <c r="J195" s="337">
        <v>43540.207999999999</v>
      </c>
      <c r="K195" s="321">
        <v>40109.587</v>
      </c>
      <c r="L195" s="321">
        <v>40728.576999999997</v>
      </c>
      <c r="M195" s="321">
        <v>39978.296999999999</v>
      </c>
      <c r="N195" s="321">
        <v>39931.120999999999</v>
      </c>
      <c r="O195" s="321">
        <v>40475.807000000001</v>
      </c>
      <c r="P195" s="321">
        <v>40136.703000000001</v>
      </c>
      <c r="Q195" s="321">
        <v>53513.213000000003</v>
      </c>
      <c r="R195" s="321">
        <v>40024.917999999998</v>
      </c>
      <c r="S195" s="321">
        <v>44651.453000000001</v>
      </c>
      <c r="T195" s="321">
        <v>50801.290999999997</v>
      </c>
      <c r="U195" s="322">
        <v>47166.525000000001</v>
      </c>
      <c r="V195" s="323">
        <v>521057.69999999995</v>
      </c>
      <c r="W195" s="303"/>
      <c r="X195" s="324">
        <v>47166.525000000001</v>
      </c>
      <c r="Y195" s="325">
        <v>521057.69999999995</v>
      </c>
      <c r="AA195" s="388"/>
    </row>
    <row r="196" spans="1:27" hidden="1" outlineLevel="1" x14ac:dyDescent="0.3">
      <c r="E196" s="350" t="s">
        <v>1116</v>
      </c>
      <c r="F196" s="317">
        <v>4205083</v>
      </c>
      <c r="G196" s="318"/>
      <c r="H196" s="319"/>
      <c r="I196" s="320"/>
      <c r="J196" s="337">
        <v>15467.324000000001</v>
      </c>
      <c r="K196" s="321">
        <v>15467.325000000001</v>
      </c>
      <c r="L196" s="321">
        <v>15467.323</v>
      </c>
      <c r="M196" s="321">
        <v>15467.324000000001</v>
      </c>
      <c r="N196" s="321">
        <v>15467.324000000001</v>
      </c>
      <c r="O196" s="321">
        <v>15467.324000000001</v>
      </c>
      <c r="P196" s="321">
        <v>15467.324000000001</v>
      </c>
      <c r="Q196" s="321">
        <v>15467.324000000001</v>
      </c>
      <c r="R196" s="321">
        <v>15467.324000000001</v>
      </c>
      <c r="S196" s="321">
        <v>15467.325000000001</v>
      </c>
      <c r="T196" s="321">
        <v>15467.323</v>
      </c>
      <c r="U196" s="322">
        <v>15467.324000000001</v>
      </c>
      <c r="V196" s="323">
        <v>185607.88799999998</v>
      </c>
      <c r="W196" s="303"/>
      <c r="X196" s="324">
        <v>15467.324000000001</v>
      </c>
      <c r="Y196" s="325">
        <v>185607.88799999998</v>
      </c>
      <c r="AA196" s="388"/>
    </row>
    <row r="197" spans="1:27" hidden="1" outlineLevel="1" x14ac:dyDescent="0.3">
      <c r="E197" s="350" t="s">
        <v>1117</v>
      </c>
      <c r="F197" s="317">
        <v>4205084</v>
      </c>
      <c r="G197" s="318"/>
      <c r="H197" s="319"/>
      <c r="I197" s="320"/>
      <c r="J197" s="337">
        <v>0</v>
      </c>
      <c r="K197" s="321">
        <v>0</v>
      </c>
      <c r="L197" s="321">
        <v>0</v>
      </c>
      <c r="M197" s="321">
        <v>0</v>
      </c>
      <c r="N197" s="321">
        <v>0</v>
      </c>
      <c r="O197" s="321">
        <v>0</v>
      </c>
      <c r="P197" s="321">
        <v>0</v>
      </c>
      <c r="Q197" s="321">
        <v>0</v>
      </c>
      <c r="R197" s="321">
        <v>0</v>
      </c>
      <c r="S197" s="321">
        <v>0</v>
      </c>
      <c r="T197" s="321">
        <v>0</v>
      </c>
      <c r="U197" s="322">
        <v>0</v>
      </c>
      <c r="V197" s="323">
        <v>0</v>
      </c>
      <c r="W197" s="303"/>
      <c r="X197" s="324">
        <v>0</v>
      </c>
      <c r="Y197" s="325">
        <v>0</v>
      </c>
      <c r="AA197" s="388"/>
    </row>
    <row r="198" spans="1:27" s="326" customFormat="1" hidden="1" outlineLevel="2" x14ac:dyDescent="0.3">
      <c r="E198" s="326" t="s">
        <v>1118</v>
      </c>
      <c r="F198" s="336"/>
      <c r="G198" s="327"/>
      <c r="H198" s="328"/>
      <c r="I198" s="329"/>
      <c r="J198" s="338">
        <v>0</v>
      </c>
      <c r="K198" s="330">
        <v>0</v>
      </c>
      <c r="L198" s="330">
        <v>0</v>
      </c>
      <c r="M198" s="330">
        <v>0</v>
      </c>
      <c r="N198" s="330">
        <v>0</v>
      </c>
      <c r="O198" s="330">
        <v>0</v>
      </c>
      <c r="P198" s="330">
        <v>0</v>
      </c>
      <c r="Q198" s="330">
        <v>0</v>
      </c>
      <c r="R198" s="330">
        <v>0</v>
      </c>
      <c r="S198" s="330">
        <v>0</v>
      </c>
      <c r="T198" s="330">
        <v>0</v>
      </c>
      <c r="U198" s="331">
        <v>0</v>
      </c>
      <c r="V198" s="332">
        <v>0</v>
      </c>
      <c r="W198" s="333"/>
      <c r="X198" s="334">
        <v>0</v>
      </c>
      <c r="Y198" s="335">
        <v>0</v>
      </c>
      <c r="AA198" s="388"/>
    </row>
    <row r="199" spans="1:27" s="326" customFormat="1" hidden="1" outlineLevel="2" x14ac:dyDescent="0.3">
      <c r="E199" s="326" t="s">
        <v>1119</v>
      </c>
      <c r="F199" s="336"/>
      <c r="G199" s="327"/>
      <c r="H199" s="328"/>
      <c r="I199" s="329"/>
      <c r="J199" s="338">
        <v>0</v>
      </c>
      <c r="K199" s="330">
        <v>0</v>
      </c>
      <c r="L199" s="330">
        <v>0</v>
      </c>
      <c r="M199" s="330">
        <v>0</v>
      </c>
      <c r="N199" s="330">
        <v>0</v>
      </c>
      <c r="O199" s="330">
        <v>0</v>
      </c>
      <c r="P199" s="330">
        <v>0</v>
      </c>
      <c r="Q199" s="330">
        <v>0</v>
      </c>
      <c r="R199" s="330">
        <v>0</v>
      </c>
      <c r="S199" s="330">
        <v>0</v>
      </c>
      <c r="T199" s="330">
        <v>0</v>
      </c>
      <c r="U199" s="331">
        <v>0</v>
      </c>
      <c r="V199" s="332">
        <v>0</v>
      </c>
      <c r="W199" s="333"/>
      <c r="X199" s="334">
        <v>0</v>
      </c>
      <c r="Y199" s="335">
        <v>0</v>
      </c>
      <c r="AA199" s="388"/>
    </row>
    <row r="200" spans="1:27" s="326" customFormat="1" hidden="1" outlineLevel="2" x14ac:dyDescent="0.3">
      <c r="E200" s="326" t="s">
        <v>1120</v>
      </c>
      <c r="F200" s="336"/>
      <c r="G200" s="327"/>
      <c r="H200" s="328"/>
      <c r="I200" s="329"/>
      <c r="J200" s="338">
        <v>0</v>
      </c>
      <c r="K200" s="330">
        <v>0</v>
      </c>
      <c r="L200" s="330">
        <v>0</v>
      </c>
      <c r="M200" s="330">
        <v>0</v>
      </c>
      <c r="N200" s="330">
        <v>0</v>
      </c>
      <c r="O200" s="330">
        <v>0</v>
      </c>
      <c r="P200" s="330">
        <v>0</v>
      </c>
      <c r="Q200" s="330">
        <v>0</v>
      </c>
      <c r="R200" s="330">
        <v>0</v>
      </c>
      <c r="S200" s="330">
        <v>0</v>
      </c>
      <c r="T200" s="330">
        <v>0</v>
      </c>
      <c r="U200" s="331">
        <v>0</v>
      </c>
      <c r="V200" s="332">
        <v>0</v>
      </c>
      <c r="W200" s="333"/>
      <c r="X200" s="334">
        <v>0</v>
      </c>
      <c r="Y200" s="335">
        <v>0</v>
      </c>
      <c r="AA200" s="388"/>
    </row>
    <row r="201" spans="1:27" hidden="1" collapsed="1" x14ac:dyDescent="0.3">
      <c r="A201" s="233"/>
      <c r="B201" s="234" t="s">
        <v>10</v>
      </c>
      <c r="D201" s="293" t="s">
        <v>1121</v>
      </c>
      <c r="E201" s="294"/>
      <c r="F201" s="295" t="s">
        <v>1122</v>
      </c>
      <c r="G201" s="296"/>
      <c r="H201" s="297"/>
      <c r="I201" s="298"/>
      <c r="J201" s="299">
        <v>599088.21299999999</v>
      </c>
      <c r="K201" s="300">
        <v>574577.22</v>
      </c>
      <c r="L201" s="300">
        <v>925069.51699999999</v>
      </c>
      <c r="M201" s="300">
        <v>878337.33499999996</v>
      </c>
      <c r="N201" s="300">
        <v>810561.57100000011</v>
      </c>
      <c r="O201" s="300">
        <v>712994.696</v>
      </c>
      <c r="P201" s="300">
        <v>684930.25199999998</v>
      </c>
      <c r="Q201" s="300">
        <v>707399.45600000001</v>
      </c>
      <c r="R201" s="300">
        <v>599937.1669999999</v>
      </c>
      <c r="S201" s="300">
        <v>519274.81600000005</v>
      </c>
      <c r="T201" s="300">
        <v>548735.821</v>
      </c>
      <c r="U201" s="301">
        <v>583368.03500000003</v>
      </c>
      <c r="V201" s="302">
        <v>8144274.0989999985</v>
      </c>
      <c r="W201" s="303"/>
      <c r="X201" s="304">
        <v>583368.03500000003</v>
      </c>
      <c r="Y201" s="305">
        <v>8144274.0989999985</v>
      </c>
      <c r="AA201" s="388"/>
    </row>
    <row r="202" spans="1:27" hidden="1" outlineLevel="1" x14ac:dyDescent="0.3">
      <c r="E202" s="250" t="s">
        <v>1123</v>
      </c>
      <c r="F202" s="317">
        <v>4209001</v>
      </c>
      <c r="G202" s="318"/>
      <c r="H202" s="319"/>
      <c r="I202" s="320"/>
      <c r="J202" s="337">
        <v>55768.834999999999</v>
      </c>
      <c r="K202" s="321">
        <v>57388.171999999999</v>
      </c>
      <c r="L202" s="321">
        <v>60046.884000000005</v>
      </c>
      <c r="M202" s="321">
        <v>58443.089</v>
      </c>
      <c r="N202" s="321">
        <v>61024.185000000005</v>
      </c>
      <c r="O202" s="321">
        <v>58842.487999999998</v>
      </c>
      <c r="P202" s="321">
        <v>56540.850999999995</v>
      </c>
      <c r="Q202" s="321">
        <v>55776.479000000007</v>
      </c>
      <c r="R202" s="321">
        <v>57442.440999999999</v>
      </c>
      <c r="S202" s="321">
        <v>61934.608</v>
      </c>
      <c r="T202" s="321">
        <v>55195.517000000007</v>
      </c>
      <c r="U202" s="322">
        <v>57074.293999999994</v>
      </c>
      <c r="V202" s="323">
        <v>695477.84299999999</v>
      </c>
      <c r="W202" s="303"/>
      <c r="X202" s="324">
        <v>57074.293999999994</v>
      </c>
      <c r="Y202" s="325">
        <v>695477.84299999999</v>
      </c>
      <c r="AA202" s="388"/>
    </row>
    <row r="203" spans="1:27" hidden="1" outlineLevel="1" x14ac:dyDescent="0.3">
      <c r="E203" s="250" t="s">
        <v>1124</v>
      </c>
      <c r="F203" s="317">
        <v>4209002</v>
      </c>
      <c r="G203" s="318">
        <v>4209022</v>
      </c>
      <c r="H203" s="319">
        <v>4500090101</v>
      </c>
      <c r="I203" s="320"/>
      <c r="J203" s="337">
        <v>6860</v>
      </c>
      <c r="K203" s="321">
        <v>8310.348</v>
      </c>
      <c r="L203" s="321">
        <v>18570</v>
      </c>
      <c r="M203" s="321">
        <v>25860</v>
      </c>
      <c r="N203" s="321">
        <v>34450.896999999997</v>
      </c>
      <c r="O203" s="321">
        <v>38610</v>
      </c>
      <c r="P203" s="321">
        <v>65344</v>
      </c>
      <c r="Q203" s="321">
        <v>53747.411</v>
      </c>
      <c r="R203" s="321">
        <v>44166</v>
      </c>
      <c r="S203" s="321">
        <v>68952</v>
      </c>
      <c r="T203" s="321">
        <v>66360</v>
      </c>
      <c r="U203" s="322">
        <v>94000</v>
      </c>
      <c r="V203" s="323">
        <v>525230.65599999996</v>
      </c>
      <c r="W203" s="303"/>
      <c r="X203" s="324">
        <v>94000</v>
      </c>
      <c r="Y203" s="325">
        <v>525230.65599999996</v>
      </c>
      <c r="AA203" s="388"/>
    </row>
    <row r="204" spans="1:27" hidden="1" outlineLevel="1" x14ac:dyDescent="0.3">
      <c r="E204" s="250" t="s">
        <v>1125</v>
      </c>
      <c r="F204" s="317">
        <v>4209003</v>
      </c>
      <c r="G204" s="318"/>
      <c r="H204" s="319">
        <v>4500990101</v>
      </c>
      <c r="I204" s="320"/>
      <c r="J204" s="337">
        <v>258033.717</v>
      </c>
      <c r="K204" s="321">
        <v>276999.81400000001</v>
      </c>
      <c r="L204" s="321">
        <v>527432.52</v>
      </c>
      <c r="M204" s="321">
        <v>547363.44999999995</v>
      </c>
      <c r="N204" s="321">
        <v>523225.326</v>
      </c>
      <c r="O204" s="321">
        <v>451474.08100000001</v>
      </c>
      <c r="P204" s="321">
        <v>391194.19799999997</v>
      </c>
      <c r="Q204" s="321">
        <v>321556.40000000002</v>
      </c>
      <c r="R204" s="321">
        <v>251199.77299999999</v>
      </c>
      <c r="S204" s="321">
        <v>200482.88</v>
      </c>
      <c r="T204" s="321">
        <v>261527.715</v>
      </c>
      <c r="U204" s="322">
        <v>232062.4</v>
      </c>
      <c r="V204" s="323">
        <v>4242552.2739999993</v>
      </c>
      <c r="W204" s="303"/>
      <c r="X204" s="324">
        <v>232062.4</v>
      </c>
      <c r="Y204" s="325">
        <v>4242552.2739999993</v>
      </c>
      <c r="AA204" s="388"/>
    </row>
    <row r="205" spans="1:27" hidden="1" outlineLevel="1" x14ac:dyDescent="0.3">
      <c r="E205" s="250" t="s">
        <v>1126</v>
      </c>
      <c r="F205" s="317">
        <v>4209006</v>
      </c>
      <c r="G205" s="318"/>
      <c r="H205" s="319">
        <v>4500070101</v>
      </c>
      <c r="I205" s="320"/>
      <c r="J205" s="337">
        <v>0</v>
      </c>
      <c r="K205" s="321">
        <v>0</v>
      </c>
      <c r="L205" s="321">
        <v>0</v>
      </c>
      <c r="M205" s="321">
        <v>0</v>
      </c>
      <c r="N205" s="321">
        <v>0</v>
      </c>
      <c r="O205" s="321">
        <v>0</v>
      </c>
      <c r="P205" s="321">
        <v>0</v>
      </c>
      <c r="Q205" s="321">
        <v>0</v>
      </c>
      <c r="R205" s="321">
        <v>0</v>
      </c>
      <c r="S205" s="321">
        <v>0</v>
      </c>
      <c r="T205" s="321">
        <v>0</v>
      </c>
      <c r="U205" s="322">
        <v>0</v>
      </c>
      <c r="V205" s="323">
        <v>0</v>
      </c>
      <c r="W205" s="303"/>
      <c r="X205" s="324">
        <v>0</v>
      </c>
      <c r="Y205" s="325">
        <v>0</v>
      </c>
      <c r="AA205" s="388"/>
    </row>
    <row r="206" spans="1:27" hidden="1" outlineLevel="1" x14ac:dyDescent="0.3">
      <c r="E206" s="250" t="s">
        <v>1127</v>
      </c>
      <c r="F206" s="317">
        <v>4209007</v>
      </c>
      <c r="G206" s="318"/>
      <c r="H206" s="319"/>
      <c r="I206" s="320"/>
      <c r="J206" s="337">
        <v>0</v>
      </c>
      <c r="K206" s="321">
        <v>0</v>
      </c>
      <c r="L206" s="321">
        <v>0</v>
      </c>
      <c r="M206" s="321">
        <v>0</v>
      </c>
      <c r="N206" s="321">
        <v>0</v>
      </c>
      <c r="O206" s="321">
        <v>0</v>
      </c>
      <c r="P206" s="321">
        <v>0</v>
      </c>
      <c r="Q206" s="321">
        <v>0</v>
      </c>
      <c r="R206" s="321">
        <v>0</v>
      </c>
      <c r="S206" s="321">
        <v>0</v>
      </c>
      <c r="T206" s="321">
        <v>0</v>
      </c>
      <c r="U206" s="322">
        <v>0</v>
      </c>
      <c r="V206" s="323">
        <v>0</v>
      </c>
      <c r="W206" s="303"/>
      <c r="X206" s="324">
        <v>0</v>
      </c>
      <c r="Y206" s="325">
        <v>0</v>
      </c>
      <c r="AA206" s="388"/>
    </row>
    <row r="207" spans="1:27" hidden="1" outlineLevel="1" x14ac:dyDescent="0.3">
      <c r="E207" s="250" t="s">
        <v>1128</v>
      </c>
      <c r="F207" s="317">
        <v>4209008</v>
      </c>
      <c r="G207" s="318"/>
      <c r="H207" s="319"/>
      <c r="I207" s="320"/>
      <c r="J207" s="337">
        <v>0</v>
      </c>
      <c r="K207" s="321">
        <v>0</v>
      </c>
      <c r="L207" s="321">
        <v>0</v>
      </c>
      <c r="M207" s="321">
        <v>0</v>
      </c>
      <c r="N207" s="321">
        <v>0</v>
      </c>
      <c r="O207" s="321">
        <v>0</v>
      </c>
      <c r="P207" s="321">
        <v>-285.87</v>
      </c>
      <c r="Q207" s="321">
        <v>285.87</v>
      </c>
      <c r="R207" s="321">
        <v>0</v>
      </c>
      <c r="S207" s="321">
        <v>0</v>
      </c>
      <c r="T207" s="321">
        <v>0</v>
      </c>
      <c r="U207" s="322">
        <v>0</v>
      </c>
      <c r="V207" s="323">
        <v>0</v>
      </c>
      <c r="W207" s="303"/>
      <c r="X207" s="324">
        <v>0</v>
      </c>
      <c r="Y207" s="325">
        <v>0</v>
      </c>
      <c r="AA207" s="388"/>
    </row>
    <row r="208" spans="1:27" hidden="1" outlineLevel="1" x14ac:dyDescent="0.3">
      <c r="E208" s="250" t="s">
        <v>1129</v>
      </c>
      <c r="F208" s="317">
        <v>4209011</v>
      </c>
      <c r="G208" s="318"/>
      <c r="H208" s="319"/>
      <c r="I208" s="320"/>
      <c r="J208" s="337">
        <v>83278.851999999999</v>
      </c>
      <c r="K208" s="321">
        <v>101570.215</v>
      </c>
      <c r="L208" s="321">
        <v>102516.28200000001</v>
      </c>
      <c r="M208" s="321">
        <v>103035.57399999999</v>
      </c>
      <c r="N208" s="321">
        <v>103109.66</v>
      </c>
      <c r="O208" s="321">
        <v>103874.569</v>
      </c>
      <c r="P208" s="321">
        <v>104554.997</v>
      </c>
      <c r="Q208" s="321">
        <v>105533.535</v>
      </c>
      <c r="R208" s="321">
        <v>106844.057</v>
      </c>
      <c r="S208" s="321">
        <v>107986.99800000001</v>
      </c>
      <c r="T208" s="321">
        <v>108715.38099999999</v>
      </c>
      <c r="U208" s="322">
        <v>127974.68700000001</v>
      </c>
      <c r="V208" s="323">
        <v>1258994.807</v>
      </c>
      <c r="W208" s="303"/>
      <c r="X208" s="324">
        <v>127974.68700000001</v>
      </c>
      <c r="Y208" s="325">
        <v>1258994.807</v>
      </c>
      <c r="AA208" s="388"/>
    </row>
    <row r="209" spans="1:27" hidden="1" outlineLevel="1" x14ac:dyDescent="0.3">
      <c r="E209" s="250" t="s">
        <v>1130</v>
      </c>
      <c r="F209" s="317">
        <v>4209012</v>
      </c>
      <c r="G209" s="318"/>
      <c r="H209" s="319"/>
      <c r="I209" s="320"/>
      <c r="J209" s="337">
        <v>0</v>
      </c>
      <c r="K209" s="321">
        <v>0</v>
      </c>
      <c r="L209" s="321">
        <v>0</v>
      </c>
      <c r="M209" s="321">
        <v>0</v>
      </c>
      <c r="N209" s="321">
        <v>0</v>
      </c>
      <c r="O209" s="321">
        <v>0</v>
      </c>
      <c r="P209" s="321">
        <v>0</v>
      </c>
      <c r="Q209" s="321">
        <v>0</v>
      </c>
      <c r="R209" s="321">
        <v>0</v>
      </c>
      <c r="S209" s="321">
        <v>0</v>
      </c>
      <c r="T209" s="321">
        <v>0</v>
      </c>
      <c r="U209" s="322">
        <v>0</v>
      </c>
      <c r="V209" s="323">
        <v>0</v>
      </c>
      <c r="W209" s="303"/>
      <c r="X209" s="324">
        <v>0</v>
      </c>
      <c r="Y209" s="325">
        <v>0</v>
      </c>
      <c r="AA209" s="388"/>
    </row>
    <row r="210" spans="1:27" hidden="1" outlineLevel="1" x14ac:dyDescent="0.3">
      <c r="E210" s="250" t="s">
        <v>1131</v>
      </c>
      <c r="F210" s="317">
        <v>4209014</v>
      </c>
      <c r="G210" s="318"/>
      <c r="H210" s="319">
        <v>4500990109</v>
      </c>
      <c r="I210" s="320"/>
      <c r="J210" s="337">
        <v>191995.16399999999</v>
      </c>
      <c r="K210" s="321">
        <v>127417.06600000001</v>
      </c>
      <c r="L210" s="321">
        <v>213447.978</v>
      </c>
      <c r="M210" s="321">
        <v>140678.41399999999</v>
      </c>
      <c r="N210" s="321">
        <v>85775.095000000001</v>
      </c>
      <c r="O210" s="321">
        <v>57602.797999999995</v>
      </c>
      <c r="P210" s="321">
        <v>64752.708999999995</v>
      </c>
      <c r="Q210" s="321">
        <v>168299.946</v>
      </c>
      <c r="R210" s="321">
        <v>137588.674</v>
      </c>
      <c r="S210" s="321">
        <v>77394.547999999995</v>
      </c>
      <c r="T210" s="321">
        <v>54072.983999999997</v>
      </c>
      <c r="U210" s="322">
        <v>69383.207999999999</v>
      </c>
      <c r="V210" s="323">
        <v>1388408.584</v>
      </c>
      <c r="W210" s="303"/>
      <c r="X210" s="324">
        <v>69383.207999999999</v>
      </c>
      <c r="Y210" s="325">
        <v>1388408.584</v>
      </c>
      <c r="AA210" s="388"/>
    </row>
    <row r="211" spans="1:27" hidden="1" outlineLevel="1" x14ac:dyDescent="0.3">
      <c r="E211" s="250" t="s">
        <v>1132</v>
      </c>
      <c r="F211" s="317">
        <v>4209016</v>
      </c>
      <c r="G211" s="318"/>
      <c r="H211" s="319"/>
      <c r="I211" s="320"/>
      <c r="J211" s="337">
        <v>0</v>
      </c>
      <c r="K211" s="321">
        <v>0</v>
      </c>
      <c r="L211" s="321">
        <v>0</v>
      </c>
      <c r="M211" s="321">
        <v>0</v>
      </c>
      <c r="N211" s="321">
        <v>0</v>
      </c>
      <c r="O211" s="321">
        <v>0</v>
      </c>
      <c r="P211" s="321">
        <v>0</v>
      </c>
      <c r="Q211" s="321">
        <v>0</v>
      </c>
      <c r="R211" s="321">
        <v>0</v>
      </c>
      <c r="S211" s="321">
        <v>0</v>
      </c>
      <c r="T211" s="321">
        <v>0</v>
      </c>
      <c r="U211" s="322">
        <v>0</v>
      </c>
      <c r="V211" s="323">
        <v>0</v>
      </c>
      <c r="W211" s="303"/>
      <c r="X211" s="324">
        <v>0</v>
      </c>
      <c r="Y211" s="325">
        <v>0</v>
      </c>
      <c r="AA211" s="388"/>
    </row>
    <row r="212" spans="1:27" hidden="1" outlineLevel="1" x14ac:dyDescent="0.3">
      <c r="E212" s="250" t="s">
        <v>1133</v>
      </c>
      <c r="F212" s="317">
        <v>4209017</v>
      </c>
      <c r="G212" s="318"/>
      <c r="H212" s="319"/>
      <c r="I212" s="320"/>
      <c r="J212" s="337">
        <v>0</v>
      </c>
      <c r="K212" s="321">
        <v>0</v>
      </c>
      <c r="L212" s="321">
        <v>0</v>
      </c>
      <c r="M212" s="321">
        <v>0</v>
      </c>
      <c r="N212" s="321">
        <v>0</v>
      </c>
      <c r="O212" s="321">
        <v>0</v>
      </c>
      <c r="P212" s="321">
        <v>0</v>
      </c>
      <c r="Q212" s="321">
        <v>0</v>
      </c>
      <c r="R212" s="321">
        <v>0</v>
      </c>
      <c r="S212" s="321">
        <v>0</v>
      </c>
      <c r="T212" s="321">
        <v>0</v>
      </c>
      <c r="U212" s="322">
        <v>0</v>
      </c>
      <c r="V212" s="323">
        <v>0</v>
      </c>
      <c r="W212" s="303"/>
      <c r="X212" s="324">
        <v>0</v>
      </c>
      <c r="Y212" s="325">
        <v>0</v>
      </c>
      <c r="AA212" s="388"/>
    </row>
    <row r="213" spans="1:27" hidden="1" outlineLevel="1" x14ac:dyDescent="0.3">
      <c r="E213" s="250" t="s">
        <v>1134</v>
      </c>
      <c r="F213" s="317">
        <v>4209019</v>
      </c>
      <c r="G213" s="318"/>
      <c r="H213" s="319"/>
      <c r="I213" s="320"/>
      <c r="J213" s="337">
        <v>2813.212</v>
      </c>
      <c r="K213" s="321">
        <v>2690.9749999999999</v>
      </c>
      <c r="L213" s="321">
        <v>2871.527</v>
      </c>
      <c r="M213" s="321">
        <v>2760.3209999999999</v>
      </c>
      <c r="N213" s="321">
        <v>2800.8760000000002</v>
      </c>
      <c r="O213" s="321">
        <v>2448.616</v>
      </c>
      <c r="P213" s="321">
        <v>2674.453</v>
      </c>
      <c r="Q213" s="321">
        <v>2159.6149999999998</v>
      </c>
      <c r="R213" s="321">
        <v>2658.2719999999999</v>
      </c>
      <c r="S213" s="321">
        <v>2482.982</v>
      </c>
      <c r="T213" s="321">
        <v>2827.0239999999999</v>
      </c>
      <c r="U213" s="322">
        <v>2836.5459999999998</v>
      </c>
      <c r="V213" s="323">
        <v>32024.419000000002</v>
      </c>
      <c r="W213" s="303"/>
      <c r="X213" s="324">
        <v>2836.5459999999998</v>
      </c>
      <c r="Y213" s="325">
        <v>32024.419000000002</v>
      </c>
      <c r="AA213" s="388"/>
    </row>
    <row r="214" spans="1:27" hidden="1" outlineLevel="1" x14ac:dyDescent="0.3">
      <c r="E214" s="250" t="s">
        <v>1135</v>
      </c>
      <c r="F214" s="317">
        <v>4209099</v>
      </c>
      <c r="G214" s="318"/>
      <c r="H214" s="319">
        <v>4500990199</v>
      </c>
      <c r="I214" s="320"/>
      <c r="J214" s="337">
        <v>338.43299999999999</v>
      </c>
      <c r="K214" s="321">
        <v>200.63</v>
      </c>
      <c r="L214" s="321">
        <v>184.32600000000002</v>
      </c>
      <c r="M214" s="321">
        <v>196.48700000000002</v>
      </c>
      <c r="N214" s="321">
        <v>175.53200000000001</v>
      </c>
      <c r="O214" s="321">
        <v>142.14400000000001</v>
      </c>
      <c r="P214" s="321">
        <v>154.91399999999999</v>
      </c>
      <c r="Q214" s="321">
        <v>40.200000000000003</v>
      </c>
      <c r="R214" s="321">
        <v>37.950000000000003</v>
      </c>
      <c r="S214" s="321">
        <v>40.799999999999997</v>
      </c>
      <c r="T214" s="321">
        <v>37.200000000000003</v>
      </c>
      <c r="U214" s="322">
        <v>36.9</v>
      </c>
      <c r="V214" s="323">
        <v>1585.5160000000001</v>
      </c>
      <c r="W214" s="303"/>
      <c r="X214" s="324">
        <v>36.9</v>
      </c>
      <c r="Y214" s="325">
        <v>1585.5160000000001</v>
      </c>
      <c r="AA214" s="388"/>
    </row>
    <row r="215" spans="1:27" s="361" customFormat="1" hidden="1" outlineLevel="2" x14ac:dyDescent="0.3">
      <c r="E215" s="350" t="s">
        <v>1136</v>
      </c>
      <c r="F215" s="306"/>
      <c r="G215" s="307"/>
      <c r="H215" s="308">
        <v>4500110101</v>
      </c>
      <c r="I215" s="309"/>
      <c r="J215" s="310">
        <v>0</v>
      </c>
      <c r="K215" s="311">
        <v>0</v>
      </c>
      <c r="L215" s="311">
        <v>0</v>
      </c>
      <c r="M215" s="311">
        <v>0</v>
      </c>
      <c r="N215" s="311">
        <v>0</v>
      </c>
      <c r="O215" s="311">
        <v>0</v>
      </c>
      <c r="P215" s="311">
        <v>0</v>
      </c>
      <c r="Q215" s="311">
        <v>0</v>
      </c>
      <c r="R215" s="311">
        <v>0</v>
      </c>
      <c r="S215" s="311">
        <v>0</v>
      </c>
      <c r="T215" s="311">
        <v>0</v>
      </c>
      <c r="U215" s="312">
        <v>0</v>
      </c>
      <c r="V215" s="313">
        <v>0</v>
      </c>
      <c r="W215" s="314"/>
      <c r="X215" s="315">
        <v>0</v>
      </c>
      <c r="Y215" s="316">
        <v>0</v>
      </c>
      <c r="AA215" s="388"/>
    </row>
    <row r="216" spans="1:27" s="361" customFormat="1" hidden="1" outlineLevel="2" x14ac:dyDescent="0.3">
      <c r="E216" s="326" t="s">
        <v>1137</v>
      </c>
      <c r="F216" s="351"/>
      <c r="G216" s="352"/>
      <c r="H216" s="353"/>
      <c r="I216" s="354"/>
      <c r="J216" s="362">
        <v>0</v>
      </c>
      <c r="K216" s="355">
        <v>0</v>
      </c>
      <c r="L216" s="355">
        <v>0</v>
      </c>
      <c r="M216" s="355">
        <v>0</v>
      </c>
      <c r="N216" s="355">
        <v>0</v>
      </c>
      <c r="O216" s="355">
        <v>0</v>
      </c>
      <c r="P216" s="355">
        <v>0</v>
      </c>
      <c r="Q216" s="355">
        <v>0</v>
      </c>
      <c r="R216" s="355">
        <v>0</v>
      </c>
      <c r="S216" s="355">
        <v>0</v>
      </c>
      <c r="T216" s="355">
        <v>0</v>
      </c>
      <c r="U216" s="356">
        <v>0</v>
      </c>
      <c r="V216" s="357">
        <v>0</v>
      </c>
      <c r="W216" s="358"/>
      <c r="X216" s="359">
        <v>0</v>
      </c>
      <c r="Y216" s="360">
        <v>0</v>
      </c>
      <c r="AA216" s="388"/>
    </row>
    <row r="217" spans="1:27" s="361" customFormat="1" hidden="1" outlineLevel="2" x14ac:dyDescent="0.3">
      <c r="E217" s="326" t="s">
        <v>1138</v>
      </c>
      <c r="F217" s="351"/>
      <c r="G217" s="352"/>
      <c r="H217" s="353"/>
      <c r="I217" s="354"/>
      <c r="J217" s="362">
        <v>0</v>
      </c>
      <c r="K217" s="355">
        <v>0</v>
      </c>
      <c r="L217" s="355">
        <v>0</v>
      </c>
      <c r="M217" s="355">
        <v>0</v>
      </c>
      <c r="N217" s="355">
        <v>0</v>
      </c>
      <c r="O217" s="355">
        <v>0</v>
      </c>
      <c r="P217" s="355">
        <v>0</v>
      </c>
      <c r="Q217" s="355">
        <v>0</v>
      </c>
      <c r="R217" s="355">
        <v>0</v>
      </c>
      <c r="S217" s="355">
        <v>0</v>
      </c>
      <c r="T217" s="355">
        <v>0</v>
      </c>
      <c r="U217" s="356">
        <v>0</v>
      </c>
      <c r="V217" s="357">
        <v>0</v>
      </c>
      <c r="W217" s="358"/>
      <c r="X217" s="359">
        <v>0</v>
      </c>
      <c r="Y217" s="360">
        <v>0</v>
      </c>
      <c r="AA217" s="388"/>
    </row>
    <row r="218" spans="1:27" ht="49.5" collapsed="1" x14ac:dyDescent="0.3">
      <c r="A218" s="248" t="s">
        <v>11</v>
      </c>
      <c r="B218" s="248"/>
      <c r="C218" s="280" t="s">
        <v>1139</v>
      </c>
      <c r="D218" s="281"/>
      <c r="E218" s="282"/>
      <c r="F218" s="283" t="s">
        <v>1140</v>
      </c>
      <c r="G218" s="284"/>
      <c r="H218" s="285"/>
      <c r="I218" s="286"/>
      <c r="J218" s="287">
        <v>215629545.08800006</v>
      </c>
      <c r="K218" s="288">
        <v>205839425.24600005</v>
      </c>
      <c r="L218" s="288">
        <v>240622361.22100008</v>
      </c>
      <c r="M218" s="288">
        <v>237863701.09000003</v>
      </c>
      <c r="N218" s="288">
        <v>247483148.12400055</v>
      </c>
      <c r="O218" s="288">
        <v>244178558.97399998</v>
      </c>
      <c r="P218" s="288">
        <v>250235541.1559999</v>
      </c>
      <c r="Q218" s="288">
        <v>252009546.96299982</v>
      </c>
      <c r="R218" s="288">
        <v>253099447.69800019</v>
      </c>
      <c r="S218" s="288">
        <v>254137516.33700013</v>
      </c>
      <c r="T218" s="288">
        <v>240235958.204</v>
      </c>
      <c r="U218" s="289">
        <v>230841809.46200001</v>
      </c>
      <c r="V218" s="290">
        <v>2872176559.5629997</v>
      </c>
      <c r="W218" s="277"/>
      <c r="X218" s="291">
        <v>230841809.46200001</v>
      </c>
      <c r="Y218" s="292">
        <v>2872176559.5629997</v>
      </c>
      <c r="AA218" s="388"/>
    </row>
    <row r="219" spans="1:27" ht="49.5" x14ac:dyDescent="0.3">
      <c r="A219" s="248" t="s">
        <v>12</v>
      </c>
      <c r="B219" s="248"/>
      <c r="C219" s="280" t="s">
        <v>1141</v>
      </c>
      <c r="D219" s="281"/>
      <c r="E219" s="282"/>
      <c r="F219" s="283" t="s">
        <v>1142</v>
      </c>
      <c r="G219" s="284"/>
      <c r="H219" s="285"/>
      <c r="I219" s="286"/>
      <c r="J219" s="287">
        <v>204527410.25900003</v>
      </c>
      <c r="K219" s="288">
        <v>200986134.15000001</v>
      </c>
      <c r="L219" s="288">
        <v>208655794.449</v>
      </c>
      <c r="M219" s="288">
        <v>210087761.33899999</v>
      </c>
      <c r="N219" s="288">
        <v>213708181.67200002</v>
      </c>
      <c r="O219" s="288">
        <v>218576121.93199998</v>
      </c>
      <c r="P219" s="288">
        <v>219888924.15499994</v>
      </c>
      <c r="Q219" s="288">
        <v>216787629.85000002</v>
      </c>
      <c r="R219" s="288">
        <v>217623089.68599999</v>
      </c>
      <c r="S219" s="288">
        <v>221020504.861</v>
      </c>
      <c r="T219" s="288">
        <v>211578740.62300009</v>
      </c>
      <c r="U219" s="289">
        <v>238463715.97400004</v>
      </c>
      <c r="V219" s="290">
        <v>2581904008.9499993</v>
      </c>
      <c r="W219" s="277"/>
      <c r="X219" s="291">
        <v>238463715.97400004</v>
      </c>
      <c r="Y219" s="292">
        <v>2581904008.9499993</v>
      </c>
      <c r="AA219" s="388"/>
    </row>
    <row r="220" spans="1:27" s="3" customFormat="1" hidden="1" x14ac:dyDescent="0.3">
      <c r="B220" s="240" t="s">
        <v>66</v>
      </c>
      <c r="D220" s="363" t="s">
        <v>1143</v>
      </c>
      <c r="E220" s="364"/>
      <c r="F220" s="365"/>
      <c r="G220" s="366"/>
      <c r="H220" s="367"/>
      <c r="I220" s="368"/>
      <c r="J220" s="369">
        <v>42201227.461000003</v>
      </c>
      <c r="K220" s="370">
        <v>42955980.236000001</v>
      </c>
      <c r="L220" s="370">
        <v>38524928.023999996</v>
      </c>
      <c r="M220" s="370">
        <v>44106949.055</v>
      </c>
      <c r="N220" s="370">
        <v>42305774.259000003</v>
      </c>
      <c r="O220" s="370">
        <v>43526090.851000004</v>
      </c>
      <c r="P220" s="370">
        <v>43219952.269000001</v>
      </c>
      <c r="Q220" s="370">
        <v>41592684.105000004</v>
      </c>
      <c r="R220" s="370">
        <v>42574163.04999999</v>
      </c>
      <c r="S220" s="370">
        <v>42184161.090999991</v>
      </c>
      <c r="T220" s="370">
        <v>41892990.800000004</v>
      </c>
      <c r="U220" s="371">
        <v>57610563.661000006</v>
      </c>
      <c r="V220" s="372">
        <v>522695464.86200005</v>
      </c>
      <c r="W220" s="277"/>
      <c r="X220" s="373">
        <v>57610563.661000006</v>
      </c>
      <c r="Y220" s="374">
        <v>522695464.86200005</v>
      </c>
      <c r="AA220" s="388"/>
    </row>
    <row r="221" spans="1:27" hidden="1" x14ac:dyDescent="0.3">
      <c r="A221" s="233"/>
      <c r="B221" s="234" t="s">
        <v>13</v>
      </c>
      <c r="D221" s="293" t="s">
        <v>1144</v>
      </c>
      <c r="E221" s="294"/>
      <c r="F221" s="295" t="s">
        <v>1145</v>
      </c>
      <c r="G221" s="296"/>
      <c r="H221" s="297"/>
      <c r="I221" s="298"/>
      <c r="J221" s="299">
        <v>31346382.221000001</v>
      </c>
      <c r="K221" s="300">
        <v>31295219.974999998</v>
      </c>
      <c r="L221" s="300">
        <v>31264478.223999996</v>
      </c>
      <c r="M221" s="300">
        <v>31782343.794</v>
      </c>
      <c r="N221" s="300">
        <v>31461215.013000004</v>
      </c>
      <c r="O221" s="300">
        <v>31251436.072000001</v>
      </c>
      <c r="P221" s="300">
        <v>32554504.365000002</v>
      </c>
      <c r="Q221" s="300">
        <v>30940483.393000003</v>
      </c>
      <c r="R221" s="300">
        <v>30670921.320999995</v>
      </c>
      <c r="S221" s="300">
        <v>31843158.654999997</v>
      </c>
      <c r="T221" s="300">
        <v>31044384.451000001</v>
      </c>
      <c r="U221" s="301">
        <v>38397858.600000001</v>
      </c>
      <c r="V221" s="302">
        <v>383852386.08399999</v>
      </c>
      <c r="W221" s="303"/>
      <c r="X221" s="304">
        <v>38397858.600000001</v>
      </c>
      <c r="Y221" s="305">
        <v>383852386.08399999</v>
      </c>
      <c r="AA221" s="388"/>
    </row>
    <row r="222" spans="1:27" hidden="1" outlineLevel="1" x14ac:dyDescent="0.3">
      <c r="E222" s="250" t="s">
        <v>1146</v>
      </c>
      <c r="F222" s="317">
        <v>4300101</v>
      </c>
      <c r="G222" s="318"/>
      <c r="H222" s="319">
        <v>5101010101</v>
      </c>
      <c r="I222" s="320"/>
      <c r="J222" s="337">
        <v>1634327.3569999998</v>
      </c>
      <c r="K222" s="321">
        <v>1631801.3649999998</v>
      </c>
      <c r="L222" s="321">
        <v>1847150.825</v>
      </c>
      <c r="M222" s="321">
        <v>1739399.0560000001</v>
      </c>
      <c r="N222" s="321">
        <v>1459564</v>
      </c>
      <c r="O222" s="321">
        <v>1459564</v>
      </c>
      <c r="P222" s="321">
        <v>1669223.871</v>
      </c>
      <c r="Q222" s="321">
        <v>1464605</v>
      </c>
      <c r="R222" s="321">
        <v>1480246.807</v>
      </c>
      <c r="S222" s="321">
        <v>1476458.4839999999</v>
      </c>
      <c r="T222" s="321">
        <v>1517275</v>
      </c>
      <c r="U222" s="322">
        <v>1390100.581</v>
      </c>
      <c r="V222" s="323">
        <v>18769716.346000001</v>
      </c>
      <c r="W222" s="303"/>
      <c r="X222" s="324">
        <v>1390100.581</v>
      </c>
      <c r="Y222" s="325">
        <v>18769716.346000001</v>
      </c>
      <c r="AA222" s="388"/>
    </row>
    <row r="223" spans="1:27" hidden="1" outlineLevel="1" x14ac:dyDescent="0.3">
      <c r="E223" s="250" t="s">
        <v>1147</v>
      </c>
      <c r="F223" s="317">
        <v>4300102</v>
      </c>
      <c r="G223" s="318"/>
      <c r="H223" s="319">
        <v>5101010103</v>
      </c>
      <c r="I223" s="320"/>
      <c r="J223" s="337">
        <v>20460638.865000002</v>
      </c>
      <c r="K223" s="321">
        <v>19947045.511999998</v>
      </c>
      <c r="L223" s="321">
        <v>20644794.991999995</v>
      </c>
      <c r="M223" s="321">
        <v>20783254.5</v>
      </c>
      <c r="N223" s="321">
        <v>20583729.740000002</v>
      </c>
      <c r="O223" s="321">
        <v>20462126.158000004</v>
      </c>
      <c r="P223" s="321">
        <v>22134996.034000002</v>
      </c>
      <c r="Q223" s="321">
        <v>20222906.588000003</v>
      </c>
      <c r="R223" s="321">
        <v>20174900.235999998</v>
      </c>
      <c r="S223" s="321">
        <v>20487502.859000001</v>
      </c>
      <c r="T223" s="321">
        <v>20703500.040000003</v>
      </c>
      <c r="U223" s="322">
        <v>27317174.348999999</v>
      </c>
      <c r="V223" s="323">
        <v>253922569.873</v>
      </c>
      <c r="W223" s="303"/>
      <c r="X223" s="324">
        <v>27317174.348999999</v>
      </c>
      <c r="Y223" s="325">
        <v>253922569.873</v>
      </c>
      <c r="AA223" s="388"/>
    </row>
    <row r="224" spans="1:27" hidden="1" outlineLevel="1" x14ac:dyDescent="0.3">
      <c r="E224" s="250" t="s">
        <v>1148</v>
      </c>
      <c r="F224" s="317">
        <v>4300103</v>
      </c>
      <c r="G224" s="318"/>
      <c r="H224" s="319">
        <v>5101010105</v>
      </c>
      <c r="I224" s="320"/>
      <c r="J224" s="337">
        <v>4652121.6209999984</v>
      </c>
      <c r="K224" s="321">
        <v>5013799.0469999993</v>
      </c>
      <c r="L224" s="321">
        <v>3962334.1710000001</v>
      </c>
      <c r="M224" s="321">
        <v>4431199.5459999992</v>
      </c>
      <c r="N224" s="321">
        <v>4514383.3949999986</v>
      </c>
      <c r="O224" s="321">
        <v>4605205.5299999993</v>
      </c>
      <c r="P224" s="321">
        <v>4038436.3129999996</v>
      </c>
      <c r="Q224" s="321">
        <v>4306880.7349999994</v>
      </c>
      <c r="R224" s="321">
        <v>4259085.0370000005</v>
      </c>
      <c r="S224" s="321">
        <v>4746198.2839999991</v>
      </c>
      <c r="T224" s="321">
        <v>4085783.6700000004</v>
      </c>
      <c r="U224" s="322">
        <v>4197918.0049999999</v>
      </c>
      <c r="V224" s="323">
        <v>52813345.354000002</v>
      </c>
      <c r="W224" s="303"/>
      <c r="X224" s="324">
        <v>4197918.0049999999</v>
      </c>
      <c r="Y224" s="325">
        <v>52813345.354000002</v>
      </c>
      <c r="AA224" s="388"/>
    </row>
    <row r="225" spans="1:27" hidden="1" outlineLevel="1" x14ac:dyDescent="0.3">
      <c r="E225" s="250" t="s">
        <v>1149</v>
      </c>
      <c r="F225" s="317">
        <v>4300104</v>
      </c>
      <c r="G225" s="318"/>
      <c r="H225" s="319"/>
      <c r="I225" s="320"/>
      <c r="J225" s="337">
        <v>4454931.2680000002</v>
      </c>
      <c r="K225" s="321">
        <v>4542392.6109999996</v>
      </c>
      <c r="L225" s="321">
        <v>4679678.8260000004</v>
      </c>
      <c r="M225" s="321">
        <v>4689546.9960000003</v>
      </c>
      <c r="N225" s="321">
        <v>4764030.6920000007</v>
      </c>
      <c r="O225" s="321">
        <v>4582339.1489999993</v>
      </c>
      <c r="P225" s="321">
        <v>4589092.4740000004</v>
      </c>
      <c r="Q225" s="321">
        <v>4798033.2240000004</v>
      </c>
      <c r="R225" s="321">
        <v>4595795.7709999997</v>
      </c>
      <c r="S225" s="321">
        <v>4993811.057000001</v>
      </c>
      <c r="T225" s="321">
        <v>4606425.7949999999</v>
      </c>
      <c r="U225" s="322">
        <v>5367257.28</v>
      </c>
      <c r="V225" s="323">
        <v>56663335.143000007</v>
      </c>
      <c r="W225" s="303"/>
      <c r="X225" s="324">
        <v>5367257.28</v>
      </c>
      <c r="Y225" s="325">
        <v>56663335.143000007</v>
      </c>
      <c r="AA225" s="388"/>
    </row>
    <row r="226" spans="1:27" hidden="1" outlineLevel="1" x14ac:dyDescent="0.3">
      <c r="E226" s="250" t="s">
        <v>1150</v>
      </c>
      <c r="F226" s="317">
        <v>4300105</v>
      </c>
      <c r="G226" s="318"/>
      <c r="H226" s="319"/>
      <c r="I226" s="320"/>
      <c r="J226" s="337">
        <v>96723</v>
      </c>
      <c r="K226" s="321">
        <v>93598</v>
      </c>
      <c r="L226" s="321">
        <v>86260</v>
      </c>
      <c r="M226" s="321">
        <v>91159.2</v>
      </c>
      <c r="N226" s="321">
        <v>83641.850999999995</v>
      </c>
      <c r="O226" s="321">
        <v>89638.59</v>
      </c>
      <c r="P226" s="321">
        <v>84407.172999999995</v>
      </c>
      <c r="Q226" s="321">
        <v>91397.301000000007</v>
      </c>
      <c r="R226" s="321">
        <v>88368.304999999993</v>
      </c>
      <c r="S226" s="321">
        <v>96714.231</v>
      </c>
      <c r="T226" s="321">
        <v>87233.740999999995</v>
      </c>
      <c r="U226" s="322">
        <v>87492.074999999997</v>
      </c>
      <c r="V226" s="323">
        <v>1076633.4669999999</v>
      </c>
      <c r="W226" s="303"/>
      <c r="X226" s="324">
        <v>87492.074999999997</v>
      </c>
      <c r="Y226" s="325">
        <v>1076633.4669999999</v>
      </c>
      <c r="AA226" s="388"/>
    </row>
    <row r="227" spans="1:27" hidden="1" outlineLevel="1" x14ac:dyDescent="0.3">
      <c r="E227" s="250" t="s">
        <v>1151</v>
      </c>
      <c r="F227" s="317">
        <v>4300106</v>
      </c>
      <c r="G227" s="318"/>
      <c r="H227" s="319"/>
      <c r="I227" s="320"/>
      <c r="J227" s="337">
        <v>0</v>
      </c>
      <c r="K227" s="321">
        <v>0</v>
      </c>
      <c r="L227" s="321">
        <v>0</v>
      </c>
      <c r="M227" s="321">
        <v>0</v>
      </c>
      <c r="N227" s="321">
        <v>0</v>
      </c>
      <c r="O227" s="321">
        <v>0</v>
      </c>
      <c r="P227" s="321">
        <v>0</v>
      </c>
      <c r="Q227" s="321">
        <v>0</v>
      </c>
      <c r="R227" s="321">
        <v>0</v>
      </c>
      <c r="S227" s="321">
        <v>0</v>
      </c>
      <c r="T227" s="321">
        <v>0</v>
      </c>
      <c r="U227" s="322">
        <v>0</v>
      </c>
      <c r="V227" s="323">
        <v>0</v>
      </c>
      <c r="W227" s="303"/>
      <c r="X227" s="324">
        <v>0</v>
      </c>
      <c r="Y227" s="325">
        <v>0</v>
      </c>
      <c r="AA227" s="388"/>
    </row>
    <row r="228" spans="1:27" hidden="1" outlineLevel="1" x14ac:dyDescent="0.3">
      <c r="E228" s="250" t="s">
        <v>1152</v>
      </c>
      <c r="F228" s="317">
        <v>4300107</v>
      </c>
      <c r="G228" s="318"/>
      <c r="H228" s="319"/>
      <c r="I228" s="320"/>
      <c r="J228" s="337">
        <v>0</v>
      </c>
      <c r="K228" s="321">
        <v>0</v>
      </c>
      <c r="L228" s="321">
        <v>0</v>
      </c>
      <c r="M228" s="321">
        <v>0</v>
      </c>
      <c r="N228" s="321">
        <v>0</v>
      </c>
      <c r="O228" s="321">
        <v>0</v>
      </c>
      <c r="P228" s="321">
        <v>0</v>
      </c>
      <c r="Q228" s="321">
        <v>0</v>
      </c>
      <c r="R228" s="321">
        <v>0</v>
      </c>
      <c r="S228" s="321">
        <v>0</v>
      </c>
      <c r="T228" s="321">
        <v>0</v>
      </c>
      <c r="U228" s="322">
        <v>0</v>
      </c>
      <c r="V228" s="323">
        <v>0</v>
      </c>
      <c r="W228" s="303"/>
      <c r="X228" s="324">
        <v>0</v>
      </c>
      <c r="Y228" s="325">
        <v>0</v>
      </c>
      <c r="AA228" s="388"/>
    </row>
    <row r="229" spans="1:27" hidden="1" outlineLevel="1" x14ac:dyDescent="0.3">
      <c r="E229" s="250" t="s">
        <v>1153</v>
      </c>
      <c r="F229" s="317">
        <v>4300199</v>
      </c>
      <c r="G229" s="318"/>
      <c r="H229" s="319"/>
      <c r="I229" s="320"/>
      <c r="J229" s="337">
        <v>47640.11</v>
      </c>
      <c r="K229" s="321">
        <v>66583.44</v>
      </c>
      <c r="L229" s="321">
        <v>44259.41</v>
      </c>
      <c r="M229" s="321">
        <v>47784.495999999999</v>
      </c>
      <c r="N229" s="321">
        <v>55865.334999999999</v>
      </c>
      <c r="O229" s="321">
        <v>52562.645000000004</v>
      </c>
      <c r="P229" s="321">
        <v>38348.5</v>
      </c>
      <c r="Q229" s="321">
        <v>56660.544999999998</v>
      </c>
      <c r="R229" s="321">
        <v>72525.165000000008</v>
      </c>
      <c r="S229" s="321">
        <v>42473.740000000005</v>
      </c>
      <c r="T229" s="321">
        <v>44166.205000000002</v>
      </c>
      <c r="U229" s="322">
        <v>37916.31</v>
      </c>
      <c r="V229" s="323">
        <v>606785.90099999984</v>
      </c>
      <c r="W229" s="303"/>
      <c r="X229" s="324">
        <v>37916.31</v>
      </c>
      <c r="Y229" s="325">
        <v>606785.90099999984</v>
      </c>
      <c r="AA229" s="388"/>
    </row>
    <row r="230" spans="1:27" s="326" customFormat="1" hidden="1" outlineLevel="2" x14ac:dyDescent="0.3">
      <c r="E230" s="326" t="s">
        <v>1154</v>
      </c>
      <c r="F230" s="336"/>
      <c r="G230" s="327"/>
      <c r="H230" s="328"/>
      <c r="I230" s="329"/>
      <c r="J230" s="338">
        <v>0</v>
      </c>
      <c r="K230" s="330">
        <v>0</v>
      </c>
      <c r="L230" s="330">
        <v>0</v>
      </c>
      <c r="M230" s="330">
        <v>0</v>
      </c>
      <c r="N230" s="330">
        <v>0</v>
      </c>
      <c r="O230" s="330">
        <v>0</v>
      </c>
      <c r="P230" s="330">
        <v>0</v>
      </c>
      <c r="Q230" s="330">
        <v>0</v>
      </c>
      <c r="R230" s="330">
        <v>0</v>
      </c>
      <c r="S230" s="330">
        <v>0</v>
      </c>
      <c r="T230" s="330">
        <v>0</v>
      </c>
      <c r="U230" s="331">
        <v>0</v>
      </c>
      <c r="V230" s="332">
        <v>0</v>
      </c>
      <c r="W230" s="333"/>
      <c r="X230" s="334">
        <v>0</v>
      </c>
      <c r="Y230" s="335">
        <v>0</v>
      </c>
      <c r="AA230" s="388"/>
    </row>
    <row r="231" spans="1:27" s="326" customFormat="1" hidden="1" outlineLevel="2" x14ac:dyDescent="0.3">
      <c r="E231" s="326" t="s">
        <v>1155</v>
      </c>
      <c r="F231" s="336"/>
      <c r="G231" s="327"/>
      <c r="H231" s="328"/>
      <c r="I231" s="329"/>
      <c r="J231" s="338">
        <v>0</v>
      </c>
      <c r="K231" s="330">
        <v>0</v>
      </c>
      <c r="L231" s="330">
        <v>0</v>
      </c>
      <c r="M231" s="330">
        <v>0</v>
      </c>
      <c r="N231" s="330">
        <v>0</v>
      </c>
      <c r="O231" s="330">
        <v>0</v>
      </c>
      <c r="P231" s="330">
        <v>0</v>
      </c>
      <c r="Q231" s="330">
        <v>0</v>
      </c>
      <c r="R231" s="330">
        <v>0</v>
      </c>
      <c r="S231" s="330">
        <v>0</v>
      </c>
      <c r="T231" s="330">
        <v>0</v>
      </c>
      <c r="U231" s="331">
        <v>0</v>
      </c>
      <c r="V231" s="332">
        <v>0</v>
      </c>
      <c r="W231" s="333"/>
      <c r="X231" s="334">
        <v>0</v>
      </c>
      <c r="Y231" s="335">
        <v>0</v>
      </c>
      <c r="AA231" s="388"/>
    </row>
    <row r="232" spans="1:27" s="326" customFormat="1" hidden="1" outlineLevel="2" x14ac:dyDescent="0.3">
      <c r="E232" s="326" t="s">
        <v>1156</v>
      </c>
      <c r="F232" s="336"/>
      <c r="G232" s="327"/>
      <c r="H232" s="328"/>
      <c r="I232" s="329"/>
      <c r="J232" s="338">
        <v>0</v>
      </c>
      <c r="K232" s="330">
        <v>0</v>
      </c>
      <c r="L232" s="330">
        <v>0</v>
      </c>
      <c r="M232" s="330">
        <v>0</v>
      </c>
      <c r="N232" s="330">
        <v>0</v>
      </c>
      <c r="O232" s="330">
        <v>0</v>
      </c>
      <c r="P232" s="330">
        <v>0</v>
      </c>
      <c r="Q232" s="330">
        <v>0</v>
      </c>
      <c r="R232" s="330">
        <v>0</v>
      </c>
      <c r="S232" s="330">
        <v>0</v>
      </c>
      <c r="T232" s="330">
        <v>0</v>
      </c>
      <c r="U232" s="331">
        <v>0</v>
      </c>
      <c r="V232" s="332">
        <v>0</v>
      </c>
      <c r="W232" s="333"/>
      <c r="X232" s="334">
        <v>0</v>
      </c>
      <c r="Y232" s="335">
        <v>0</v>
      </c>
      <c r="AA232" s="388"/>
    </row>
    <row r="233" spans="1:27" hidden="1" collapsed="1" x14ac:dyDescent="0.3">
      <c r="A233" s="233"/>
      <c r="B233" s="234" t="s">
        <v>67</v>
      </c>
      <c r="D233" s="293" t="s">
        <v>1157</v>
      </c>
      <c r="E233" s="294"/>
      <c r="F233" s="295" t="s">
        <v>1158</v>
      </c>
      <c r="G233" s="296"/>
      <c r="H233" s="297"/>
      <c r="I233" s="298"/>
      <c r="J233" s="299">
        <v>2208468.1689999998</v>
      </c>
      <c r="K233" s="300">
        <v>2965218.1790000005</v>
      </c>
      <c r="L233" s="300">
        <v>-1434058.7679999999</v>
      </c>
      <c r="M233" s="300">
        <v>2877118.8429999999</v>
      </c>
      <c r="N233" s="300">
        <v>2877118.8450000002</v>
      </c>
      <c r="O233" s="300">
        <v>5624975.1580000017</v>
      </c>
      <c r="P233" s="300">
        <v>2540450.39</v>
      </c>
      <c r="Q233" s="300">
        <v>2499138.8200000003</v>
      </c>
      <c r="R233" s="300">
        <v>2439010.0160000003</v>
      </c>
      <c r="S233" s="300">
        <v>2185926.39</v>
      </c>
      <c r="T233" s="300">
        <v>2185926.39</v>
      </c>
      <c r="U233" s="301">
        <v>9725321.9520000014</v>
      </c>
      <c r="V233" s="302">
        <v>36694614.384000003</v>
      </c>
      <c r="W233" s="303"/>
      <c r="X233" s="304">
        <v>9725321.9520000014</v>
      </c>
      <c r="Y233" s="305">
        <v>36694614.384000003</v>
      </c>
      <c r="AA233" s="388"/>
    </row>
    <row r="234" spans="1:27" hidden="1" outlineLevel="1" x14ac:dyDescent="0.3">
      <c r="E234" s="250" t="s">
        <v>1159</v>
      </c>
      <c r="F234" s="317">
        <v>4300201</v>
      </c>
      <c r="G234" s="318"/>
      <c r="H234" s="319">
        <v>5101010301</v>
      </c>
      <c r="I234" s="320"/>
      <c r="J234" s="337">
        <v>131597.15700000001</v>
      </c>
      <c r="K234" s="321">
        <v>131597.15700000001</v>
      </c>
      <c r="L234" s="321">
        <v>-830957.08900000004</v>
      </c>
      <c r="M234" s="321">
        <v>153982.361</v>
      </c>
      <c r="N234" s="321">
        <v>153982.361</v>
      </c>
      <c r="O234" s="321">
        <v>-488873.41</v>
      </c>
      <c r="P234" s="321">
        <v>193982.361</v>
      </c>
      <c r="Q234" s="321">
        <v>153982.361</v>
      </c>
      <c r="R234" s="321">
        <v>153982.361</v>
      </c>
      <c r="S234" s="321">
        <v>-99101.264999999999</v>
      </c>
      <c r="T234" s="321">
        <v>-99101.264999999999</v>
      </c>
      <c r="U234" s="322">
        <v>903176.92299999995</v>
      </c>
      <c r="V234" s="323">
        <v>458250.01300000004</v>
      </c>
      <c r="W234" s="303"/>
      <c r="X234" s="324">
        <v>903176.92299999995</v>
      </c>
      <c r="Y234" s="325">
        <v>458250.01300000004</v>
      </c>
      <c r="AA234" s="388"/>
    </row>
    <row r="235" spans="1:27" hidden="1" outlineLevel="1" x14ac:dyDescent="0.3">
      <c r="E235" s="250" t="s">
        <v>1160</v>
      </c>
      <c r="F235" s="317">
        <v>4300202</v>
      </c>
      <c r="G235" s="318"/>
      <c r="H235" s="319">
        <v>5101010303</v>
      </c>
      <c r="I235" s="320"/>
      <c r="J235" s="337">
        <v>0</v>
      </c>
      <c r="K235" s="321">
        <v>0</v>
      </c>
      <c r="L235" s="321">
        <v>0</v>
      </c>
      <c r="M235" s="321">
        <v>0</v>
      </c>
      <c r="N235" s="321">
        <v>0</v>
      </c>
      <c r="O235" s="321">
        <v>30000</v>
      </c>
      <c r="P235" s="321">
        <v>0</v>
      </c>
      <c r="Q235" s="321">
        <v>0</v>
      </c>
      <c r="R235" s="321">
        <v>0</v>
      </c>
      <c r="S235" s="321">
        <v>0</v>
      </c>
      <c r="T235" s="321">
        <v>0</v>
      </c>
      <c r="U235" s="322">
        <v>0</v>
      </c>
      <c r="V235" s="323">
        <v>30000</v>
      </c>
      <c r="W235" s="303"/>
      <c r="X235" s="324">
        <v>0</v>
      </c>
      <c r="Y235" s="325">
        <v>30000</v>
      </c>
      <c r="AA235" s="388"/>
    </row>
    <row r="236" spans="1:27" hidden="1" outlineLevel="1" x14ac:dyDescent="0.3">
      <c r="E236" s="250" t="s">
        <v>1161</v>
      </c>
      <c r="F236" s="317">
        <v>4300203</v>
      </c>
      <c r="G236" s="318"/>
      <c r="H236" s="319">
        <v>5101010305</v>
      </c>
      <c r="I236" s="320"/>
      <c r="J236" s="337">
        <v>240000</v>
      </c>
      <c r="K236" s="321">
        <v>0</v>
      </c>
      <c r="L236" s="321">
        <v>0</v>
      </c>
      <c r="M236" s="321">
        <v>0</v>
      </c>
      <c r="N236" s="321">
        <v>0</v>
      </c>
      <c r="O236" s="321">
        <v>0</v>
      </c>
      <c r="P236" s="321">
        <v>0</v>
      </c>
      <c r="Q236" s="321">
        <v>0</v>
      </c>
      <c r="R236" s="321">
        <v>0</v>
      </c>
      <c r="S236" s="321">
        <v>0</v>
      </c>
      <c r="T236" s="321">
        <v>0</v>
      </c>
      <c r="U236" s="322">
        <v>0</v>
      </c>
      <c r="V236" s="323">
        <v>240000</v>
      </c>
      <c r="W236" s="303"/>
      <c r="X236" s="324">
        <v>0</v>
      </c>
      <c r="Y236" s="325">
        <v>240000</v>
      </c>
      <c r="AA236" s="388"/>
    </row>
    <row r="237" spans="1:27" hidden="1" outlineLevel="1" x14ac:dyDescent="0.3">
      <c r="E237" s="250" t="s">
        <v>1162</v>
      </c>
      <c r="F237" s="317">
        <v>4300204</v>
      </c>
      <c r="G237" s="318"/>
      <c r="H237" s="319">
        <v>5101010307</v>
      </c>
      <c r="I237" s="320"/>
      <c r="J237" s="337">
        <v>1344632.5229999998</v>
      </c>
      <c r="K237" s="321">
        <v>2506111.8960000002</v>
      </c>
      <c r="L237" s="321">
        <v>-1419738.66</v>
      </c>
      <c r="M237" s="321">
        <v>2163922.236</v>
      </c>
      <c r="N237" s="321">
        <v>2163922.236</v>
      </c>
      <c r="O237" s="321">
        <v>5895644.8260000013</v>
      </c>
      <c r="P237" s="321">
        <v>1785942.213</v>
      </c>
      <c r="Q237" s="321">
        <v>1785942.213</v>
      </c>
      <c r="R237" s="321">
        <v>1852102.213</v>
      </c>
      <c r="S237" s="321">
        <v>1852102.213</v>
      </c>
      <c r="T237" s="321">
        <v>1852102.213</v>
      </c>
      <c r="U237" s="322">
        <v>8768438.3629999999</v>
      </c>
      <c r="V237" s="323">
        <v>30551124.484999999</v>
      </c>
      <c r="W237" s="303"/>
      <c r="X237" s="324">
        <v>8768438.3629999999</v>
      </c>
      <c r="Y237" s="325">
        <v>30551124.484999999</v>
      </c>
      <c r="AA237" s="388"/>
    </row>
    <row r="238" spans="1:27" hidden="1" outlineLevel="1" x14ac:dyDescent="0.3">
      <c r="E238" s="250" t="s">
        <v>1163</v>
      </c>
      <c r="F238" s="317">
        <v>4300205</v>
      </c>
      <c r="G238" s="318"/>
      <c r="H238" s="319"/>
      <c r="I238" s="320"/>
      <c r="J238" s="337">
        <v>345429.66</v>
      </c>
      <c r="K238" s="321">
        <v>324722.40999999997</v>
      </c>
      <c r="L238" s="321">
        <v>534505.98800000001</v>
      </c>
      <c r="M238" s="321">
        <v>554455.99300000002</v>
      </c>
      <c r="N238" s="321">
        <v>554455.99100000004</v>
      </c>
      <c r="O238" s="321">
        <v>191507.103</v>
      </c>
      <c r="P238" s="321">
        <v>555767.56200000003</v>
      </c>
      <c r="Q238" s="321">
        <v>554455.99199999997</v>
      </c>
      <c r="R238" s="321">
        <v>429241.75699999998</v>
      </c>
      <c r="S238" s="321">
        <v>429241.75699999998</v>
      </c>
      <c r="T238" s="321">
        <v>429241.75699999998</v>
      </c>
      <c r="U238" s="322">
        <v>53249.686000000002</v>
      </c>
      <c r="V238" s="323">
        <v>4956275.6560000004</v>
      </c>
      <c r="W238" s="303"/>
      <c r="X238" s="324">
        <v>53249.686000000002</v>
      </c>
      <c r="Y238" s="325">
        <v>4956275.6560000004</v>
      </c>
      <c r="AA238" s="388"/>
    </row>
    <row r="239" spans="1:27" hidden="1" outlineLevel="1" x14ac:dyDescent="0.3">
      <c r="E239" s="250" t="s">
        <v>1164</v>
      </c>
      <c r="F239" s="317">
        <v>4300206</v>
      </c>
      <c r="G239" s="318"/>
      <c r="H239" s="319"/>
      <c r="I239" s="320"/>
      <c r="J239" s="337">
        <v>5161.3789999999999</v>
      </c>
      <c r="K239" s="321">
        <v>2786.7159999999999</v>
      </c>
      <c r="L239" s="321">
        <v>9705.0969999999998</v>
      </c>
      <c r="M239" s="321">
        <v>4758.2529999999997</v>
      </c>
      <c r="N239" s="321">
        <v>4758.2569999999996</v>
      </c>
      <c r="O239" s="321">
        <v>-3303.3609999999999</v>
      </c>
      <c r="P239" s="321">
        <v>4758.2539999999999</v>
      </c>
      <c r="Q239" s="321">
        <v>4758.2539999999999</v>
      </c>
      <c r="R239" s="321">
        <v>3683.6849999999999</v>
      </c>
      <c r="S239" s="321">
        <v>3683.6849999999999</v>
      </c>
      <c r="T239" s="321">
        <v>3683.6849999999999</v>
      </c>
      <c r="U239" s="322">
        <v>456.98</v>
      </c>
      <c r="V239" s="323">
        <v>44890.883999999991</v>
      </c>
      <c r="W239" s="303"/>
      <c r="X239" s="324">
        <v>456.98</v>
      </c>
      <c r="Y239" s="325">
        <v>44890.883999999991</v>
      </c>
      <c r="AA239" s="388"/>
    </row>
    <row r="240" spans="1:27" s="350" customFormat="1" hidden="1" outlineLevel="2" x14ac:dyDescent="0.3">
      <c r="E240" s="350" t="s">
        <v>1165</v>
      </c>
      <c r="F240" s="306">
        <v>4300207</v>
      </c>
      <c r="G240" s="307"/>
      <c r="H240" s="308"/>
      <c r="I240" s="309"/>
      <c r="J240" s="310">
        <v>141647.45000000001</v>
      </c>
      <c r="K240" s="311">
        <v>0</v>
      </c>
      <c r="L240" s="311">
        <v>272425.89600000001</v>
      </c>
      <c r="M240" s="311">
        <v>0</v>
      </c>
      <c r="N240" s="311">
        <v>0</v>
      </c>
      <c r="O240" s="311">
        <v>0</v>
      </c>
      <c r="P240" s="311">
        <v>0</v>
      </c>
      <c r="Q240" s="311">
        <v>0</v>
      </c>
      <c r="R240" s="311">
        <v>0</v>
      </c>
      <c r="S240" s="311">
        <v>0</v>
      </c>
      <c r="T240" s="311">
        <v>0</v>
      </c>
      <c r="U240" s="312">
        <v>0</v>
      </c>
      <c r="V240" s="313">
        <v>414073.34600000002</v>
      </c>
      <c r="W240" s="314"/>
      <c r="X240" s="315">
        <v>0</v>
      </c>
      <c r="Y240" s="316">
        <v>414073.34600000002</v>
      </c>
      <c r="AA240" s="314"/>
    </row>
    <row r="241" spans="1:27" s="326" customFormat="1" hidden="1" outlineLevel="2" x14ac:dyDescent="0.3">
      <c r="E241" s="326" t="s">
        <v>1166</v>
      </c>
      <c r="F241" s="336"/>
      <c r="G241" s="327"/>
      <c r="H241" s="328"/>
      <c r="I241" s="329"/>
      <c r="J241" s="338">
        <v>0</v>
      </c>
      <c r="K241" s="330">
        <v>0</v>
      </c>
      <c r="L241" s="330">
        <v>0</v>
      </c>
      <c r="M241" s="330">
        <v>0</v>
      </c>
      <c r="N241" s="330">
        <v>0</v>
      </c>
      <c r="O241" s="330">
        <v>0</v>
      </c>
      <c r="P241" s="330">
        <v>0</v>
      </c>
      <c r="Q241" s="330">
        <v>0</v>
      </c>
      <c r="R241" s="330">
        <v>0</v>
      </c>
      <c r="S241" s="330">
        <v>0</v>
      </c>
      <c r="T241" s="330">
        <v>0</v>
      </c>
      <c r="U241" s="331">
        <v>0</v>
      </c>
      <c r="V241" s="332">
        <v>0</v>
      </c>
      <c r="W241" s="333"/>
      <c r="X241" s="334">
        <v>0</v>
      </c>
      <c r="Y241" s="335">
        <v>0</v>
      </c>
      <c r="AA241" s="388"/>
    </row>
    <row r="242" spans="1:27" s="326" customFormat="1" hidden="1" outlineLevel="2" x14ac:dyDescent="0.3">
      <c r="E242" s="326" t="s">
        <v>1167</v>
      </c>
      <c r="F242" s="336"/>
      <c r="G242" s="327"/>
      <c r="H242" s="328"/>
      <c r="I242" s="329"/>
      <c r="J242" s="338">
        <v>0</v>
      </c>
      <c r="K242" s="330">
        <v>0</v>
      </c>
      <c r="L242" s="330">
        <v>0</v>
      </c>
      <c r="M242" s="330">
        <v>0</v>
      </c>
      <c r="N242" s="330">
        <v>0</v>
      </c>
      <c r="O242" s="330">
        <v>0</v>
      </c>
      <c r="P242" s="330">
        <v>0</v>
      </c>
      <c r="Q242" s="330">
        <v>0</v>
      </c>
      <c r="R242" s="330">
        <v>0</v>
      </c>
      <c r="S242" s="330">
        <v>0</v>
      </c>
      <c r="T242" s="330">
        <v>0</v>
      </c>
      <c r="U242" s="331">
        <v>0</v>
      </c>
      <c r="V242" s="332">
        <v>0</v>
      </c>
      <c r="W242" s="333"/>
      <c r="X242" s="334">
        <v>0</v>
      </c>
      <c r="Y242" s="335">
        <v>0</v>
      </c>
      <c r="AA242" s="388"/>
    </row>
    <row r="243" spans="1:27" hidden="1" collapsed="1" x14ac:dyDescent="0.3">
      <c r="A243" s="233"/>
      <c r="B243" s="234" t="s">
        <v>68</v>
      </c>
      <c r="D243" s="293" t="s">
        <v>1168</v>
      </c>
      <c r="E243" s="294"/>
      <c r="F243" s="295" t="s">
        <v>1169</v>
      </c>
      <c r="G243" s="296"/>
      <c r="H243" s="297"/>
      <c r="I243" s="298"/>
      <c r="J243" s="299">
        <v>2720556.1450000005</v>
      </c>
      <c r="K243" s="300">
        <v>2668527.509000001</v>
      </c>
      <c r="L243" s="300">
        <v>2651841.8840000005</v>
      </c>
      <c r="M243" s="300">
        <v>2728731.7609999995</v>
      </c>
      <c r="N243" s="300">
        <v>2650183.7779999995</v>
      </c>
      <c r="O243" s="300">
        <v>2783100.4559999998</v>
      </c>
      <c r="P243" s="300">
        <v>2751157.5039999997</v>
      </c>
      <c r="Q243" s="300">
        <v>2710378.7799999993</v>
      </c>
      <c r="R243" s="300">
        <v>2672548.8540000003</v>
      </c>
      <c r="S243" s="300">
        <v>2712762.3680000002</v>
      </c>
      <c r="T243" s="300">
        <v>2705913.5430000001</v>
      </c>
      <c r="U243" s="301">
        <v>2663085.1860000007</v>
      </c>
      <c r="V243" s="302">
        <v>32418787.767999999</v>
      </c>
      <c r="W243" s="303"/>
      <c r="X243" s="304">
        <v>2663085.1860000007</v>
      </c>
      <c r="Y243" s="305">
        <v>32418787.767999999</v>
      </c>
      <c r="AA243" s="388"/>
    </row>
    <row r="244" spans="1:27" hidden="1" outlineLevel="1" x14ac:dyDescent="0.3">
      <c r="E244" s="250" t="s">
        <v>1170</v>
      </c>
      <c r="F244" s="317">
        <v>4300481</v>
      </c>
      <c r="G244" s="318"/>
      <c r="H244" s="319">
        <v>5101030101</v>
      </c>
      <c r="I244" s="320"/>
      <c r="J244" s="337">
        <v>2738061.9760000003</v>
      </c>
      <c r="K244" s="321">
        <v>2738062.0060000005</v>
      </c>
      <c r="L244" s="321">
        <v>2738061.9870000002</v>
      </c>
      <c r="M244" s="321">
        <v>2738061.9769999995</v>
      </c>
      <c r="N244" s="321">
        <v>2738061.9849999999</v>
      </c>
      <c r="O244" s="321">
        <v>2738061.9850000003</v>
      </c>
      <c r="P244" s="321">
        <v>2738061.9849999999</v>
      </c>
      <c r="Q244" s="321">
        <v>2738061.9849999999</v>
      </c>
      <c r="R244" s="321">
        <v>2738766.77</v>
      </c>
      <c r="S244" s="321">
        <v>2738766.77</v>
      </c>
      <c r="T244" s="321">
        <v>2738766.77</v>
      </c>
      <c r="U244" s="322">
        <v>2532618.0230000005</v>
      </c>
      <c r="V244" s="323">
        <v>32653414.219000001</v>
      </c>
      <c r="W244" s="303"/>
      <c r="X244" s="324">
        <v>2532618.0230000005</v>
      </c>
      <c r="Y244" s="325">
        <v>32653414.219000001</v>
      </c>
      <c r="AA244" s="388"/>
    </row>
    <row r="245" spans="1:27" hidden="1" outlineLevel="1" x14ac:dyDescent="0.3">
      <c r="E245" s="250" t="s">
        <v>1171</v>
      </c>
      <c r="F245" s="317">
        <v>4300482</v>
      </c>
      <c r="G245" s="318"/>
      <c r="H245" s="319">
        <v>5101030103</v>
      </c>
      <c r="I245" s="320"/>
      <c r="J245" s="337">
        <v>942159.13500000036</v>
      </c>
      <c r="K245" s="321">
        <v>942159.1310000004</v>
      </c>
      <c r="L245" s="321">
        <v>942159.13300000026</v>
      </c>
      <c r="M245" s="321">
        <v>942159.12800000003</v>
      </c>
      <c r="N245" s="321">
        <v>942159.13300000003</v>
      </c>
      <c r="O245" s="321">
        <v>942159.13300000003</v>
      </c>
      <c r="P245" s="321">
        <v>942159.1329999998</v>
      </c>
      <c r="Q245" s="321">
        <v>942159.13300000015</v>
      </c>
      <c r="R245" s="321">
        <v>942569.65700000024</v>
      </c>
      <c r="S245" s="321">
        <v>942569.65700000012</v>
      </c>
      <c r="T245" s="321">
        <v>942569.65700000012</v>
      </c>
      <c r="U245" s="322">
        <v>942569.66200000024</v>
      </c>
      <c r="V245" s="323">
        <v>11307551.692000002</v>
      </c>
      <c r="W245" s="303"/>
      <c r="X245" s="324">
        <v>942569.66200000024</v>
      </c>
      <c r="Y245" s="325">
        <v>11307551.692000002</v>
      </c>
      <c r="AA245" s="388"/>
    </row>
    <row r="246" spans="1:27" hidden="1" outlineLevel="1" x14ac:dyDescent="0.3">
      <c r="E246" s="250" t="s">
        <v>1172</v>
      </c>
      <c r="F246" s="317">
        <v>4300483</v>
      </c>
      <c r="G246" s="318"/>
      <c r="H246" s="319">
        <v>5101030105</v>
      </c>
      <c r="I246" s="320"/>
      <c r="J246" s="337">
        <v>-1131266.3740000001</v>
      </c>
      <c r="K246" s="321">
        <v>-1131266.3539999998</v>
      </c>
      <c r="L246" s="321">
        <v>-1131266.375</v>
      </c>
      <c r="M246" s="321">
        <v>-1131266.3690000002</v>
      </c>
      <c r="N246" s="321">
        <v>-1131266.371</v>
      </c>
      <c r="O246" s="321">
        <v>-1131266.3710000003</v>
      </c>
      <c r="P246" s="321">
        <v>-1131266.371</v>
      </c>
      <c r="Q246" s="321">
        <v>-1131266.371</v>
      </c>
      <c r="R246" s="321">
        <v>-1131774.236</v>
      </c>
      <c r="S246" s="321">
        <v>-1131774.236</v>
      </c>
      <c r="T246" s="321">
        <v>-1131774.236</v>
      </c>
      <c r="U246" s="322">
        <v>-1131774.236</v>
      </c>
      <c r="V246" s="323">
        <v>-13577227.899999999</v>
      </c>
      <c r="W246" s="303"/>
      <c r="X246" s="324">
        <v>-1131774.236</v>
      </c>
      <c r="Y246" s="325">
        <v>-13577227.899999999</v>
      </c>
      <c r="AA246" s="388"/>
    </row>
    <row r="247" spans="1:27" hidden="1" outlineLevel="1" x14ac:dyDescent="0.3">
      <c r="E247" s="250" t="s">
        <v>1173</v>
      </c>
      <c r="F247" s="317">
        <v>4300484</v>
      </c>
      <c r="G247" s="318"/>
      <c r="H247" s="319"/>
      <c r="I247" s="320"/>
      <c r="J247" s="337">
        <v>171601.408</v>
      </c>
      <c r="K247" s="321">
        <v>119572.72599999998</v>
      </c>
      <c r="L247" s="321">
        <v>102887.139</v>
      </c>
      <c r="M247" s="321">
        <v>179777.02499999999</v>
      </c>
      <c r="N247" s="321">
        <v>101229.031</v>
      </c>
      <c r="O247" s="321">
        <v>234145.709</v>
      </c>
      <c r="P247" s="321">
        <v>202202.75700000001</v>
      </c>
      <c r="Q247" s="321">
        <v>161424.033</v>
      </c>
      <c r="R247" s="321">
        <v>122986.663</v>
      </c>
      <c r="S247" s="321">
        <v>163200.17700000003</v>
      </c>
      <c r="T247" s="321">
        <v>156351.35199999998</v>
      </c>
      <c r="U247" s="322">
        <v>319671.73700000002</v>
      </c>
      <c r="V247" s="323">
        <v>2035049.757</v>
      </c>
      <c r="W247" s="303"/>
      <c r="X247" s="324">
        <v>319671.73700000002</v>
      </c>
      <c r="Y247" s="325">
        <v>2035049.757</v>
      </c>
      <c r="AA247" s="388"/>
    </row>
    <row r="248" spans="1:27" s="326" customFormat="1" hidden="1" outlineLevel="2" x14ac:dyDescent="0.3">
      <c r="E248" s="326" t="s">
        <v>1174</v>
      </c>
      <c r="F248" s="336"/>
      <c r="G248" s="327"/>
      <c r="H248" s="328"/>
      <c r="I248" s="329"/>
      <c r="J248" s="338">
        <v>0</v>
      </c>
      <c r="K248" s="330">
        <v>0</v>
      </c>
      <c r="L248" s="330">
        <v>0</v>
      </c>
      <c r="M248" s="330">
        <v>0</v>
      </c>
      <c r="N248" s="330">
        <v>0</v>
      </c>
      <c r="O248" s="330">
        <v>0</v>
      </c>
      <c r="P248" s="330">
        <v>0</v>
      </c>
      <c r="Q248" s="330">
        <v>0</v>
      </c>
      <c r="R248" s="330">
        <v>0</v>
      </c>
      <c r="S248" s="330">
        <v>0</v>
      </c>
      <c r="T248" s="330">
        <v>0</v>
      </c>
      <c r="U248" s="331">
        <v>0</v>
      </c>
      <c r="V248" s="332">
        <v>0</v>
      </c>
      <c r="W248" s="333"/>
      <c r="X248" s="334">
        <v>0</v>
      </c>
      <c r="Y248" s="335">
        <v>0</v>
      </c>
      <c r="AA248" s="388"/>
    </row>
    <row r="249" spans="1:27" s="326" customFormat="1" hidden="1" outlineLevel="2" x14ac:dyDescent="0.3">
      <c r="E249" s="326" t="s">
        <v>1175</v>
      </c>
      <c r="F249" s="336"/>
      <c r="G249" s="327"/>
      <c r="H249" s="328"/>
      <c r="I249" s="329"/>
      <c r="J249" s="338">
        <v>0</v>
      </c>
      <c r="K249" s="330">
        <v>0</v>
      </c>
      <c r="L249" s="330">
        <v>0</v>
      </c>
      <c r="M249" s="330">
        <v>0</v>
      </c>
      <c r="N249" s="330">
        <v>0</v>
      </c>
      <c r="O249" s="330">
        <v>0</v>
      </c>
      <c r="P249" s="330">
        <v>0</v>
      </c>
      <c r="Q249" s="330">
        <v>0</v>
      </c>
      <c r="R249" s="330">
        <v>0</v>
      </c>
      <c r="S249" s="330">
        <v>0</v>
      </c>
      <c r="T249" s="330">
        <v>0</v>
      </c>
      <c r="U249" s="331">
        <v>0</v>
      </c>
      <c r="V249" s="332">
        <v>0</v>
      </c>
      <c r="W249" s="333"/>
      <c r="X249" s="334">
        <v>0</v>
      </c>
      <c r="Y249" s="335">
        <v>0</v>
      </c>
      <c r="AA249" s="388"/>
    </row>
    <row r="250" spans="1:27" s="326" customFormat="1" hidden="1" outlineLevel="2" x14ac:dyDescent="0.3">
      <c r="E250" s="326" t="s">
        <v>1176</v>
      </c>
      <c r="F250" s="336"/>
      <c r="G250" s="327"/>
      <c r="H250" s="328"/>
      <c r="I250" s="329"/>
      <c r="J250" s="338">
        <v>0</v>
      </c>
      <c r="K250" s="330">
        <v>0</v>
      </c>
      <c r="L250" s="330">
        <v>0</v>
      </c>
      <c r="M250" s="330">
        <v>0</v>
      </c>
      <c r="N250" s="330">
        <v>0</v>
      </c>
      <c r="O250" s="330">
        <v>0</v>
      </c>
      <c r="P250" s="330">
        <v>0</v>
      </c>
      <c r="Q250" s="330">
        <v>0</v>
      </c>
      <c r="R250" s="330">
        <v>0</v>
      </c>
      <c r="S250" s="330">
        <v>0</v>
      </c>
      <c r="T250" s="330">
        <v>0</v>
      </c>
      <c r="U250" s="331">
        <v>0</v>
      </c>
      <c r="V250" s="332">
        <v>0</v>
      </c>
      <c r="W250" s="333"/>
      <c r="X250" s="334">
        <v>0</v>
      </c>
      <c r="Y250" s="335">
        <v>0</v>
      </c>
      <c r="AA250" s="388"/>
    </row>
    <row r="251" spans="1:27" hidden="1" collapsed="1" x14ac:dyDescent="0.3">
      <c r="A251" s="233"/>
      <c r="B251" s="234" t="s">
        <v>15</v>
      </c>
      <c r="D251" s="293" t="s">
        <v>1177</v>
      </c>
      <c r="E251" s="294"/>
      <c r="F251" s="295" t="s">
        <v>1178</v>
      </c>
      <c r="G251" s="296"/>
      <c r="H251" s="297"/>
      <c r="I251" s="298"/>
      <c r="J251" s="299">
        <v>5925820.9260000018</v>
      </c>
      <c r="K251" s="300">
        <v>6027014.5730000008</v>
      </c>
      <c r="L251" s="300">
        <v>6042666.6840000004</v>
      </c>
      <c r="M251" s="300">
        <v>6718754.6569999987</v>
      </c>
      <c r="N251" s="300">
        <v>5317256.6229999997</v>
      </c>
      <c r="O251" s="300">
        <v>3866579.1649999996</v>
      </c>
      <c r="P251" s="300">
        <v>5373840.0099999998</v>
      </c>
      <c r="Q251" s="300">
        <v>5442683.1119999997</v>
      </c>
      <c r="R251" s="300">
        <v>6791682.8589999992</v>
      </c>
      <c r="S251" s="300">
        <v>5442313.6779999994</v>
      </c>
      <c r="T251" s="300">
        <v>5956766.4160000002</v>
      </c>
      <c r="U251" s="301">
        <v>6824297.9229999986</v>
      </c>
      <c r="V251" s="302">
        <v>69729676.626000032</v>
      </c>
      <c r="W251" s="303"/>
      <c r="X251" s="304">
        <v>6824297.9229999986</v>
      </c>
      <c r="Y251" s="305">
        <v>69729676.626000032</v>
      </c>
      <c r="AA251" s="388"/>
    </row>
    <row r="252" spans="1:27" hidden="1" outlineLevel="1" x14ac:dyDescent="0.3">
      <c r="E252" s="250" t="s">
        <v>1179</v>
      </c>
      <c r="F252" s="317">
        <v>4300601</v>
      </c>
      <c r="G252" s="318"/>
      <c r="H252" s="319">
        <v>5101050101</v>
      </c>
      <c r="I252" s="320"/>
      <c r="J252" s="337">
        <v>13287.250999999998</v>
      </c>
      <c r="K252" s="321">
        <v>66044.481999999989</v>
      </c>
      <c r="L252" s="321">
        <v>21222.801000000007</v>
      </c>
      <c r="M252" s="321">
        <v>23760.781000000003</v>
      </c>
      <c r="N252" s="321">
        <v>29459.001000000004</v>
      </c>
      <c r="O252" s="321">
        <v>22769.341000000004</v>
      </c>
      <c r="P252" s="321">
        <v>19293.401000000005</v>
      </c>
      <c r="Q252" s="321">
        <v>29620.001000000004</v>
      </c>
      <c r="R252" s="321">
        <v>47376.281000000003</v>
      </c>
      <c r="S252" s="321">
        <v>15977.501000000002</v>
      </c>
      <c r="T252" s="321">
        <v>49912.900999999998</v>
      </c>
      <c r="U252" s="322">
        <v>26164.021000000004</v>
      </c>
      <c r="V252" s="323">
        <v>364887.76300000004</v>
      </c>
      <c r="W252" s="303"/>
      <c r="X252" s="324">
        <v>26164.021000000004</v>
      </c>
      <c r="Y252" s="325">
        <v>364887.76300000004</v>
      </c>
      <c r="AA252" s="388"/>
    </row>
    <row r="253" spans="1:27" hidden="1" outlineLevel="1" x14ac:dyDescent="0.3">
      <c r="E253" s="250" t="s">
        <v>1180</v>
      </c>
      <c r="F253" s="317">
        <v>4300602</v>
      </c>
      <c r="G253" s="318"/>
      <c r="H253" s="319">
        <v>5101050103</v>
      </c>
      <c r="I253" s="320"/>
      <c r="J253" s="337">
        <v>18950</v>
      </c>
      <c r="K253" s="321">
        <v>36887.699999999997</v>
      </c>
      <c r="L253" s="321">
        <v>10770.2</v>
      </c>
      <c r="M253" s="321">
        <v>15810.798999999999</v>
      </c>
      <c r="N253" s="321">
        <v>61230.612999999998</v>
      </c>
      <c r="O253" s="321">
        <v>14684.659</v>
      </c>
      <c r="P253" s="321">
        <v>43397.2</v>
      </c>
      <c r="Q253" s="321">
        <v>47851.4</v>
      </c>
      <c r="R253" s="321">
        <v>60882.5</v>
      </c>
      <c r="S253" s="321">
        <v>24912.93</v>
      </c>
      <c r="T253" s="321">
        <v>47431.995999999999</v>
      </c>
      <c r="U253" s="322">
        <v>200539.12199999997</v>
      </c>
      <c r="V253" s="323">
        <v>583349.11899999995</v>
      </c>
      <c r="W253" s="303"/>
      <c r="X253" s="324">
        <v>200539.12199999997</v>
      </c>
      <c r="Y253" s="325">
        <v>583349.11899999995</v>
      </c>
      <c r="AA253" s="388"/>
    </row>
    <row r="254" spans="1:27" hidden="1" outlineLevel="1" x14ac:dyDescent="0.3">
      <c r="E254" s="250" t="s">
        <v>1181</v>
      </c>
      <c r="F254" s="317">
        <v>4300603</v>
      </c>
      <c r="G254" s="318"/>
      <c r="H254" s="319">
        <v>5101050105</v>
      </c>
      <c r="I254" s="320"/>
      <c r="J254" s="337">
        <v>16588.438999999998</v>
      </c>
      <c r="K254" s="321">
        <v>66123.433000000005</v>
      </c>
      <c r="L254" s="321">
        <v>582572.16300000006</v>
      </c>
      <c r="M254" s="321">
        <v>52538.079999999994</v>
      </c>
      <c r="N254" s="321">
        <v>16903.350000000002</v>
      </c>
      <c r="O254" s="321">
        <v>66776.47</v>
      </c>
      <c r="P254" s="321">
        <v>0</v>
      </c>
      <c r="Q254" s="321">
        <v>8351</v>
      </c>
      <c r="R254" s="321">
        <v>586566.22199999995</v>
      </c>
      <c r="S254" s="321">
        <v>34186.800000000003</v>
      </c>
      <c r="T254" s="321">
        <v>5321.1</v>
      </c>
      <c r="U254" s="322">
        <v>65114.03</v>
      </c>
      <c r="V254" s="323">
        <v>1501041.0870000001</v>
      </c>
      <c r="W254" s="303"/>
      <c r="X254" s="324">
        <v>65114.03</v>
      </c>
      <c r="Y254" s="325">
        <v>1501041.0870000001</v>
      </c>
      <c r="AA254" s="388"/>
    </row>
    <row r="255" spans="1:27" hidden="1" outlineLevel="1" x14ac:dyDescent="0.3">
      <c r="E255" s="250" t="s">
        <v>1182</v>
      </c>
      <c r="F255" s="317">
        <v>4300604</v>
      </c>
      <c r="G255" s="318"/>
      <c r="H255" s="319">
        <v>5101050199</v>
      </c>
      <c r="I255" s="320"/>
      <c r="J255" s="337">
        <v>129.81000000000003</v>
      </c>
      <c r="K255" s="321">
        <v>9.6</v>
      </c>
      <c r="L255" s="321">
        <v>9.6</v>
      </c>
      <c r="M255" s="321">
        <v>38.4</v>
      </c>
      <c r="N255" s="321">
        <v>0</v>
      </c>
      <c r="O255" s="321">
        <v>0</v>
      </c>
      <c r="P255" s="321">
        <v>0</v>
      </c>
      <c r="Q255" s="321">
        <v>0</v>
      </c>
      <c r="R255" s="321">
        <v>9.6</v>
      </c>
      <c r="S255" s="321">
        <v>27000</v>
      </c>
      <c r="T255" s="321">
        <v>0</v>
      </c>
      <c r="U255" s="322">
        <v>13719</v>
      </c>
      <c r="V255" s="323">
        <v>40916.009999999995</v>
      </c>
      <c r="W255" s="303"/>
      <c r="X255" s="324">
        <v>13719</v>
      </c>
      <c r="Y255" s="325">
        <v>40916.009999999995</v>
      </c>
      <c r="AA255" s="388"/>
    </row>
    <row r="256" spans="1:27" hidden="1" outlineLevel="1" x14ac:dyDescent="0.3">
      <c r="E256" s="250" t="s">
        <v>1183</v>
      </c>
      <c r="F256" s="317">
        <v>4300605</v>
      </c>
      <c r="G256" s="318"/>
      <c r="H256" s="319">
        <v>5101050119</v>
      </c>
      <c r="I256" s="320"/>
      <c r="J256" s="337">
        <v>52874.898999999998</v>
      </c>
      <c r="K256" s="321">
        <v>64407.339</v>
      </c>
      <c r="L256" s="321">
        <v>55545.988000000005</v>
      </c>
      <c r="M256" s="321">
        <v>62579.873</v>
      </c>
      <c r="N256" s="321">
        <v>59321.714</v>
      </c>
      <c r="O256" s="321">
        <v>56712.093999999997</v>
      </c>
      <c r="P256" s="321">
        <v>59657.572999999997</v>
      </c>
      <c r="Q256" s="321">
        <v>55317.165999999997</v>
      </c>
      <c r="R256" s="321">
        <v>63903.002</v>
      </c>
      <c r="S256" s="321">
        <v>65644.365999999995</v>
      </c>
      <c r="T256" s="321">
        <v>54055.900000000016</v>
      </c>
      <c r="U256" s="322">
        <v>59374.822999999997</v>
      </c>
      <c r="V256" s="323">
        <v>709394.73699999996</v>
      </c>
      <c r="W256" s="303"/>
      <c r="X256" s="324">
        <v>59374.822999999997</v>
      </c>
      <c r="Y256" s="325">
        <v>709394.73699999996</v>
      </c>
      <c r="AA256" s="388"/>
    </row>
    <row r="257" spans="5:27" hidden="1" outlineLevel="1" x14ac:dyDescent="0.3">
      <c r="E257" s="250" t="s">
        <v>1184</v>
      </c>
      <c r="F257" s="317">
        <v>4300606</v>
      </c>
      <c r="G257" s="318"/>
      <c r="H257" s="319">
        <v>5101050107</v>
      </c>
      <c r="I257" s="320"/>
      <c r="J257" s="337">
        <v>227748.489</v>
      </c>
      <c r="K257" s="321">
        <v>243588.383</v>
      </c>
      <c r="L257" s="321">
        <v>280086.19800000003</v>
      </c>
      <c r="M257" s="321">
        <v>242371.63100000002</v>
      </c>
      <c r="N257" s="321">
        <v>226291.196</v>
      </c>
      <c r="O257" s="321">
        <v>252140.29200000002</v>
      </c>
      <c r="P257" s="321">
        <v>253731.49799999996</v>
      </c>
      <c r="Q257" s="321">
        <v>282161.88</v>
      </c>
      <c r="R257" s="321">
        <v>231985.41800000003</v>
      </c>
      <c r="S257" s="321">
        <v>240782.84500000003</v>
      </c>
      <c r="T257" s="321">
        <v>249433.14499999999</v>
      </c>
      <c r="U257" s="322">
        <v>245828.25400000002</v>
      </c>
      <c r="V257" s="323">
        <v>2976149.2290000007</v>
      </c>
      <c r="W257" s="303"/>
      <c r="X257" s="324">
        <v>245828.25400000002</v>
      </c>
      <c r="Y257" s="325">
        <v>2976149.2290000007</v>
      </c>
      <c r="AA257" s="388"/>
    </row>
    <row r="258" spans="5:27" hidden="1" outlineLevel="1" x14ac:dyDescent="0.3">
      <c r="E258" s="250" t="s">
        <v>1185</v>
      </c>
      <c r="F258" s="317">
        <v>4300607</v>
      </c>
      <c r="G258" s="318"/>
      <c r="H258" s="319"/>
      <c r="I258" s="320"/>
      <c r="J258" s="337">
        <v>0</v>
      </c>
      <c r="K258" s="321">
        <v>0</v>
      </c>
      <c r="L258" s="321">
        <v>0</v>
      </c>
      <c r="M258" s="321">
        <v>0</v>
      </c>
      <c r="N258" s="321">
        <v>0</v>
      </c>
      <c r="O258" s="321">
        <v>0</v>
      </c>
      <c r="P258" s="321">
        <v>0</v>
      </c>
      <c r="Q258" s="321">
        <v>0</v>
      </c>
      <c r="R258" s="321">
        <v>0</v>
      </c>
      <c r="S258" s="321">
        <v>0</v>
      </c>
      <c r="T258" s="321">
        <v>0</v>
      </c>
      <c r="U258" s="322">
        <v>0</v>
      </c>
      <c r="V258" s="323">
        <v>0</v>
      </c>
      <c r="W258" s="303"/>
      <c r="X258" s="324">
        <v>0</v>
      </c>
      <c r="Y258" s="325">
        <v>0</v>
      </c>
      <c r="AA258" s="388"/>
    </row>
    <row r="259" spans="5:27" hidden="1" outlineLevel="1" x14ac:dyDescent="0.3">
      <c r="E259" s="250" t="s">
        <v>1186</v>
      </c>
      <c r="F259" s="317">
        <v>4300608</v>
      </c>
      <c r="G259" s="318"/>
      <c r="H259" s="319">
        <v>5101050113</v>
      </c>
      <c r="I259" s="320"/>
      <c r="J259" s="337">
        <v>553440</v>
      </c>
      <c r="K259" s="321">
        <v>39410.6</v>
      </c>
      <c r="L259" s="321">
        <v>900</v>
      </c>
      <c r="M259" s="321">
        <v>400</v>
      </c>
      <c r="N259" s="321">
        <v>741</v>
      </c>
      <c r="O259" s="321">
        <v>20323.8</v>
      </c>
      <c r="P259" s="321">
        <v>900</v>
      </c>
      <c r="Q259" s="321">
        <v>0</v>
      </c>
      <c r="R259" s="321">
        <v>532760</v>
      </c>
      <c r="S259" s="321">
        <v>1100</v>
      </c>
      <c r="T259" s="321">
        <v>-50240.701999999997</v>
      </c>
      <c r="U259" s="322">
        <v>8700</v>
      </c>
      <c r="V259" s="323">
        <v>1108434.6979999999</v>
      </c>
      <c r="W259" s="303"/>
      <c r="X259" s="324">
        <v>8700</v>
      </c>
      <c r="Y259" s="325">
        <v>1108434.6979999999</v>
      </c>
      <c r="AA259" s="388"/>
    </row>
    <row r="260" spans="5:27" hidden="1" outlineLevel="1" x14ac:dyDescent="0.3">
      <c r="E260" s="250" t="s">
        <v>1187</v>
      </c>
      <c r="F260" s="317">
        <v>4300609</v>
      </c>
      <c r="G260" s="318"/>
      <c r="H260" s="319">
        <v>5101050121</v>
      </c>
      <c r="I260" s="320"/>
      <c r="J260" s="337">
        <v>333425.51599999995</v>
      </c>
      <c r="K260" s="321">
        <v>402008.92400000006</v>
      </c>
      <c r="L260" s="321">
        <v>383759.64500000002</v>
      </c>
      <c r="M260" s="321">
        <v>425516.79599999991</v>
      </c>
      <c r="N260" s="321">
        <v>388590.68599999999</v>
      </c>
      <c r="O260" s="321">
        <v>382267.924</v>
      </c>
      <c r="P260" s="321">
        <v>422968.16599999997</v>
      </c>
      <c r="Q260" s="321">
        <v>376293.45399999991</v>
      </c>
      <c r="R260" s="321">
        <v>412161.853</v>
      </c>
      <c r="S260" s="321">
        <v>371301.57199999999</v>
      </c>
      <c r="T260" s="321">
        <v>514554.93500000006</v>
      </c>
      <c r="U260" s="322">
        <v>649666.93799999997</v>
      </c>
      <c r="V260" s="323">
        <v>5062516.409</v>
      </c>
      <c r="W260" s="303"/>
      <c r="X260" s="324">
        <v>649666.93799999997</v>
      </c>
      <c r="Y260" s="325">
        <v>5062516.409</v>
      </c>
      <c r="AA260" s="388"/>
    </row>
    <row r="261" spans="5:27" hidden="1" outlineLevel="1" x14ac:dyDescent="0.3">
      <c r="E261" s="250" t="s">
        <v>1188</v>
      </c>
      <c r="F261" s="317">
        <v>4300610</v>
      </c>
      <c r="G261" s="318"/>
      <c r="H261" s="319">
        <v>5101050115</v>
      </c>
      <c r="I261" s="320"/>
      <c r="J261" s="337">
        <v>1285202.9800000002</v>
      </c>
      <c r="K261" s="321">
        <v>1280975</v>
      </c>
      <c r="L261" s="321">
        <v>1228821.77</v>
      </c>
      <c r="M261" s="321">
        <v>2053776.263</v>
      </c>
      <c r="N261" s="321">
        <v>1346461.2300000004</v>
      </c>
      <c r="O261" s="321">
        <v>1335857.4749999999</v>
      </c>
      <c r="P261" s="321">
        <v>1275174.19</v>
      </c>
      <c r="Q261" s="321">
        <v>1282838.4300000002</v>
      </c>
      <c r="R261" s="321">
        <v>1277288.47</v>
      </c>
      <c r="S261" s="321">
        <v>1288030.7100000002</v>
      </c>
      <c r="T261" s="321">
        <v>1263360.004</v>
      </c>
      <c r="U261" s="322">
        <v>1271075.3259999997</v>
      </c>
      <c r="V261" s="323">
        <v>16188861.848000001</v>
      </c>
      <c r="W261" s="303"/>
      <c r="X261" s="324">
        <v>1271075.3259999997</v>
      </c>
      <c r="Y261" s="325">
        <v>16188861.848000001</v>
      </c>
      <c r="AA261" s="388"/>
    </row>
    <row r="262" spans="5:27" hidden="1" outlineLevel="1" x14ac:dyDescent="0.3">
      <c r="E262" s="250" t="s">
        <v>1189</v>
      </c>
      <c r="F262" s="317">
        <v>4300611</v>
      </c>
      <c r="G262" s="318"/>
      <c r="H262" s="319"/>
      <c r="I262" s="320"/>
      <c r="J262" s="337">
        <v>405202.08799999999</v>
      </c>
      <c r="K262" s="321">
        <v>277949.62999999995</v>
      </c>
      <c r="L262" s="321">
        <v>295462.39200000005</v>
      </c>
      <c r="M262" s="321">
        <v>323047.71499999997</v>
      </c>
      <c r="N262" s="321">
        <v>225304.50000000003</v>
      </c>
      <c r="O262" s="321">
        <v>-972126.95400000003</v>
      </c>
      <c r="P262" s="321">
        <v>185256.83600000001</v>
      </c>
      <c r="Q262" s="321">
        <v>223711.24</v>
      </c>
      <c r="R262" s="321">
        <v>226759.43999999997</v>
      </c>
      <c r="S262" s="321">
        <v>226908.83999999997</v>
      </c>
      <c r="T262" s="321">
        <v>220906.03999999998</v>
      </c>
      <c r="U262" s="322">
        <v>270811.11000000004</v>
      </c>
      <c r="V262" s="323">
        <v>1909192.8769999996</v>
      </c>
      <c r="W262" s="303"/>
      <c r="X262" s="324">
        <v>270811.11000000004</v>
      </c>
      <c r="Y262" s="325">
        <v>1909192.8769999996</v>
      </c>
      <c r="AA262" s="388"/>
    </row>
    <row r="263" spans="5:27" hidden="1" outlineLevel="1" x14ac:dyDescent="0.3">
      <c r="E263" s="250" t="s">
        <v>1190</v>
      </c>
      <c r="F263" s="317">
        <v>4300612</v>
      </c>
      <c r="G263" s="318"/>
      <c r="H263" s="319"/>
      <c r="I263" s="320"/>
      <c r="J263" s="337">
        <v>799523.99800000002</v>
      </c>
      <c r="K263" s="321">
        <v>547261.04299999983</v>
      </c>
      <c r="L263" s="321">
        <v>595061.36300000001</v>
      </c>
      <c r="M263" s="321">
        <v>705245.95299999986</v>
      </c>
      <c r="N263" s="321">
        <v>552381.87</v>
      </c>
      <c r="O263" s="321">
        <v>561478.2840000001</v>
      </c>
      <c r="P263" s="321">
        <v>456643.00199999998</v>
      </c>
      <c r="Q263" s="321">
        <v>550728.09</v>
      </c>
      <c r="R263" s="321">
        <v>557735.33999999985</v>
      </c>
      <c r="S263" s="321">
        <v>558400.19999999995</v>
      </c>
      <c r="T263" s="321">
        <v>544280.70199999993</v>
      </c>
      <c r="U263" s="322">
        <v>668340.2699999999</v>
      </c>
      <c r="V263" s="323">
        <v>7097080.1149999984</v>
      </c>
      <c r="W263" s="303"/>
      <c r="X263" s="324">
        <v>668340.2699999999</v>
      </c>
      <c r="Y263" s="325">
        <v>7097080.1149999984</v>
      </c>
      <c r="AA263" s="388"/>
    </row>
    <row r="264" spans="5:27" hidden="1" outlineLevel="1" x14ac:dyDescent="0.3">
      <c r="E264" s="250" t="s">
        <v>1191</v>
      </c>
      <c r="F264" s="317">
        <v>4300613</v>
      </c>
      <c r="G264" s="318"/>
      <c r="H264" s="319">
        <v>5101050117</v>
      </c>
      <c r="I264" s="320"/>
      <c r="J264" s="337">
        <v>362528.625</v>
      </c>
      <c r="K264" s="321">
        <v>350167.978</v>
      </c>
      <c r="L264" s="321">
        <v>316100.25199999992</v>
      </c>
      <c r="M264" s="321">
        <v>35759.595000000001</v>
      </c>
      <c r="N264" s="321">
        <v>211905.72000000003</v>
      </c>
      <c r="O264" s="321">
        <v>-184469.09400000001</v>
      </c>
      <c r="P264" s="321">
        <v>327809.24</v>
      </c>
      <c r="Q264" s="321">
        <v>6140.8999999999987</v>
      </c>
      <c r="R264" s="321">
        <v>-6523.8560000000034</v>
      </c>
      <c r="S264" s="321">
        <v>11892.120999999999</v>
      </c>
      <c r="T264" s="321">
        <v>18687.489000000005</v>
      </c>
      <c r="U264" s="322">
        <v>5936946.5990000013</v>
      </c>
      <c r="V264" s="323">
        <v>7386945.5690000011</v>
      </c>
      <c r="W264" s="303"/>
      <c r="X264" s="324">
        <v>5936946.5990000013</v>
      </c>
      <c r="Y264" s="325">
        <v>7386945.5690000011</v>
      </c>
      <c r="AA264" s="388"/>
    </row>
    <row r="265" spans="5:27" hidden="1" outlineLevel="1" x14ac:dyDescent="0.3">
      <c r="E265" s="250" t="s">
        <v>1192</v>
      </c>
      <c r="F265" s="317">
        <v>4300614</v>
      </c>
      <c r="G265" s="318"/>
      <c r="H265" s="319"/>
      <c r="I265" s="320"/>
      <c r="J265" s="337">
        <v>234.99</v>
      </c>
      <c r="K265" s="321">
        <v>533.12</v>
      </c>
      <c r="L265" s="321">
        <v>1130.21</v>
      </c>
      <c r="M265" s="321">
        <v>32795.979999999996</v>
      </c>
      <c r="N265" s="321">
        <v>43755.68</v>
      </c>
      <c r="O265" s="321">
        <v>4522.32</v>
      </c>
      <c r="P265" s="321">
        <v>10009.77</v>
      </c>
      <c r="Q265" s="321">
        <v>16999.84</v>
      </c>
      <c r="R265" s="321">
        <v>55598.62</v>
      </c>
      <c r="S265" s="321">
        <v>470.17</v>
      </c>
      <c r="T265" s="321">
        <v>28735.29</v>
      </c>
      <c r="U265" s="322">
        <v>819823.94</v>
      </c>
      <c r="V265" s="323">
        <v>1014609.9299999999</v>
      </c>
      <c r="W265" s="303"/>
      <c r="X265" s="324">
        <v>819823.94</v>
      </c>
      <c r="Y265" s="325">
        <v>1014609.9299999999</v>
      </c>
      <c r="AA265" s="388"/>
    </row>
    <row r="266" spans="5:27" hidden="1" outlineLevel="1" x14ac:dyDescent="0.3">
      <c r="E266" s="250" t="s">
        <v>1193</v>
      </c>
      <c r="F266" s="317">
        <v>4300618</v>
      </c>
      <c r="G266" s="318"/>
      <c r="H266" s="319"/>
      <c r="I266" s="320"/>
      <c r="J266" s="337">
        <v>6118.3</v>
      </c>
      <c r="K266" s="321">
        <v>1418.7</v>
      </c>
      <c r="L266" s="321">
        <v>1782.45</v>
      </c>
      <c r="M266" s="321">
        <v>8732.3169999999991</v>
      </c>
      <c r="N266" s="321">
        <v>13516.069</v>
      </c>
      <c r="O266" s="321">
        <v>12672.96</v>
      </c>
      <c r="P266" s="321">
        <v>2725.723</v>
      </c>
      <c r="Q266" s="321">
        <v>16618.651999999998</v>
      </c>
      <c r="R266" s="321">
        <v>18826.650000000001</v>
      </c>
      <c r="S266" s="321">
        <v>3853.27</v>
      </c>
      <c r="T266" s="321">
        <v>2689.9</v>
      </c>
      <c r="U266" s="322">
        <v>12378.653</v>
      </c>
      <c r="V266" s="323">
        <v>101333.644</v>
      </c>
      <c r="W266" s="303"/>
      <c r="X266" s="324">
        <v>12378.653</v>
      </c>
      <c r="Y266" s="325">
        <v>101333.644</v>
      </c>
      <c r="AA266" s="388"/>
    </row>
    <row r="267" spans="5:27" hidden="1" outlineLevel="1" x14ac:dyDescent="0.3">
      <c r="E267" s="250" t="s">
        <v>1194</v>
      </c>
      <c r="F267" s="317">
        <v>4300620</v>
      </c>
      <c r="G267" s="318"/>
      <c r="H267" s="319"/>
      <c r="I267" s="320"/>
      <c r="J267" s="337">
        <v>2449.6999999999998</v>
      </c>
      <c r="K267" s="321">
        <v>19948.07</v>
      </c>
      <c r="L267" s="321">
        <v>4708.5600000000004</v>
      </c>
      <c r="M267" s="321">
        <v>3985.127</v>
      </c>
      <c r="N267" s="321">
        <v>2930.98</v>
      </c>
      <c r="O267" s="321">
        <v>4248.7</v>
      </c>
      <c r="P267" s="321">
        <v>2998.8669999999997</v>
      </c>
      <c r="Q267" s="321">
        <v>3643.13</v>
      </c>
      <c r="R267" s="321">
        <v>3775.8</v>
      </c>
      <c r="S267" s="321">
        <v>10538.502</v>
      </c>
      <c r="T267" s="321">
        <v>3122</v>
      </c>
      <c r="U267" s="322">
        <v>3111.1590000000001</v>
      </c>
      <c r="V267" s="323">
        <v>65460.595000000001</v>
      </c>
      <c r="W267" s="303"/>
      <c r="X267" s="324">
        <v>3111.1590000000001</v>
      </c>
      <c r="Y267" s="325">
        <v>65460.595000000001</v>
      </c>
      <c r="AA267" s="388"/>
    </row>
    <row r="268" spans="5:27" hidden="1" outlineLevel="1" x14ac:dyDescent="0.3">
      <c r="E268" s="250" t="s">
        <v>1195</v>
      </c>
      <c r="F268" s="317">
        <v>4300621</v>
      </c>
      <c r="G268" s="318"/>
      <c r="H268" s="319"/>
      <c r="I268" s="320"/>
      <c r="J268" s="337">
        <v>277.94</v>
      </c>
      <c r="K268" s="321">
        <v>436.90700000000004</v>
      </c>
      <c r="L268" s="321">
        <v>546.09699999999998</v>
      </c>
      <c r="M268" s="321">
        <v>183.61199999999999</v>
      </c>
      <c r="N268" s="321">
        <v>270.67200000000003</v>
      </c>
      <c r="O268" s="321">
        <v>929.17200000000003</v>
      </c>
      <c r="P268" s="321">
        <v>913.49900000000002</v>
      </c>
      <c r="Q268" s="321">
        <v>484.06299999999999</v>
      </c>
      <c r="R268" s="321">
        <v>444.95500000000004</v>
      </c>
      <c r="S268" s="321">
        <v>1316.0039999999999</v>
      </c>
      <c r="T268" s="321">
        <v>407.16899999999998</v>
      </c>
      <c r="U268" s="322">
        <v>386.56900000000002</v>
      </c>
      <c r="V268" s="323">
        <v>6596.6590000000006</v>
      </c>
      <c r="W268" s="303"/>
      <c r="X268" s="324">
        <v>386.56900000000002</v>
      </c>
      <c r="Y268" s="325">
        <v>6596.6590000000006</v>
      </c>
      <c r="AA268" s="388"/>
    </row>
    <row r="269" spans="5:27" hidden="1" outlineLevel="1" x14ac:dyDescent="0.3">
      <c r="E269" s="250" t="s">
        <v>1196</v>
      </c>
      <c r="F269" s="317">
        <v>4300622</v>
      </c>
      <c r="G269" s="318"/>
      <c r="H269" s="319">
        <v>5101050109</v>
      </c>
      <c r="I269" s="320"/>
      <c r="J269" s="337">
        <v>237190.33300000001</v>
      </c>
      <c r="K269" s="321">
        <v>257308.467</v>
      </c>
      <c r="L269" s="321">
        <v>243121.28699999998</v>
      </c>
      <c r="M269" s="321">
        <v>226098.06</v>
      </c>
      <c r="N269" s="321">
        <v>234743.12700000001</v>
      </c>
      <c r="O269" s="321">
        <v>240374.83500000002</v>
      </c>
      <c r="P269" s="321">
        <v>242053.671</v>
      </c>
      <c r="Q269" s="321">
        <v>240777.08599999998</v>
      </c>
      <c r="R269" s="321">
        <v>232168.15900000001</v>
      </c>
      <c r="S269" s="321">
        <v>226428.174</v>
      </c>
      <c r="T269" s="321">
        <v>225904.39299999998</v>
      </c>
      <c r="U269" s="322">
        <v>207542.902</v>
      </c>
      <c r="V269" s="323">
        <v>2813710.4940000009</v>
      </c>
      <c r="W269" s="303"/>
      <c r="X269" s="324">
        <v>207542.902</v>
      </c>
      <c r="Y269" s="325">
        <v>2813710.4940000009</v>
      </c>
      <c r="AA269" s="388"/>
    </row>
    <row r="270" spans="5:27" hidden="1" outlineLevel="1" x14ac:dyDescent="0.3">
      <c r="E270" s="250" t="s">
        <v>1197</v>
      </c>
      <c r="F270" s="317">
        <v>4300623</v>
      </c>
      <c r="G270" s="318"/>
      <c r="H270" s="319"/>
      <c r="I270" s="320"/>
      <c r="J270" s="337">
        <v>20384.098999999998</v>
      </c>
      <c r="K270" s="321">
        <v>20384.099000000002</v>
      </c>
      <c r="L270" s="321">
        <v>20384.099000000006</v>
      </c>
      <c r="M270" s="321">
        <v>20384.098999999998</v>
      </c>
      <c r="N270" s="321">
        <v>20384.098999999998</v>
      </c>
      <c r="O270" s="321">
        <v>20384.099000000002</v>
      </c>
      <c r="P270" s="321">
        <v>20384.099000000002</v>
      </c>
      <c r="Q270" s="321">
        <v>20384.099000000002</v>
      </c>
      <c r="R270" s="321">
        <v>20384.099000000006</v>
      </c>
      <c r="S270" s="321">
        <v>20384.099000000002</v>
      </c>
      <c r="T270" s="321">
        <v>20384.099000000002</v>
      </c>
      <c r="U270" s="322">
        <v>20384.098999999998</v>
      </c>
      <c r="V270" s="323">
        <v>244609.18800000002</v>
      </c>
      <c r="W270" s="303"/>
      <c r="X270" s="324">
        <v>20384.098999999998</v>
      </c>
      <c r="Y270" s="325">
        <v>244609.18800000002</v>
      </c>
      <c r="AA270" s="388"/>
    </row>
    <row r="271" spans="5:27" hidden="1" outlineLevel="1" x14ac:dyDescent="0.3">
      <c r="E271" s="250" t="s">
        <v>1198</v>
      </c>
      <c r="F271" s="317">
        <v>4300624</v>
      </c>
      <c r="G271" s="318"/>
      <c r="H271" s="319"/>
      <c r="I271" s="320"/>
      <c r="J271" s="337">
        <v>29.900000000000034</v>
      </c>
      <c r="K271" s="321">
        <v>732.1</v>
      </c>
      <c r="L271" s="321">
        <v>-72</v>
      </c>
      <c r="M271" s="321">
        <v>368.5</v>
      </c>
      <c r="N271" s="321">
        <v>807.55</v>
      </c>
      <c r="O271" s="321">
        <v>413.4</v>
      </c>
      <c r="P271" s="321">
        <v>197.166</v>
      </c>
      <c r="Q271" s="321">
        <v>682.67200000000003</v>
      </c>
      <c r="R271" s="321">
        <v>357.68799999999999</v>
      </c>
      <c r="S271" s="321">
        <v>971.56400000000008</v>
      </c>
      <c r="T271" s="321">
        <v>307.60000000000002</v>
      </c>
      <c r="U271" s="322">
        <v>5739.3869999999997</v>
      </c>
      <c r="V271" s="323">
        <v>10535.527</v>
      </c>
      <c r="W271" s="303"/>
      <c r="X271" s="324">
        <v>5739.3869999999997</v>
      </c>
      <c r="Y271" s="325">
        <v>10535.527</v>
      </c>
      <c r="AA271" s="388"/>
    </row>
    <row r="272" spans="5:27" hidden="1" outlineLevel="1" x14ac:dyDescent="0.3">
      <c r="E272" s="250" t="s">
        <v>1199</v>
      </c>
      <c r="F272" s="317">
        <v>4300626</v>
      </c>
      <c r="G272" s="318"/>
      <c r="H272" s="319">
        <v>5101050111</v>
      </c>
      <c r="I272" s="320"/>
      <c r="J272" s="337">
        <v>5352.7839999999997</v>
      </c>
      <c r="K272" s="321">
        <v>5414.2199999999993</v>
      </c>
      <c r="L272" s="321">
        <v>5114.9699999999993</v>
      </c>
      <c r="M272" s="321">
        <v>5209.3860000000004</v>
      </c>
      <c r="N272" s="321">
        <v>4410.6900000000005</v>
      </c>
      <c r="O272" s="321">
        <v>5695.8389999999999</v>
      </c>
      <c r="P272" s="321">
        <v>5255.1669999999995</v>
      </c>
      <c r="Q272" s="321">
        <v>5423.2610000000004</v>
      </c>
      <c r="R272" s="321">
        <v>5441.0969999999998</v>
      </c>
      <c r="S272" s="321">
        <v>5121.817</v>
      </c>
      <c r="T272" s="321">
        <v>3838.4479999999999</v>
      </c>
      <c r="U272" s="322">
        <v>5077.3999999999996</v>
      </c>
      <c r="V272" s="323">
        <v>61355.079000000005</v>
      </c>
      <c r="W272" s="303"/>
      <c r="X272" s="324">
        <v>5077.3999999999996</v>
      </c>
      <c r="Y272" s="325">
        <v>61355.079000000005</v>
      </c>
      <c r="AA272" s="388"/>
    </row>
    <row r="273" spans="5:27" hidden="1" outlineLevel="1" x14ac:dyDescent="0.3">
      <c r="E273" s="250" t="s">
        <v>1200</v>
      </c>
      <c r="F273" s="317">
        <v>4300627</v>
      </c>
      <c r="G273" s="318"/>
      <c r="H273" s="319"/>
      <c r="I273" s="320"/>
      <c r="J273" s="337">
        <v>10793.9</v>
      </c>
      <c r="K273" s="321">
        <v>415546</v>
      </c>
      <c r="L273" s="321">
        <v>7228.5</v>
      </c>
      <c r="M273" s="321">
        <v>7492</v>
      </c>
      <c r="N273" s="321">
        <v>8759.5</v>
      </c>
      <c r="O273" s="321">
        <v>7767</v>
      </c>
      <c r="P273" s="321">
        <v>5593</v>
      </c>
      <c r="Q273" s="321">
        <v>7746.2</v>
      </c>
      <c r="R273" s="321">
        <v>4528.7</v>
      </c>
      <c r="S273" s="321">
        <v>10871.54</v>
      </c>
      <c r="T273" s="321">
        <v>19273.46</v>
      </c>
      <c r="U273" s="322">
        <v>12318.16</v>
      </c>
      <c r="V273" s="323">
        <v>517917.96</v>
      </c>
      <c r="W273" s="303"/>
      <c r="X273" s="324">
        <v>12318.16</v>
      </c>
      <c r="Y273" s="325">
        <v>517917.96</v>
      </c>
      <c r="AA273" s="388"/>
    </row>
    <row r="274" spans="5:27" hidden="1" outlineLevel="1" x14ac:dyDescent="0.3">
      <c r="E274" s="250" t="s">
        <v>1201</v>
      </c>
      <c r="F274" s="317">
        <v>4300628</v>
      </c>
      <c r="G274" s="318"/>
      <c r="H274" s="319"/>
      <c r="I274" s="320"/>
      <c r="J274" s="337">
        <v>15404.327000000003</v>
      </c>
      <c r="K274" s="321">
        <v>15442.927</v>
      </c>
      <c r="L274" s="321">
        <v>14802.505999999999</v>
      </c>
      <c r="M274" s="321">
        <v>13161.776999999998</v>
      </c>
      <c r="N274" s="321">
        <v>12350.204</v>
      </c>
      <c r="O274" s="321">
        <v>12835.922</v>
      </c>
      <c r="P274" s="321">
        <v>14352.718000000001</v>
      </c>
      <c r="Q274" s="321">
        <v>13411.433999999999</v>
      </c>
      <c r="R274" s="321">
        <v>13452.312</v>
      </c>
      <c r="S274" s="321">
        <v>11557.86</v>
      </c>
      <c r="T274" s="321">
        <v>13101.835000000003</v>
      </c>
      <c r="U274" s="322">
        <v>12770.120999999999</v>
      </c>
      <c r="V274" s="323">
        <v>162643.94299999997</v>
      </c>
      <c r="W274" s="303"/>
      <c r="X274" s="324">
        <v>12770.120999999999</v>
      </c>
      <c r="Y274" s="325">
        <v>162643.94299999997</v>
      </c>
      <c r="AA274" s="388"/>
    </row>
    <row r="275" spans="5:27" hidden="1" outlineLevel="1" x14ac:dyDescent="0.3">
      <c r="E275" s="250" t="s">
        <v>1202</v>
      </c>
      <c r="F275" s="317">
        <v>4300629</v>
      </c>
      <c r="G275" s="318"/>
      <c r="H275" s="319"/>
      <c r="I275" s="320"/>
      <c r="J275" s="337">
        <v>94288.830000000016</v>
      </c>
      <c r="K275" s="321">
        <v>76432.469999999987</v>
      </c>
      <c r="L275" s="321">
        <v>75477.188000000009</v>
      </c>
      <c r="M275" s="321">
        <v>87228.606000000014</v>
      </c>
      <c r="N275" s="321">
        <v>84004.358999999997</v>
      </c>
      <c r="O275" s="321">
        <v>83994.637000000017</v>
      </c>
      <c r="P275" s="321">
        <v>111986.702</v>
      </c>
      <c r="Q275" s="321">
        <v>96732.63499999998</v>
      </c>
      <c r="R275" s="321">
        <v>95192.294999999998</v>
      </c>
      <c r="S275" s="321">
        <v>95608.284999999974</v>
      </c>
      <c r="T275" s="321">
        <v>107188.59600000001</v>
      </c>
      <c r="U275" s="322">
        <v>99449.898000000016</v>
      </c>
      <c r="V275" s="323">
        <v>1107584.5010000002</v>
      </c>
      <c r="W275" s="303"/>
      <c r="X275" s="324">
        <v>99449.898000000016</v>
      </c>
      <c r="Y275" s="325">
        <v>1107584.5010000002</v>
      </c>
      <c r="AA275" s="388"/>
    </row>
    <row r="276" spans="5:27" hidden="1" outlineLevel="1" x14ac:dyDescent="0.3">
      <c r="E276" s="250" t="s">
        <v>1203</v>
      </c>
      <c r="F276" s="317">
        <v>4300633</v>
      </c>
      <c r="G276" s="318"/>
      <c r="H276" s="319"/>
      <c r="I276" s="320"/>
      <c r="J276" s="337">
        <v>19406.668999999998</v>
      </c>
      <c r="K276" s="321">
        <v>18314.717999999997</v>
      </c>
      <c r="L276" s="321">
        <v>17500.964</v>
      </c>
      <c r="M276" s="321">
        <v>22651.781000000003</v>
      </c>
      <c r="N276" s="321">
        <v>28002.253999999997</v>
      </c>
      <c r="O276" s="321">
        <v>25982.246999999999</v>
      </c>
      <c r="P276" s="321">
        <v>29269.82</v>
      </c>
      <c r="Q276" s="321">
        <v>25251.179000000004</v>
      </c>
      <c r="R276" s="321">
        <v>28900.985999999997</v>
      </c>
      <c r="S276" s="321">
        <v>25716.639999999999</v>
      </c>
      <c r="T276" s="321">
        <v>22735.066000000003</v>
      </c>
      <c r="U276" s="322">
        <v>30663.64</v>
      </c>
      <c r="V276" s="323">
        <v>294395.96400000004</v>
      </c>
      <c r="W276" s="303"/>
      <c r="X276" s="324">
        <v>30663.64</v>
      </c>
      <c r="Y276" s="325">
        <v>294395.96400000004</v>
      </c>
      <c r="AA276" s="388"/>
    </row>
    <row r="277" spans="5:27" hidden="1" outlineLevel="1" x14ac:dyDescent="0.3">
      <c r="E277" s="250" t="s">
        <v>1204</v>
      </c>
      <c r="F277" s="317">
        <v>4300640</v>
      </c>
      <c r="G277" s="318"/>
      <c r="H277" s="319"/>
      <c r="I277" s="320"/>
      <c r="J277" s="337">
        <v>226790.25</v>
      </c>
      <c r="K277" s="321">
        <v>330634.5</v>
      </c>
      <c r="L277" s="321">
        <v>373421.5</v>
      </c>
      <c r="M277" s="321">
        <v>441885.75</v>
      </c>
      <c r="N277" s="321">
        <v>337361.93</v>
      </c>
      <c r="O277" s="321">
        <v>308242.48</v>
      </c>
      <c r="P277" s="321">
        <v>235338.93</v>
      </c>
      <c r="Q277" s="321">
        <v>287181.5</v>
      </c>
      <c r="R277" s="321">
        <v>359880.41</v>
      </c>
      <c r="S277" s="321">
        <v>396473.5</v>
      </c>
      <c r="T277" s="321">
        <v>364651.5</v>
      </c>
      <c r="U277" s="322">
        <v>360042.75</v>
      </c>
      <c r="V277" s="323">
        <v>4021905</v>
      </c>
      <c r="W277" s="303"/>
      <c r="X277" s="324">
        <v>360042.75</v>
      </c>
      <c r="Y277" s="325">
        <v>4021905</v>
      </c>
      <c r="AA277" s="388"/>
    </row>
    <row r="278" spans="5:27" hidden="1" outlineLevel="1" x14ac:dyDescent="0.3">
      <c r="E278" s="250" t="s">
        <v>1205</v>
      </c>
      <c r="F278" s="317">
        <v>4300641</v>
      </c>
      <c r="G278" s="318"/>
      <c r="H278" s="319"/>
      <c r="I278" s="320"/>
      <c r="J278" s="337">
        <v>0</v>
      </c>
      <c r="K278" s="321">
        <v>0</v>
      </c>
      <c r="L278" s="321">
        <v>0</v>
      </c>
      <c r="M278" s="321">
        <v>0</v>
      </c>
      <c r="N278" s="321">
        <v>0</v>
      </c>
      <c r="O278" s="321">
        <v>0</v>
      </c>
      <c r="P278" s="321">
        <v>0</v>
      </c>
      <c r="Q278" s="321">
        <v>0</v>
      </c>
      <c r="R278" s="321">
        <v>0</v>
      </c>
      <c r="S278" s="321">
        <v>0</v>
      </c>
      <c r="T278" s="321">
        <v>0</v>
      </c>
      <c r="U278" s="322">
        <v>0</v>
      </c>
      <c r="V278" s="323">
        <v>0</v>
      </c>
      <c r="W278" s="303"/>
      <c r="X278" s="324">
        <v>0</v>
      </c>
      <c r="Y278" s="325">
        <v>0</v>
      </c>
      <c r="AA278" s="388"/>
    </row>
    <row r="279" spans="5:27" hidden="1" outlineLevel="1" x14ac:dyDescent="0.3">
      <c r="E279" s="250" t="s">
        <v>1206</v>
      </c>
      <c r="F279" s="317">
        <v>4300642</v>
      </c>
      <c r="G279" s="318"/>
      <c r="H279" s="319"/>
      <c r="I279" s="320"/>
      <c r="J279" s="337">
        <v>553531.5</v>
      </c>
      <c r="K279" s="321">
        <v>522494.96</v>
      </c>
      <c r="L279" s="321">
        <v>530048.49</v>
      </c>
      <c r="M279" s="321">
        <v>571139.1</v>
      </c>
      <c r="N279" s="321">
        <v>514887</v>
      </c>
      <c r="O279" s="321">
        <v>526562.80000000005</v>
      </c>
      <c r="P279" s="321">
        <v>572425</v>
      </c>
      <c r="Q279" s="321">
        <v>561334</v>
      </c>
      <c r="R279" s="321">
        <v>543682</v>
      </c>
      <c r="S279" s="321">
        <v>462436</v>
      </c>
      <c r="T279" s="321">
        <v>546244.5</v>
      </c>
      <c r="U279" s="322">
        <v>517921.12</v>
      </c>
      <c r="V279" s="323">
        <v>6422706.4699999997</v>
      </c>
      <c r="W279" s="303"/>
      <c r="X279" s="324">
        <v>517921.12</v>
      </c>
      <c r="Y279" s="325">
        <v>6422706.4699999997</v>
      </c>
      <c r="AA279" s="388"/>
    </row>
    <row r="280" spans="5:27" hidden="1" outlineLevel="1" x14ac:dyDescent="0.3">
      <c r="E280" s="250" t="s">
        <v>1207</v>
      </c>
      <c r="F280" s="317">
        <v>4300643</v>
      </c>
      <c r="G280" s="318"/>
      <c r="H280" s="319"/>
      <c r="I280" s="320"/>
      <c r="J280" s="337">
        <v>-6309.2950000000001</v>
      </c>
      <c r="K280" s="321">
        <v>30978.697000000004</v>
      </c>
      <c r="L280" s="321">
        <v>42245.91</v>
      </c>
      <c r="M280" s="321">
        <v>38075.672999999995</v>
      </c>
      <c r="N280" s="321">
        <v>99065.550000000017</v>
      </c>
      <c r="O280" s="321">
        <v>217718.27699999997</v>
      </c>
      <c r="P280" s="321">
        <v>173809.54699999999</v>
      </c>
      <c r="Q280" s="321">
        <v>262264.73100000003</v>
      </c>
      <c r="R280" s="321">
        <v>340524.44</v>
      </c>
      <c r="S280" s="321">
        <v>226976.22999999998</v>
      </c>
      <c r="T280" s="321">
        <v>561455.27799999993</v>
      </c>
      <c r="U280" s="322">
        <v>342243.68900000001</v>
      </c>
      <c r="V280" s="323">
        <v>2329048.727</v>
      </c>
      <c r="W280" s="303"/>
      <c r="X280" s="324">
        <v>342243.68900000001</v>
      </c>
      <c r="Y280" s="325">
        <v>2329048.727</v>
      </c>
      <c r="AA280" s="388"/>
    </row>
    <row r="281" spans="5:27" hidden="1" outlineLevel="1" x14ac:dyDescent="0.3">
      <c r="E281" s="250" t="s">
        <v>1208</v>
      </c>
      <c r="F281" s="317">
        <v>4300644</v>
      </c>
      <c r="G281" s="318"/>
      <c r="H281" s="319"/>
      <c r="I281" s="320"/>
      <c r="J281" s="337">
        <v>0</v>
      </c>
      <c r="K281" s="321">
        <v>0</v>
      </c>
      <c r="L281" s="321">
        <v>0</v>
      </c>
      <c r="M281" s="321">
        <v>-3103.7059999999997</v>
      </c>
      <c r="N281" s="321">
        <v>0</v>
      </c>
      <c r="O281" s="321">
        <v>0</v>
      </c>
      <c r="P281" s="321">
        <v>-18531.93</v>
      </c>
      <c r="Q281" s="321">
        <v>0</v>
      </c>
      <c r="R281" s="321">
        <v>0</v>
      </c>
      <c r="S281" s="321">
        <v>-38982.644000000008</v>
      </c>
      <c r="T281" s="321">
        <v>0</v>
      </c>
      <c r="U281" s="322">
        <v>-44468.732000000004</v>
      </c>
      <c r="V281" s="323">
        <v>-105087.01200000002</v>
      </c>
      <c r="W281" s="303"/>
      <c r="X281" s="324">
        <v>-44468.732000000004</v>
      </c>
      <c r="Y281" s="325">
        <v>-105087.01200000002</v>
      </c>
      <c r="AA281" s="388"/>
    </row>
    <row r="282" spans="5:27" hidden="1" outlineLevel="1" x14ac:dyDescent="0.3">
      <c r="E282" s="250" t="s">
        <v>1209</v>
      </c>
      <c r="F282" s="317">
        <v>4300651</v>
      </c>
      <c r="G282" s="318"/>
      <c r="H282" s="319"/>
      <c r="I282" s="320"/>
      <c r="J282" s="337">
        <v>0</v>
      </c>
      <c r="K282" s="321">
        <v>0</v>
      </c>
      <c r="L282" s="321">
        <v>0</v>
      </c>
      <c r="M282" s="321">
        <v>-50140.667999999983</v>
      </c>
      <c r="N282" s="321">
        <v>0</v>
      </c>
      <c r="O282" s="321">
        <v>0</v>
      </c>
      <c r="P282" s="321">
        <v>-67982.614000000001</v>
      </c>
      <c r="Q282" s="321">
        <v>0</v>
      </c>
      <c r="R282" s="321">
        <v>0</v>
      </c>
      <c r="S282" s="321">
        <v>-77995.656999999992</v>
      </c>
      <c r="T282" s="321">
        <v>0</v>
      </c>
      <c r="U282" s="322">
        <v>-88915.650000000009</v>
      </c>
      <c r="V282" s="323">
        <v>-285034.58899999998</v>
      </c>
      <c r="W282" s="303"/>
      <c r="X282" s="324">
        <v>-88915.650000000009</v>
      </c>
      <c r="Y282" s="325">
        <v>-285034.58899999998</v>
      </c>
      <c r="AA282" s="388"/>
    </row>
    <row r="283" spans="5:27" hidden="1" outlineLevel="1" x14ac:dyDescent="0.3">
      <c r="E283" s="250" t="s">
        <v>1210</v>
      </c>
      <c r="F283" s="317">
        <v>4300652</v>
      </c>
      <c r="G283" s="318"/>
      <c r="H283" s="319"/>
      <c r="I283" s="320"/>
      <c r="J283" s="337">
        <v>0</v>
      </c>
      <c r="K283" s="321">
        <v>0</v>
      </c>
      <c r="L283" s="321">
        <v>0</v>
      </c>
      <c r="M283" s="321">
        <v>-323.05099999999993</v>
      </c>
      <c r="N283" s="321">
        <v>0</v>
      </c>
      <c r="O283" s="321">
        <v>0</v>
      </c>
      <c r="P283" s="321">
        <v>-348.82000000000005</v>
      </c>
      <c r="Q283" s="321">
        <v>0</v>
      </c>
      <c r="R283" s="321">
        <v>0</v>
      </c>
      <c r="S283" s="321">
        <v>-550.97699999999998</v>
      </c>
      <c r="T283" s="321">
        <v>0</v>
      </c>
      <c r="U283" s="322">
        <v>-420.76900000000001</v>
      </c>
      <c r="V283" s="323">
        <v>-1643.617</v>
      </c>
      <c r="W283" s="303"/>
      <c r="X283" s="324">
        <v>-420.76900000000001</v>
      </c>
      <c r="Y283" s="325">
        <v>-1643.617</v>
      </c>
      <c r="AA283" s="388"/>
    </row>
    <row r="284" spans="5:27" hidden="1" outlineLevel="1" x14ac:dyDescent="0.3">
      <c r="E284" s="250" t="s">
        <v>1211</v>
      </c>
      <c r="F284" s="317">
        <v>4300655</v>
      </c>
      <c r="G284" s="318"/>
      <c r="H284" s="319"/>
      <c r="I284" s="320"/>
      <c r="J284" s="337">
        <v>26098.6</v>
      </c>
      <c r="K284" s="321">
        <v>27131.199999999997</v>
      </c>
      <c r="L284" s="321">
        <v>30215.849999999995</v>
      </c>
      <c r="M284" s="321">
        <v>31571.849999999995</v>
      </c>
      <c r="N284" s="321">
        <v>34346.879000000008</v>
      </c>
      <c r="O284" s="321">
        <v>35272.650000000009</v>
      </c>
      <c r="P284" s="321">
        <v>36226.650000000009</v>
      </c>
      <c r="Q284" s="321">
        <v>36767.700000000004</v>
      </c>
      <c r="R284" s="321">
        <v>37664.100000000006</v>
      </c>
      <c r="S284" s="321">
        <v>38800.350000000006</v>
      </c>
      <c r="T284" s="321">
        <v>39620.400000000001</v>
      </c>
      <c r="U284" s="322">
        <v>40670.249999999993</v>
      </c>
      <c r="V284" s="323">
        <v>414386.47900000005</v>
      </c>
      <c r="W284" s="303"/>
      <c r="X284" s="324">
        <v>40670.249999999993</v>
      </c>
      <c r="Y284" s="325">
        <v>414386.47900000005</v>
      </c>
      <c r="AA284" s="388"/>
    </row>
    <row r="285" spans="5:27" hidden="1" outlineLevel="1" x14ac:dyDescent="0.3">
      <c r="E285" s="250" t="s">
        <v>1212</v>
      </c>
      <c r="F285" s="317">
        <v>4300656</v>
      </c>
      <c r="G285" s="318"/>
      <c r="H285" s="319"/>
      <c r="I285" s="320"/>
      <c r="J285" s="337">
        <v>35000</v>
      </c>
      <c r="K285" s="321">
        <v>35000</v>
      </c>
      <c r="L285" s="321">
        <v>35700</v>
      </c>
      <c r="M285" s="321">
        <v>35600</v>
      </c>
      <c r="N285" s="321">
        <v>36400</v>
      </c>
      <c r="O285" s="321">
        <v>36500</v>
      </c>
      <c r="P285" s="321">
        <v>36500</v>
      </c>
      <c r="Q285" s="321">
        <v>36500</v>
      </c>
      <c r="R285" s="321">
        <v>36400</v>
      </c>
      <c r="S285" s="321">
        <v>36300</v>
      </c>
      <c r="T285" s="321">
        <v>36200</v>
      </c>
      <c r="U285" s="322">
        <v>35800</v>
      </c>
      <c r="V285" s="323">
        <v>431900</v>
      </c>
      <c r="W285" s="303"/>
      <c r="X285" s="324">
        <v>35800</v>
      </c>
      <c r="Y285" s="325">
        <v>431900</v>
      </c>
      <c r="AA285" s="388"/>
    </row>
    <row r="286" spans="5:27" hidden="1" outlineLevel="1" x14ac:dyDescent="0.3">
      <c r="E286" s="250" t="s">
        <v>1213</v>
      </c>
      <c r="F286" s="317">
        <v>4300657</v>
      </c>
      <c r="G286" s="318"/>
      <c r="H286" s="319"/>
      <c r="I286" s="320"/>
      <c r="J286" s="337">
        <v>100</v>
      </c>
      <c r="K286" s="321">
        <v>100</v>
      </c>
      <c r="L286" s="321">
        <v>100</v>
      </c>
      <c r="M286" s="321">
        <v>100</v>
      </c>
      <c r="N286" s="321">
        <v>100</v>
      </c>
      <c r="O286" s="321">
        <v>100</v>
      </c>
      <c r="P286" s="321">
        <v>100</v>
      </c>
      <c r="Q286" s="321">
        <v>100</v>
      </c>
      <c r="R286" s="321">
        <v>100</v>
      </c>
      <c r="S286" s="321">
        <v>100</v>
      </c>
      <c r="T286" s="321">
        <v>100</v>
      </c>
      <c r="U286" s="322">
        <v>100</v>
      </c>
      <c r="V286" s="323">
        <v>1200</v>
      </c>
      <c r="W286" s="303"/>
      <c r="X286" s="324">
        <v>100</v>
      </c>
      <c r="Y286" s="325">
        <v>1200</v>
      </c>
      <c r="AA286" s="388"/>
    </row>
    <row r="287" spans="5:27" hidden="1" outlineLevel="1" x14ac:dyDescent="0.3">
      <c r="E287" s="250" t="s">
        <v>1214</v>
      </c>
      <c r="F287" s="317">
        <v>4300658</v>
      </c>
      <c r="G287" s="318"/>
      <c r="H287" s="319"/>
      <c r="I287" s="320"/>
      <c r="J287" s="337">
        <v>12510.272999999999</v>
      </c>
      <c r="K287" s="321">
        <v>12777.272999999999</v>
      </c>
      <c r="L287" s="321">
        <v>12049.272999999999</v>
      </c>
      <c r="M287" s="321">
        <v>13638.272999999999</v>
      </c>
      <c r="N287" s="321">
        <v>11977.272999999999</v>
      </c>
      <c r="O287" s="321">
        <v>11569.772999999999</v>
      </c>
      <c r="P287" s="321">
        <v>13742.772999999999</v>
      </c>
      <c r="Q287" s="321">
        <v>11033.272999999999</v>
      </c>
      <c r="R287" s="321">
        <v>11766.272999999999</v>
      </c>
      <c r="S287" s="321">
        <v>9928.2729999999992</v>
      </c>
      <c r="T287" s="321">
        <v>11113.272999999999</v>
      </c>
      <c r="U287" s="322">
        <v>11806.272999999999</v>
      </c>
      <c r="V287" s="323">
        <v>143912.27599999998</v>
      </c>
      <c r="W287" s="303"/>
      <c r="X287" s="324">
        <v>11806.272999999999</v>
      </c>
      <c r="Y287" s="325">
        <v>143912.27599999998</v>
      </c>
      <c r="AA287" s="388"/>
    </row>
    <row r="288" spans="5:27" hidden="1" outlineLevel="1" x14ac:dyDescent="0.3">
      <c r="E288" s="250" t="s">
        <v>1215</v>
      </c>
      <c r="F288" s="317">
        <v>4300659</v>
      </c>
      <c r="G288" s="318"/>
      <c r="H288" s="319"/>
      <c r="I288" s="320"/>
      <c r="J288" s="337">
        <v>6224.0469999999996</v>
      </c>
      <c r="K288" s="321">
        <v>5876.5919999999996</v>
      </c>
      <c r="L288" s="321">
        <v>5145.9949999999999</v>
      </c>
      <c r="M288" s="321">
        <v>5775.1539999999995</v>
      </c>
      <c r="N288" s="321">
        <v>6523.0099999999993</v>
      </c>
      <c r="O288" s="321">
        <v>6698.4369999999999</v>
      </c>
      <c r="P288" s="321">
        <v>6371.3810000000003</v>
      </c>
      <c r="Q288" s="321">
        <v>6397.7110000000002</v>
      </c>
      <c r="R288" s="321">
        <v>6427.7489999999998</v>
      </c>
      <c r="S288" s="321">
        <v>6146.2089999999998</v>
      </c>
      <c r="T288" s="321">
        <v>6341.9900000000007</v>
      </c>
      <c r="U288" s="322">
        <v>6100.0020000000004</v>
      </c>
      <c r="V288" s="323">
        <v>74028.277000000002</v>
      </c>
      <c r="W288" s="303"/>
      <c r="X288" s="324">
        <v>6100.0020000000004</v>
      </c>
      <c r="Y288" s="325">
        <v>74028.277000000002</v>
      </c>
      <c r="AA288" s="388"/>
    </row>
    <row r="289" spans="1:27" hidden="1" outlineLevel="1" x14ac:dyDescent="0.3">
      <c r="E289" s="250" t="s">
        <v>1216</v>
      </c>
      <c r="F289" s="317">
        <v>4300681</v>
      </c>
      <c r="G289" s="318"/>
      <c r="H289" s="319"/>
      <c r="I289" s="320"/>
      <c r="J289" s="337">
        <v>222844.962</v>
      </c>
      <c r="K289" s="321">
        <v>686378.70799999998</v>
      </c>
      <c r="L289" s="321">
        <v>651043.18099999998</v>
      </c>
      <c r="M289" s="321">
        <v>758826.64500000002</v>
      </c>
      <c r="N289" s="321">
        <v>402266.67400000006</v>
      </c>
      <c r="O289" s="321">
        <v>396123.06</v>
      </c>
      <c r="P289" s="321">
        <v>358102.68900000001</v>
      </c>
      <c r="Q289" s="321">
        <v>594246.13899999997</v>
      </c>
      <c r="R289" s="321">
        <v>582127.36199999996</v>
      </c>
      <c r="S289" s="321">
        <v>570512.37099999993</v>
      </c>
      <c r="T289" s="321">
        <v>596749.32299999986</v>
      </c>
      <c r="U289" s="322">
        <v>-9385706.631000001</v>
      </c>
      <c r="V289" s="323">
        <v>-3566485.5170000009</v>
      </c>
      <c r="W289" s="303"/>
      <c r="X289" s="324">
        <v>-9385706.631000001</v>
      </c>
      <c r="Y289" s="325">
        <v>-3566485.5170000009</v>
      </c>
      <c r="AA289" s="388"/>
    </row>
    <row r="290" spans="1:27" hidden="1" outlineLevel="1" x14ac:dyDescent="0.3">
      <c r="E290" s="250" t="s">
        <v>1217</v>
      </c>
      <c r="F290" s="317">
        <v>4300682</v>
      </c>
      <c r="G290" s="318"/>
      <c r="H290" s="319"/>
      <c r="I290" s="320"/>
      <c r="J290" s="337">
        <v>-95454.054000000004</v>
      </c>
      <c r="K290" s="321">
        <v>-161353.86799999996</v>
      </c>
      <c r="L290" s="321">
        <v>-106376.19000000002</v>
      </c>
      <c r="M290" s="321">
        <v>-42914.966999999997</v>
      </c>
      <c r="N290" s="321">
        <v>5272.4169999999995</v>
      </c>
      <c r="O290" s="321">
        <v>21539.476999999992</v>
      </c>
      <c r="P290" s="321">
        <v>38353.304000000004</v>
      </c>
      <c r="Q290" s="321">
        <v>38977.197999999997</v>
      </c>
      <c r="R290" s="321">
        <v>57536.603000000003</v>
      </c>
      <c r="S290" s="321">
        <v>47361.868000000009</v>
      </c>
      <c r="T290" s="321">
        <v>39576.342000000011</v>
      </c>
      <c r="U290" s="322">
        <v>1867173.9809999999</v>
      </c>
      <c r="V290" s="323">
        <v>1709692.111</v>
      </c>
      <c r="W290" s="303"/>
      <c r="X290" s="324">
        <v>1867173.9809999999</v>
      </c>
      <c r="Y290" s="325">
        <v>1709692.111</v>
      </c>
      <c r="AA290" s="388"/>
    </row>
    <row r="291" spans="1:27" hidden="1" outlineLevel="1" x14ac:dyDescent="0.3">
      <c r="E291" s="250" t="s">
        <v>1218</v>
      </c>
      <c r="F291" s="317">
        <v>4300689</v>
      </c>
      <c r="G291" s="318"/>
      <c r="H291" s="319">
        <v>5101050123</v>
      </c>
      <c r="I291" s="320"/>
      <c r="J291" s="337">
        <v>96627.720000000016</v>
      </c>
      <c r="K291" s="321">
        <v>96627.720000000016</v>
      </c>
      <c r="L291" s="321">
        <v>96627.720000000016</v>
      </c>
      <c r="M291" s="321">
        <v>96627.720000000016</v>
      </c>
      <c r="N291" s="321">
        <v>96627.720000000016</v>
      </c>
      <c r="O291" s="321">
        <v>96627.720000000016</v>
      </c>
      <c r="P291" s="321">
        <v>96627.720000000016</v>
      </c>
      <c r="Q291" s="321">
        <v>96627.720000000016</v>
      </c>
      <c r="R291" s="321">
        <v>96627.720000000016</v>
      </c>
      <c r="S291" s="321">
        <v>96627.720000000016</v>
      </c>
      <c r="T291" s="321">
        <v>96627.720000000016</v>
      </c>
      <c r="U291" s="322">
        <v>1455674.5149999999</v>
      </c>
      <c r="V291" s="323">
        <v>2518579.4349999996</v>
      </c>
      <c r="W291" s="303"/>
      <c r="X291" s="324">
        <v>1455674.5149999999</v>
      </c>
      <c r="Y291" s="325">
        <v>2518579.4349999996</v>
      </c>
      <c r="AA291" s="388"/>
    </row>
    <row r="292" spans="1:27" hidden="1" outlineLevel="1" x14ac:dyDescent="0.3">
      <c r="E292" s="250" t="s">
        <v>1219</v>
      </c>
      <c r="F292" s="317">
        <v>4300691</v>
      </c>
      <c r="G292" s="318"/>
      <c r="H292" s="319"/>
      <c r="I292" s="320"/>
      <c r="J292" s="337">
        <v>0</v>
      </c>
      <c r="K292" s="321">
        <v>0</v>
      </c>
      <c r="L292" s="321">
        <v>0</v>
      </c>
      <c r="M292" s="321">
        <v>-10950.236999999997</v>
      </c>
      <c r="N292" s="321">
        <v>0</v>
      </c>
      <c r="O292" s="321">
        <v>0</v>
      </c>
      <c r="P292" s="321">
        <v>-16151.843999999999</v>
      </c>
      <c r="Q292" s="321">
        <v>0</v>
      </c>
      <c r="R292" s="321">
        <v>0</v>
      </c>
      <c r="S292" s="321">
        <v>-18239.109000000004</v>
      </c>
      <c r="T292" s="321">
        <v>0</v>
      </c>
      <c r="U292" s="322">
        <v>-20284.948999999997</v>
      </c>
      <c r="V292" s="323">
        <v>-65626.138999999996</v>
      </c>
      <c r="W292" s="303"/>
      <c r="X292" s="324">
        <v>-20284.948999999997</v>
      </c>
      <c r="Y292" s="325">
        <v>-65626.138999999996</v>
      </c>
      <c r="AA292" s="388"/>
    </row>
    <row r="293" spans="1:27" hidden="1" outlineLevel="1" x14ac:dyDescent="0.3">
      <c r="E293" s="250" t="s">
        <v>1220</v>
      </c>
      <c r="F293" s="317">
        <v>4300698</v>
      </c>
      <c r="G293" s="318"/>
      <c r="H293" s="319"/>
      <c r="I293" s="320"/>
      <c r="J293" s="337">
        <v>137711.23700000002</v>
      </c>
      <c r="K293" s="321">
        <v>199054.05300000001</v>
      </c>
      <c r="L293" s="321">
        <v>180334.62800000003</v>
      </c>
      <c r="M293" s="321">
        <v>212639.55100000006</v>
      </c>
      <c r="N293" s="321">
        <v>181550.56600000002</v>
      </c>
      <c r="O293" s="321">
        <v>206710.19699999996</v>
      </c>
      <c r="P293" s="321">
        <v>195276.79899999997</v>
      </c>
      <c r="Q293" s="321">
        <v>179597.63100000002</v>
      </c>
      <c r="R293" s="321">
        <v>196853.23699999999</v>
      </c>
      <c r="S293" s="321">
        <v>172557.65299999999</v>
      </c>
      <c r="T293" s="321">
        <v>223970.50399999999</v>
      </c>
      <c r="U293" s="322">
        <v>264176.21000000002</v>
      </c>
      <c r="V293" s="323">
        <v>2350432.2659999998</v>
      </c>
      <c r="W293" s="303"/>
      <c r="X293" s="324">
        <v>264176.21000000002</v>
      </c>
      <c r="Y293" s="325">
        <v>2350432.2659999998</v>
      </c>
      <c r="AA293" s="388"/>
    </row>
    <row r="294" spans="1:27" hidden="1" outlineLevel="1" x14ac:dyDescent="0.3">
      <c r="E294" s="250" t="s">
        <v>1221</v>
      </c>
      <c r="F294" s="317">
        <v>4300699</v>
      </c>
      <c r="G294" s="318"/>
      <c r="H294" s="319"/>
      <c r="I294" s="320"/>
      <c r="J294" s="337">
        <v>229311.81900000002</v>
      </c>
      <c r="K294" s="321">
        <v>34568.828000000001</v>
      </c>
      <c r="L294" s="321">
        <v>30073.124</v>
      </c>
      <c r="M294" s="321">
        <v>251170.43900000004</v>
      </c>
      <c r="N294" s="321">
        <v>18351.539999999997</v>
      </c>
      <c r="O294" s="321">
        <v>26678.872000000003</v>
      </c>
      <c r="P294" s="321">
        <v>223409.11699999997</v>
      </c>
      <c r="Q294" s="321">
        <v>20487.697</v>
      </c>
      <c r="R294" s="321">
        <v>52117.33400000001</v>
      </c>
      <c r="S294" s="321">
        <v>234886.08099999998</v>
      </c>
      <c r="T294" s="321">
        <v>68724.22</v>
      </c>
      <c r="U294" s="322">
        <v>816460.44300000009</v>
      </c>
      <c r="V294" s="323">
        <v>2006239.514</v>
      </c>
      <c r="W294" s="303"/>
      <c r="X294" s="324">
        <v>816460.44300000009</v>
      </c>
      <c r="Y294" s="325">
        <v>2006239.514</v>
      </c>
      <c r="AA294" s="388"/>
    </row>
    <row r="295" spans="1:27" s="350" customFormat="1" hidden="1" outlineLevel="2" x14ac:dyDescent="0.3">
      <c r="E295" s="326" t="s">
        <v>1222</v>
      </c>
      <c r="F295" s="306"/>
      <c r="G295" s="307"/>
      <c r="H295" s="308"/>
      <c r="I295" s="309"/>
      <c r="J295" s="310">
        <v>0</v>
      </c>
      <c r="K295" s="311">
        <v>0</v>
      </c>
      <c r="L295" s="311">
        <v>0</v>
      </c>
      <c r="M295" s="311">
        <v>0</v>
      </c>
      <c r="N295" s="311">
        <v>0</v>
      </c>
      <c r="O295" s="311">
        <v>0</v>
      </c>
      <c r="P295" s="311">
        <v>0</v>
      </c>
      <c r="Q295" s="311">
        <v>0</v>
      </c>
      <c r="R295" s="311">
        <v>0</v>
      </c>
      <c r="S295" s="311">
        <v>0</v>
      </c>
      <c r="T295" s="311">
        <v>0</v>
      </c>
      <c r="U295" s="312">
        <v>0</v>
      </c>
      <c r="V295" s="313">
        <v>0</v>
      </c>
      <c r="W295" s="314"/>
      <c r="X295" s="315">
        <v>0</v>
      </c>
      <c r="Y295" s="316">
        <v>0</v>
      </c>
      <c r="AA295" s="388"/>
    </row>
    <row r="296" spans="1:27" s="361" customFormat="1" hidden="1" outlineLevel="2" x14ac:dyDescent="0.3">
      <c r="E296" s="326" t="s">
        <v>1223</v>
      </c>
      <c r="F296" s="351"/>
      <c r="G296" s="352"/>
      <c r="H296" s="353"/>
      <c r="I296" s="354"/>
      <c r="J296" s="362">
        <v>0</v>
      </c>
      <c r="K296" s="355">
        <v>0</v>
      </c>
      <c r="L296" s="355">
        <v>0</v>
      </c>
      <c r="M296" s="355">
        <v>0</v>
      </c>
      <c r="N296" s="355">
        <v>0</v>
      </c>
      <c r="O296" s="355">
        <v>0</v>
      </c>
      <c r="P296" s="355">
        <v>0</v>
      </c>
      <c r="Q296" s="355">
        <v>0</v>
      </c>
      <c r="R296" s="355">
        <v>0</v>
      </c>
      <c r="S296" s="355">
        <v>0</v>
      </c>
      <c r="T296" s="355">
        <v>0</v>
      </c>
      <c r="U296" s="356">
        <v>0</v>
      </c>
      <c r="V296" s="357">
        <v>0</v>
      </c>
      <c r="W296" s="358"/>
      <c r="X296" s="359">
        <v>0</v>
      </c>
      <c r="Y296" s="360">
        <v>0</v>
      </c>
      <c r="AA296" s="388"/>
    </row>
    <row r="297" spans="1:27" s="361" customFormat="1" hidden="1" outlineLevel="2" x14ac:dyDescent="0.3">
      <c r="E297" s="326" t="s">
        <v>1224</v>
      </c>
      <c r="F297" s="351"/>
      <c r="G297" s="352"/>
      <c r="H297" s="353"/>
      <c r="I297" s="354"/>
      <c r="J297" s="362">
        <v>0</v>
      </c>
      <c r="K297" s="355">
        <v>0</v>
      </c>
      <c r="L297" s="355">
        <v>0</v>
      </c>
      <c r="M297" s="355">
        <v>0</v>
      </c>
      <c r="N297" s="355">
        <v>0</v>
      </c>
      <c r="O297" s="355">
        <v>0</v>
      </c>
      <c r="P297" s="355">
        <v>0</v>
      </c>
      <c r="Q297" s="355">
        <v>0</v>
      </c>
      <c r="R297" s="355">
        <v>0</v>
      </c>
      <c r="S297" s="355">
        <v>0</v>
      </c>
      <c r="T297" s="355">
        <v>0</v>
      </c>
      <c r="U297" s="356">
        <v>0</v>
      </c>
      <c r="V297" s="357">
        <v>0</v>
      </c>
      <c r="W297" s="358"/>
      <c r="X297" s="359">
        <v>0</v>
      </c>
      <c r="Y297" s="360">
        <v>0</v>
      </c>
      <c r="AA297" s="388"/>
    </row>
    <row r="298" spans="1:27" s="3" customFormat="1" hidden="1" collapsed="1" x14ac:dyDescent="0.3">
      <c r="B298" s="240" t="s">
        <v>69</v>
      </c>
      <c r="D298" s="363" t="s">
        <v>1225</v>
      </c>
      <c r="E298" s="364"/>
      <c r="F298" s="365"/>
      <c r="G298" s="366"/>
      <c r="H298" s="367"/>
      <c r="I298" s="368"/>
      <c r="J298" s="369">
        <v>162326182.79800004</v>
      </c>
      <c r="K298" s="370">
        <v>158030153.914</v>
      </c>
      <c r="L298" s="370">
        <v>170130866.42500001</v>
      </c>
      <c r="M298" s="370">
        <v>165980812.28399998</v>
      </c>
      <c r="N298" s="370">
        <v>171402407.41300002</v>
      </c>
      <c r="O298" s="370">
        <v>175050031.08099997</v>
      </c>
      <c r="P298" s="370">
        <v>176668971.88599995</v>
      </c>
      <c r="Q298" s="370">
        <v>175194945.74500003</v>
      </c>
      <c r="R298" s="370">
        <v>175048926.63600001</v>
      </c>
      <c r="S298" s="370">
        <v>178836343.77000001</v>
      </c>
      <c r="T298" s="370">
        <v>169685749.82300007</v>
      </c>
      <c r="U298" s="371">
        <v>180853152.31300002</v>
      </c>
      <c r="V298" s="372">
        <v>2059208544.0879993</v>
      </c>
      <c r="W298" s="277"/>
      <c r="X298" s="373">
        <v>180853152.31300002</v>
      </c>
      <c r="Y298" s="374">
        <v>2059208544.0879993</v>
      </c>
      <c r="AA298" s="388"/>
    </row>
    <row r="299" spans="1:27" hidden="1" x14ac:dyDescent="0.3">
      <c r="A299" s="233"/>
      <c r="B299" s="234" t="s">
        <v>31</v>
      </c>
      <c r="D299" s="293" t="s">
        <v>1226</v>
      </c>
      <c r="E299" s="294"/>
      <c r="F299" s="295" t="s">
        <v>1227</v>
      </c>
      <c r="G299" s="296"/>
      <c r="H299" s="297"/>
      <c r="I299" s="298"/>
      <c r="J299" s="299">
        <v>231366.291</v>
      </c>
      <c r="K299" s="300">
        <v>349539.43799999997</v>
      </c>
      <c r="L299" s="300">
        <v>417560.66899999999</v>
      </c>
      <c r="M299" s="300">
        <v>475578.83100000006</v>
      </c>
      <c r="N299" s="300">
        <v>448214.16799999995</v>
      </c>
      <c r="O299" s="300">
        <v>417385.76300000004</v>
      </c>
      <c r="P299" s="300">
        <v>394710.14500000002</v>
      </c>
      <c r="Q299" s="300">
        <v>324421.36400000006</v>
      </c>
      <c r="R299" s="300">
        <v>560089.74200000009</v>
      </c>
      <c r="S299" s="300">
        <v>419921.20199999999</v>
      </c>
      <c r="T299" s="300">
        <v>582608.29400000011</v>
      </c>
      <c r="U299" s="301">
        <v>844511.5630000002</v>
      </c>
      <c r="V299" s="302">
        <v>5465907.4700000007</v>
      </c>
      <c r="W299" s="303"/>
      <c r="X299" s="304">
        <v>844511.5630000002</v>
      </c>
      <c r="Y299" s="305">
        <v>5465907.4700000007</v>
      </c>
      <c r="AA299" s="388"/>
    </row>
    <row r="300" spans="1:27" hidden="1" outlineLevel="1" x14ac:dyDescent="0.3">
      <c r="E300" s="250" t="s">
        <v>1228</v>
      </c>
      <c r="F300" s="317">
        <v>4305001</v>
      </c>
      <c r="G300" s="318"/>
      <c r="H300" s="319">
        <v>5101070101</v>
      </c>
      <c r="I300" s="320"/>
      <c r="J300" s="337">
        <v>6830.98</v>
      </c>
      <c r="K300" s="321">
        <v>34960.03</v>
      </c>
      <c r="L300" s="321">
        <v>121199</v>
      </c>
      <c r="M300" s="321">
        <v>13562.12</v>
      </c>
      <c r="N300" s="321">
        <v>17719.86</v>
      </c>
      <c r="O300" s="321">
        <v>44727.453000000009</v>
      </c>
      <c r="P300" s="321">
        <v>100390.075</v>
      </c>
      <c r="Q300" s="321">
        <v>77080.38</v>
      </c>
      <c r="R300" s="321">
        <v>-49806.907999999996</v>
      </c>
      <c r="S300" s="321">
        <v>36784.678999999996</v>
      </c>
      <c r="T300" s="321">
        <v>106968.38699999999</v>
      </c>
      <c r="U300" s="322">
        <v>51689.888000000014</v>
      </c>
      <c r="V300" s="323">
        <v>562105.94400000002</v>
      </c>
      <c r="W300" s="303"/>
      <c r="X300" s="324">
        <v>51689.888000000014</v>
      </c>
      <c r="Y300" s="325">
        <v>562105.94400000002</v>
      </c>
      <c r="AA300" s="388"/>
    </row>
    <row r="301" spans="1:27" hidden="1" outlineLevel="1" x14ac:dyDescent="0.3">
      <c r="E301" s="250" t="s">
        <v>1229</v>
      </c>
      <c r="F301" s="317">
        <v>4305002</v>
      </c>
      <c r="G301" s="318"/>
      <c r="H301" s="319"/>
      <c r="I301" s="320"/>
      <c r="J301" s="337">
        <v>6397.6450000000004</v>
      </c>
      <c r="K301" s="321">
        <v>51341.404999999999</v>
      </c>
      <c r="L301" s="321">
        <v>52252.154999999999</v>
      </c>
      <c r="M301" s="321">
        <v>4124.5639999999994</v>
      </c>
      <c r="N301" s="321">
        <v>176346.163</v>
      </c>
      <c r="O301" s="321">
        <v>15327.66</v>
      </c>
      <c r="P301" s="321">
        <v>18889.2</v>
      </c>
      <c r="Q301" s="321">
        <v>91281.752999999997</v>
      </c>
      <c r="R301" s="321">
        <v>52995.770000000004</v>
      </c>
      <c r="S301" s="321">
        <v>5549.9699999999984</v>
      </c>
      <c r="T301" s="321">
        <v>13320.150000000001</v>
      </c>
      <c r="U301" s="322">
        <v>103805.08099999999</v>
      </c>
      <c r="V301" s="323">
        <v>591631.51600000006</v>
      </c>
      <c r="W301" s="303"/>
      <c r="X301" s="324">
        <v>103805.08099999999</v>
      </c>
      <c r="Y301" s="325">
        <v>591631.51600000006</v>
      </c>
      <c r="AA301" s="388"/>
    </row>
    <row r="302" spans="1:27" hidden="1" outlineLevel="1" x14ac:dyDescent="0.3">
      <c r="E302" s="250" t="s">
        <v>1230</v>
      </c>
      <c r="F302" s="317">
        <v>4305003</v>
      </c>
      <c r="G302" s="318"/>
      <c r="H302" s="319">
        <v>5101070103</v>
      </c>
      <c r="I302" s="320"/>
      <c r="J302" s="337">
        <v>41147.614000000001</v>
      </c>
      <c r="K302" s="321">
        <v>16414.37</v>
      </c>
      <c r="L302" s="321">
        <v>36428.182999999997</v>
      </c>
      <c r="M302" s="321">
        <v>49548.625</v>
      </c>
      <c r="N302" s="321">
        <v>104759.52800000001</v>
      </c>
      <c r="O302" s="321">
        <v>109677.568</v>
      </c>
      <c r="P302" s="321">
        <v>56469.909000000007</v>
      </c>
      <c r="Q302" s="321">
        <v>24521.082999999995</v>
      </c>
      <c r="R302" s="321">
        <v>113695.001</v>
      </c>
      <c r="S302" s="321">
        <v>154990.68099999998</v>
      </c>
      <c r="T302" s="321">
        <v>260898.14599999998</v>
      </c>
      <c r="U302" s="322">
        <v>221855.39200000002</v>
      </c>
      <c r="V302" s="323">
        <v>1190406.1000000001</v>
      </c>
      <c r="W302" s="303"/>
      <c r="X302" s="324">
        <v>221855.39200000002</v>
      </c>
      <c r="Y302" s="325">
        <v>1190406.1000000001</v>
      </c>
      <c r="AA302" s="388"/>
    </row>
    <row r="303" spans="1:27" hidden="1" outlineLevel="1" x14ac:dyDescent="0.3">
      <c r="E303" s="250" t="s">
        <v>1231</v>
      </c>
      <c r="F303" s="317">
        <v>4305004</v>
      </c>
      <c r="G303" s="318"/>
      <c r="H303" s="319"/>
      <c r="I303" s="320"/>
      <c r="J303" s="337">
        <v>16508.993000000002</v>
      </c>
      <c r="K303" s="321">
        <v>36898.36299999999</v>
      </c>
      <c r="L303" s="321">
        <v>63325.097999999998</v>
      </c>
      <c r="M303" s="321">
        <v>37836.057000000001</v>
      </c>
      <c r="N303" s="321">
        <v>47074.967000000004</v>
      </c>
      <c r="O303" s="321">
        <v>53664.268000000004</v>
      </c>
      <c r="P303" s="321">
        <v>34046.894</v>
      </c>
      <c r="Q303" s="321">
        <v>38160.896999999997</v>
      </c>
      <c r="R303" s="321">
        <v>83667.62</v>
      </c>
      <c r="S303" s="321">
        <v>70889.884999999995</v>
      </c>
      <c r="T303" s="321">
        <v>107602.23800000001</v>
      </c>
      <c r="U303" s="322">
        <v>128695.77800000001</v>
      </c>
      <c r="V303" s="323">
        <v>718371.05800000008</v>
      </c>
      <c r="W303" s="303"/>
      <c r="X303" s="324">
        <v>128695.77800000001</v>
      </c>
      <c r="Y303" s="325">
        <v>718371.05800000008</v>
      </c>
      <c r="AA303" s="388"/>
    </row>
    <row r="304" spans="1:27" hidden="1" outlineLevel="1" x14ac:dyDescent="0.3">
      <c r="E304" s="250" t="s">
        <v>1232</v>
      </c>
      <c r="F304" s="317">
        <v>4305005</v>
      </c>
      <c r="G304" s="318"/>
      <c r="H304" s="319">
        <v>5101070105</v>
      </c>
      <c r="I304" s="320"/>
      <c r="J304" s="337">
        <v>0</v>
      </c>
      <c r="K304" s="321">
        <v>0</v>
      </c>
      <c r="L304" s="321">
        <v>0</v>
      </c>
      <c r="M304" s="321">
        <v>0</v>
      </c>
      <c r="N304" s="321">
        <v>0</v>
      </c>
      <c r="O304" s="321">
        <v>0</v>
      </c>
      <c r="P304" s="321">
        <v>0</v>
      </c>
      <c r="Q304" s="321">
        <v>0</v>
      </c>
      <c r="R304" s="321">
        <v>0</v>
      </c>
      <c r="S304" s="321">
        <v>0</v>
      </c>
      <c r="T304" s="321">
        <v>0</v>
      </c>
      <c r="U304" s="322">
        <v>0</v>
      </c>
      <c r="V304" s="323">
        <v>0</v>
      </c>
      <c r="W304" s="303"/>
      <c r="X304" s="324">
        <v>0</v>
      </c>
      <c r="Y304" s="325">
        <v>0</v>
      </c>
      <c r="AA304" s="388"/>
    </row>
    <row r="305" spans="1:27" hidden="1" outlineLevel="1" x14ac:dyDescent="0.3">
      <c r="E305" s="250" t="s">
        <v>1233</v>
      </c>
      <c r="F305" s="317">
        <v>4305006</v>
      </c>
      <c r="G305" s="318"/>
      <c r="H305" s="319">
        <v>5101070199</v>
      </c>
      <c r="I305" s="320"/>
      <c r="J305" s="337">
        <v>0</v>
      </c>
      <c r="K305" s="321">
        <v>0</v>
      </c>
      <c r="L305" s="321">
        <v>0</v>
      </c>
      <c r="M305" s="321">
        <v>32500</v>
      </c>
      <c r="N305" s="321">
        <v>0</v>
      </c>
      <c r="O305" s="321">
        <v>32500</v>
      </c>
      <c r="P305" s="321">
        <v>2418</v>
      </c>
      <c r="Q305" s="321">
        <v>32500</v>
      </c>
      <c r="R305" s="321">
        <v>0</v>
      </c>
      <c r="S305" s="321">
        <v>0</v>
      </c>
      <c r="T305" s="321">
        <v>0</v>
      </c>
      <c r="U305" s="322">
        <v>34762.000000000007</v>
      </c>
      <c r="V305" s="323">
        <v>134680</v>
      </c>
      <c r="W305" s="303"/>
      <c r="X305" s="324">
        <v>34762.000000000007</v>
      </c>
      <c r="Y305" s="325">
        <v>134680</v>
      </c>
      <c r="AA305" s="388"/>
    </row>
    <row r="306" spans="1:27" hidden="1" outlineLevel="1" x14ac:dyDescent="0.3">
      <c r="E306" s="250" t="s">
        <v>1234</v>
      </c>
      <c r="F306" s="317">
        <v>4305010</v>
      </c>
      <c r="G306" s="318"/>
      <c r="H306" s="319">
        <v>5101070107</v>
      </c>
      <c r="I306" s="320"/>
      <c r="J306" s="337">
        <v>21504.541999999998</v>
      </c>
      <c r="K306" s="321">
        <v>6930.6539999999995</v>
      </c>
      <c r="L306" s="321">
        <v>10998.1</v>
      </c>
      <c r="M306" s="321">
        <v>17271.388999999999</v>
      </c>
      <c r="N306" s="321">
        <v>6131.0460000000003</v>
      </c>
      <c r="O306" s="321">
        <v>9931.1309999999994</v>
      </c>
      <c r="P306" s="321">
        <v>18297.083999999999</v>
      </c>
      <c r="Q306" s="321">
        <v>10186.059000000001</v>
      </c>
      <c r="R306" s="321">
        <v>7366.4660000000003</v>
      </c>
      <c r="S306" s="321">
        <v>10738.34</v>
      </c>
      <c r="T306" s="321">
        <v>8913.601999999999</v>
      </c>
      <c r="U306" s="322">
        <v>31181.941999999999</v>
      </c>
      <c r="V306" s="323">
        <v>159450.35500000001</v>
      </c>
      <c r="W306" s="303"/>
      <c r="X306" s="324">
        <v>31181.941999999999</v>
      </c>
      <c r="Y306" s="325">
        <v>159450.35500000001</v>
      </c>
      <c r="AA306" s="388"/>
    </row>
    <row r="307" spans="1:27" hidden="1" outlineLevel="1" x14ac:dyDescent="0.3">
      <c r="E307" s="250" t="s">
        <v>1235</v>
      </c>
      <c r="F307" s="317">
        <v>4305013</v>
      </c>
      <c r="G307" s="318"/>
      <c r="H307" s="319">
        <v>5101070111</v>
      </c>
      <c r="I307" s="320"/>
      <c r="J307" s="337">
        <v>29666.327000000001</v>
      </c>
      <c r="K307" s="321">
        <v>25332.543999999998</v>
      </c>
      <c r="L307" s="321">
        <v>36573.465999999993</v>
      </c>
      <c r="M307" s="321">
        <v>38175.175999999999</v>
      </c>
      <c r="N307" s="321">
        <v>36545.673999999999</v>
      </c>
      <c r="O307" s="321">
        <v>39209.732999999993</v>
      </c>
      <c r="P307" s="321">
        <v>38781.692999999999</v>
      </c>
      <c r="Q307" s="321">
        <v>34062.238000000005</v>
      </c>
      <c r="R307" s="321">
        <v>80471.108999999997</v>
      </c>
      <c r="S307" s="321">
        <v>42293.024000000005</v>
      </c>
      <c r="T307" s="321">
        <v>28383.972999999998</v>
      </c>
      <c r="U307" s="322">
        <v>106992.736</v>
      </c>
      <c r="V307" s="323">
        <v>536487.69299999997</v>
      </c>
      <c r="W307" s="303"/>
      <c r="X307" s="324">
        <v>106992.736</v>
      </c>
      <c r="Y307" s="325">
        <v>536487.69299999997</v>
      </c>
      <c r="AA307" s="388"/>
    </row>
    <row r="308" spans="1:27" hidden="1" outlineLevel="1" x14ac:dyDescent="0.3">
      <c r="E308" s="250" t="s">
        <v>1236</v>
      </c>
      <c r="F308" s="317">
        <v>4305014</v>
      </c>
      <c r="G308" s="318"/>
      <c r="H308" s="319">
        <v>5101070113</v>
      </c>
      <c r="I308" s="320"/>
      <c r="J308" s="337">
        <v>106062.681</v>
      </c>
      <c r="K308" s="321">
        <v>75228.175000000003</v>
      </c>
      <c r="L308" s="321">
        <v>61238.134000000005</v>
      </c>
      <c r="M308" s="321">
        <v>90301.937000000005</v>
      </c>
      <c r="N308" s="321">
        <v>49201.731000000007</v>
      </c>
      <c r="O308" s="321">
        <v>96014.22</v>
      </c>
      <c r="P308" s="321">
        <v>74564.211999999985</v>
      </c>
      <c r="Q308" s="321">
        <v>8091.8539999999994</v>
      </c>
      <c r="R308" s="321">
        <v>76237.661999999997</v>
      </c>
      <c r="S308" s="321">
        <v>79923.534</v>
      </c>
      <c r="T308" s="321">
        <v>23994.341</v>
      </c>
      <c r="U308" s="322">
        <v>9366.9379999999983</v>
      </c>
      <c r="V308" s="323">
        <v>750225.41899999999</v>
      </c>
      <c r="W308" s="303"/>
      <c r="X308" s="324">
        <v>9366.9379999999983</v>
      </c>
      <c r="Y308" s="325">
        <v>750225.41899999999</v>
      </c>
      <c r="AA308" s="388"/>
    </row>
    <row r="309" spans="1:27" hidden="1" outlineLevel="1" x14ac:dyDescent="0.3">
      <c r="E309" s="250" t="s">
        <v>1237</v>
      </c>
      <c r="F309" s="317">
        <v>4305015</v>
      </c>
      <c r="G309" s="318"/>
      <c r="H309" s="319"/>
      <c r="I309" s="320"/>
      <c r="J309" s="337">
        <v>0</v>
      </c>
      <c r="K309" s="321">
        <v>0</v>
      </c>
      <c r="L309" s="321">
        <v>0</v>
      </c>
      <c r="M309" s="321">
        <v>0</v>
      </c>
      <c r="N309" s="321">
        <v>0</v>
      </c>
      <c r="O309" s="321">
        <v>0</v>
      </c>
      <c r="P309" s="321">
        <v>0</v>
      </c>
      <c r="Q309" s="321">
        <v>0</v>
      </c>
      <c r="R309" s="321">
        <v>0</v>
      </c>
      <c r="S309" s="321">
        <v>0</v>
      </c>
      <c r="T309" s="321">
        <v>0</v>
      </c>
      <c r="U309" s="322">
        <v>0</v>
      </c>
      <c r="V309" s="323">
        <v>0</v>
      </c>
      <c r="W309" s="303"/>
      <c r="X309" s="324">
        <v>0</v>
      </c>
      <c r="Y309" s="325">
        <v>0</v>
      </c>
      <c r="AA309" s="388"/>
    </row>
    <row r="310" spans="1:27" hidden="1" outlineLevel="1" x14ac:dyDescent="0.3">
      <c r="E310" s="250" t="s">
        <v>1238</v>
      </c>
      <c r="F310" s="317">
        <v>4305016</v>
      </c>
      <c r="G310" s="318"/>
      <c r="H310" s="319">
        <v>5101070115</v>
      </c>
      <c r="I310" s="320"/>
      <c r="J310" s="337">
        <v>3247.509</v>
      </c>
      <c r="K310" s="321">
        <v>102293.89700000001</v>
      </c>
      <c r="L310" s="321">
        <v>20197.733</v>
      </c>
      <c r="M310" s="321">
        <v>165123.96300000005</v>
      </c>
      <c r="N310" s="321">
        <v>608.47899999997344</v>
      </c>
      <c r="O310" s="321">
        <v>16243.730000000001</v>
      </c>
      <c r="P310" s="321">
        <v>35475.138999999996</v>
      </c>
      <c r="Q310" s="321">
        <v>7454.95</v>
      </c>
      <c r="R310" s="321">
        <v>139211.39100000003</v>
      </c>
      <c r="S310" s="321">
        <v>6930.0610000000006</v>
      </c>
      <c r="T310" s="321">
        <v>32487.457000000002</v>
      </c>
      <c r="U310" s="322">
        <v>126371.807</v>
      </c>
      <c r="V310" s="323">
        <v>655646.11600000015</v>
      </c>
      <c r="W310" s="303"/>
      <c r="X310" s="324">
        <v>126371.807</v>
      </c>
      <c r="Y310" s="325">
        <v>655646.11600000015</v>
      </c>
      <c r="AA310" s="388"/>
    </row>
    <row r="311" spans="1:27" hidden="1" outlineLevel="1" x14ac:dyDescent="0.3">
      <c r="E311" s="250" t="s">
        <v>1239</v>
      </c>
      <c r="F311" s="317">
        <v>4305017</v>
      </c>
      <c r="G311" s="318"/>
      <c r="H311" s="319"/>
      <c r="I311" s="320"/>
      <c r="J311" s="337">
        <v>0</v>
      </c>
      <c r="K311" s="321">
        <v>0</v>
      </c>
      <c r="L311" s="321">
        <v>0</v>
      </c>
      <c r="M311" s="321">
        <v>0</v>
      </c>
      <c r="N311" s="321">
        <v>0</v>
      </c>
      <c r="O311" s="321">
        <v>0</v>
      </c>
      <c r="P311" s="321">
        <v>0</v>
      </c>
      <c r="Q311" s="321">
        <v>0</v>
      </c>
      <c r="R311" s="321">
        <v>0</v>
      </c>
      <c r="S311" s="321">
        <v>0</v>
      </c>
      <c r="T311" s="321">
        <v>0</v>
      </c>
      <c r="U311" s="322">
        <v>0</v>
      </c>
      <c r="V311" s="323">
        <v>0</v>
      </c>
      <c r="W311" s="303"/>
      <c r="X311" s="324">
        <v>0</v>
      </c>
      <c r="Y311" s="325">
        <v>0</v>
      </c>
      <c r="AA311" s="388"/>
    </row>
    <row r="312" spans="1:27" hidden="1" outlineLevel="1" x14ac:dyDescent="0.3">
      <c r="E312" s="250" t="s">
        <v>1240</v>
      </c>
      <c r="F312" s="317">
        <v>4305018</v>
      </c>
      <c r="G312" s="318"/>
      <c r="H312" s="319"/>
      <c r="I312" s="320"/>
      <c r="J312" s="337">
        <v>0</v>
      </c>
      <c r="K312" s="321">
        <v>0</v>
      </c>
      <c r="L312" s="321">
        <v>0</v>
      </c>
      <c r="M312" s="321">
        <v>0</v>
      </c>
      <c r="N312" s="321">
        <v>0</v>
      </c>
      <c r="O312" s="321">
        <v>0</v>
      </c>
      <c r="P312" s="321">
        <v>0</v>
      </c>
      <c r="Q312" s="321">
        <v>0</v>
      </c>
      <c r="R312" s="321">
        <v>0</v>
      </c>
      <c r="S312" s="321">
        <v>0</v>
      </c>
      <c r="T312" s="321">
        <v>0</v>
      </c>
      <c r="U312" s="322">
        <v>880</v>
      </c>
      <c r="V312" s="323">
        <v>880</v>
      </c>
      <c r="W312" s="303"/>
      <c r="X312" s="324">
        <v>880</v>
      </c>
      <c r="Y312" s="325">
        <v>880</v>
      </c>
      <c r="AA312" s="388"/>
    </row>
    <row r="313" spans="1:27" hidden="1" outlineLevel="1" x14ac:dyDescent="0.3">
      <c r="E313" s="250" t="s">
        <v>1241</v>
      </c>
      <c r="F313" s="317">
        <v>4305099</v>
      </c>
      <c r="G313" s="318"/>
      <c r="H313" s="319">
        <v>5101070109</v>
      </c>
      <c r="I313" s="320"/>
      <c r="J313" s="337">
        <v>0</v>
      </c>
      <c r="K313" s="321">
        <v>140</v>
      </c>
      <c r="L313" s="321">
        <v>15348.8</v>
      </c>
      <c r="M313" s="321">
        <v>1440</v>
      </c>
      <c r="N313" s="321">
        <v>9700</v>
      </c>
      <c r="O313" s="321">
        <v>90</v>
      </c>
      <c r="P313" s="321">
        <v>15293.618999999999</v>
      </c>
      <c r="Q313" s="321">
        <v>1082.1500000000001</v>
      </c>
      <c r="R313" s="321">
        <v>36031.630999999994</v>
      </c>
      <c r="S313" s="321">
        <v>11821.028</v>
      </c>
      <c r="T313" s="321">
        <v>40</v>
      </c>
      <c r="U313" s="322">
        <v>110.001</v>
      </c>
      <c r="V313" s="323">
        <v>91097.228999999992</v>
      </c>
      <c r="W313" s="303"/>
      <c r="X313" s="324">
        <v>110.001</v>
      </c>
      <c r="Y313" s="325">
        <v>91097.228999999992</v>
      </c>
      <c r="AA313" s="388"/>
    </row>
    <row r="314" spans="1:27" s="361" customFormat="1" hidden="1" outlineLevel="2" x14ac:dyDescent="0.3">
      <c r="E314" s="350" t="s">
        <v>1242</v>
      </c>
      <c r="F314" s="306">
        <v>4305011</v>
      </c>
      <c r="G314" s="307"/>
      <c r="H314" s="308"/>
      <c r="I314" s="309"/>
      <c r="J314" s="310">
        <v>0</v>
      </c>
      <c r="K314" s="311">
        <v>0</v>
      </c>
      <c r="L314" s="311">
        <v>0</v>
      </c>
      <c r="M314" s="311">
        <v>25695</v>
      </c>
      <c r="N314" s="311">
        <v>126.72</v>
      </c>
      <c r="O314" s="311">
        <v>0</v>
      </c>
      <c r="P314" s="311">
        <v>84.32</v>
      </c>
      <c r="Q314" s="311">
        <v>0</v>
      </c>
      <c r="R314" s="311">
        <v>20220</v>
      </c>
      <c r="S314" s="311">
        <v>0</v>
      </c>
      <c r="T314" s="311">
        <v>0</v>
      </c>
      <c r="U314" s="312">
        <v>28800</v>
      </c>
      <c r="V314" s="313">
        <v>74926.040000000008</v>
      </c>
      <c r="W314" s="314"/>
      <c r="X314" s="315">
        <v>28800</v>
      </c>
      <c r="Y314" s="316">
        <v>74926.040000000008</v>
      </c>
      <c r="AA314" s="388"/>
    </row>
    <row r="315" spans="1:27" s="361" customFormat="1" hidden="1" outlineLevel="2" x14ac:dyDescent="0.3">
      <c r="E315" s="326" t="s">
        <v>1243</v>
      </c>
      <c r="F315" s="351"/>
      <c r="G315" s="352"/>
      <c r="H315" s="353"/>
      <c r="I315" s="354"/>
      <c r="J315" s="362">
        <v>0</v>
      </c>
      <c r="K315" s="355">
        <v>0</v>
      </c>
      <c r="L315" s="355">
        <v>0</v>
      </c>
      <c r="M315" s="355">
        <v>0</v>
      </c>
      <c r="N315" s="355">
        <v>0</v>
      </c>
      <c r="O315" s="355">
        <v>0</v>
      </c>
      <c r="P315" s="355">
        <v>0</v>
      </c>
      <c r="Q315" s="355">
        <v>0</v>
      </c>
      <c r="R315" s="355">
        <v>0</v>
      </c>
      <c r="S315" s="355">
        <v>0</v>
      </c>
      <c r="T315" s="355">
        <v>0</v>
      </c>
      <c r="U315" s="356">
        <v>0</v>
      </c>
      <c r="V315" s="357">
        <v>0</v>
      </c>
      <c r="W315" s="358"/>
      <c r="X315" s="359">
        <v>0</v>
      </c>
      <c r="Y315" s="360">
        <v>0</v>
      </c>
      <c r="AA315" s="388"/>
    </row>
    <row r="316" spans="1:27" s="361" customFormat="1" hidden="1" outlineLevel="2" x14ac:dyDescent="0.3">
      <c r="E316" s="326" t="s">
        <v>1244</v>
      </c>
      <c r="F316" s="351"/>
      <c r="G316" s="352"/>
      <c r="H316" s="353"/>
      <c r="I316" s="354"/>
      <c r="J316" s="362">
        <v>0</v>
      </c>
      <c r="K316" s="355">
        <v>0</v>
      </c>
      <c r="L316" s="355">
        <v>0</v>
      </c>
      <c r="M316" s="355">
        <v>0</v>
      </c>
      <c r="N316" s="355">
        <v>0</v>
      </c>
      <c r="O316" s="355">
        <v>0</v>
      </c>
      <c r="P316" s="355">
        <v>0</v>
      </c>
      <c r="Q316" s="355">
        <v>0</v>
      </c>
      <c r="R316" s="355">
        <v>0</v>
      </c>
      <c r="S316" s="355">
        <v>0</v>
      </c>
      <c r="T316" s="355">
        <v>0</v>
      </c>
      <c r="U316" s="356">
        <v>0</v>
      </c>
      <c r="V316" s="357">
        <v>0</v>
      </c>
      <c r="W316" s="358"/>
      <c r="X316" s="359">
        <v>0</v>
      </c>
      <c r="Y316" s="360">
        <v>0</v>
      </c>
      <c r="AA316" s="388"/>
    </row>
    <row r="317" spans="1:27" hidden="1" collapsed="1" x14ac:dyDescent="0.3">
      <c r="A317" s="233"/>
      <c r="B317" s="234" t="s">
        <v>39</v>
      </c>
      <c r="D317" s="293" t="s">
        <v>1245</v>
      </c>
      <c r="E317" s="294"/>
      <c r="F317" s="295" t="s">
        <v>1246</v>
      </c>
      <c r="G317" s="296"/>
      <c r="H317" s="297"/>
      <c r="I317" s="298"/>
      <c r="J317" s="299">
        <v>6712.6349999999993</v>
      </c>
      <c r="K317" s="300">
        <v>310242.58199999999</v>
      </c>
      <c r="L317" s="300">
        <v>1725557.5460000001</v>
      </c>
      <c r="M317" s="300">
        <v>28192.991000000002</v>
      </c>
      <c r="N317" s="300">
        <v>93849.471999999994</v>
      </c>
      <c r="O317" s="300">
        <v>40568.495999999999</v>
      </c>
      <c r="P317" s="300">
        <v>9460.4290000000001</v>
      </c>
      <c r="Q317" s="300">
        <v>26019.654000000002</v>
      </c>
      <c r="R317" s="300">
        <v>124922.504</v>
      </c>
      <c r="S317" s="300">
        <v>413144.12199999992</v>
      </c>
      <c r="T317" s="300">
        <v>165831.30299999999</v>
      </c>
      <c r="U317" s="301">
        <v>164504.20899999997</v>
      </c>
      <c r="V317" s="302">
        <v>3109005.9430000004</v>
      </c>
      <c r="W317" s="303"/>
      <c r="X317" s="304">
        <v>164504.20899999997</v>
      </c>
      <c r="Y317" s="305">
        <v>3109005.9430000004</v>
      </c>
      <c r="AA317" s="388"/>
    </row>
    <row r="318" spans="1:27" hidden="1" outlineLevel="1" x14ac:dyDescent="0.3">
      <c r="E318" s="250" t="s">
        <v>1247</v>
      </c>
      <c r="F318" s="317">
        <v>4307401</v>
      </c>
      <c r="G318" s="318"/>
      <c r="H318" s="319">
        <v>5101090101</v>
      </c>
      <c r="I318" s="320"/>
      <c r="J318" s="337">
        <v>1110.3499999999999</v>
      </c>
      <c r="K318" s="321">
        <v>3392.83</v>
      </c>
      <c r="L318" s="321">
        <v>4142.08</v>
      </c>
      <c r="M318" s="321">
        <v>8217.2100000000009</v>
      </c>
      <c r="N318" s="321">
        <v>5459.7300000000005</v>
      </c>
      <c r="O318" s="321">
        <v>6057.9400000000005</v>
      </c>
      <c r="P318" s="321">
        <v>5222.384</v>
      </c>
      <c r="Q318" s="321">
        <v>1400.5400000000002</v>
      </c>
      <c r="R318" s="321">
        <v>970.48</v>
      </c>
      <c r="S318" s="321">
        <v>1406.2</v>
      </c>
      <c r="T318" s="321">
        <v>2106.88</v>
      </c>
      <c r="U318" s="322">
        <v>12902.271999999999</v>
      </c>
      <c r="V318" s="323">
        <v>52388.895999999993</v>
      </c>
      <c r="W318" s="303"/>
      <c r="X318" s="324">
        <v>12902.271999999999</v>
      </c>
      <c r="Y318" s="325">
        <v>52388.895999999993</v>
      </c>
      <c r="AA318" s="388"/>
    </row>
    <row r="319" spans="1:27" hidden="1" outlineLevel="1" x14ac:dyDescent="0.3">
      <c r="E319" s="250" t="s">
        <v>1248</v>
      </c>
      <c r="F319" s="317">
        <v>4307402</v>
      </c>
      <c r="G319" s="318"/>
      <c r="H319" s="319">
        <v>5101090103</v>
      </c>
      <c r="I319" s="320"/>
      <c r="J319" s="337">
        <v>4931.0849999999991</v>
      </c>
      <c r="K319" s="321">
        <v>306224.712</v>
      </c>
      <c r="L319" s="321">
        <v>1719273.2790000001</v>
      </c>
      <c r="M319" s="321">
        <v>19291.234</v>
      </c>
      <c r="N319" s="321">
        <v>86512.622000000003</v>
      </c>
      <c r="O319" s="321">
        <v>33079.165999999997</v>
      </c>
      <c r="P319" s="321">
        <v>4264.78</v>
      </c>
      <c r="Q319" s="321">
        <v>24144.288</v>
      </c>
      <c r="R319" s="321">
        <v>122461.592</v>
      </c>
      <c r="S319" s="321">
        <v>411480.99399999995</v>
      </c>
      <c r="T319" s="321">
        <v>162620.12299999999</v>
      </c>
      <c r="U319" s="322">
        <v>149612.31299999999</v>
      </c>
      <c r="V319" s="323">
        <v>3043896.1880000005</v>
      </c>
      <c r="W319" s="303"/>
      <c r="X319" s="324">
        <v>149612.31299999999</v>
      </c>
      <c r="Y319" s="325">
        <v>3043896.1880000005</v>
      </c>
      <c r="AA319" s="388"/>
    </row>
    <row r="320" spans="1:27" hidden="1" outlineLevel="1" x14ac:dyDescent="0.3">
      <c r="E320" s="250" t="s">
        <v>1249</v>
      </c>
      <c r="F320" s="317">
        <v>4307409</v>
      </c>
      <c r="G320" s="318"/>
      <c r="H320" s="319">
        <v>5101090199</v>
      </c>
      <c r="I320" s="320"/>
      <c r="J320" s="337">
        <v>671.2</v>
      </c>
      <c r="K320" s="321">
        <v>625.04</v>
      </c>
      <c r="L320" s="321">
        <v>2142.1869999999999</v>
      </c>
      <c r="M320" s="321">
        <v>1114.3900000000001</v>
      </c>
      <c r="N320" s="321">
        <v>1877.12</v>
      </c>
      <c r="O320" s="321">
        <v>1431.39</v>
      </c>
      <c r="P320" s="321">
        <v>1064.9000000000001</v>
      </c>
      <c r="Q320" s="321">
        <v>474.82600000000002</v>
      </c>
      <c r="R320" s="321">
        <v>1490.432</v>
      </c>
      <c r="S320" s="321">
        <v>876.98800000000006</v>
      </c>
      <c r="T320" s="321">
        <v>1104.3</v>
      </c>
      <c r="U320" s="322">
        <v>3136.63</v>
      </c>
      <c r="V320" s="323">
        <v>16009.402999999998</v>
      </c>
      <c r="W320" s="303"/>
      <c r="X320" s="324">
        <v>3136.63</v>
      </c>
      <c r="Y320" s="325">
        <v>16009.402999999998</v>
      </c>
      <c r="AA320" s="388"/>
    </row>
    <row r="321" spans="1:27" hidden="1" outlineLevel="1" x14ac:dyDescent="0.3">
      <c r="E321" s="250" t="s">
        <v>1250</v>
      </c>
      <c r="F321" s="317">
        <v>4307411</v>
      </c>
      <c r="G321" s="318"/>
      <c r="H321" s="319"/>
      <c r="I321" s="320"/>
      <c r="J321" s="337">
        <v>0</v>
      </c>
      <c r="K321" s="321">
        <v>0</v>
      </c>
      <c r="L321" s="321">
        <v>0</v>
      </c>
      <c r="M321" s="321">
        <v>-304.87900000000002</v>
      </c>
      <c r="N321" s="321">
        <v>0</v>
      </c>
      <c r="O321" s="321">
        <v>0</v>
      </c>
      <c r="P321" s="321">
        <v>-841.34500000000003</v>
      </c>
      <c r="Q321" s="321">
        <v>0</v>
      </c>
      <c r="R321" s="321">
        <v>0</v>
      </c>
      <c r="S321" s="321">
        <v>-418.07900000000001</v>
      </c>
      <c r="T321" s="321">
        <v>0</v>
      </c>
      <c r="U321" s="322">
        <v>-779.88200000000006</v>
      </c>
      <c r="V321" s="323">
        <v>-2344.1850000000004</v>
      </c>
      <c r="W321" s="303"/>
      <c r="X321" s="324">
        <v>-779.88200000000006</v>
      </c>
      <c r="Y321" s="325">
        <v>-2344.1850000000004</v>
      </c>
      <c r="AA321" s="388"/>
    </row>
    <row r="322" spans="1:27" s="250" customFormat="1" hidden="1" outlineLevel="2" x14ac:dyDescent="0.3">
      <c r="E322" s="250" t="s">
        <v>1251</v>
      </c>
      <c r="F322" s="306">
        <v>4307412</v>
      </c>
      <c r="G322" s="307"/>
      <c r="H322" s="308"/>
      <c r="I322" s="309"/>
      <c r="J322" s="310">
        <v>0</v>
      </c>
      <c r="K322" s="311">
        <v>0</v>
      </c>
      <c r="L322" s="311">
        <v>0</v>
      </c>
      <c r="M322" s="311">
        <v>-124.964</v>
      </c>
      <c r="N322" s="311">
        <v>0</v>
      </c>
      <c r="O322" s="311">
        <v>0</v>
      </c>
      <c r="P322" s="311">
        <v>-250.29</v>
      </c>
      <c r="Q322" s="311">
        <v>0</v>
      </c>
      <c r="R322" s="311">
        <v>0</v>
      </c>
      <c r="S322" s="311">
        <v>-201.98099999999999</v>
      </c>
      <c r="T322" s="311">
        <v>0</v>
      </c>
      <c r="U322" s="312">
        <v>-367.12400000000002</v>
      </c>
      <c r="V322" s="313">
        <v>-944.35900000000004</v>
      </c>
      <c r="W322" s="314"/>
      <c r="X322" s="315">
        <v>-367.12400000000002</v>
      </c>
      <c r="Y322" s="316">
        <v>-944.35900000000004</v>
      </c>
      <c r="AA322" s="388"/>
    </row>
    <row r="323" spans="1:27" s="326" customFormat="1" hidden="1" outlineLevel="2" x14ac:dyDescent="0.3">
      <c r="E323" s="326" t="s">
        <v>1252</v>
      </c>
      <c r="F323" s="336"/>
      <c r="G323" s="327"/>
      <c r="H323" s="328"/>
      <c r="I323" s="329"/>
      <c r="J323" s="338">
        <v>0</v>
      </c>
      <c r="K323" s="330">
        <v>0</v>
      </c>
      <c r="L323" s="330">
        <v>0</v>
      </c>
      <c r="M323" s="330">
        <v>0</v>
      </c>
      <c r="N323" s="330">
        <v>0</v>
      </c>
      <c r="O323" s="330">
        <v>0</v>
      </c>
      <c r="P323" s="330">
        <v>0</v>
      </c>
      <c r="Q323" s="330">
        <v>0</v>
      </c>
      <c r="R323" s="330">
        <v>0</v>
      </c>
      <c r="S323" s="330">
        <v>0</v>
      </c>
      <c r="T323" s="330">
        <v>0</v>
      </c>
      <c r="U323" s="331">
        <v>0</v>
      </c>
      <c r="V323" s="332">
        <v>0</v>
      </c>
      <c r="W323" s="333"/>
      <c r="X323" s="334">
        <v>0</v>
      </c>
      <c r="Y323" s="335">
        <v>0</v>
      </c>
      <c r="AA323" s="388"/>
    </row>
    <row r="324" spans="1:27" s="326" customFormat="1" hidden="1" outlineLevel="2" x14ac:dyDescent="0.3">
      <c r="E324" s="326" t="s">
        <v>1253</v>
      </c>
      <c r="F324" s="336"/>
      <c r="G324" s="327"/>
      <c r="H324" s="328"/>
      <c r="I324" s="329"/>
      <c r="J324" s="338">
        <v>0</v>
      </c>
      <c r="K324" s="330">
        <v>0</v>
      </c>
      <c r="L324" s="330">
        <v>0</v>
      </c>
      <c r="M324" s="330">
        <v>0</v>
      </c>
      <c r="N324" s="330">
        <v>0</v>
      </c>
      <c r="O324" s="330">
        <v>0</v>
      </c>
      <c r="P324" s="330">
        <v>0</v>
      </c>
      <c r="Q324" s="330">
        <v>0</v>
      </c>
      <c r="R324" s="330">
        <v>0</v>
      </c>
      <c r="S324" s="330">
        <v>0</v>
      </c>
      <c r="T324" s="330">
        <v>0</v>
      </c>
      <c r="U324" s="331">
        <v>0</v>
      </c>
      <c r="V324" s="332">
        <v>0</v>
      </c>
      <c r="W324" s="333"/>
      <c r="X324" s="334">
        <v>0</v>
      </c>
      <c r="Y324" s="335">
        <v>0</v>
      </c>
      <c r="AA324" s="388"/>
    </row>
    <row r="325" spans="1:27" s="326" customFormat="1" hidden="1" outlineLevel="2" x14ac:dyDescent="0.3">
      <c r="E325" s="326" t="s">
        <v>1254</v>
      </c>
      <c r="F325" s="336"/>
      <c r="G325" s="327"/>
      <c r="H325" s="328"/>
      <c r="I325" s="329"/>
      <c r="J325" s="338">
        <v>0</v>
      </c>
      <c r="K325" s="330">
        <v>0</v>
      </c>
      <c r="L325" s="330">
        <v>0</v>
      </c>
      <c r="M325" s="330">
        <v>0</v>
      </c>
      <c r="N325" s="330">
        <v>0</v>
      </c>
      <c r="O325" s="330">
        <v>0</v>
      </c>
      <c r="P325" s="330">
        <v>0</v>
      </c>
      <c r="Q325" s="330">
        <v>0</v>
      </c>
      <c r="R325" s="330">
        <v>0</v>
      </c>
      <c r="S325" s="330">
        <v>0</v>
      </c>
      <c r="T325" s="330">
        <v>0</v>
      </c>
      <c r="U325" s="331">
        <v>0</v>
      </c>
      <c r="V325" s="332">
        <v>0</v>
      </c>
      <c r="W325" s="333"/>
      <c r="X325" s="334">
        <v>0</v>
      </c>
      <c r="Y325" s="335">
        <v>0</v>
      </c>
      <c r="AA325" s="388"/>
    </row>
    <row r="326" spans="1:27" hidden="1" collapsed="1" x14ac:dyDescent="0.3">
      <c r="A326" s="233"/>
      <c r="B326" s="234" t="s">
        <v>33</v>
      </c>
      <c r="D326" s="293" t="s">
        <v>1255</v>
      </c>
      <c r="E326" s="294"/>
      <c r="F326" s="295" t="s">
        <v>1256</v>
      </c>
      <c r="G326" s="296"/>
      <c r="H326" s="297"/>
      <c r="I326" s="298"/>
      <c r="J326" s="299">
        <v>1133154.7190000003</v>
      </c>
      <c r="K326" s="300">
        <v>1114022.1119999997</v>
      </c>
      <c r="L326" s="300">
        <v>1055152.31</v>
      </c>
      <c r="M326" s="300">
        <v>1148408.1540000001</v>
      </c>
      <c r="N326" s="300">
        <v>1010651.4869999997</v>
      </c>
      <c r="O326" s="300">
        <v>1084535.7860000003</v>
      </c>
      <c r="P326" s="300">
        <v>1013479.0869999996</v>
      </c>
      <c r="Q326" s="300">
        <v>1003651.161</v>
      </c>
      <c r="R326" s="300">
        <v>958783.14100000018</v>
      </c>
      <c r="S326" s="300">
        <v>907302.11900000006</v>
      </c>
      <c r="T326" s="300">
        <v>932521.54899999988</v>
      </c>
      <c r="U326" s="301">
        <v>1237091.2329999998</v>
      </c>
      <c r="V326" s="302">
        <v>12598752.858000001</v>
      </c>
      <c r="W326" s="303"/>
      <c r="X326" s="304">
        <v>1237091.2329999998</v>
      </c>
      <c r="Y326" s="305">
        <v>12598752.858000001</v>
      </c>
      <c r="AA326" s="388"/>
    </row>
    <row r="327" spans="1:27" hidden="1" outlineLevel="1" x14ac:dyDescent="0.3">
      <c r="E327" s="250" t="s">
        <v>1257</v>
      </c>
      <c r="F327" s="317">
        <v>4305601</v>
      </c>
      <c r="G327" s="318"/>
      <c r="H327" s="319">
        <v>5101110101</v>
      </c>
      <c r="I327" s="320"/>
      <c r="J327" s="337">
        <v>656714.17300000007</v>
      </c>
      <c r="K327" s="321">
        <v>807273.41899999988</v>
      </c>
      <c r="L327" s="321">
        <v>759483.51899999997</v>
      </c>
      <c r="M327" s="321">
        <v>766866.21100000001</v>
      </c>
      <c r="N327" s="321">
        <v>754611.47499999986</v>
      </c>
      <c r="O327" s="321">
        <v>719475.08700000029</v>
      </c>
      <c r="P327" s="321">
        <v>744413.19999999972</v>
      </c>
      <c r="Q327" s="321">
        <v>767572.81599999999</v>
      </c>
      <c r="R327" s="321">
        <v>735232.98200000008</v>
      </c>
      <c r="S327" s="321">
        <v>731923.41899999999</v>
      </c>
      <c r="T327" s="321">
        <v>688097.61899999995</v>
      </c>
      <c r="U327" s="322">
        <v>755126.6129999999</v>
      </c>
      <c r="V327" s="323">
        <v>8886790.5329999998</v>
      </c>
      <c r="W327" s="303"/>
      <c r="X327" s="324">
        <v>755126.6129999999</v>
      </c>
      <c r="Y327" s="325">
        <v>8886790.5329999998</v>
      </c>
      <c r="AA327" s="388"/>
    </row>
    <row r="328" spans="1:27" hidden="1" outlineLevel="1" x14ac:dyDescent="0.3">
      <c r="E328" s="250" t="s">
        <v>1258</v>
      </c>
      <c r="F328" s="317">
        <v>4305602</v>
      </c>
      <c r="G328" s="318"/>
      <c r="H328" s="319">
        <v>5101110103</v>
      </c>
      <c r="I328" s="320"/>
      <c r="J328" s="337">
        <v>98420.073999999979</v>
      </c>
      <c r="K328" s="321">
        <v>151082.38199999998</v>
      </c>
      <c r="L328" s="321">
        <v>101009.80500000001</v>
      </c>
      <c r="M328" s="321">
        <v>132400.96700000003</v>
      </c>
      <c r="N328" s="321">
        <v>112940.84300000001</v>
      </c>
      <c r="O328" s="321">
        <v>112352.43700000001</v>
      </c>
      <c r="P328" s="321">
        <v>102968.66899999999</v>
      </c>
      <c r="Q328" s="321">
        <v>92357.88499999998</v>
      </c>
      <c r="R328" s="321">
        <v>104517.67300000002</v>
      </c>
      <c r="S328" s="321">
        <v>78266.381999999998</v>
      </c>
      <c r="T328" s="321">
        <v>96643.02</v>
      </c>
      <c r="U328" s="322">
        <v>79307.875000000015</v>
      </c>
      <c r="V328" s="323">
        <v>1262268.0120000001</v>
      </c>
      <c r="W328" s="303"/>
      <c r="X328" s="324">
        <v>79307.875000000015</v>
      </c>
      <c r="Y328" s="325">
        <v>1262268.0120000001</v>
      </c>
      <c r="AA328" s="388"/>
    </row>
    <row r="329" spans="1:27" hidden="1" outlineLevel="1" x14ac:dyDescent="0.3">
      <c r="E329" s="250" t="s">
        <v>1259</v>
      </c>
      <c r="F329" s="317">
        <v>4305603</v>
      </c>
      <c r="G329" s="318"/>
      <c r="H329" s="319">
        <v>5101110105</v>
      </c>
      <c r="I329" s="320"/>
      <c r="J329" s="337">
        <v>81994.082000000009</v>
      </c>
      <c r="K329" s="321">
        <v>55179.540999999997</v>
      </c>
      <c r="L329" s="321">
        <v>123969.97600000002</v>
      </c>
      <c r="M329" s="321">
        <v>130920.141</v>
      </c>
      <c r="N329" s="321">
        <v>43113.758999999998</v>
      </c>
      <c r="O329" s="321">
        <v>178237.54199999999</v>
      </c>
      <c r="P329" s="321">
        <v>41365.078000000001</v>
      </c>
      <c r="Q329" s="321">
        <v>58206.763999999996</v>
      </c>
      <c r="R329" s="321">
        <v>60322.345999999998</v>
      </c>
      <c r="S329" s="321">
        <v>34776.777999999998</v>
      </c>
      <c r="T329" s="321">
        <v>79269.08</v>
      </c>
      <c r="U329" s="322">
        <v>107050.28600000001</v>
      </c>
      <c r="V329" s="323">
        <v>994405.37300000002</v>
      </c>
      <c r="W329" s="303"/>
      <c r="X329" s="324">
        <v>107050.28600000001</v>
      </c>
      <c r="Y329" s="325">
        <v>994405.37300000002</v>
      </c>
      <c r="AA329" s="388"/>
    </row>
    <row r="330" spans="1:27" hidden="1" outlineLevel="1" x14ac:dyDescent="0.3">
      <c r="E330" s="250" t="s">
        <v>1260</v>
      </c>
      <c r="F330" s="317">
        <v>4305604</v>
      </c>
      <c r="G330" s="318"/>
      <c r="H330" s="319">
        <v>5101110107</v>
      </c>
      <c r="I330" s="320"/>
      <c r="J330" s="337">
        <v>258552.75</v>
      </c>
      <c r="K330" s="321">
        <v>62120.9</v>
      </c>
      <c r="L330" s="321">
        <v>26521.77</v>
      </c>
      <c r="M330" s="321">
        <v>72491.59</v>
      </c>
      <c r="N330" s="321">
        <v>55469.450000000004</v>
      </c>
      <c r="O330" s="321">
        <v>30829.14</v>
      </c>
      <c r="P330" s="321">
        <v>74262.490000000005</v>
      </c>
      <c r="Q330" s="321">
        <v>43120.915999999997</v>
      </c>
      <c r="R330" s="321">
        <v>13893.02</v>
      </c>
      <c r="S330" s="321">
        <v>27081.63</v>
      </c>
      <c r="T330" s="321">
        <v>19844.75</v>
      </c>
      <c r="U330" s="322">
        <v>228160.66999999998</v>
      </c>
      <c r="V330" s="323">
        <v>912349.07600000012</v>
      </c>
      <c r="W330" s="303"/>
      <c r="X330" s="324">
        <v>228160.66999999998</v>
      </c>
      <c r="Y330" s="325">
        <v>912349.07600000012</v>
      </c>
      <c r="AA330" s="388"/>
    </row>
    <row r="331" spans="1:27" hidden="1" outlineLevel="1" x14ac:dyDescent="0.3">
      <c r="E331" s="250" t="s">
        <v>1261</v>
      </c>
      <c r="F331" s="317">
        <v>4305605</v>
      </c>
      <c r="G331" s="318"/>
      <c r="H331" s="319"/>
      <c r="I331" s="320"/>
      <c r="J331" s="337">
        <v>0</v>
      </c>
      <c r="K331" s="321">
        <v>1072.44</v>
      </c>
      <c r="L331" s="321">
        <v>0</v>
      </c>
      <c r="M331" s="321">
        <v>0</v>
      </c>
      <c r="N331" s="321">
        <v>0</v>
      </c>
      <c r="O331" s="321">
        <v>0</v>
      </c>
      <c r="P331" s="321">
        <v>6929.45</v>
      </c>
      <c r="Q331" s="321">
        <v>0</v>
      </c>
      <c r="R331" s="321">
        <v>0</v>
      </c>
      <c r="S331" s="321">
        <v>0</v>
      </c>
      <c r="T331" s="321">
        <v>0</v>
      </c>
      <c r="U331" s="322">
        <v>25962.376000000004</v>
      </c>
      <c r="V331" s="323">
        <v>33964.266000000003</v>
      </c>
      <c r="W331" s="303"/>
      <c r="X331" s="324">
        <v>25962.376000000004</v>
      </c>
      <c r="Y331" s="325">
        <v>33964.266000000003</v>
      </c>
      <c r="AA331" s="388"/>
    </row>
    <row r="332" spans="1:27" hidden="1" outlineLevel="1" x14ac:dyDescent="0.3">
      <c r="E332" s="250" t="s">
        <v>1262</v>
      </c>
      <c r="F332" s="317">
        <v>4305606</v>
      </c>
      <c r="G332" s="318"/>
      <c r="H332" s="319">
        <v>5101110199</v>
      </c>
      <c r="I332" s="320"/>
      <c r="J332" s="337">
        <v>9327.7999999999993</v>
      </c>
      <c r="K332" s="321">
        <v>14655.69</v>
      </c>
      <c r="L332" s="321">
        <v>18920.359999999997</v>
      </c>
      <c r="M332" s="321">
        <v>18493.015000000003</v>
      </c>
      <c r="N332" s="321">
        <v>18133.47</v>
      </c>
      <c r="O332" s="321">
        <v>20640.59</v>
      </c>
      <c r="P332" s="321">
        <v>19270.939999999999</v>
      </c>
      <c r="Q332" s="321">
        <v>18577.200000000004</v>
      </c>
      <c r="R332" s="321">
        <v>20507.36</v>
      </c>
      <c r="S332" s="321">
        <v>13546.660000000002</v>
      </c>
      <c r="T332" s="321">
        <v>23873.78</v>
      </c>
      <c r="U332" s="322">
        <v>20248.560000000001</v>
      </c>
      <c r="V332" s="323">
        <v>216195.42499999999</v>
      </c>
      <c r="W332" s="303"/>
      <c r="X332" s="324">
        <v>20248.560000000001</v>
      </c>
      <c r="Y332" s="325">
        <v>216195.42499999999</v>
      </c>
      <c r="AA332" s="388"/>
    </row>
    <row r="333" spans="1:27" hidden="1" outlineLevel="1" x14ac:dyDescent="0.3">
      <c r="E333" s="250" t="s">
        <v>1263</v>
      </c>
      <c r="F333" s="317">
        <v>4305607</v>
      </c>
      <c r="G333" s="318"/>
      <c r="H333" s="319"/>
      <c r="I333" s="320"/>
      <c r="J333" s="337">
        <v>20596.87</v>
      </c>
      <c r="K333" s="321">
        <v>17183.599999999999</v>
      </c>
      <c r="L333" s="321">
        <v>18851.62</v>
      </c>
      <c r="M333" s="321">
        <v>20362.73</v>
      </c>
      <c r="N333" s="321">
        <v>20505.009999999998</v>
      </c>
      <c r="O333" s="321">
        <v>18652.189999999999</v>
      </c>
      <c r="P333" s="321">
        <v>18374.240000000002</v>
      </c>
      <c r="Q333" s="321">
        <v>19275.3</v>
      </c>
      <c r="R333" s="321">
        <v>17282.28</v>
      </c>
      <c r="S333" s="321">
        <v>16531.810000000001</v>
      </c>
      <c r="T333" s="321">
        <v>19812.580000000002</v>
      </c>
      <c r="U333" s="322">
        <v>16141.74</v>
      </c>
      <c r="V333" s="323">
        <v>223569.96999999997</v>
      </c>
      <c r="W333" s="303"/>
      <c r="X333" s="324">
        <v>16141.74</v>
      </c>
      <c r="Y333" s="325">
        <v>223569.96999999997</v>
      </c>
      <c r="AA333" s="388"/>
    </row>
    <row r="334" spans="1:27" hidden="1" outlineLevel="1" x14ac:dyDescent="0.3">
      <c r="E334" s="250" t="s">
        <v>1264</v>
      </c>
      <c r="F334" s="317">
        <v>4305608</v>
      </c>
      <c r="G334" s="318"/>
      <c r="H334" s="319"/>
      <c r="I334" s="320"/>
      <c r="J334" s="337">
        <v>0</v>
      </c>
      <c r="K334" s="321">
        <v>0</v>
      </c>
      <c r="L334" s="321">
        <v>0</v>
      </c>
      <c r="M334" s="321">
        <v>0</v>
      </c>
      <c r="N334" s="321">
        <v>0</v>
      </c>
      <c r="O334" s="321">
        <v>0</v>
      </c>
      <c r="P334" s="321">
        <v>0</v>
      </c>
      <c r="Q334" s="321">
        <v>0</v>
      </c>
      <c r="R334" s="321">
        <v>0</v>
      </c>
      <c r="S334" s="321">
        <v>0</v>
      </c>
      <c r="T334" s="321">
        <v>0</v>
      </c>
      <c r="U334" s="322">
        <v>0</v>
      </c>
      <c r="V334" s="323">
        <v>0</v>
      </c>
      <c r="W334" s="303"/>
      <c r="X334" s="324">
        <v>0</v>
      </c>
      <c r="Y334" s="325">
        <v>0</v>
      </c>
      <c r="AA334" s="388"/>
    </row>
    <row r="335" spans="1:27" hidden="1" outlineLevel="1" x14ac:dyDescent="0.3">
      <c r="E335" s="250" t="s">
        <v>1265</v>
      </c>
      <c r="F335" s="317">
        <v>4305699</v>
      </c>
      <c r="G335" s="318"/>
      <c r="H335" s="319"/>
      <c r="I335" s="320"/>
      <c r="J335" s="337">
        <v>7548.97</v>
      </c>
      <c r="K335" s="321">
        <v>5454.14</v>
      </c>
      <c r="L335" s="321">
        <v>6395.2599999999993</v>
      </c>
      <c r="M335" s="321">
        <v>6873.5</v>
      </c>
      <c r="N335" s="321">
        <v>5877.48</v>
      </c>
      <c r="O335" s="321">
        <v>4348.8</v>
      </c>
      <c r="P335" s="321">
        <v>5895.02</v>
      </c>
      <c r="Q335" s="321">
        <v>4540.2800000000007</v>
      </c>
      <c r="R335" s="321">
        <v>7027.4800000000005</v>
      </c>
      <c r="S335" s="321">
        <v>5175.4400000000005</v>
      </c>
      <c r="T335" s="321">
        <v>4980.72</v>
      </c>
      <c r="U335" s="322">
        <v>5093.1130000000003</v>
      </c>
      <c r="V335" s="323">
        <v>69210.203000000009</v>
      </c>
      <c r="W335" s="303"/>
      <c r="X335" s="324">
        <v>5093.1130000000003</v>
      </c>
      <c r="Y335" s="325">
        <v>69210.203000000009</v>
      </c>
      <c r="AA335" s="388"/>
    </row>
    <row r="336" spans="1:27" s="361" customFormat="1" hidden="1" outlineLevel="2" x14ac:dyDescent="0.3">
      <c r="E336" s="326" t="s">
        <v>1266</v>
      </c>
      <c r="F336" s="351"/>
      <c r="G336" s="352"/>
      <c r="H336" s="353"/>
      <c r="I336" s="354"/>
      <c r="J336" s="362">
        <v>0</v>
      </c>
      <c r="K336" s="355">
        <v>0</v>
      </c>
      <c r="L336" s="355">
        <v>0</v>
      </c>
      <c r="M336" s="355">
        <v>0</v>
      </c>
      <c r="N336" s="355">
        <v>0</v>
      </c>
      <c r="O336" s="355">
        <v>0</v>
      </c>
      <c r="P336" s="355">
        <v>0</v>
      </c>
      <c r="Q336" s="355">
        <v>0</v>
      </c>
      <c r="R336" s="355">
        <v>0</v>
      </c>
      <c r="S336" s="355">
        <v>0</v>
      </c>
      <c r="T336" s="355">
        <v>0</v>
      </c>
      <c r="U336" s="356">
        <v>0</v>
      </c>
      <c r="V336" s="357">
        <v>0</v>
      </c>
      <c r="W336" s="358"/>
      <c r="X336" s="359">
        <v>0</v>
      </c>
      <c r="Y336" s="360">
        <v>0</v>
      </c>
      <c r="AA336" s="388"/>
    </row>
    <row r="337" spans="1:27" s="361" customFormat="1" hidden="1" outlineLevel="2" x14ac:dyDescent="0.3">
      <c r="E337" s="326" t="s">
        <v>1267</v>
      </c>
      <c r="F337" s="351"/>
      <c r="G337" s="352"/>
      <c r="H337" s="353"/>
      <c r="I337" s="354"/>
      <c r="J337" s="362">
        <v>0</v>
      </c>
      <c r="K337" s="355">
        <v>0</v>
      </c>
      <c r="L337" s="355">
        <v>0</v>
      </c>
      <c r="M337" s="355">
        <v>0</v>
      </c>
      <c r="N337" s="355">
        <v>0</v>
      </c>
      <c r="O337" s="355">
        <v>0</v>
      </c>
      <c r="P337" s="355">
        <v>0</v>
      </c>
      <c r="Q337" s="355">
        <v>0</v>
      </c>
      <c r="R337" s="355">
        <v>0</v>
      </c>
      <c r="S337" s="355">
        <v>0</v>
      </c>
      <c r="T337" s="355">
        <v>0</v>
      </c>
      <c r="U337" s="356">
        <v>0</v>
      </c>
      <c r="V337" s="357">
        <v>0</v>
      </c>
      <c r="W337" s="358"/>
      <c r="X337" s="359">
        <v>0</v>
      </c>
      <c r="Y337" s="360">
        <v>0</v>
      </c>
      <c r="AA337" s="388"/>
    </row>
    <row r="338" spans="1:27" s="361" customFormat="1" hidden="1" outlineLevel="2" x14ac:dyDescent="0.3">
      <c r="E338" s="326" t="s">
        <v>1268</v>
      </c>
      <c r="F338" s="351"/>
      <c r="G338" s="352"/>
      <c r="H338" s="353"/>
      <c r="I338" s="354"/>
      <c r="J338" s="362">
        <v>0</v>
      </c>
      <c r="K338" s="355">
        <v>0</v>
      </c>
      <c r="L338" s="355">
        <v>0</v>
      </c>
      <c r="M338" s="355">
        <v>0</v>
      </c>
      <c r="N338" s="355">
        <v>0</v>
      </c>
      <c r="O338" s="355">
        <v>0</v>
      </c>
      <c r="P338" s="355">
        <v>0</v>
      </c>
      <c r="Q338" s="355">
        <v>0</v>
      </c>
      <c r="R338" s="355">
        <v>0</v>
      </c>
      <c r="S338" s="355">
        <v>0</v>
      </c>
      <c r="T338" s="355">
        <v>0</v>
      </c>
      <c r="U338" s="356">
        <v>0</v>
      </c>
      <c r="V338" s="357">
        <v>0</v>
      </c>
      <c r="W338" s="358"/>
      <c r="X338" s="359">
        <v>0</v>
      </c>
      <c r="Y338" s="360">
        <v>0</v>
      </c>
      <c r="AA338" s="388"/>
    </row>
    <row r="339" spans="1:27" hidden="1" collapsed="1" x14ac:dyDescent="0.3">
      <c r="A339" s="233"/>
      <c r="B339" s="234" t="s">
        <v>32</v>
      </c>
      <c r="D339" s="293" t="s">
        <v>1269</v>
      </c>
      <c r="E339" s="294"/>
      <c r="F339" s="295" t="s">
        <v>1270</v>
      </c>
      <c r="G339" s="296"/>
      <c r="H339" s="297"/>
      <c r="I339" s="298"/>
      <c r="J339" s="299">
        <v>45879.474000000002</v>
      </c>
      <c r="K339" s="300">
        <v>25890.504999999997</v>
      </c>
      <c r="L339" s="300">
        <v>32749.542999999998</v>
      </c>
      <c r="M339" s="300">
        <v>46584.235999999997</v>
      </c>
      <c r="N339" s="300">
        <v>25232.865000000002</v>
      </c>
      <c r="O339" s="300">
        <v>29690.047000000002</v>
      </c>
      <c r="P339" s="300">
        <v>26059.954999999998</v>
      </c>
      <c r="Q339" s="300">
        <v>20255.310000000001</v>
      </c>
      <c r="R339" s="300">
        <v>31011.598999999998</v>
      </c>
      <c r="S339" s="300">
        <v>27115.67</v>
      </c>
      <c r="T339" s="300">
        <v>21268.149000000001</v>
      </c>
      <c r="U339" s="301">
        <v>21924.58</v>
      </c>
      <c r="V339" s="302">
        <v>353661.93299999996</v>
      </c>
      <c r="W339" s="303"/>
      <c r="X339" s="304">
        <v>21924.58</v>
      </c>
      <c r="Y339" s="305">
        <v>353661.93299999996</v>
      </c>
      <c r="AA339" s="388"/>
    </row>
    <row r="340" spans="1:27" hidden="1" outlineLevel="1" x14ac:dyDescent="0.3">
      <c r="E340" s="250" t="s">
        <v>1271</v>
      </c>
      <c r="F340" s="317">
        <v>4305301</v>
      </c>
      <c r="G340" s="318"/>
      <c r="H340" s="319">
        <v>5101130199</v>
      </c>
      <c r="I340" s="320"/>
      <c r="J340" s="337">
        <v>877</v>
      </c>
      <c r="K340" s="321">
        <v>1168</v>
      </c>
      <c r="L340" s="321">
        <v>653.97</v>
      </c>
      <c r="M340" s="321">
        <v>1090.3900000000001</v>
      </c>
      <c r="N340" s="321">
        <v>256</v>
      </c>
      <c r="O340" s="321">
        <v>302</v>
      </c>
      <c r="P340" s="321">
        <v>88</v>
      </c>
      <c r="Q340" s="321">
        <v>1284.5</v>
      </c>
      <c r="R340" s="321">
        <v>357.5</v>
      </c>
      <c r="S340" s="321">
        <v>1396.046</v>
      </c>
      <c r="T340" s="321">
        <v>1948.2729999999999</v>
      </c>
      <c r="U340" s="322">
        <v>0</v>
      </c>
      <c r="V340" s="323">
        <v>9421.6790000000001</v>
      </c>
      <c r="W340" s="303"/>
      <c r="X340" s="324">
        <v>0</v>
      </c>
      <c r="Y340" s="325">
        <v>9421.6790000000001</v>
      </c>
      <c r="AA340" s="388"/>
    </row>
    <row r="341" spans="1:27" hidden="1" outlineLevel="1" x14ac:dyDescent="0.3">
      <c r="E341" s="250" t="s">
        <v>1272</v>
      </c>
      <c r="F341" s="317">
        <v>4305302</v>
      </c>
      <c r="G341" s="318"/>
      <c r="H341" s="319">
        <v>5101130101</v>
      </c>
      <c r="I341" s="320"/>
      <c r="J341" s="337">
        <v>6516.1440000000002</v>
      </c>
      <c r="K341" s="321">
        <v>6556.2529999999997</v>
      </c>
      <c r="L341" s="321">
        <v>6444.2730000000001</v>
      </c>
      <c r="M341" s="321">
        <v>6291.3710000000001</v>
      </c>
      <c r="N341" s="321">
        <v>6447.0250000000005</v>
      </c>
      <c r="O341" s="321">
        <v>5433.9269999999997</v>
      </c>
      <c r="P341" s="321">
        <v>6199.4449999999997</v>
      </c>
      <c r="Q341" s="321">
        <v>6075.8300000000008</v>
      </c>
      <c r="R341" s="321">
        <v>6071.6989999999996</v>
      </c>
      <c r="S341" s="321">
        <v>6318.0739999999996</v>
      </c>
      <c r="T341" s="321">
        <v>6028.2710000000006</v>
      </c>
      <c r="U341" s="322">
        <v>5918.64</v>
      </c>
      <c r="V341" s="323">
        <v>74300.952000000005</v>
      </c>
      <c r="W341" s="303"/>
      <c r="X341" s="324">
        <v>5918.64</v>
      </c>
      <c r="Y341" s="325">
        <v>74300.952000000005</v>
      </c>
      <c r="AA341" s="388"/>
    </row>
    <row r="342" spans="1:27" hidden="1" outlineLevel="1" x14ac:dyDescent="0.3">
      <c r="E342" s="250" t="s">
        <v>1273</v>
      </c>
      <c r="F342" s="317">
        <v>4305303</v>
      </c>
      <c r="G342" s="318"/>
      <c r="H342" s="319"/>
      <c r="I342" s="320"/>
      <c r="J342" s="337">
        <v>454.14</v>
      </c>
      <c r="K342" s="321">
        <v>0</v>
      </c>
      <c r="L342" s="321">
        <v>0</v>
      </c>
      <c r="M342" s="321">
        <v>0</v>
      </c>
      <c r="N342" s="321">
        <v>-17.59</v>
      </c>
      <c r="O342" s="321">
        <v>0</v>
      </c>
      <c r="P342" s="321">
        <v>-14.04</v>
      </c>
      <c r="Q342" s="321">
        <v>0</v>
      </c>
      <c r="R342" s="321">
        <v>0</v>
      </c>
      <c r="S342" s="321">
        <v>0</v>
      </c>
      <c r="T342" s="321">
        <v>0</v>
      </c>
      <c r="U342" s="322">
        <v>-7.78</v>
      </c>
      <c r="V342" s="323">
        <v>414.73</v>
      </c>
      <c r="W342" s="303"/>
      <c r="X342" s="324">
        <v>-7.78</v>
      </c>
      <c r="Y342" s="325">
        <v>414.73</v>
      </c>
      <c r="AA342" s="388"/>
    </row>
    <row r="343" spans="1:27" hidden="1" outlineLevel="1" x14ac:dyDescent="0.3">
      <c r="E343" s="250" t="s">
        <v>1274</v>
      </c>
      <c r="F343" s="317">
        <v>4305304</v>
      </c>
      <c r="G343" s="318"/>
      <c r="H343" s="319">
        <v>5101130103</v>
      </c>
      <c r="I343" s="320"/>
      <c r="J343" s="337">
        <v>32993.47</v>
      </c>
      <c r="K343" s="321">
        <v>13663.811999999998</v>
      </c>
      <c r="L343" s="321">
        <v>23093.3</v>
      </c>
      <c r="M343" s="321">
        <v>32185.794999999998</v>
      </c>
      <c r="N343" s="321">
        <v>14695.78</v>
      </c>
      <c r="O343" s="321">
        <v>21241.120000000003</v>
      </c>
      <c r="P343" s="321">
        <v>13049.34</v>
      </c>
      <c r="Q343" s="321">
        <v>6562.0199999999995</v>
      </c>
      <c r="R343" s="321">
        <v>17658.349999999999</v>
      </c>
      <c r="S343" s="321">
        <v>16526.05</v>
      </c>
      <c r="T343" s="321">
        <v>8756.7250000000004</v>
      </c>
      <c r="U343" s="322">
        <v>13695.535</v>
      </c>
      <c r="V343" s="323">
        <v>214121.29699999999</v>
      </c>
      <c r="W343" s="303"/>
      <c r="X343" s="324">
        <v>13695.535</v>
      </c>
      <c r="Y343" s="325">
        <v>214121.29699999999</v>
      </c>
      <c r="AA343" s="388"/>
    </row>
    <row r="344" spans="1:27" hidden="1" outlineLevel="1" x14ac:dyDescent="0.3">
      <c r="E344" s="250" t="s">
        <v>1275</v>
      </c>
      <c r="F344" s="317">
        <v>4305305</v>
      </c>
      <c r="G344" s="318"/>
      <c r="H344" s="319"/>
      <c r="I344" s="320"/>
      <c r="J344" s="337">
        <v>1617.82</v>
      </c>
      <c r="K344" s="321">
        <v>0</v>
      </c>
      <c r="L344" s="321">
        <v>0</v>
      </c>
      <c r="M344" s="321">
        <v>2762.35</v>
      </c>
      <c r="N344" s="321">
        <v>1370.65</v>
      </c>
      <c r="O344" s="321">
        <v>0</v>
      </c>
      <c r="P344" s="321">
        <v>4002.21</v>
      </c>
      <c r="Q344" s="321">
        <v>3783.96</v>
      </c>
      <c r="R344" s="321">
        <v>4376.05</v>
      </c>
      <c r="S344" s="321">
        <v>0</v>
      </c>
      <c r="T344" s="321">
        <v>2014.88</v>
      </c>
      <c r="U344" s="322">
        <v>-596.36</v>
      </c>
      <c r="V344" s="323">
        <v>19331.559999999998</v>
      </c>
      <c r="W344" s="303"/>
      <c r="X344" s="324">
        <v>-596.36</v>
      </c>
      <c r="Y344" s="325">
        <v>19331.559999999998</v>
      </c>
      <c r="AA344" s="388"/>
    </row>
    <row r="345" spans="1:27" hidden="1" outlineLevel="1" x14ac:dyDescent="0.3">
      <c r="E345" s="250" t="s">
        <v>1276</v>
      </c>
      <c r="F345" s="317">
        <v>4305399</v>
      </c>
      <c r="G345" s="318"/>
      <c r="H345" s="319"/>
      <c r="I345" s="320"/>
      <c r="J345" s="337">
        <v>3420.9</v>
      </c>
      <c r="K345" s="321">
        <v>4502.4399999999996</v>
      </c>
      <c r="L345" s="321">
        <v>2558</v>
      </c>
      <c r="M345" s="321">
        <v>4254.33</v>
      </c>
      <c r="N345" s="321">
        <v>2481</v>
      </c>
      <c r="O345" s="321">
        <v>2713</v>
      </c>
      <c r="P345" s="321">
        <v>2735</v>
      </c>
      <c r="Q345" s="321">
        <v>2549</v>
      </c>
      <c r="R345" s="321">
        <v>2548</v>
      </c>
      <c r="S345" s="321">
        <v>2875.5</v>
      </c>
      <c r="T345" s="321">
        <v>2520</v>
      </c>
      <c r="U345" s="322">
        <v>2914.5450000000001</v>
      </c>
      <c r="V345" s="323">
        <v>36071.714999999997</v>
      </c>
      <c r="W345" s="303"/>
      <c r="X345" s="324">
        <v>2914.5450000000001</v>
      </c>
      <c r="Y345" s="325">
        <v>36071.714999999997</v>
      </c>
      <c r="AA345" s="388"/>
    </row>
    <row r="346" spans="1:27" s="361" customFormat="1" hidden="1" outlineLevel="2" x14ac:dyDescent="0.3">
      <c r="E346" s="326" t="s">
        <v>1277</v>
      </c>
      <c r="F346" s="351"/>
      <c r="G346" s="352"/>
      <c r="H346" s="353"/>
      <c r="I346" s="354"/>
      <c r="J346" s="362">
        <v>0</v>
      </c>
      <c r="K346" s="355">
        <v>0</v>
      </c>
      <c r="L346" s="355">
        <v>0</v>
      </c>
      <c r="M346" s="355">
        <v>0</v>
      </c>
      <c r="N346" s="355">
        <v>0</v>
      </c>
      <c r="O346" s="355">
        <v>0</v>
      </c>
      <c r="P346" s="355">
        <v>0</v>
      </c>
      <c r="Q346" s="355">
        <v>0</v>
      </c>
      <c r="R346" s="355">
        <v>0</v>
      </c>
      <c r="S346" s="355">
        <v>0</v>
      </c>
      <c r="T346" s="355">
        <v>0</v>
      </c>
      <c r="U346" s="356">
        <v>0</v>
      </c>
      <c r="V346" s="357">
        <v>0</v>
      </c>
      <c r="W346" s="358"/>
      <c r="X346" s="359">
        <v>0</v>
      </c>
      <c r="Y346" s="360">
        <v>0</v>
      </c>
      <c r="AA346" s="388"/>
    </row>
    <row r="347" spans="1:27" s="361" customFormat="1" hidden="1" outlineLevel="2" x14ac:dyDescent="0.3">
      <c r="E347" s="326" t="s">
        <v>1278</v>
      </c>
      <c r="F347" s="351"/>
      <c r="G347" s="352"/>
      <c r="H347" s="353"/>
      <c r="I347" s="354"/>
      <c r="J347" s="362">
        <v>0</v>
      </c>
      <c r="K347" s="355">
        <v>0</v>
      </c>
      <c r="L347" s="355">
        <v>0</v>
      </c>
      <c r="M347" s="355">
        <v>0</v>
      </c>
      <c r="N347" s="355">
        <v>0</v>
      </c>
      <c r="O347" s="355">
        <v>0</v>
      </c>
      <c r="P347" s="355">
        <v>0</v>
      </c>
      <c r="Q347" s="355">
        <v>0</v>
      </c>
      <c r="R347" s="355">
        <v>0</v>
      </c>
      <c r="S347" s="355">
        <v>0</v>
      </c>
      <c r="T347" s="355">
        <v>0</v>
      </c>
      <c r="U347" s="356">
        <v>0</v>
      </c>
      <c r="V347" s="357">
        <v>0</v>
      </c>
      <c r="W347" s="358"/>
      <c r="X347" s="359">
        <v>0</v>
      </c>
      <c r="Y347" s="360">
        <v>0</v>
      </c>
      <c r="AA347" s="388"/>
    </row>
    <row r="348" spans="1:27" s="361" customFormat="1" hidden="1" outlineLevel="2" x14ac:dyDescent="0.3">
      <c r="E348" s="326" t="s">
        <v>1279</v>
      </c>
      <c r="F348" s="351"/>
      <c r="G348" s="352"/>
      <c r="H348" s="353"/>
      <c r="I348" s="354"/>
      <c r="J348" s="362">
        <v>0</v>
      </c>
      <c r="K348" s="355">
        <v>0</v>
      </c>
      <c r="L348" s="355">
        <v>0</v>
      </c>
      <c r="M348" s="355">
        <v>0</v>
      </c>
      <c r="N348" s="355">
        <v>0</v>
      </c>
      <c r="O348" s="355">
        <v>0</v>
      </c>
      <c r="P348" s="355">
        <v>0</v>
      </c>
      <c r="Q348" s="355">
        <v>0</v>
      </c>
      <c r="R348" s="355">
        <v>0</v>
      </c>
      <c r="S348" s="355">
        <v>0</v>
      </c>
      <c r="T348" s="355">
        <v>0</v>
      </c>
      <c r="U348" s="356">
        <v>0</v>
      </c>
      <c r="V348" s="357">
        <v>0</v>
      </c>
      <c r="W348" s="358"/>
      <c r="X348" s="359">
        <v>0</v>
      </c>
      <c r="Y348" s="360">
        <v>0</v>
      </c>
      <c r="AA348" s="388"/>
    </row>
    <row r="349" spans="1:27" hidden="1" collapsed="1" x14ac:dyDescent="0.3">
      <c r="A349" s="233"/>
      <c r="B349" s="234" t="s">
        <v>37</v>
      </c>
      <c r="D349" s="293" t="s">
        <v>1280</v>
      </c>
      <c r="E349" s="294"/>
      <c r="F349" s="295" t="s">
        <v>1281</v>
      </c>
      <c r="G349" s="296"/>
      <c r="H349" s="297"/>
      <c r="I349" s="298"/>
      <c r="J349" s="299">
        <v>313092.83299999993</v>
      </c>
      <c r="K349" s="300">
        <v>282061.38500000007</v>
      </c>
      <c r="L349" s="300">
        <v>313177.91000000003</v>
      </c>
      <c r="M349" s="300">
        <v>280833.20699999999</v>
      </c>
      <c r="N349" s="300">
        <v>275922.60700000008</v>
      </c>
      <c r="O349" s="300">
        <v>286704.54199999996</v>
      </c>
      <c r="P349" s="300">
        <v>279874.89600000001</v>
      </c>
      <c r="Q349" s="300">
        <v>256081.62900000002</v>
      </c>
      <c r="R349" s="300">
        <v>274139.42600000004</v>
      </c>
      <c r="S349" s="300">
        <v>267056.76799999998</v>
      </c>
      <c r="T349" s="300">
        <v>269547.02899999998</v>
      </c>
      <c r="U349" s="301">
        <v>275777.65799999994</v>
      </c>
      <c r="V349" s="302">
        <v>3374269.8899999997</v>
      </c>
      <c r="W349" s="303"/>
      <c r="X349" s="304">
        <v>275777.65799999994</v>
      </c>
      <c r="Y349" s="305">
        <v>3374269.8899999997</v>
      </c>
      <c r="AA349" s="388"/>
    </row>
    <row r="350" spans="1:27" hidden="1" outlineLevel="1" x14ac:dyDescent="0.3">
      <c r="E350" s="250" t="s">
        <v>1282</v>
      </c>
      <c r="F350" s="317">
        <v>4306801</v>
      </c>
      <c r="G350" s="318"/>
      <c r="H350" s="319">
        <v>5101150101</v>
      </c>
      <c r="I350" s="320"/>
      <c r="J350" s="337">
        <v>7409.1799999999994</v>
      </c>
      <c r="K350" s="321">
        <v>7932.5399999999991</v>
      </c>
      <c r="L350" s="321">
        <v>6201.4890000000005</v>
      </c>
      <c r="M350" s="321">
        <v>7860.2830000000004</v>
      </c>
      <c r="N350" s="321">
        <v>7045.661000000001</v>
      </c>
      <c r="O350" s="321">
        <v>7603.0180000000018</v>
      </c>
      <c r="P350" s="321">
        <v>7620.6580000000004</v>
      </c>
      <c r="Q350" s="321">
        <v>6203.0910000000003</v>
      </c>
      <c r="R350" s="321">
        <v>7449.9430000000011</v>
      </c>
      <c r="S350" s="321">
        <v>4762.5880000000006</v>
      </c>
      <c r="T350" s="321">
        <v>5361.322000000001</v>
      </c>
      <c r="U350" s="322">
        <v>6613.5710000000008</v>
      </c>
      <c r="V350" s="323">
        <v>82063.343999999997</v>
      </c>
      <c r="W350" s="303"/>
      <c r="X350" s="324">
        <v>6613.5710000000008</v>
      </c>
      <c r="Y350" s="325">
        <v>82063.343999999997</v>
      </c>
      <c r="AA350" s="388"/>
    </row>
    <row r="351" spans="1:27" hidden="1" outlineLevel="1" x14ac:dyDescent="0.3">
      <c r="E351" s="250" t="s">
        <v>1283</v>
      </c>
      <c r="F351" s="317">
        <v>4306802</v>
      </c>
      <c r="G351" s="318"/>
      <c r="H351" s="319">
        <v>5101150199</v>
      </c>
      <c r="I351" s="320"/>
      <c r="J351" s="337">
        <v>107883.34699999999</v>
      </c>
      <c r="K351" s="321">
        <v>76789.607000000004</v>
      </c>
      <c r="L351" s="321">
        <v>76932.247000000003</v>
      </c>
      <c r="M351" s="321">
        <v>76926.547000000006</v>
      </c>
      <c r="N351" s="321">
        <v>76932.247000000003</v>
      </c>
      <c r="O351" s="321">
        <v>77132.247000000003</v>
      </c>
      <c r="P351" s="321">
        <v>76928.247000000003</v>
      </c>
      <c r="Q351" s="321">
        <v>76932.247000000003</v>
      </c>
      <c r="R351" s="321">
        <v>74232.247000000003</v>
      </c>
      <c r="S351" s="321">
        <v>66696.247000000003</v>
      </c>
      <c r="T351" s="321">
        <v>66702.247000000003</v>
      </c>
      <c r="U351" s="322">
        <v>66702.247000000003</v>
      </c>
      <c r="V351" s="323">
        <v>920789.72399999981</v>
      </c>
      <c r="W351" s="303"/>
      <c r="X351" s="324">
        <v>66702.247000000003</v>
      </c>
      <c r="Y351" s="325">
        <v>920789.72399999981</v>
      </c>
      <c r="AA351" s="388"/>
    </row>
    <row r="352" spans="1:27" hidden="1" outlineLevel="1" x14ac:dyDescent="0.3">
      <c r="E352" s="250" t="s">
        <v>1284</v>
      </c>
      <c r="F352" s="317">
        <v>4306803</v>
      </c>
      <c r="G352" s="318"/>
      <c r="H352" s="319">
        <v>5101150103</v>
      </c>
      <c r="I352" s="320"/>
      <c r="J352" s="337">
        <v>10267.569</v>
      </c>
      <c r="K352" s="321">
        <v>10630.608</v>
      </c>
      <c r="L352" s="321">
        <v>10525.366000000002</v>
      </c>
      <c r="M352" s="321">
        <v>10402.626000000002</v>
      </c>
      <c r="N352" s="321">
        <v>10381.392</v>
      </c>
      <c r="O352" s="321">
        <v>11350.813</v>
      </c>
      <c r="P352" s="321">
        <v>10693.914000000001</v>
      </c>
      <c r="Q352" s="321">
        <v>11782.224</v>
      </c>
      <c r="R352" s="321">
        <v>10861.700999999999</v>
      </c>
      <c r="S352" s="321">
        <v>10446.973999999998</v>
      </c>
      <c r="T352" s="321">
        <v>10717.284999999998</v>
      </c>
      <c r="U352" s="322">
        <v>12690.154999999999</v>
      </c>
      <c r="V352" s="323">
        <v>130750.62700000001</v>
      </c>
      <c r="W352" s="303"/>
      <c r="X352" s="324">
        <v>12690.154999999999</v>
      </c>
      <c r="Y352" s="325">
        <v>130750.62700000001</v>
      </c>
      <c r="AA352" s="388"/>
    </row>
    <row r="353" spans="1:27" hidden="1" outlineLevel="1" x14ac:dyDescent="0.3">
      <c r="E353" s="250" t="s">
        <v>1285</v>
      </c>
      <c r="F353" s="317">
        <v>4306804</v>
      </c>
      <c r="G353" s="318"/>
      <c r="H353" s="319"/>
      <c r="I353" s="320"/>
      <c r="J353" s="337">
        <v>3634.3999999999996</v>
      </c>
      <c r="K353" s="321">
        <v>3579.8</v>
      </c>
      <c r="L353" s="321">
        <v>3618.7999999999997</v>
      </c>
      <c r="M353" s="321">
        <v>3585.4</v>
      </c>
      <c r="N353" s="321">
        <v>3596</v>
      </c>
      <c r="O353" s="321">
        <v>3563.7000000000003</v>
      </c>
      <c r="P353" s="321">
        <v>3568.2999999999997</v>
      </c>
      <c r="Q353" s="321">
        <v>3585.1</v>
      </c>
      <c r="R353" s="321">
        <v>3569.7999999999997</v>
      </c>
      <c r="S353" s="321">
        <v>3589.2</v>
      </c>
      <c r="T353" s="321">
        <v>3555.8</v>
      </c>
      <c r="U353" s="322">
        <v>3563.1</v>
      </c>
      <c r="V353" s="323">
        <v>43009.4</v>
      </c>
      <c r="W353" s="303"/>
      <c r="X353" s="324">
        <v>3563.1</v>
      </c>
      <c r="Y353" s="325">
        <v>43009.4</v>
      </c>
      <c r="AA353" s="388"/>
    </row>
    <row r="354" spans="1:27" hidden="1" outlineLevel="1" x14ac:dyDescent="0.3">
      <c r="E354" s="250" t="s">
        <v>1286</v>
      </c>
      <c r="F354" s="317">
        <v>4306805</v>
      </c>
      <c r="G354" s="318"/>
      <c r="H354" s="319"/>
      <c r="I354" s="320"/>
      <c r="J354" s="337">
        <v>5183.3500000000004</v>
      </c>
      <c r="K354" s="321">
        <v>5208.33</v>
      </c>
      <c r="L354" s="321">
        <v>5217.67</v>
      </c>
      <c r="M354" s="321">
        <v>4395.5720000000001</v>
      </c>
      <c r="N354" s="321">
        <v>5191.25</v>
      </c>
      <c r="O354" s="321">
        <v>5181.29</v>
      </c>
      <c r="P354" s="321">
        <v>4351.5039999999999</v>
      </c>
      <c r="Q354" s="321">
        <v>5187.3999999999996</v>
      </c>
      <c r="R354" s="321">
        <v>5184.66</v>
      </c>
      <c r="S354" s="321">
        <v>4038.4119999999998</v>
      </c>
      <c r="T354" s="321">
        <v>5185.3789999999999</v>
      </c>
      <c r="U354" s="322">
        <v>5196.0600000000004</v>
      </c>
      <c r="V354" s="323">
        <v>59520.876999999993</v>
      </c>
      <c r="W354" s="303"/>
      <c r="X354" s="324">
        <v>5196.0600000000004</v>
      </c>
      <c r="Y354" s="325">
        <v>59520.876999999993</v>
      </c>
      <c r="AA354" s="388"/>
    </row>
    <row r="355" spans="1:27" hidden="1" outlineLevel="1" x14ac:dyDescent="0.3">
      <c r="E355" s="250" t="s">
        <v>1287</v>
      </c>
      <c r="F355" s="317">
        <v>4306806</v>
      </c>
      <c r="G355" s="318"/>
      <c r="H355" s="319"/>
      <c r="I355" s="320"/>
      <c r="J355" s="337">
        <v>701.82999999999993</v>
      </c>
      <c r="K355" s="321">
        <v>685.56</v>
      </c>
      <c r="L355" s="321">
        <v>701.06</v>
      </c>
      <c r="M355" s="321">
        <v>662.28500000000008</v>
      </c>
      <c r="N355" s="321">
        <v>691.16000000000008</v>
      </c>
      <c r="O355" s="321">
        <v>701.06</v>
      </c>
      <c r="P355" s="321">
        <v>588.33500000000004</v>
      </c>
      <c r="Q355" s="321">
        <v>691.16000000000008</v>
      </c>
      <c r="R355" s="321">
        <v>699.65200000000004</v>
      </c>
      <c r="S355" s="321">
        <v>586.92700000000002</v>
      </c>
      <c r="T355" s="321">
        <v>689.75199999999995</v>
      </c>
      <c r="U355" s="322">
        <v>4185.3539999999994</v>
      </c>
      <c r="V355" s="323">
        <v>11584.134999999998</v>
      </c>
      <c r="W355" s="303"/>
      <c r="X355" s="324">
        <v>4185.3539999999994</v>
      </c>
      <c r="Y355" s="325">
        <v>11584.134999999998</v>
      </c>
      <c r="AA355" s="388"/>
    </row>
    <row r="356" spans="1:27" hidden="1" outlineLevel="1" x14ac:dyDescent="0.3">
      <c r="E356" s="250" t="s">
        <v>1288</v>
      </c>
      <c r="F356" s="317">
        <v>4306807</v>
      </c>
      <c r="G356" s="318"/>
      <c r="H356" s="319">
        <v>5101150105</v>
      </c>
      <c r="I356" s="320"/>
      <c r="J356" s="337">
        <v>161409.42899999995</v>
      </c>
      <c r="K356" s="321">
        <v>161492.86500000005</v>
      </c>
      <c r="L356" s="321">
        <v>162910.11100000003</v>
      </c>
      <c r="M356" s="321">
        <v>163068.23899999997</v>
      </c>
      <c r="N356" s="321">
        <v>157698.97300000003</v>
      </c>
      <c r="O356" s="321">
        <v>161825.193</v>
      </c>
      <c r="P356" s="321">
        <v>158870.94700000001</v>
      </c>
      <c r="Q356" s="321">
        <v>158385.28100000002</v>
      </c>
      <c r="R356" s="321">
        <v>154375.94400000002</v>
      </c>
      <c r="S356" s="321">
        <v>159945.959</v>
      </c>
      <c r="T356" s="321">
        <v>161485.27499999997</v>
      </c>
      <c r="U356" s="322">
        <v>160815.37699999998</v>
      </c>
      <c r="V356" s="323">
        <v>1922283.5929999999</v>
      </c>
      <c r="W356" s="303"/>
      <c r="X356" s="324">
        <v>160815.37699999998</v>
      </c>
      <c r="Y356" s="325">
        <v>1922283.5929999999</v>
      </c>
      <c r="AA356" s="388"/>
    </row>
    <row r="357" spans="1:27" s="350" customFormat="1" hidden="1" outlineLevel="2" x14ac:dyDescent="0.3">
      <c r="E357" s="250" t="s">
        <v>1289</v>
      </c>
      <c r="F357" s="375">
        <v>4306808</v>
      </c>
      <c r="G357" s="307"/>
      <c r="H357" s="308"/>
      <c r="I357" s="309"/>
      <c r="J357" s="310">
        <v>4090</v>
      </c>
      <c r="K357" s="311">
        <v>4180</v>
      </c>
      <c r="L357" s="311">
        <v>346.34</v>
      </c>
      <c r="M357" s="311">
        <v>976.34</v>
      </c>
      <c r="N357" s="311">
        <v>1445.29</v>
      </c>
      <c r="O357" s="311">
        <v>7009.1859999999997</v>
      </c>
      <c r="P357" s="311">
        <v>4090</v>
      </c>
      <c r="Q357" s="311">
        <v>4030</v>
      </c>
      <c r="R357" s="311">
        <v>4030</v>
      </c>
      <c r="S357" s="311">
        <v>4060</v>
      </c>
      <c r="T357" s="311">
        <v>3970</v>
      </c>
      <c r="U357" s="312">
        <v>3860</v>
      </c>
      <c r="V357" s="313">
        <v>42087.156000000003</v>
      </c>
      <c r="W357" s="314"/>
      <c r="X357" s="315">
        <v>3860</v>
      </c>
      <c r="Y357" s="316">
        <v>42087.156000000003</v>
      </c>
      <c r="AA357" s="388"/>
    </row>
    <row r="358" spans="1:27" hidden="1" outlineLevel="1" x14ac:dyDescent="0.3">
      <c r="E358" s="250" t="s">
        <v>1290</v>
      </c>
      <c r="F358" s="317">
        <v>4306899</v>
      </c>
      <c r="G358" s="318"/>
      <c r="H358" s="319"/>
      <c r="I358" s="320"/>
      <c r="J358" s="337">
        <v>12513.728000000001</v>
      </c>
      <c r="K358" s="321">
        <v>11562.075000000001</v>
      </c>
      <c r="L358" s="321">
        <v>46724.827000000005</v>
      </c>
      <c r="M358" s="321">
        <v>12955.915000000001</v>
      </c>
      <c r="N358" s="321">
        <v>12940.634</v>
      </c>
      <c r="O358" s="321">
        <v>12338.034999999998</v>
      </c>
      <c r="P358" s="321">
        <v>13162.991000000002</v>
      </c>
      <c r="Q358" s="321">
        <v>-10714.874000000002</v>
      </c>
      <c r="R358" s="321">
        <v>13735.479000000001</v>
      </c>
      <c r="S358" s="321">
        <v>12930.461000000001</v>
      </c>
      <c r="T358" s="321">
        <v>11879.969000000001</v>
      </c>
      <c r="U358" s="322">
        <v>12151.794</v>
      </c>
      <c r="V358" s="323">
        <v>162181.03400000004</v>
      </c>
      <c r="W358" s="303"/>
      <c r="X358" s="324">
        <v>12151.794</v>
      </c>
      <c r="Y358" s="325">
        <v>162181.03400000004</v>
      </c>
      <c r="AA358" s="388"/>
    </row>
    <row r="359" spans="1:27" s="361" customFormat="1" hidden="1" outlineLevel="2" x14ac:dyDescent="0.3">
      <c r="E359" s="326" t="s">
        <v>1291</v>
      </c>
      <c r="F359" s="351"/>
      <c r="G359" s="352"/>
      <c r="H359" s="353"/>
      <c r="I359" s="354"/>
      <c r="J359" s="362">
        <v>0</v>
      </c>
      <c r="K359" s="355">
        <v>0</v>
      </c>
      <c r="L359" s="355">
        <v>0</v>
      </c>
      <c r="M359" s="355">
        <v>0</v>
      </c>
      <c r="N359" s="355">
        <v>0</v>
      </c>
      <c r="O359" s="355">
        <v>0</v>
      </c>
      <c r="P359" s="355">
        <v>0</v>
      </c>
      <c r="Q359" s="355">
        <v>0</v>
      </c>
      <c r="R359" s="355">
        <v>0</v>
      </c>
      <c r="S359" s="355">
        <v>0</v>
      </c>
      <c r="T359" s="355">
        <v>0</v>
      </c>
      <c r="U359" s="356">
        <v>0</v>
      </c>
      <c r="V359" s="357">
        <v>0</v>
      </c>
      <c r="W359" s="358"/>
      <c r="X359" s="359">
        <v>0</v>
      </c>
      <c r="Y359" s="360">
        <v>0</v>
      </c>
      <c r="AA359" s="388"/>
    </row>
    <row r="360" spans="1:27" s="361" customFormat="1" hidden="1" outlineLevel="2" x14ac:dyDescent="0.3">
      <c r="E360" s="326" t="s">
        <v>1292</v>
      </c>
      <c r="F360" s="351"/>
      <c r="G360" s="352"/>
      <c r="H360" s="353"/>
      <c r="I360" s="354"/>
      <c r="J360" s="362">
        <v>0</v>
      </c>
      <c r="K360" s="355">
        <v>0</v>
      </c>
      <c r="L360" s="355">
        <v>0</v>
      </c>
      <c r="M360" s="355">
        <v>0</v>
      </c>
      <c r="N360" s="355">
        <v>0</v>
      </c>
      <c r="O360" s="355">
        <v>0</v>
      </c>
      <c r="P360" s="355">
        <v>0</v>
      </c>
      <c r="Q360" s="355">
        <v>0</v>
      </c>
      <c r="R360" s="355">
        <v>0</v>
      </c>
      <c r="S360" s="355">
        <v>0</v>
      </c>
      <c r="T360" s="355">
        <v>0</v>
      </c>
      <c r="U360" s="356">
        <v>0</v>
      </c>
      <c r="V360" s="357">
        <v>0</v>
      </c>
      <c r="W360" s="358"/>
      <c r="X360" s="359">
        <v>0</v>
      </c>
      <c r="Y360" s="360">
        <v>0</v>
      </c>
      <c r="AA360" s="388"/>
    </row>
    <row r="361" spans="1:27" s="361" customFormat="1" hidden="1" outlineLevel="2" x14ac:dyDescent="0.3">
      <c r="E361" s="326" t="s">
        <v>1293</v>
      </c>
      <c r="F361" s="351"/>
      <c r="G361" s="352"/>
      <c r="H361" s="353"/>
      <c r="I361" s="354"/>
      <c r="J361" s="362">
        <v>0</v>
      </c>
      <c r="K361" s="355">
        <v>0</v>
      </c>
      <c r="L361" s="355">
        <v>0</v>
      </c>
      <c r="M361" s="355">
        <v>0</v>
      </c>
      <c r="N361" s="355">
        <v>0</v>
      </c>
      <c r="O361" s="355">
        <v>0</v>
      </c>
      <c r="P361" s="355">
        <v>0</v>
      </c>
      <c r="Q361" s="355">
        <v>0</v>
      </c>
      <c r="R361" s="355">
        <v>0</v>
      </c>
      <c r="S361" s="355">
        <v>0</v>
      </c>
      <c r="T361" s="355">
        <v>0</v>
      </c>
      <c r="U361" s="356">
        <v>0</v>
      </c>
      <c r="V361" s="357">
        <v>0</v>
      </c>
      <c r="W361" s="358"/>
      <c r="X361" s="359">
        <v>0</v>
      </c>
      <c r="Y361" s="360">
        <v>0</v>
      </c>
      <c r="AA361" s="388"/>
    </row>
    <row r="362" spans="1:27" hidden="1" collapsed="1" x14ac:dyDescent="0.3">
      <c r="A362" s="233"/>
      <c r="B362" s="234" t="s">
        <v>17</v>
      </c>
      <c r="D362" s="293" t="s">
        <v>1294</v>
      </c>
      <c r="E362" s="294"/>
      <c r="F362" s="295" t="s">
        <v>1295</v>
      </c>
      <c r="G362" s="296"/>
      <c r="H362" s="297"/>
      <c r="I362" s="298"/>
      <c r="J362" s="299">
        <v>1396034.85</v>
      </c>
      <c r="K362" s="300">
        <v>1459094.9990000001</v>
      </c>
      <c r="L362" s="300">
        <v>1375641.8720000002</v>
      </c>
      <c r="M362" s="300">
        <v>1131686.7880000002</v>
      </c>
      <c r="N362" s="300">
        <v>1179271.6599999999</v>
      </c>
      <c r="O362" s="300">
        <v>1324282.5330000003</v>
      </c>
      <c r="P362" s="300">
        <v>1638309.7729999998</v>
      </c>
      <c r="Q362" s="300">
        <v>1870067.6929999997</v>
      </c>
      <c r="R362" s="300">
        <v>1850343.3450000002</v>
      </c>
      <c r="S362" s="300">
        <v>1434453.7520000003</v>
      </c>
      <c r="T362" s="300">
        <v>1227769.3729999999</v>
      </c>
      <c r="U362" s="301">
        <v>1335051.0739999998</v>
      </c>
      <c r="V362" s="302">
        <v>17222007.712000001</v>
      </c>
      <c r="W362" s="303"/>
      <c r="X362" s="304">
        <v>1335051.0739999998</v>
      </c>
      <c r="Y362" s="305">
        <v>17222007.712000001</v>
      </c>
      <c r="AA362" s="388"/>
    </row>
    <row r="363" spans="1:27" hidden="1" outlineLevel="1" x14ac:dyDescent="0.3">
      <c r="E363" s="250" t="s">
        <v>1296</v>
      </c>
      <c r="F363" s="317">
        <v>4301101</v>
      </c>
      <c r="G363" s="318"/>
      <c r="H363" s="319">
        <v>5101170101</v>
      </c>
      <c r="I363" s="320"/>
      <c r="J363" s="337">
        <v>1282132.1400000001</v>
      </c>
      <c r="K363" s="321">
        <v>1336491.4920000001</v>
      </c>
      <c r="L363" s="321">
        <v>1260667.5780000002</v>
      </c>
      <c r="M363" s="321">
        <v>1056404.571</v>
      </c>
      <c r="N363" s="321">
        <v>1102500.885</v>
      </c>
      <c r="O363" s="321">
        <v>1251229.0990000002</v>
      </c>
      <c r="P363" s="321">
        <v>1549475.4369999997</v>
      </c>
      <c r="Q363" s="321">
        <v>1771305.682</v>
      </c>
      <c r="R363" s="321">
        <v>1730531.4670000002</v>
      </c>
      <c r="S363" s="321">
        <v>1343299.6960000002</v>
      </c>
      <c r="T363" s="321">
        <v>1138294.8269999998</v>
      </c>
      <c r="U363" s="322">
        <v>1224659.2209999999</v>
      </c>
      <c r="V363" s="323">
        <v>16046992.094999999</v>
      </c>
      <c r="W363" s="303"/>
      <c r="X363" s="324">
        <v>1224659.2209999999</v>
      </c>
      <c r="Y363" s="325">
        <v>16046992.094999999</v>
      </c>
      <c r="AA363" s="388"/>
    </row>
    <row r="364" spans="1:27" hidden="1" outlineLevel="1" x14ac:dyDescent="0.3">
      <c r="E364" s="250" t="s">
        <v>1297</v>
      </c>
      <c r="F364" s="317">
        <v>4301102</v>
      </c>
      <c r="G364" s="318"/>
      <c r="H364" s="319">
        <v>5101170103</v>
      </c>
      <c r="I364" s="320"/>
      <c r="J364" s="337">
        <v>57063.840999999993</v>
      </c>
      <c r="K364" s="321">
        <v>59395.272999999994</v>
      </c>
      <c r="L364" s="321">
        <v>61271.987000000001</v>
      </c>
      <c r="M364" s="321">
        <v>50107.796000000002</v>
      </c>
      <c r="N364" s="321">
        <v>60260.69</v>
      </c>
      <c r="O364" s="321">
        <v>58191.519</v>
      </c>
      <c r="P364" s="321">
        <v>60974.362000000001</v>
      </c>
      <c r="Q364" s="321">
        <v>67886.362999999998</v>
      </c>
      <c r="R364" s="321">
        <v>85516.521000000008</v>
      </c>
      <c r="S364" s="321">
        <v>66638.296000000002</v>
      </c>
      <c r="T364" s="321">
        <v>67166.120999999985</v>
      </c>
      <c r="U364" s="322">
        <v>64376.292000000009</v>
      </c>
      <c r="V364" s="323">
        <v>758849.0610000001</v>
      </c>
      <c r="W364" s="303"/>
      <c r="X364" s="324">
        <v>64376.292000000009</v>
      </c>
      <c r="Y364" s="325">
        <v>758849.0610000001</v>
      </c>
      <c r="AA364" s="388"/>
    </row>
    <row r="365" spans="1:27" hidden="1" outlineLevel="1" x14ac:dyDescent="0.3">
      <c r="E365" s="250" t="s">
        <v>1298</v>
      </c>
      <c r="F365" s="317">
        <v>4301103</v>
      </c>
      <c r="G365" s="318"/>
      <c r="H365" s="319">
        <v>5101170105</v>
      </c>
      <c r="I365" s="320"/>
      <c r="J365" s="337">
        <v>56606.731</v>
      </c>
      <c r="K365" s="321">
        <v>63167.648000000008</v>
      </c>
      <c r="L365" s="321">
        <v>53452.358</v>
      </c>
      <c r="M365" s="321">
        <v>25312.316999999999</v>
      </c>
      <c r="N365" s="321">
        <v>16025.300000000001</v>
      </c>
      <c r="O365" s="321">
        <v>15339.778</v>
      </c>
      <c r="P365" s="321">
        <v>24727.837000000003</v>
      </c>
      <c r="Q365" s="321">
        <v>31175.700999999997</v>
      </c>
      <c r="R365" s="321">
        <v>33501.681000000004</v>
      </c>
      <c r="S365" s="321">
        <v>24566.799999999999</v>
      </c>
      <c r="T365" s="321">
        <v>22398.364000000001</v>
      </c>
      <c r="U365" s="322">
        <v>46164.405000000013</v>
      </c>
      <c r="V365" s="323">
        <v>412438.92</v>
      </c>
      <c r="W365" s="303"/>
      <c r="X365" s="324">
        <v>46164.405000000013</v>
      </c>
      <c r="Y365" s="325">
        <v>412438.92</v>
      </c>
      <c r="AA365" s="388"/>
    </row>
    <row r="366" spans="1:27" hidden="1" outlineLevel="1" x14ac:dyDescent="0.3">
      <c r="E366" s="250" t="s">
        <v>1299</v>
      </c>
      <c r="F366" s="317">
        <v>4301199</v>
      </c>
      <c r="G366" s="318"/>
      <c r="H366" s="319">
        <v>5101170199</v>
      </c>
      <c r="I366" s="320"/>
      <c r="J366" s="337">
        <v>232.13800000000001</v>
      </c>
      <c r="K366" s="321">
        <v>40.585999999999999</v>
      </c>
      <c r="L366" s="321">
        <v>249.94900000000001</v>
      </c>
      <c r="M366" s="321">
        <v>-137.89599999999999</v>
      </c>
      <c r="N366" s="321">
        <v>484.78500000000003</v>
      </c>
      <c r="O366" s="321">
        <v>-477.863</v>
      </c>
      <c r="P366" s="321">
        <v>3132.1370000000002</v>
      </c>
      <c r="Q366" s="321">
        <v>-300.053</v>
      </c>
      <c r="R366" s="321">
        <v>793.67600000000004</v>
      </c>
      <c r="S366" s="321">
        <v>-51.04</v>
      </c>
      <c r="T366" s="321">
        <v>-89.938999999999993</v>
      </c>
      <c r="U366" s="322">
        <v>-148.84399999999999</v>
      </c>
      <c r="V366" s="323">
        <v>3727.6360000000004</v>
      </c>
      <c r="W366" s="303"/>
      <c r="X366" s="324">
        <v>-148.84399999999999</v>
      </c>
      <c r="Y366" s="325">
        <v>3727.6360000000004</v>
      </c>
      <c r="AA366" s="388"/>
    </row>
    <row r="367" spans="1:27" s="361" customFormat="1" hidden="1" outlineLevel="2" x14ac:dyDescent="0.3">
      <c r="E367" s="326" t="s">
        <v>1300</v>
      </c>
      <c r="F367" s="351"/>
      <c r="G367" s="352"/>
      <c r="H367" s="353"/>
      <c r="I367" s="354"/>
      <c r="J367" s="362">
        <v>0</v>
      </c>
      <c r="K367" s="355">
        <v>0</v>
      </c>
      <c r="L367" s="355">
        <v>0</v>
      </c>
      <c r="M367" s="355">
        <v>0</v>
      </c>
      <c r="N367" s="355">
        <v>0</v>
      </c>
      <c r="O367" s="355">
        <v>0</v>
      </c>
      <c r="P367" s="355">
        <v>0</v>
      </c>
      <c r="Q367" s="355">
        <v>0</v>
      </c>
      <c r="R367" s="355">
        <v>0</v>
      </c>
      <c r="S367" s="355">
        <v>0</v>
      </c>
      <c r="T367" s="355">
        <v>0</v>
      </c>
      <c r="U367" s="356">
        <v>0</v>
      </c>
      <c r="V367" s="357">
        <v>0</v>
      </c>
      <c r="W367" s="358"/>
      <c r="X367" s="359">
        <v>0</v>
      </c>
      <c r="Y367" s="360">
        <v>0</v>
      </c>
      <c r="AA367" s="388"/>
    </row>
    <row r="368" spans="1:27" s="361" customFormat="1" hidden="1" outlineLevel="2" x14ac:dyDescent="0.3">
      <c r="E368" s="326" t="s">
        <v>1301</v>
      </c>
      <c r="F368" s="351"/>
      <c r="G368" s="352"/>
      <c r="H368" s="353"/>
      <c r="I368" s="354"/>
      <c r="J368" s="362">
        <v>0</v>
      </c>
      <c r="K368" s="355">
        <v>0</v>
      </c>
      <c r="L368" s="355">
        <v>0</v>
      </c>
      <c r="M368" s="355">
        <v>0</v>
      </c>
      <c r="N368" s="355">
        <v>0</v>
      </c>
      <c r="O368" s="355">
        <v>0</v>
      </c>
      <c r="P368" s="355">
        <v>0</v>
      </c>
      <c r="Q368" s="355">
        <v>0</v>
      </c>
      <c r="R368" s="355">
        <v>0</v>
      </c>
      <c r="S368" s="355">
        <v>0</v>
      </c>
      <c r="T368" s="355">
        <v>0</v>
      </c>
      <c r="U368" s="356">
        <v>0</v>
      </c>
      <c r="V368" s="357">
        <v>0</v>
      </c>
      <c r="W368" s="358"/>
      <c r="X368" s="359">
        <v>0</v>
      </c>
      <c r="Y368" s="360">
        <v>0</v>
      </c>
      <c r="AA368" s="388"/>
    </row>
    <row r="369" spans="1:27" s="361" customFormat="1" hidden="1" outlineLevel="2" x14ac:dyDescent="0.3">
      <c r="E369" s="326" t="s">
        <v>1302</v>
      </c>
      <c r="F369" s="351"/>
      <c r="G369" s="352"/>
      <c r="H369" s="353"/>
      <c r="I369" s="354"/>
      <c r="J369" s="362">
        <v>0</v>
      </c>
      <c r="K369" s="355">
        <v>0</v>
      </c>
      <c r="L369" s="355">
        <v>0</v>
      </c>
      <c r="M369" s="355">
        <v>0</v>
      </c>
      <c r="N369" s="355">
        <v>0</v>
      </c>
      <c r="O369" s="355">
        <v>0</v>
      </c>
      <c r="P369" s="355">
        <v>0</v>
      </c>
      <c r="Q369" s="355">
        <v>0</v>
      </c>
      <c r="R369" s="355">
        <v>0</v>
      </c>
      <c r="S369" s="355">
        <v>0</v>
      </c>
      <c r="T369" s="355">
        <v>0</v>
      </c>
      <c r="U369" s="356">
        <v>0</v>
      </c>
      <c r="V369" s="357">
        <v>0</v>
      </c>
      <c r="W369" s="358"/>
      <c r="X369" s="359">
        <v>0</v>
      </c>
      <c r="Y369" s="360">
        <v>0</v>
      </c>
      <c r="AA369" s="388"/>
    </row>
    <row r="370" spans="1:27" hidden="1" collapsed="1" x14ac:dyDescent="0.3">
      <c r="A370" s="233"/>
      <c r="B370" s="234" t="s">
        <v>35</v>
      </c>
      <c r="D370" s="294" t="s">
        <v>1303</v>
      </c>
      <c r="E370" s="294"/>
      <c r="F370" s="295" t="s">
        <v>1304</v>
      </c>
      <c r="G370" s="296"/>
      <c r="H370" s="297"/>
      <c r="I370" s="298"/>
      <c r="J370" s="299">
        <v>461083.38200000004</v>
      </c>
      <c r="K370" s="300">
        <v>367652.26699999993</v>
      </c>
      <c r="L370" s="300">
        <v>420464.51300000004</v>
      </c>
      <c r="M370" s="300">
        <v>384668.50199999998</v>
      </c>
      <c r="N370" s="300">
        <v>397453.071</v>
      </c>
      <c r="O370" s="300">
        <v>235644.81199999998</v>
      </c>
      <c r="P370" s="300">
        <v>280627.77999999997</v>
      </c>
      <c r="Q370" s="300">
        <v>339418.58799999999</v>
      </c>
      <c r="R370" s="300">
        <v>299899.29700000002</v>
      </c>
      <c r="S370" s="300">
        <v>305206.80099999998</v>
      </c>
      <c r="T370" s="300">
        <v>310438.17300000001</v>
      </c>
      <c r="U370" s="301">
        <v>384547.679</v>
      </c>
      <c r="V370" s="302">
        <v>4187104.8649999993</v>
      </c>
      <c r="W370" s="303"/>
      <c r="X370" s="304">
        <v>384547.679</v>
      </c>
      <c r="Y370" s="305">
        <v>4187104.8649999993</v>
      </c>
      <c r="AA370" s="388"/>
    </row>
    <row r="371" spans="1:27" hidden="1" outlineLevel="1" x14ac:dyDescent="0.3">
      <c r="E371" s="250" t="s">
        <v>1305</v>
      </c>
      <c r="F371" s="317">
        <v>4306201</v>
      </c>
      <c r="G371" s="318"/>
      <c r="H371" s="319">
        <v>5101190101</v>
      </c>
      <c r="I371" s="320"/>
      <c r="J371" s="337">
        <v>452948.69100000005</v>
      </c>
      <c r="K371" s="321">
        <v>364635.31699999998</v>
      </c>
      <c r="L371" s="321">
        <v>407415.49000000005</v>
      </c>
      <c r="M371" s="321">
        <v>372081.50399999996</v>
      </c>
      <c r="N371" s="321">
        <v>390206.08</v>
      </c>
      <c r="O371" s="321">
        <v>257153.269</v>
      </c>
      <c r="P371" s="321">
        <v>222850.87099999998</v>
      </c>
      <c r="Q371" s="321">
        <v>259557.91700000002</v>
      </c>
      <c r="R371" s="321">
        <v>234774.40100000001</v>
      </c>
      <c r="S371" s="321">
        <v>250151.772</v>
      </c>
      <c r="T371" s="321">
        <v>242082.36000000002</v>
      </c>
      <c r="U371" s="322">
        <v>250516.97599999997</v>
      </c>
      <c r="V371" s="323">
        <v>3704374.6479999996</v>
      </c>
      <c r="W371" s="303"/>
      <c r="X371" s="324">
        <v>250516.97599999997</v>
      </c>
      <c r="Y371" s="325">
        <v>3704374.6479999996</v>
      </c>
      <c r="AA371" s="388"/>
    </row>
    <row r="372" spans="1:27" hidden="1" outlineLevel="1" x14ac:dyDescent="0.3">
      <c r="E372" s="250" t="s">
        <v>1306</v>
      </c>
      <c r="F372" s="317">
        <v>4306202</v>
      </c>
      <c r="G372" s="318"/>
      <c r="H372" s="319"/>
      <c r="I372" s="320"/>
      <c r="J372" s="337">
        <v>-17080.961000000003</v>
      </c>
      <c r="K372" s="321">
        <v>-17034.906000000006</v>
      </c>
      <c r="L372" s="321">
        <v>-9308.0249999999996</v>
      </c>
      <c r="M372" s="321">
        <v>-11149.632999999996</v>
      </c>
      <c r="N372" s="321">
        <v>-14923.058999999999</v>
      </c>
      <c r="O372" s="321">
        <v>39702.83</v>
      </c>
      <c r="P372" s="321">
        <v>43046.694999999992</v>
      </c>
      <c r="Q372" s="321">
        <v>53459.534999999996</v>
      </c>
      <c r="R372" s="321">
        <v>45810.707000000002</v>
      </c>
      <c r="S372" s="321">
        <v>42520.186000000002</v>
      </c>
      <c r="T372" s="321">
        <v>56622.460000000006</v>
      </c>
      <c r="U372" s="322">
        <v>121509.17600000001</v>
      </c>
      <c r="V372" s="323">
        <v>333175.005</v>
      </c>
      <c r="W372" s="303"/>
      <c r="X372" s="324">
        <v>121509.17600000001</v>
      </c>
      <c r="Y372" s="325">
        <v>333175.005</v>
      </c>
      <c r="AA372" s="388"/>
    </row>
    <row r="373" spans="1:27" hidden="1" outlineLevel="1" x14ac:dyDescent="0.3">
      <c r="E373" s="250" t="s">
        <v>1307</v>
      </c>
      <c r="F373" s="317">
        <v>4306299</v>
      </c>
      <c r="G373" s="318"/>
      <c r="H373" s="319"/>
      <c r="I373" s="320"/>
      <c r="J373" s="337">
        <v>25215.652000000002</v>
      </c>
      <c r="K373" s="321">
        <v>20051.855999999996</v>
      </c>
      <c r="L373" s="321">
        <v>22357.048000000003</v>
      </c>
      <c r="M373" s="321">
        <v>23736.630999999998</v>
      </c>
      <c r="N373" s="321">
        <v>22170.050000000003</v>
      </c>
      <c r="O373" s="321">
        <v>-61211.287000000018</v>
      </c>
      <c r="P373" s="321">
        <v>14730.214</v>
      </c>
      <c r="Q373" s="321">
        <v>26401.135999999999</v>
      </c>
      <c r="R373" s="321">
        <v>19314.188999999998</v>
      </c>
      <c r="S373" s="321">
        <v>12534.842999999999</v>
      </c>
      <c r="T373" s="321">
        <v>11733.352999999999</v>
      </c>
      <c r="U373" s="322">
        <v>12521.527</v>
      </c>
      <c r="V373" s="323">
        <v>149555.21199999997</v>
      </c>
      <c r="W373" s="303"/>
      <c r="X373" s="324">
        <v>12521.527</v>
      </c>
      <c r="Y373" s="325">
        <v>149555.21199999997</v>
      </c>
      <c r="AA373" s="388"/>
    </row>
    <row r="374" spans="1:27" s="361" customFormat="1" hidden="1" outlineLevel="2" x14ac:dyDescent="0.3">
      <c r="E374" s="326" t="s">
        <v>1308</v>
      </c>
      <c r="F374" s="351"/>
      <c r="G374" s="352"/>
      <c r="H374" s="353"/>
      <c r="I374" s="354"/>
      <c r="J374" s="362">
        <v>0</v>
      </c>
      <c r="K374" s="355">
        <v>0</v>
      </c>
      <c r="L374" s="355">
        <v>0</v>
      </c>
      <c r="M374" s="355">
        <v>0</v>
      </c>
      <c r="N374" s="355">
        <v>0</v>
      </c>
      <c r="O374" s="355">
        <v>0</v>
      </c>
      <c r="P374" s="355">
        <v>0</v>
      </c>
      <c r="Q374" s="355">
        <v>0</v>
      </c>
      <c r="R374" s="355">
        <v>0</v>
      </c>
      <c r="S374" s="355">
        <v>0</v>
      </c>
      <c r="T374" s="355">
        <v>0</v>
      </c>
      <c r="U374" s="356">
        <v>0</v>
      </c>
      <c r="V374" s="357">
        <v>0</v>
      </c>
      <c r="W374" s="358"/>
      <c r="X374" s="359">
        <v>0</v>
      </c>
      <c r="Y374" s="360">
        <v>0</v>
      </c>
      <c r="AA374" s="388"/>
    </row>
    <row r="375" spans="1:27" s="361" customFormat="1" hidden="1" outlineLevel="2" x14ac:dyDescent="0.3">
      <c r="E375" s="326" t="s">
        <v>1309</v>
      </c>
      <c r="F375" s="351"/>
      <c r="G375" s="352"/>
      <c r="H375" s="353"/>
      <c r="I375" s="354"/>
      <c r="J375" s="362">
        <v>0</v>
      </c>
      <c r="K375" s="355">
        <v>0</v>
      </c>
      <c r="L375" s="355">
        <v>0</v>
      </c>
      <c r="M375" s="355">
        <v>0</v>
      </c>
      <c r="N375" s="355">
        <v>0</v>
      </c>
      <c r="O375" s="355">
        <v>0</v>
      </c>
      <c r="P375" s="355">
        <v>0</v>
      </c>
      <c r="Q375" s="355">
        <v>0</v>
      </c>
      <c r="R375" s="355">
        <v>0</v>
      </c>
      <c r="S375" s="355">
        <v>0</v>
      </c>
      <c r="T375" s="355">
        <v>0</v>
      </c>
      <c r="U375" s="356">
        <v>0</v>
      </c>
      <c r="V375" s="357">
        <v>0</v>
      </c>
      <c r="W375" s="358"/>
      <c r="X375" s="359">
        <v>0</v>
      </c>
      <c r="Y375" s="360">
        <v>0</v>
      </c>
      <c r="AA375" s="388"/>
    </row>
    <row r="376" spans="1:27" s="361" customFormat="1" hidden="1" outlineLevel="2" x14ac:dyDescent="0.3">
      <c r="E376" s="326" t="s">
        <v>1310</v>
      </c>
      <c r="F376" s="351"/>
      <c r="G376" s="352"/>
      <c r="H376" s="353"/>
      <c r="I376" s="354"/>
      <c r="J376" s="362">
        <v>0</v>
      </c>
      <c r="K376" s="355">
        <v>0</v>
      </c>
      <c r="L376" s="355">
        <v>0</v>
      </c>
      <c r="M376" s="355">
        <v>0</v>
      </c>
      <c r="N376" s="355">
        <v>0</v>
      </c>
      <c r="O376" s="355">
        <v>0</v>
      </c>
      <c r="P376" s="355">
        <v>0</v>
      </c>
      <c r="Q376" s="355">
        <v>0</v>
      </c>
      <c r="R376" s="355">
        <v>0</v>
      </c>
      <c r="S376" s="355">
        <v>0</v>
      </c>
      <c r="T376" s="355">
        <v>0</v>
      </c>
      <c r="U376" s="356">
        <v>0</v>
      </c>
      <c r="V376" s="357">
        <v>0</v>
      </c>
      <c r="W376" s="358"/>
      <c r="X376" s="359">
        <v>0</v>
      </c>
      <c r="Y376" s="360">
        <v>0</v>
      </c>
      <c r="AA376" s="388"/>
    </row>
    <row r="377" spans="1:27" hidden="1" collapsed="1" x14ac:dyDescent="0.3">
      <c r="A377" s="233"/>
      <c r="B377" s="234" t="s">
        <v>27</v>
      </c>
      <c r="D377" s="293" t="s">
        <v>1311</v>
      </c>
      <c r="E377" s="294"/>
      <c r="F377" s="295" t="s">
        <v>1312</v>
      </c>
      <c r="G377" s="296"/>
      <c r="H377" s="297"/>
      <c r="I377" s="298"/>
      <c r="J377" s="299">
        <v>2589655.7300000004</v>
      </c>
      <c r="K377" s="300">
        <v>2423337.1370000001</v>
      </c>
      <c r="L377" s="300">
        <v>3154051.9789999994</v>
      </c>
      <c r="M377" s="300">
        <v>2628555.48</v>
      </c>
      <c r="N377" s="300">
        <v>2762222.1139999996</v>
      </c>
      <c r="O377" s="300">
        <v>7208868.057</v>
      </c>
      <c r="P377" s="300">
        <v>2312194.0899999994</v>
      </c>
      <c r="Q377" s="300">
        <v>2564524.6079999995</v>
      </c>
      <c r="R377" s="300">
        <v>2835498.7849999997</v>
      </c>
      <c r="S377" s="300">
        <v>2927716.4420000003</v>
      </c>
      <c r="T377" s="300">
        <v>3330407.9909999995</v>
      </c>
      <c r="U377" s="301">
        <v>3110448.7390000001</v>
      </c>
      <c r="V377" s="302">
        <v>37847481.151999995</v>
      </c>
      <c r="W377" s="303"/>
      <c r="X377" s="304">
        <v>3110448.7390000001</v>
      </c>
      <c r="Y377" s="305">
        <v>37847481.151999995</v>
      </c>
      <c r="AA377" s="388"/>
    </row>
    <row r="378" spans="1:27" hidden="1" outlineLevel="1" x14ac:dyDescent="0.3">
      <c r="E378" s="250" t="s">
        <v>1313</v>
      </c>
      <c r="F378" s="317">
        <v>4303801</v>
      </c>
      <c r="G378" s="318"/>
      <c r="H378" s="319">
        <v>5101210101</v>
      </c>
      <c r="I378" s="320"/>
      <c r="J378" s="337">
        <v>27007.1</v>
      </c>
      <c r="K378" s="321">
        <v>26629.1</v>
      </c>
      <c r="L378" s="321">
        <v>126481.65000000001</v>
      </c>
      <c r="M378" s="321">
        <v>37699.43</v>
      </c>
      <c r="N378" s="321">
        <v>123468.23999999999</v>
      </c>
      <c r="O378" s="321">
        <v>25605.438000000002</v>
      </c>
      <c r="P378" s="321">
        <v>35197.4</v>
      </c>
      <c r="Q378" s="321">
        <v>26396.2</v>
      </c>
      <c r="R378" s="321">
        <v>33845.699999999997</v>
      </c>
      <c r="S378" s="321">
        <v>35458.5</v>
      </c>
      <c r="T378" s="321">
        <v>35865</v>
      </c>
      <c r="U378" s="322">
        <v>141748.30900000001</v>
      </c>
      <c r="V378" s="323">
        <v>675402.06700000016</v>
      </c>
      <c r="W378" s="303"/>
      <c r="X378" s="324">
        <v>141748.30900000001</v>
      </c>
      <c r="Y378" s="325">
        <v>675402.06700000016</v>
      </c>
      <c r="AA378" s="388"/>
    </row>
    <row r="379" spans="1:27" hidden="1" outlineLevel="1" x14ac:dyDescent="0.3">
      <c r="E379" s="250" t="s">
        <v>1314</v>
      </c>
      <c r="F379" s="317">
        <v>4303802</v>
      </c>
      <c r="G379" s="318"/>
      <c r="H379" s="319">
        <v>5101210103</v>
      </c>
      <c r="I379" s="320"/>
      <c r="J379" s="337">
        <v>0</v>
      </c>
      <c r="K379" s="321">
        <v>0</v>
      </c>
      <c r="L379" s="321">
        <v>0</v>
      </c>
      <c r="M379" s="321">
        <v>0</v>
      </c>
      <c r="N379" s="321">
        <v>0</v>
      </c>
      <c r="O379" s="321">
        <v>873361.25399999996</v>
      </c>
      <c r="P379" s="321">
        <v>-33786.373999999996</v>
      </c>
      <c r="Q379" s="321">
        <v>0</v>
      </c>
      <c r="R379" s="321">
        <v>0</v>
      </c>
      <c r="S379" s="321">
        <v>0</v>
      </c>
      <c r="T379" s="321">
        <v>0</v>
      </c>
      <c r="U379" s="322">
        <v>0</v>
      </c>
      <c r="V379" s="323">
        <v>839574.88</v>
      </c>
      <c r="W379" s="303"/>
      <c r="X379" s="324">
        <v>0</v>
      </c>
      <c r="Y379" s="325">
        <v>839574.88</v>
      </c>
      <c r="AA379" s="388"/>
    </row>
    <row r="380" spans="1:27" hidden="1" outlineLevel="1" x14ac:dyDescent="0.3">
      <c r="E380" s="250" t="s">
        <v>1315</v>
      </c>
      <c r="F380" s="317">
        <v>4303803</v>
      </c>
      <c r="G380" s="318"/>
      <c r="H380" s="319"/>
      <c r="I380" s="320"/>
      <c r="J380" s="337">
        <v>0</v>
      </c>
      <c r="K380" s="321">
        <v>0</v>
      </c>
      <c r="L380" s="321">
        <v>0</v>
      </c>
      <c r="M380" s="321">
        <v>0</v>
      </c>
      <c r="N380" s="321">
        <v>0</v>
      </c>
      <c r="O380" s="321">
        <v>1741115.7070000002</v>
      </c>
      <c r="P380" s="321">
        <v>0</v>
      </c>
      <c r="Q380" s="321">
        <v>0</v>
      </c>
      <c r="R380" s="321">
        <v>6495.1729999999998</v>
      </c>
      <c r="S380" s="321">
        <v>0</v>
      </c>
      <c r="T380" s="321">
        <v>0</v>
      </c>
      <c r="U380" s="322">
        <v>0</v>
      </c>
      <c r="V380" s="323">
        <v>1747610.8800000001</v>
      </c>
      <c r="W380" s="303"/>
      <c r="X380" s="324">
        <v>0</v>
      </c>
      <c r="Y380" s="325">
        <v>1747610.8800000001</v>
      </c>
      <c r="AA380" s="388"/>
    </row>
    <row r="381" spans="1:27" hidden="1" outlineLevel="1" x14ac:dyDescent="0.3">
      <c r="E381" s="250" t="s">
        <v>1316</v>
      </c>
      <c r="F381" s="317">
        <v>4303804</v>
      </c>
      <c r="G381" s="318"/>
      <c r="H381" s="319">
        <v>5101210199</v>
      </c>
      <c r="I381" s="320"/>
      <c r="J381" s="337">
        <v>0</v>
      </c>
      <c r="K381" s="321">
        <v>0.7</v>
      </c>
      <c r="L381" s="321">
        <v>0</v>
      </c>
      <c r="M381" s="321">
        <v>150</v>
      </c>
      <c r="N381" s="321">
        <v>0</v>
      </c>
      <c r="O381" s="321">
        <v>0</v>
      </c>
      <c r="P381" s="321">
        <v>0</v>
      </c>
      <c r="Q381" s="321">
        <v>5</v>
      </c>
      <c r="R381" s="321">
        <v>9</v>
      </c>
      <c r="S381" s="321">
        <v>100</v>
      </c>
      <c r="T381" s="321">
        <v>0</v>
      </c>
      <c r="U381" s="322">
        <v>0</v>
      </c>
      <c r="V381" s="323">
        <v>264.7</v>
      </c>
      <c r="W381" s="303"/>
      <c r="X381" s="324">
        <v>0</v>
      </c>
      <c r="Y381" s="325">
        <v>264.7</v>
      </c>
      <c r="AA381" s="388"/>
    </row>
    <row r="382" spans="1:27" hidden="1" outlineLevel="1" x14ac:dyDescent="0.3">
      <c r="E382" s="250" t="s">
        <v>1317</v>
      </c>
      <c r="F382" s="317">
        <v>4303805</v>
      </c>
      <c r="G382" s="318"/>
      <c r="H382" s="319"/>
      <c r="I382" s="320"/>
      <c r="J382" s="337">
        <v>0</v>
      </c>
      <c r="K382" s="321">
        <v>0</v>
      </c>
      <c r="L382" s="321">
        <v>0</v>
      </c>
      <c r="M382" s="321">
        <v>0</v>
      </c>
      <c r="N382" s="321">
        <v>0</v>
      </c>
      <c r="O382" s="321">
        <v>0</v>
      </c>
      <c r="P382" s="321">
        <v>0</v>
      </c>
      <c r="Q382" s="321">
        <v>250</v>
      </c>
      <c r="R382" s="321">
        <v>0</v>
      </c>
      <c r="S382" s="321">
        <v>0</v>
      </c>
      <c r="T382" s="321">
        <v>0</v>
      </c>
      <c r="U382" s="322">
        <v>0</v>
      </c>
      <c r="V382" s="323">
        <v>250</v>
      </c>
      <c r="W382" s="303"/>
      <c r="X382" s="324">
        <v>0</v>
      </c>
      <c r="Y382" s="325">
        <v>250</v>
      </c>
      <c r="AA382" s="388"/>
    </row>
    <row r="383" spans="1:27" hidden="1" outlineLevel="1" x14ac:dyDescent="0.3">
      <c r="E383" s="250" t="s">
        <v>1318</v>
      </c>
      <c r="F383" s="317">
        <v>4303806</v>
      </c>
      <c r="G383" s="318"/>
      <c r="H383" s="319"/>
      <c r="I383" s="320"/>
      <c r="J383" s="337">
        <v>22428.68</v>
      </c>
      <c r="K383" s="321">
        <v>348</v>
      </c>
      <c r="L383" s="321">
        <v>162</v>
      </c>
      <c r="M383" s="321">
        <v>562.5</v>
      </c>
      <c r="N383" s="321">
        <v>14481</v>
      </c>
      <c r="O383" s="321">
        <v>91</v>
      </c>
      <c r="P383" s="321">
        <v>576.4</v>
      </c>
      <c r="Q383" s="321">
        <v>6641.75</v>
      </c>
      <c r="R383" s="321">
        <v>0</v>
      </c>
      <c r="S383" s="321">
        <v>182.62</v>
      </c>
      <c r="T383" s="321">
        <v>890.62</v>
      </c>
      <c r="U383" s="322">
        <v>189</v>
      </c>
      <c r="V383" s="323">
        <v>46553.570000000007</v>
      </c>
      <c r="W383" s="303"/>
      <c r="X383" s="324">
        <v>189</v>
      </c>
      <c r="Y383" s="325">
        <v>46553.570000000007</v>
      </c>
      <c r="AA383" s="388"/>
    </row>
    <row r="384" spans="1:27" hidden="1" outlineLevel="1" x14ac:dyDescent="0.3">
      <c r="E384" s="250" t="s">
        <v>1319</v>
      </c>
      <c r="F384" s="317">
        <v>4303808</v>
      </c>
      <c r="G384" s="318"/>
      <c r="H384" s="319">
        <v>5101210111</v>
      </c>
      <c r="I384" s="320"/>
      <c r="J384" s="337">
        <v>1202189.0099999998</v>
      </c>
      <c r="K384" s="321">
        <v>1198635.8</v>
      </c>
      <c r="L384" s="321">
        <v>1188326.06</v>
      </c>
      <c r="M384" s="321">
        <v>1182593.98</v>
      </c>
      <c r="N384" s="321">
        <v>1173498.3500000003</v>
      </c>
      <c r="O384" s="321">
        <v>1165793.7000000002</v>
      </c>
      <c r="P384" s="321">
        <v>1240474.6599999997</v>
      </c>
      <c r="Q384" s="321">
        <v>1228492.67</v>
      </c>
      <c r="R384" s="321">
        <v>1224670.7099999997</v>
      </c>
      <c r="S384" s="321">
        <v>1221423.19</v>
      </c>
      <c r="T384" s="321">
        <v>1215458.73</v>
      </c>
      <c r="U384" s="322">
        <v>1213868.8</v>
      </c>
      <c r="V384" s="323">
        <v>14455425.66</v>
      </c>
      <c r="W384" s="303"/>
      <c r="X384" s="324">
        <v>1213868.8</v>
      </c>
      <c r="Y384" s="325">
        <v>14455425.66</v>
      </c>
      <c r="AA384" s="388"/>
    </row>
    <row r="385" spans="5:27" hidden="1" outlineLevel="1" x14ac:dyDescent="0.3">
      <c r="E385" s="250" t="s">
        <v>1320</v>
      </c>
      <c r="F385" s="317">
        <v>4303809</v>
      </c>
      <c r="G385" s="318"/>
      <c r="H385" s="319">
        <v>5101210113</v>
      </c>
      <c r="I385" s="320"/>
      <c r="J385" s="337">
        <v>25152.299000000003</v>
      </c>
      <c r="K385" s="321">
        <v>16446.706999999999</v>
      </c>
      <c r="L385" s="321">
        <v>17087.291000000001</v>
      </c>
      <c r="M385" s="321">
        <v>16671.522000000001</v>
      </c>
      <c r="N385" s="321">
        <v>15581.08</v>
      </c>
      <c r="O385" s="321">
        <v>19102.13</v>
      </c>
      <c r="P385" s="321">
        <v>18988.11</v>
      </c>
      <c r="Q385" s="321">
        <v>18583.48</v>
      </c>
      <c r="R385" s="321">
        <v>18831.62</v>
      </c>
      <c r="S385" s="321">
        <v>18927.099999999999</v>
      </c>
      <c r="T385" s="321">
        <v>18382.59</v>
      </c>
      <c r="U385" s="322">
        <v>22517.05</v>
      </c>
      <c r="V385" s="323">
        <v>226270.97899999999</v>
      </c>
      <c r="W385" s="303"/>
      <c r="X385" s="324">
        <v>22517.05</v>
      </c>
      <c r="Y385" s="325">
        <v>226270.97899999999</v>
      </c>
      <c r="AA385" s="388"/>
    </row>
    <row r="386" spans="5:27" hidden="1" outlineLevel="1" x14ac:dyDescent="0.3">
      <c r="E386" s="250" t="s">
        <v>1321</v>
      </c>
      <c r="F386" s="317">
        <v>4303810</v>
      </c>
      <c r="G386" s="318"/>
      <c r="H386" s="319"/>
      <c r="I386" s="320"/>
      <c r="J386" s="337">
        <v>347.32</v>
      </c>
      <c r="K386" s="321">
        <v>347.32</v>
      </c>
      <c r="L386" s="321">
        <v>347.32</v>
      </c>
      <c r="M386" s="321">
        <v>347.32</v>
      </c>
      <c r="N386" s="321">
        <v>347.32</v>
      </c>
      <c r="O386" s="321">
        <v>4299.22</v>
      </c>
      <c r="P386" s="321">
        <v>347.32</v>
      </c>
      <c r="Q386" s="321">
        <v>343.22400000000005</v>
      </c>
      <c r="R386" s="321">
        <v>347.32</v>
      </c>
      <c r="S386" s="321">
        <v>228072.60699999999</v>
      </c>
      <c r="T386" s="321">
        <v>-22003.395</v>
      </c>
      <c r="U386" s="322">
        <v>20584.822</v>
      </c>
      <c r="V386" s="323">
        <v>233727.71799999999</v>
      </c>
      <c r="W386" s="303"/>
      <c r="X386" s="324">
        <v>20584.822</v>
      </c>
      <c r="Y386" s="325">
        <v>233727.71799999999</v>
      </c>
      <c r="AA386" s="388"/>
    </row>
    <row r="387" spans="5:27" hidden="1" outlineLevel="1" x14ac:dyDescent="0.3">
      <c r="E387" s="250" t="s">
        <v>1322</v>
      </c>
      <c r="F387" s="317">
        <v>4303811</v>
      </c>
      <c r="G387" s="318"/>
      <c r="H387" s="319"/>
      <c r="I387" s="320"/>
      <c r="J387" s="337">
        <v>0</v>
      </c>
      <c r="K387" s="321">
        <v>0</v>
      </c>
      <c r="L387" s="321">
        <v>182.36</v>
      </c>
      <c r="M387" s="321">
        <v>0</v>
      </c>
      <c r="N387" s="321">
        <v>0</v>
      </c>
      <c r="O387" s="321">
        <v>5843</v>
      </c>
      <c r="P387" s="321">
        <v>0</v>
      </c>
      <c r="Q387" s="321">
        <v>0</v>
      </c>
      <c r="R387" s="321">
        <v>-1752.27</v>
      </c>
      <c r="S387" s="321">
        <v>27.5</v>
      </c>
      <c r="T387" s="321">
        <v>0</v>
      </c>
      <c r="U387" s="322">
        <v>0</v>
      </c>
      <c r="V387" s="323">
        <v>4300.59</v>
      </c>
      <c r="W387" s="303"/>
      <c r="X387" s="324">
        <v>0</v>
      </c>
      <c r="Y387" s="325">
        <v>4300.59</v>
      </c>
      <c r="AA387" s="388"/>
    </row>
    <row r="388" spans="5:27" hidden="1" outlineLevel="1" x14ac:dyDescent="0.3">
      <c r="E388" s="250" t="s">
        <v>1323</v>
      </c>
      <c r="F388" s="317">
        <v>4303812</v>
      </c>
      <c r="G388" s="318"/>
      <c r="H388" s="319"/>
      <c r="I388" s="320"/>
      <c r="J388" s="337">
        <v>13185.049000000001</v>
      </c>
      <c r="K388" s="321">
        <v>0</v>
      </c>
      <c r="L388" s="321">
        <v>17878.710999999999</v>
      </c>
      <c r="M388" s="321">
        <v>43782.957999999999</v>
      </c>
      <c r="N388" s="321">
        <v>14201.390000000001</v>
      </c>
      <c r="O388" s="321">
        <v>5018.22</v>
      </c>
      <c r="P388" s="321">
        <v>12022.276</v>
      </c>
      <c r="Q388" s="321">
        <v>1940.8</v>
      </c>
      <c r="R388" s="321">
        <v>98.52</v>
      </c>
      <c r="S388" s="321">
        <v>3171.64</v>
      </c>
      <c r="T388" s="321">
        <v>206.99799999999999</v>
      </c>
      <c r="U388" s="322">
        <v>28.42</v>
      </c>
      <c r="V388" s="323">
        <v>111534.982</v>
      </c>
      <c r="W388" s="303"/>
      <c r="X388" s="324">
        <v>28.42</v>
      </c>
      <c r="Y388" s="325">
        <v>111534.982</v>
      </c>
      <c r="AA388" s="388"/>
    </row>
    <row r="389" spans="5:27" hidden="1" outlineLevel="1" x14ac:dyDescent="0.3">
      <c r="E389" s="250" t="s">
        <v>1324</v>
      </c>
      <c r="F389" s="317">
        <v>4303813</v>
      </c>
      <c r="G389" s="318"/>
      <c r="H389" s="319"/>
      <c r="I389" s="320"/>
      <c r="J389" s="337">
        <v>15733.914000000001</v>
      </c>
      <c r="K389" s="321">
        <v>14395.255999999999</v>
      </c>
      <c r="L389" s="321">
        <v>11148.390000000001</v>
      </c>
      <c r="M389" s="321">
        <v>2841.8879999999999</v>
      </c>
      <c r="N389" s="321">
        <v>14852.638999999999</v>
      </c>
      <c r="O389" s="321">
        <v>14316.549000000001</v>
      </c>
      <c r="P389" s="321">
        <v>3284.7550000000001</v>
      </c>
      <c r="Q389" s="321">
        <v>14478.612999999999</v>
      </c>
      <c r="R389" s="321">
        <v>14023.559000000001</v>
      </c>
      <c r="S389" s="321">
        <v>-4432.7460000000001</v>
      </c>
      <c r="T389" s="321">
        <v>9388.1980000000003</v>
      </c>
      <c r="U389" s="322">
        <v>9942.1460000000006</v>
      </c>
      <c r="V389" s="323">
        <v>119973.16099999999</v>
      </c>
      <c r="W389" s="303"/>
      <c r="X389" s="324">
        <v>9942.1460000000006</v>
      </c>
      <c r="Y389" s="325">
        <v>119973.16099999999</v>
      </c>
      <c r="AA389" s="388"/>
    </row>
    <row r="390" spans="5:27" hidden="1" outlineLevel="1" x14ac:dyDescent="0.3">
      <c r="E390" s="250" t="s">
        <v>1325</v>
      </c>
      <c r="F390" s="317">
        <v>4303814</v>
      </c>
      <c r="G390" s="318"/>
      <c r="H390" s="319">
        <v>5101210115</v>
      </c>
      <c r="I390" s="320"/>
      <c r="J390" s="337">
        <v>711625.29800000007</v>
      </c>
      <c r="K390" s="321">
        <v>696688.45000000007</v>
      </c>
      <c r="L390" s="321">
        <v>666707.95199999993</v>
      </c>
      <c r="M390" s="321">
        <v>750570.65599999984</v>
      </c>
      <c r="N390" s="321">
        <v>656410.38499999989</v>
      </c>
      <c r="O390" s="321">
        <v>686260.07000000007</v>
      </c>
      <c r="P390" s="321">
        <v>616095.66399999987</v>
      </c>
      <c r="Q390" s="321">
        <v>809932.39399999997</v>
      </c>
      <c r="R390" s="321">
        <v>755160.304</v>
      </c>
      <c r="S390" s="321">
        <v>744638.38499999989</v>
      </c>
      <c r="T390" s="321">
        <v>797191.70599999977</v>
      </c>
      <c r="U390" s="322">
        <v>943438.26799999992</v>
      </c>
      <c r="V390" s="323">
        <v>8834719.5319999997</v>
      </c>
      <c r="W390" s="303"/>
      <c r="X390" s="324">
        <v>943438.26799999992</v>
      </c>
      <c r="Y390" s="325">
        <v>8834719.5319999997</v>
      </c>
      <c r="AA390" s="388"/>
    </row>
    <row r="391" spans="5:27" hidden="1" outlineLevel="1" x14ac:dyDescent="0.3">
      <c r="E391" s="250" t="s">
        <v>1326</v>
      </c>
      <c r="F391" s="317">
        <v>4303815</v>
      </c>
      <c r="G391" s="318"/>
      <c r="H391" s="319">
        <v>5101210109</v>
      </c>
      <c r="I391" s="320"/>
      <c r="J391" s="337">
        <v>0</v>
      </c>
      <c r="K391" s="321">
        <v>0</v>
      </c>
      <c r="L391" s="321">
        <v>0</v>
      </c>
      <c r="M391" s="321">
        <v>0</v>
      </c>
      <c r="N391" s="321">
        <v>0</v>
      </c>
      <c r="O391" s="321">
        <v>2098300.1439999999</v>
      </c>
      <c r="P391" s="321">
        <v>0</v>
      </c>
      <c r="Q391" s="321">
        <v>0</v>
      </c>
      <c r="R391" s="321">
        <v>0</v>
      </c>
      <c r="S391" s="321">
        <v>0</v>
      </c>
      <c r="T391" s="321">
        <v>0</v>
      </c>
      <c r="U391" s="322">
        <v>5863.6760000000004</v>
      </c>
      <c r="V391" s="323">
        <v>2104163.8199999998</v>
      </c>
      <c r="W391" s="303"/>
      <c r="X391" s="324">
        <v>5863.6760000000004</v>
      </c>
      <c r="Y391" s="325">
        <v>2104163.8199999998</v>
      </c>
      <c r="AA391" s="388"/>
    </row>
    <row r="392" spans="5:27" hidden="1" outlineLevel="1" x14ac:dyDescent="0.3">
      <c r="E392" s="250" t="s">
        <v>1327</v>
      </c>
      <c r="F392" s="317">
        <v>4303816</v>
      </c>
      <c r="G392" s="318"/>
      <c r="H392" s="319">
        <v>5101210105</v>
      </c>
      <c r="I392" s="320"/>
      <c r="J392" s="337">
        <v>262757.44999999995</v>
      </c>
      <c r="K392" s="321">
        <v>124036.89</v>
      </c>
      <c r="L392" s="321">
        <v>128879.61</v>
      </c>
      <c r="M392" s="321">
        <v>135002.80000000002</v>
      </c>
      <c r="N392" s="321">
        <v>123853.73999999998</v>
      </c>
      <c r="O392" s="321">
        <v>129177.20999999998</v>
      </c>
      <c r="P392" s="321">
        <v>130575.14999999998</v>
      </c>
      <c r="Q392" s="321">
        <v>126443.57999999999</v>
      </c>
      <c r="R392" s="321">
        <v>127529.22</v>
      </c>
      <c r="S392" s="321">
        <v>128255.85999999997</v>
      </c>
      <c r="T392" s="321">
        <v>127171.99000000002</v>
      </c>
      <c r="U392" s="322">
        <v>174051.46</v>
      </c>
      <c r="V392" s="323">
        <v>1717734.9599999997</v>
      </c>
      <c r="W392" s="303"/>
      <c r="X392" s="324">
        <v>174051.46</v>
      </c>
      <c r="Y392" s="325">
        <v>1717734.9599999997</v>
      </c>
      <c r="AA392" s="388"/>
    </row>
    <row r="393" spans="5:27" hidden="1" outlineLevel="1" x14ac:dyDescent="0.3">
      <c r="E393" s="250" t="s">
        <v>1328</v>
      </c>
      <c r="F393" s="317">
        <v>4303817</v>
      </c>
      <c r="G393" s="318"/>
      <c r="H393" s="319"/>
      <c r="I393" s="320"/>
      <c r="J393" s="337">
        <v>0</v>
      </c>
      <c r="K393" s="321">
        <v>0</v>
      </c>
      <c r="L393" s="321">
        <v>0</v>
      </c>
      <c r="M393" s="321">
        <v>0</v>
      </c>
      <c r="N393" s="321">
        <v>0</v>
      </c>
      <c r="O393" s="321">
        <v>0</v>
      </c>
      <c r="P393" s="321">
        <v>0</v>
      </c>
      <c r="Q393" s="321">
        <v>150666.81</v>
      </c>
      <c r="R393" s="321">
        <v>0</v>
      </c>
      <c r="S393" s="321">
        <v>0</v>
      </c>
      <c r="T393" s="321">
        <v>0</v>
      </c>
      <c r="U393" s="322">
        <v>0</v>
      </c>
      <c r="V393" s="323">
        <v>150666.81</v>
      </c>
      <c r="W393" s="303"/>
      <c r="X393" s="324">
        <v>0</v>
      </c>
      <c r="Y393" s="325">
        <v>150666.81</v>
      </c>
      <c r="AA393" s="388"/>
    </row>
    <row r="394" spans="5:27" hidden="1" outlineLevel="1" x14ac:dyDescent="0.3">
      <c r="E394" s="250" t="s">
        <v>1329</v>
      </c>
      <c r="F394" s="317">
        <v>4303818</v>
      </c>
      <c r="G394" s="318"/>
      <c r="H394" s="319"/>
      <c r="I394" s="320"/>
      <c r="J394" s="337">
        <v>289054.45</v>
      </c>
      <c r="K394" s="321">
        <v>247720.26</v>
      </c>
      <c r="L394" s="321">
        <v>602845.76</v>
      </c>
      <c r="M394" s="321">
        <v>431869.92</v>
      </c>
      <c r="N394" s="321">
        <v>584652.44999999995</v>
      </c>
      <c r="O394" s="321">
        <v>285131.95</v>
      </c>
      <c r="P394" s="321">
        <v>246081.26</v>
      </c>
      <c r="Q394" s="321">
        <v>149675.4</v>
      </c>
      <c r="R394" s="321">
        <v>175065.31</v>
      </c>
      <c r="S394" s="321">
        <v>473814.79</v>
      </c>
      <c r="T394" s="321">
        <v>785922.17</v>
      </c>
      <c r="U394" s="322">
        <v>533554.75</v>
      </c>
      <c r="V394" s="323">
        <v>4805388.47</v>
      </c>
      <c r="W394" s="303"/>
      <c r="X394" s="324">
        <v>533554.75</v>
      </c>
      <c r="Y394" s="325">
        <v>4805388.47</v>
      </c>
      <c r="AA394" s="388"/>
    </row>
    <row r="395" spans="5:27" hidden="1" outlineLevel="1" x14ac:dyDescent="0.3">
      <c r="E395" s="250" t="s">
        <v>1330</v>
      </c>
      <c r="F395" s="317">
        <v>4303820</v>
      </c>
      <c r="G395" s="318"/>
      <c r="H395" s="319"/>
      <c r="I395" s="320"/>
      <c r="J395" s="337">
        <v>0</v>
      </c>
      <c r="K395" s="321">
        <v>0</v>
      </c>
      <c r="L395" s="321">
        <v>0</v>
      </c>
      <c r="M395" s="321">
        <v>0</v>
      </c>
      <c r="N395" s="321">
        <v>0</v>
      </c>
      <c r="O395" s="321">
        <v>0</v>
      </c>
      <c r="P395" s="321">
        <v>0</v>
      </c>
      <c r="Q395" s="321">
        <v>0</v>
      </c>
      <c r="R395" s="321">
        <v>0</v>
      </c>
      <c r="S395" s="321">
        <v>0</v>
      </c>
      <c r="T395" s="321">
        <v>0</v>
      </c>
      <c r="U395" s="322">
        <v>0</v>
      </c>
      <c r="V395" s="323">
        <v>0</v>
      </c>
      <c r="W395" s="303"/>
      <c r="X395" s="324">
        <v>0</v>
      </c>
      <c r="Y395" s="325">
        <v>0</v>
      </c>
      <c r="AA395" s="388"/>
    </row>
    <row r="396" spans="5:27" hidden="1" outlineLevel="1" x14ac:dyDescent="0.3">
      <c r="E396" s="250" t="s">
        <v>1331</v>
      </c>
      <c r="F396" s="317">
        <v>4303890</v>
      </c>
      <c r="G396" s="318"/>
      <c r="H396" s="319"/>
      <c r="I396" s="320"/>
      <c r="J396" s="337">
        <v>-106.56</v>
      </c>
      <c r="K396" s="321">
        <v>7372.4</v>
      </c>
      <c r="L396" s="321">
        <v>32</v>
      </c>
      <c r="M396" s="321">
        <v>128</v>
      </c>
      <c r="N396" s="321">
        <v>396</v>
      </c>
      <c r="O396" s="321">
        <v>-2676.58</v>
      </c>
      <c r="P396" s="321">
        <v>840.74</v>
      </c>
      <c r="Q396" s="321">
        <v>6210.85</v>
      </c>
      <c r="R396" s="321">
        <v>12766.79</v>
      </c>
      <c r="S396" s="321">
        <v>162.41</v>
      </c>
      <c r="T396" s="321">
        <v>6757.8</v>
      </c>
      <c r="U396" s="322">
        <v>6428.7</v>
      </c>
      <c r="V396" s="323">
        <v>38312.549999999996</v>
      </c>
      <c r="W396" s="303"/>
      <c r="X396" s="324">
        <v>6428.7</v>
      </c>
      <c r="Y396" s="325">
        <v>38312.549999999996</v>
      </c>
      <c r="AA396" s="388"/>
    </row>
    <row r="397" spans="5:27" s="350" customFormat="1" hidden="1" outlineLevel="2" x14ac:dyDescent="0.3">
      <c r="E397" s="350" t="s">
        <v>1332</v>
      </c>
      <c r="F397" s="306">
        <v>4303899</v>
      </c>
      <c r="G397" s="307"/>
      <c r="H397" s="308"/>
      <c r="I397" s="309"/>
      <c r="J397" s="310">
        <v>20281.72</v>
      </c>
      <c r="K397" s="311">
        <v>90716.254000000001</v>
      </c>
      <c r="L397" s="311">
        <v>393972.87500000006</v>
      </c>
      <c r="M397" s="311">
        <v>26334.505999999998</v>
      </c>
      <c r="N397" s="311">
        <v>40479.519999999997</v>
      </c>
      <c r="O397" s="311">
        <v>158129.04500000001</v>
      </c>
      <c r="P397" s="311">
        <v>41496.728999999999</v>
      </c>
      <c r="Q397" s="311">
        <v>24463.837</v>
      </c>
      <c r="R397" s="311">
        <v>468407.82900000003</v>
      </c>
      <c r="S397" s="311">
        <v>77914.585999999996</v>
      </c>
      <c r="T397" s="311">
        <v>355175.58399999997</v>
      </c>
      <c r="U397" s="312">
        <v>38233.337999999996</v>
      </c>
      <c r="V397" s="313">
        <v>1735605.8230000003</v>
      </c>
      <c r="W397" s="314"/>
      <c r="X397" s="315">
        <v>38233.337999999996</v>
      </c>
      <c r="Y397" s="316">
        <v>1735605.8230000003</v>
      </c>
      <c r="AA397" s="388"/>
    </row>
    <row r="398" spans="5:27" s="361" customFormat="1" hidden="1" outlineLevel="2" x14ac:dyDescent="0.3">
      <c r="E398" s="326" t="s">
        <v>1333</v>
      </c>
      <c r="F398" s="351"/>
      <c r="G398" s="352"/>
      <c r="H398" s="353"/>
      <c r="I398" s="354"/>
      <c r="J398" s="362">
        <v>0</v>
      </c>
      <c r="K398" s="355">
        <v>0</v>
      </c>
      <c r="L398" s="355">
        <v>0</v>
      </c>
      <c r="M398" s="355">
        <v>0</v>
      </c>
      <c r="N398" s="355">
        <v>0</v>
      </c>
      <c r="O398" s="355">
        <v>0</v>
      </c>
      <c r="P398" s="355">
        <v>0</v>
      </c>
      <c r="Q398" s="355">
        <v>0</v>
      </c>
      <c r="R398" s="355">
        <v>0</v>
      </c>
      <c r="S398" s="355">
        <v>0</v>
      </c>
      <c r="T398" s="355">
        <v>0</v>
      </c>
      <c r="U398" s="356">
        <v>0</v>
      </c>
      <c r="V398" s="357">
        <v>0</v>
      </c>
      <c r="W398" s="358"/>
      <c r="X398" s="359">
        <v>0</v>
      </c>
      <c r="Y398" s="360">
        <v>0</v>
      </c>
      <c r="AA398" s="388"/>
    </row>
    <row r="399" spans="5:27" s="361" customFormat="1" hidden="1" outlineLevel="2" x14ac:dyDescent="0.3">
      <c r="E399" s="326" t="s">
        <v>1334</v>
      </c>
      <c r="F399" s="351"/>
      <c r="G399" s="352"/>
      <c r="H399" s="353"/>
      <c r="I399" s="354"/>
      <c r="J399" s="362">
        <v>0</v>
      </c>
      <c r="K399" s="355">
        <v>0</v>
      </c>
      <c r="L399" s="355">
        <v>0</v>
      </c>
      <c r="M399" s="355">
        <v>0</v>
      </c>
      <c r="N399" s="355">
        <v>0</v>
      </c>
      <c r="O399" s="355">
        <v>0</v>
      </c>
      <c r="P399" s="355">
        <v>0</v>
      </c>
      <c r="Q399" s="355">
        <v>0</v>
      </c>
      <c r="R399" s="355">
        <v>0</v>
      </c>
      <c r="S399" s="355">
        <v>0</v>
      </c>
      <c r="T399" s="355">
        <v>0</v>
      </c>
      <c r="U399" s="356">
        <v>0</v>
      </c>
      <c r="V399" s="357">
        <v>0</v>
      </c>
      <c r="W399" s="358"/>
      <c r="X399" s="359">
        <v>0</v>
      </c>
      <c r="Y399" s="360">
        <v>0</v>
      </c>
      <c r="AA399" s="388"/>
    </row>
    <row r="400" spans="5:27" s="361" customFormat="1" hidden="1" outlineLevel="2" x14ac:dyDescent="0.3">
      <c r="E400" s="326" t="s">
        <v>1335</v>
      </c>
      <c r="F400" s="351"/>
      <c r="G400" s="352"/>
      <c r="H400" s="353"/>
      <c r="I400" s="354"/>
      <c r="J400" s="362">
        <v>0</v>
      </c>
      <c r="K400" s="355">
        <v>0</v>
      </c>
      <c r="L400" s="355">
        <v>0</v>
      </c>
      <c r="M400" s="355">
        <v>0</v>
      </c>
      <c r="N400" s="355">
        <v>0</v>
      </c>
      <c r="O400" s="355">
        <v>0</v>
      </c>
      <c r="P400" s="355">
        <v>0</v>
      </c>
      <c r="Q400" s="355">
        <v>0</v>
      </c>
      <c r="R400" s="355">
        <v>0</v>
      </c>
      <c r="S400" s="355">
        <v>0</v>
      </c>
      <c r="T400" s="355">
        <v>0</v>
      </c>
      <c r="U400" s="356">
        <v>0</v>
      </c>
      <c r="V400" s="357">
        <v>0</v>
      </c>
      <c r="W400" s="358"/>
      <c r="X400" s="359">
        <v>0</v>
      </c>
      <c r="Y400" s="360">
        <v>0</v>
      </c>
      <c r="AA400" s="388"/>
    </row>
    <row r="401" spans="1:27" hidden="1" collapsed="1" x14ac:dyDescent="0.3">
      <c r="A401" s="233"/>
      <c r="B401" s="234" t="s">
        <v>20</v>
      </c>
      <c r="D401" s="293" t="s">
        <v>1336</v>
      </c>
      <c r="E401" s="294"/>
      <c r="F401" s="295" t="s">
        <v>1337</v>
      </c>
      <c r="G401" s="296"/>
      <c r="H401" s="297"/>
      <c r="I401" s="298"/>
      <c r="J401" s="299">
        <v>2117563.9040000001</v>
      </c>
      <c r="K401" s="300">
        <v>2581326.6569999997</v>
      </c>
      <c r="L401" s="300">
        <v>2773416.1530000004</v>
      </c>
      <c r="M401" s="300">
        <v>2534724.3649999998</v>
      </c>
      <c r="N401" s="300">
        <v>2783763.4170000004</v>
      </c>
      <c r="O401" s="300">
        <v>3686915.9879999994</v>
      </c>
      <c r="P401" s="300">
        <v>2470047.443</v>
      </c>
      <c r="Q401" s="300">
        <v>2820205.2579999999</v>
      </c>
      <c r="R401" s="300">
        <v>3019007.39</v>
      </c>
      <c r="S401" s="300">
        <v>2642556.202</v>
      </c>
      <c r="T401" s="300">
        <v>2844051.4250000007</v>
      </c>
      <c r="U401" s="301">
        <v>4187720.2450000006</v>
      </c>
      <c r="V401" s="302">
        <v>34461298.446999997</v>
      </c>
      <c r="W401" s="303"/>
      <c r="X401" s="304">
        <v>4187720.2450000006</v>
      </c>
      <c r="Y401" s="305">
        <v>34461298.446999997</v>
      </c>
      <c r="AA401" s="388"/>
    </row>
    <row r="402" spans="1:27" hidden="1" x14ac:dyDescent="0.3">
      <c r="E402" s="339" t="s">
        <v>1338</v>
      </c>
      <c r="F402" s="340" t="s">
        <v>1339</v>
      </c>
      <c r="G402" s="341"/>
      <c r="H402" s="342"/>
      <c r="I402" s="343"/>
      <c r="J402" s="344">
        <v>2109254.4739999999</v>
      </c>
      <c r="K402" s="345">
        <v>2581100.1209999998</v>
      </c>
      <c r="L402" s="345">
        <v>2773349.7160000005</v>
      </c>
      <c r="M402" s="345">
        <v>2534657.84</v>
      </c>
      <c r="N402" s="345">
        <v>2783761.6350000002</v>
      </c>
      <c r="O402" s="345">
        <v>3685216.9619999994</v>
      </c>
      <c r="P402" s="345">
        <v>2470042.9109999998</v>
      </c>
      <c r="Q402" s="345">
        <v>2820200.713</v>
      </c>
      <c r="R402" s="345">
        <v>3018439.7720000003</v>
      </c>
      <c r="S402" s="345">
        <v>2642551.628</v>
      </c>
      <c r="T402" s="345">
        <v>2843375.057000001</v>
      </c>
      <c r="U402" s="346">
        <v>4187715.6440000008</v>
      </c>
      <c r="V402" s="347">
        <v>34449666.472999997</v>
      </c>
      <c r="W402" s="303"/>
      <c r="X402" s="348">
        <v>4187715.6440000008</v>
      </c>
      <c r="Y402" s="349">
        <v>34449666.472999997</v>
      </c>
      <c r="AA402" s="388"/>
    </row>
    <row r="403" spans="1:27" hidden="1" outlineLevel="1" x14ac:dyDescent="0.3">
      <c r="E403" s="250" t="s">
        <v>1340</v>
      </c>
      <c r="F403" s="317">
        <v>4301701</v>
      </c>
      <c r="G403" s="318"/>
      <c r="H403" s="319">
        <v>5101230101</v>
      </c>
      <c r="I403" s="320"/>
      <c r="J403" s="337">
        <v>1057543.693</v>
      </c>
      <c r="K403" s="321">
        <v>1482008.6219999997</v>
      </c>
      <c r="L403" s="321">
        <v>1758878.4310000003</v>
      </c>
      <c r="M403" s="321">
        <v>1491830.1579999998</v>
      </c>
      <c r="N403" s="321">
        <v>1698543.4709999999</v>
      </c>
      <c r="O403" s="321">
        <v>2666341.7439999999</v>
      </c>
      <c r="P403" s="321">
        <v>1370626.19</v>
      </c>
      <c r="Q403" s="321">
        <v>1760916.665</v>
      </c>
      <c r="R403" s="321">
        <v>1998581.1050000002</v>
      </c>
      <c r="S403" s="321">
        <v>1599225.6270000001</v>
      </c>
      <c r="T403" s="321">
        <v>1818778.4450000003</v>
      </c>
      <c r="U403" s="322">
        <v>3127381.7640000004</v>
      </c>
      <c r="V403" s="323">
        <v>21830655.914999999</v>
      </c>
      <c r="W403" s="303"/>
      <c r="X403" s="324">
        <v>3127381.7640000004</v>
      </c>
      <c r="Y403" s="325">
        <v>21830655.914999999</v>
      </c>
      <c r="AA403" s="388"/>
    </row>
    <row r="404" spans="1:27" hidden="1" outlineLevel="1" x14ac:dyDescent="0.3">
      <c r="E404" s="250" t="s">
        <v>1341</v>
      </c>
      <c r="F404" s="317">
        <v>4301702</v>
      </c>
      <c r="G404" s="318"/>
      <c r="H404" s="319">
        <v>5101230103</v>
      </c>
      <c r="I404" s="320"/>
      <c r="J404" s="337">
        <v>73197.895999999993</v>
      </c>
      <c r="K404" s="321">
        <v>84575.232000000004</v>
      </c>
      <c r="L404" s="321">
        <v>61091.535000000003</v>
      </c>
      <c r="M404" s="321">
        <v>80319.156000000003</v>
      </c>
      <c r="N404" s="321">
        <v>79694.651000000013</v>
      </c>
      <c r="O404" s="321">
        <v>75377.706999999995</v>
      </c>
      <c r="P404" s="321">
        <v>72441.29300000002</v>
      </c>
      <c r="Q404" s="321">
        <v>92837.29300000002</v>
      </c>
      <c r="R404" s="321">
        <v>73332.081000000006</v>
      </c>
      <c r="S404" s="321">
        <v>83916.104999999996</v>
      </c>
      <c r="T404" s="321">
        <v>79634.671999999991</v>
      </c>
      <c r="U404" s="322">
        <v>67714.160999999993</v>
      </c>
      <c r="V404" s="323">
        <v>924131.78200000012</v>
      </c>
      <c r="W404" s="303"/>
      <c r="X404" s="324">
        <v>67714.160999999993</v>
      </c>
      <c r="Y404" s="325">
        <v>924131.78200000012</v>
      </c>
      <c r="AA404" s="388"/>
    </row>
    <row r="405" spans="1:27" hidden="1" outlineLevel="1" x14ac:dyDescent="0.3">
      <c r="E405" s="250" t="s">
        <v>1342</v>
      </c>
      <c r="F405" s="317">
        <v>4301703</v>
      </c>
      <c r="G405" s="318"/>
      <c r="H405" s="319"/>
      <c r="I405" s="320"/>
      <c r="J405" s="337">
        <v>1486.75</v>
      </c>
      <c r="K405" s="321">
        <v>27462</v>
      </c>
      <c r="L405" s="321">
        <v>1397.75</v>
      </c>
      <c r="M405" s="321">
        <v>2396.5500000000002</v>
      </c>
      <c r="N405" s="321">
        <v>3301.1</v>
      </c>
      <c r="O405" s="321">
        <v>1794.8</v>
      </c>
      <c r="P405" s="321">
        <v>1081.9000000000001</v>
      </c>
      <c r="Q405" s="321">
        <v>908.3</v>
      </c>
      <c r="R405" s="321">
        <v>891</v>
      </c>
      <c r="S405" s="321">
        <v>21608.1</v>
      </c>
      <c r="T405" s="321">
        <v>1999</v>
      </c>
      <c r="U405" s="322">
        <v>1197.8499999999999</v>
      </c>
      <c r="V405" s="323">
        <v>65525.100000000006</v>
      </c>
      <c r="W405" s="303"/>
      <c r="X405" s="324">
        <v>1197.8499999999999</v>
      </c>
      <c r="Y405" s="325">
        <v>65525.100000000006</v>
      </c>
      <c r="AA405" s="388"/>
    </row>
    <row r="406" spans="1:27" hidden="1" outlineLevel="1" x14ac:dyDescent="0.3">
      <c r="E406" s="250" t="s">
        <v>1343</v>
      </c>
      <c r="F406" s="317">
        <v>4301705</v>
      </c>
      <c r="G406" s="318"/>
      <c r="H406" s="319"/>
      <c r="I406" s="320"/>
      <c r="J406" s="337">
        <v>0</v>
      </c>
      <c r="K406" s="321">
        <v>0</v>
      </c>
      <c r="L406" s="321">
        <v>0</v>
      </c>
      <c r="M406" s="321">
        <v>0</v>
      </c>
      <c r="N406" s="321">
        <v>0</v>
      </c>
      <c r="O406" s="321">
        <v>0</v>
      </c>
      <c r="P406" s="321">
        <v>0</v>
      </c>
      <c r="Q406" s="321">
        <v>0</v>
      </c>
      <c r="R406" s="321">
        <v>0</v>
      </c>
      <c r="S406" s="321">
        <v>0</v>
      </c>
      <c r="T406" s="321">
        <v>0</v>
      </c>
      <c r="U406" s="322">
        <v>0</v>
      </c>
      <c r="V406" s="323">
        <v>0</v>
      </c>
      <c r="W406" s="303"/>
      <c r="X406" s="324">
        <v>0</v>
      </c>
      <c r="Y406" s="325">
        <v>0</v>
      </c>
      <c r="AA406" s="388"/>
    </row>
    <row r="407" spans="1:27" hidden="1" outlineLevel="1" x14ac:dyDescent="0.3">
      <c r="E407" s="250" t="s">
        <v>1344</v>
      </c>
      <c r="F407" s="317">
        <v>4301706</v>
      </c>
      <c r="G407" s="318"/>
      <c r="H407" s="319">
        <v>5101230105</v>
      </c>
      <c r="I407" s="320"/>
      <c r="J407" s="337">
        <v>-12791.991999999998</v>
      </c>
      <c r="K407" s="321">
        <v>-35096.395000000004</v>
      </c>
      <c r="L407" s="321">
        <v>193504.70699999997</v>
      </c>
      <c r="M407" s="321">
        <v>41885.95900000001</v>
      </c>
      <c r="N407" s="321">
        <v>46249.182000000008</v>
      </c>
      <c r="O407" s="321">
        <v>46866.294999999998</v>
      </c>
      <c r="P407" s="321">
        <v>41316.954000000005</v>
      </c>
      <c r="Q407" s="321">
        <v>44397.135000000009</v>
      </c>
      <c r="R407" s="321">
        <v>60096.566000000006</v>
      </c>
      <c r="S407" s="321">
        <v>31908.838000000003</v>
      </c>
      <c r="T407" s="321">
        <v>43435.888000000006</v>
      </c>
      <c r="U407" s="322">
        <v>48974.906999999999</v>
      </c>
      <c r="V407" s="323">
        <v>550748.04399999999</v>
      </c>
      <c r="W407" s="303"/>
      <c r="X407" s="324">
        <v>48974.906999999999</v>
      </c>
      <c r="Y407" s="325">
        <v>550748.04399999999</v>
      </c>
      <c r="AA407" s="388"/>
    </row>
    <row r="408" spans="1:27" hidden="1" outlineLevel="1" x14ac:dyDescent="0.3">
      <c r="E408" s="250" t="s">
        <v>1345</v>
      </c>
      <c r="F408" s="317">
        <v>4301707</v>
      </c>
      <c r="G408" s="318"/>
      <c r="H408" s="319"/>
      <c r="I408" s="320"/>
      <c r="J408" s="337">
        <v>22243.472000000002</v>
      </c>
      <c r="K408" s="321">
        <v>21090.182000000001</v>
      </c>
      <c r="L408" s="321">
        <v>23545.703000000001</v>
      </c>
      <c r="M408" s="321">
        <v>24619.077999999998</v>
      </c>
      <c r="N408" s="321">
        <v>23904.025999999994</v>
      </c>
      <c r="O408" s="321">
        <v>22709.939000000002</v>
      </c>
      <c r="P408" s="321">
        <v>25109.545000000002</v>
      </c>
      <c r="Q408" s="321">
        <v>25477.717000000001</v>
      </c>
      <c r="R408" s="321">
        <v>25220.588999999996</v>
      </c>
      <c r="S408" s="321">
        <v>26537.138999999996</v>
      </c>
      <c r="T408" s="321">
        <v>24398.404000000002</v>
      </c>
      <c r="U408" s="322">
        <v>24768.484</v>
      </c>
      <c r="V408" s="323">
        <v>289624.27799999999</v>
      </c>
      <c r="W408" s="303"/>
      <c r="X408" s="324">
        <v>24768.484</v>
      </c>
      <c r="Y408" s="325">
        <v>289624.27799999999</v>
      </c>
      <c r="AA408" s="388"/>
    </row>
    <row r="409" spans="1:27" hidden="1" outlineLevel="1" x14ac:dyDescent="0.3">
      <c r="E409" s="250" t="s">
        <v>1346</v>
      </c>
      <c r="F409" s="317">
        <v>4301708</v>
      </c>
      <c r="G409" s="318"/>
      <c r="H409" s="319">
        <v>5101230109</v>
      </c>
      <c r="I409" s="320"/>
      <c r="J409" s="337">
        <v>878471.92099999997</v>
      </c>
      <c r="K409" s="321">
        <v>912147.89799999993</v>
      </c>
      <c r="L409" s="321">
        <v>881734.64900000009</v>
      </c>
      <c r="M409" s="321">
        <v>881648.88600000006</v>
      </c>
      <c r="N409" s="321">
        <v>915012.85199999996</v>
      </c>
      <c r="O409" s="321">
        <v>858915.7429999999</v>
      </c>
      <c r="P409" s="321">
        <v>947701.79500000004</v>
      </c>
      <c r="Q409" s="321">
        <v>883351.90800000017</v>
      </c>
      <c r="R409" s="321">
        <v>845655.27600000019</v>
      </c>
      <c r="S409" s="321">
        <v>851927.26300000004</v>
      </c>
      <c r="T409" s="321">
        <v>861255.5360000002</v>
      </c>
      <c r="U409" s="322">
        <v>874023.84899999993</v>
      </c>
      <c r="V409" s="323">
        <v>10591847.575999999</v>
      </c>
      <c r="W409" s="303"/>
      <c r="X409" s="324">
        <v>874023.84899999993</v>
      </c>
      <c r="Y409" s="325">
        <v>10591847.575999999</v>
      </c>
      <c r="AA409" s="388"/>
    </row>
    <row r="410" spans="1:27" hidden="1" outlineLevel="1" x14ac:dyDescent="0.3">
      <c r="E410" s="250" t="s">
        <v>1347</v>
      </c>
      <c r="F410" s="317">
        <v>4301799</v>
      </c>
      <c r="G410" s="318"/>
      <c r="H410" s="319">
        <v>5101230199</v>
      </c>
      <c r="I410" s="320"/>
      <c r="J410" s="337">
        <v>89102.733999999997</v>
      </c>
      <c r="K410" s="321">
        <v>88912.581999999995</v>
      </c>
      <c r="L410" s="321">
        <v>-146803.05900000001</v>
      </c>
      <c r="M410" s="321">
        <v>11958.053000000002</v>
      </c>
      <c r="N410" s="321">
        <v>17056.352999999999</v>
      </c>
      <c r="O410" s="321">
        <v>13210.734</v>
      </c>
      <c r="P410" s="321">
        <v>11765.234</v>
      </c>
      <c r="Q410" s="321">
        <v>12311.695</v>
      </c>
      <c r="R410" s="321">
        <v>14663.154999999999</v>
      </c>
      <c r="S410" s="321">
        <v>27428.556000000004</v>
      </c>
      <c r="T410" s="321">
        <v>13873.111999999999</v>
      </c>
      <c r="U410" s="322">
        <v>43654.628999999994</v>
      </c>
      <c r="V410" s="323">
        <v>197133.77799999996</v>
      </c>
      <c r="W410" s="303"/>
      <c r="X410" s="324">
        <v>43654.628999999994</v>
      </c>
      <c r="Y410" s="325">
        <v>197133.77799999996</v>
      </c>
      <c r="AA410" s="388"/>
    </row>
    <row r="411" spans="1:27" s="326" customFormat="1" hidden="1" outlineLevel="2" x14ac:dyDescent="0.3">
      <c r="E411" s="326" t="s">
        <v>1348</v>
      </c>
      <c r="F411" s="336"/>
      <c r="G411" s="327"/>
      <c r="H411" s="328"/>
      <c r="I411" s="329"/>
      <c r="J411" s="338">
        <v>0</v>
      </c>
      <c r="K411" s="330">
        <v>0</v>
      </c>
      <c r="L411" s="330">
        <v>0</v>
      </c>
      <c r="M411" s="330">
        <v>0</v>
      </c>
      <c r="N411" s="330">
        <v>0</v>
      </c>
      <c r="O411" s="330">
        <v>0</v>
      </c>
      <c r="P411" s="330">
        <v>0</v>
      </c>
      <c r="Q411" s="330">
        <v>0</v>
      </c>
      <c r="R411" s="330">
        <v>0</v>
      </c>
      <c r="S411" s="330">
        <v>0</v>
      </c>
      <c r="T411" s="330">
        <v>0</v>
      </c>
      <c r="U411" s="331">
        <v>0</v>
      </c>
      <c r="V411" s="332">
        <v>0</v>
      </c>
      <c r="W411" s="333"/>
      <c r="X411" s="334">
        <v>0</v>
      </c>
      <c r="Y411" s="335">
        <v>0</v>
      </c>
      <c r="AA411" s="388"/>
    </row>
    <row r="412" spans="1:27" s="326" customFormat="1" hidden="1" outlineLevel="2" x14ac:dyDescent="0.3">
      <c r="E412" s="326" t="s">
        <v>1349</v>
      </c>
      <c r="F412" s="336"/>
      <c r="G412" s="327"/>
      <c r="H412" s="328"/>
      <c r="I412" s="329"/>
      <c r="J412" s="338">
        <v>0</v>
      </c>
      <c r="K412" s="330">
        <v>0</v>
      </c>
      <c r="L412" s="330">
        <v>0</v>
      </c>
      <c r="M412" s="330">
        <v>0</v>
      </c>
      <c r="N412" s="330">
        <v>0</v>
      </c>
      <c r="O412" s="330">
        <v>0</v>
      </c>
      <c r="P412" s="330">
        <v>0</v>
      </c>
      <c r="Q412" s="330">
        <v>0</v>
      </c>
      <c r="R412" s="330">
        <v>0</v>
      </c>
      <c r="S412" s="330">
        <v>0</v>
      </c>
      <c r="T412" s="330">
        <v>0</v>
      </c>
      <c r="U412" s="331">
        <v>0</v>
      </c>
      <c r="V412" s="332">
        <v>0</v>
      </c>
      <c r="W412" s="333"/>
      <c r="X412" s="334">
        <v>0</v>
      </c>
      <c r="Y412" s="335">
        <v>0</v>
      </c>
      <c r="AA412" s="388"/>
    </row>
    <row r="413" spans="1:27" s="326" customFormat="1" hidden="1" outlineLevel="2" x14ac:dyDescent="0.3">
      <c r="E413" s="326" t="s">
        <v>1350</v>
      </c>
      <c r="F413" s="336"/>
      <c r="G413" s="327"/>
      <c r="H413" s="328"/>
      <c r="I413" s="329"/>
      <c r="J413" s="338">
        <v>0</v>
      </c>
      <c r="K413" s="330">
        <v>0</v>
      </c>
      <c r="L413" s="330">
        <v>0</v>
      </c>
      <c r="M413" s="330">
        <v>0</v>
      </c>
      <c r="N413" s="330">
        <v>0</v>
      </c>
      <c r="O413" s="330">
        <v>0</v>
      </c>
      <c r="P413" s="330">
        <v>0</v>
      </c>
      <c r="Q413" s="330">
        <v>0</v>
      </c>
      <c r="R413" s="330">
        <v>0</v>
      </c>
      <c r="S413" s="330">
        <v>0</v>
      </c>
      <c r="T413" s="330">
        <v>0</v>
      </c>
      <c r="U413" s="331">
        <v>0</v>
      </c>
      <c r="V413" s="332">
        <v>0</v>
      </c>
      <c r="W413" s="333"/>
      <c r="X413" s="334">
        <v>0</v>
      </c>
      <c r="Y413" s="335">
        <v>0</v>
      </c>
      <c r="AA413" s="388"/>
    </row>
    <row r="414" spans="1:27" hidden="1" collapsed="1" x14ac:dyDescent="0.3">
      <c r="E414" s="339" t="s">
        <v>1351</v>
      </c>
      <c r="F414" s="340" t="s">
        <v>1352</v>
      </c>
      <c r="G414" s="341"/>
      <c r="H414" s="342"/>
      <c r="I414" s="343"/>
      <c r="J414" s="344">
        <v>8309.43</v>
      </c>
      <c r="K414" s="345">
        <v>226.536</v>
      </c>
      <c r="L414" s="345">
        <v>66.436999999999998</v>
      </c>
      <c r="M414" s="345">
        <v>66.525000000000006</v>
      </c>
      <c r="N414" s="345">
        <v>1.782</v>
      </c>
      <c r="O414" s="345">
        <v>1699.0259999999998</v>
      </c>
      <c r="P414" s="345">
        <v>4.532</v>
      </c>
      <c r="Q414" s="345">
        <v>4.5449999999999999</v>
      </c>
      <c r="R414" s="345">
        <v>567.61799999999994</v>
      </c>
      <c r="S414" s="345">
        <v>4.5739999999999998</v>
      </c>
      <c r="T414" s="345">
        <v>676.36800000000005</v>
      </c>
      <c r="U414" s="346">
        <v>4.601</v>
      </c>
      <c r="V414" s="347">
        <v>11631.974</v>
      </c>
      <c r="W414" s="303"/>
      <c r="X414" s="348">
        <v>4.601</v>
      </c>
      <c r="Y414" s="349">
        <v>11631.974</v>
      </c>
      <c r="AA414" s="388"/>
    </row>
    <row r="415" spans="1:27" hidden="1" outlineLevel="1" x14ac:dyDescent="0.3">
      <c r="E415" s="250" t="s">
        <v>1353</v>
      </c>
      <c r="F415" s="317">
        <v>4301781</v>
      </c>
      <c r="G415" s="318"/>
      <c r="H415" s="319">
        <v>5101230301</v>
      </c>
      <c r="I415" s="320"/>
      <c r="J415" s="337">
        <v>8309.43</v>
      </c>
      <c r="K415" s="321">
        <v>226.536</v>
      </c>
      <c r="L415" s="321">
        <v>66.436999999999998</v>
      </c>
      <c r="M415" s="321">
        <v>66.525000000000006</v>
      </c>
      <c r="N415" s="321">
        <v>1.782</v>
      </c>
      <c r="O415" s="321">
        <v>1699.0259999999998</v>
      </c>
      <c r="P415" s="321">
        <v>4.532</v>
      </c>
      <c r="Q415" s="321">
        <v>4.5449999999999999</v>
      </c>
      <c r="R415" s="321">
        <v>567.61799999999994</v>
      </c>
      <c r="S415" s="321">
        <v>4.5739999999999998</v>
      </c>
      <c r="T415" s="321">
        <v>676.36800000000005</v>
      </c>
      <c r="U415" s="322">
        <v>4.601</v>
      </c>
      <c r="V415" s="323">
        <v>11631.974</v>
      </c>
      <c r="W415" s="303"/>
      <c r="X415" s="324">
        <v>4.601</v>
      </c>
      <c r="Y415" s="325">
        <v>11631.974</v>
      </c>
      <c r="AA415" s="388"/>
    </row>
    <row r="416" spans="1:27" s="326" customFormat="1" hidden="1" outlineLevel="2" x14ac:dyDescent="0.3">
      <c r="E416" s="326" t="s">
        <v>1348</v>
      </c>
      <c r="F416" s="336"/>
      <c r="G416" s="327"/>
      <c r="H416" s="328"/>
      <c r="I416" s="329"/>
      <c r="J416" s="338">
        <v>0</v>
      </c>
      <c r="K416" s="330">
        <v>0</v>
      </c>
      <c r="L416" s="330">
        <v>0</v>
      </c>
      <c r="M416" s="330">
        <v>0</v>
      </c>
      <c r="N416" s="330">
        <v>0</v>
      </c>
      <c r="O416" s="330">
        <v>0</v>
      </c>
      <c r="P416" s="330">
        <v>0</v>
      </c>
      <c r="Q416" s="330">
        <v>0</v>
      </c>
      <c r="R416" s="330">
        <v>0</v>
      </c>
      <c r="S416" s="330">
        <v>0</v>
      </c>
      <c r="T416" s="330">
        <v>0</v>
      </c>
      <c r="U416" s="331">
        <v>0</v>
      </c>
      <c r="V416" s="332">
        <v>0</v>
      </c>
      <c r="W416" s="333"/>
      <c r="X416" s="334">
        <v>0</v>
      </c>
      <c r="Y416" s="335">
        <v>0</v>
      </c>
      <c r="AA416" s="388"/>
    </row>
    <row r="417" spans="1:27" s="326" customFormat="1" hidden="1" outlineLevel="2" x14ac:dyDescent="0.3">
      <c r="E417" s="326" t="s">
        <v>1349</v>
      </c>
      <c r="F417" s="336"/>
      <c r="G417" s="327"/>
      <c r="H417" s="328"/>
      <c r="I417" s="329"/>
      <c r="J417" s="338">
        <v>0</v>
      </c>
      <c r="K417" s="330">
        <v>0</v>
      </c>
      <c r="L417" s="330">
        <v>0</v>
      </c>
      <c r="M417" s="330">
        <v>0</v>
      </c>
      <c r="N417" s="330">
        <v>0</v>
      </c>
      <c r="O417" s="330">
        <v>0</v>
      </c>
      <c r="P417" s="330">
        <v>0</v>
      </c>
      <c r="Q417" s="330">
        <v>0</v>
      </c>
      <c r="R417" s="330">
        <v>0</v>
      </c>
      <c r="S417" s="330">
        <v>0</v>
      </c>
      <c r="T417" s="330">
        <v>0</v>
      </c>
      <c r="U417" s="331">
        <v>0</v>
      </c>
      <c r="V417" s="332">
        <v>0</v>
      </c>
      <c r="W417" s="333"/>
      <c r="X417" s="334">
        <v>0</v>
      </c>
      <c r="Y417" s="335">
        <v>0</v>
      </c>
      <c r="AA417" s="388"/>
    </row>
    <row r="418" spans="1:27" s="326" customFormat="1" hidden="1" outlineLevel="2" x14ac:dyDescent="0.3">
      <c r="E418" s="326" t="s">
        <v>1350</v>
      </c>
      <c r="F418" s="336"/>
      <c r="G418" s="327"/>
      <c r="H418" s="328"/>
      <c r="I418" s="329"/>
      <c r="J418" s="338">
        <v>0</v>
      </c>
      <c r="K418" s="330">
        <v>0</v>
      </c>
      <c r="L418" s="330">
        <v>0</v>
      </c>
      <c r="M418" s="330">
        <v>0</v>
      </c>
      <c r="N418" s="330">
        <v>0</v>
      </c>
      <c r="O418" s="330">
        <v>0</v>
      </c>
      <c r="P418" s="330">
        <v>0</v>
      </c>
      <c r="Q418" s="330">
        <v>0</v>
      </c>
      <c r="R418" s="330">
        <v>0</v>
      </c>
      <c r="S418" s="330">
        <v>0</v>
      </c>
      <c r="T418" s="330">
        <v>0</v>
      </c>
      <c r="U418" s="331">
        <v>0</v>
      </c>
      <c r="V418" s="332">
        <v>0</v>
      </c>
      <c r="W418" s="333"/>
      <c r="X418" s="334">
        <v>0</v>
      </c>
      <c r="Y418" s="335">
        <v>0</v>
      </c>
      <c r="AA418" s="388"/>
    </row>
    <row r="419" spans="1:27" hidden="1" collapsed="1" x14ac:dyDescent="0.3">
      <c r="A419" s="233"/>
      <c r="B419" s="234" t="s">
        <v>21</v>
      </c>
      <c r="D419" s="293" t="s">
        <v>1354</v>
      </c>
      <c r="E419" s="294"/>
      <c r="F419" s="295" t="s">
        <v>1355</v>
      </c>
      <c r="G419" s="296"/>
      <c r="H419" s="297"/>
      <c r="I419" s="298"/>
      <c r="J419" s="299">
        <v>85924731.111000001</v>
      </c>
      <c r="K419" s="300">
        <v>81996463.892999992</v>
      </c>
      <c r="L419" s="300">
        <v>87243211.997000009</v>
      </c>
      <c r="M419" s="300">
        <v>89688340.055000007</v>
      </c>
      <c r="N419" s="300">
        <v>90811834.460999995</v>
      </c>
      <c r="O419" s="300">
        <v>88808711.592999995</v>
      </c>
      <c r="P419" s="300">
        <v>93980449.053000003</v>
      </c>
      <c r="Q419" s="300">
        <v>94789886.784999996</v>
      </c>
      <c r="R419" s="300">
        <v>93527033.904999986</v>
      </c>
      <c r="S419" s="300">
        <v>94681560.856000006</v>
      </c>
      <c r="T419" s="300">
        <v>88870424.344999984</v>
      </c>
      <c r="U419" s="301">
        <v>91377040.479000002</v>
      </c>
      <c r="V419" s="302">
        <v>1081699688.533</v>
      </c>
      <c r="W419" s="303"/>
      <c r="X419" s="304">
        <v>91377040.479000002</v>
      </c>
      <c r="Y419" s="305">
        <v>1081699688.533</v>
      </c>
      <c r="AA419" s="388"/>
    </row>
    <row r="420" spans="1:27" hidden="1" outlineLevel="1" x14ac:dyDescent="0.3">
      <c r="E420" s="250" t="s">
        <v>1356</v>
      </c>
      <c r="F420" s="317">
        <v>4302002</v>
      </c>
      <c r="G420" s="318"/>
      <c r="H420" s="319">
        <v>5101530103</v>
      </c>
      <c r="I420" s="320"/>
      <c r="J420" s="337">
        <v>35000</v>
      </c>
      <c r="K420" s="321">
        <v>90835.199999999997</v>
      </c>
      <c r="L420" s="321">
        <v>427140.31</v>
      </c>
      <c r="M420" s="321">
        <v>734450</v>
      </c>
      <c r="N420" s="321">
        <v>735891.7</v>
      </c>
      <c r="O420" s="321">
        <v>1100970.7319999998</v>
      </c>
      <c r="P420" s="321">
        <v>718990.95700000005</v>
      </c>
      <c r="Q420" s="321">
        <v>772640.64600000007</v>
      </c>
      <c r="R420" s="321">
        <v>821368.39500000002</v>
      </c>
      <c r="S420" s="321">
        <v>1488027.3260000001</v>
      </c>
      <c r="T420" s="321">
        <v>425335.7</v>
      </c>
      <c r="U420" s="322">
        <v>1648386.2519999999</v>
      </c>
      <c r="V420" s="323">
        <v>8999037.2180000003</v>
      </c>
      <c r="W420" s="303"/>
      <c r="X420" s="324">
        <v>1648386.2519999999</v>
      </c>
      <c r="Y420" s="325">
        <v>8999037.2180000003</v>
      </c>
      <c r="AA420" s="388"/>
    </row>
    <row r="421" spans="1:27" hidden="1" outlineLevel="1" x14ac:dyDescent="0.3">
      <c r="E421" s="250" t="s">
        <v>1357</v>
      </c>
      <c r="F421" s="317">
        <v>4302003</v>
      </c>
      <c r="G421" s="318"/>
      <c r="H421" s="319">
        <v>5101530105</v>
      </c>
      <c r="I421" s="320"/>
      <c r="J421" s="337">
        <v>26785</v>
      </c>
      <c r="K421" s="321">
        <v>11285</v>
      </c>
      <c r="L421" s="321">
        <v>376364.09100000001</v>
      </c>
      <c r="M421" s="321">
        <v>736456</v>
      </c>
      <c r="N421" s="321">
        <v>305005.59999999998</v>
      </c>
      <c r="O421" s="321">
        <v>81713.899999999994</v>
      </c>
      <c r="P421" s="321">
        <v>-25005.599999999999</v>
      </c>
      <c r="Q421" s="321">
        <v>269902.478</v>
      </c>
      <c r="R421" s="321">
        <v>0</v>
      </c>
      <c r="S421" s="321">
        <v>137900</v>
      </c>
      <c r="T421" s="321">
        <v>272200</v>
      </c>
      <c r="U421" s="322">
        <v>28664.2</v>
      </c>
      <c r="V421" s="323">
        <v>2221270.6690000002</v>
      </c>
      <c r="W421" s="303"/>
      <c r="X421" s="324">
        <v>28664.2</v>
      </c>
      <c r="Y421" s="325">
        <v>2221270.6690000002</v>
      </c>
      <c r="AA421" s="388"/>
    </row>
    <row r="422" spans="1:27" hidden="1" outlineLevel="1" x14ac:dyDescent="0.3">
      <c r="E422" s="250" t="s">
        <v>1358</v>
      </c>
      <c r="F422" s="317">
        <v>4302004</v>
      </c>
      <c r="G422" s="318"/>
      <c r="H422" s="319">
        <v>5101530107</v>
      </c>
      <c r="I422" s="320"/>
      <c r="J422" s="337">
        <v>55876.18</v>
      </c>
      <c r="K422" s="321">
        <v>117717.44300000001</v>
      </c>
      <c r="L422" s="321">
        <v>89914.190000000017</v>
      </c>
      <c r="M422" s="321">
        <v>63679.671999999991</v>
      </c>
      <c r="N422" s="321">
        <v>226891.49999999997</v>
      </c>
      <c r="O422" s="321">
        <v>82251.936000000002</v>
      </c>
      <c r="P422" s="321">
        <v>83001.97600000001</v>
      </c>
      <c r="Q422" s="321">
        <v>682406.36899999995</v>
      </c>
      <c r="R422" s="321">
        <v>81877.455000000002</v>
      </c>
      <c r="S422" s="321">
        <v>359965.011</v>
      </c>
      <c r="T422" s="321">
        <v>133171.64199999999</v>
      </c>
      <c r="U422" s="322">
        <v>112540.69899999999</v>
      </c>
      <c r="V422" s="323">
        <v>2089294.0729999999</v>
      </c>
      <c r="W422" s="303"/>
      <c r="X422" s="324">
        <v>112540.69899999999</v>
      </c>
      <c r="Y422" s="325">
        <v>2089294.0729999999</v>
      </c>
      <c r="AA422" s="388"/>
    </row>
    <row r="423" spans="1:27" hidden="1" outlineLevel="1" x14ac:dyDescent="0.3">
      <c r="E423" s="250" t="s">
        <v>1359</v>
      </c>
      <c r="F423" s="317">
        <v>4302005</v>
      </c>
      <c r="G423" s="318"/>
      <c r="H423" s="319">
        <v>5101530109</v>
      </c>
      <c r="I423" s="320"/>
      <c r="J423" s="337">
        <v>188170.285</v>
      </c>
      <c r="K423" s="321">
        <v>211168.712</v>
      </c>
      <c r="L423" s="321">
        <v>214672.82199999999</v>
      </c>
      <c r="M423" s="321">
        <v>313914.25800000003</v>
      </c>
      <c r="N423" s="321">
        <v>504273.84700000001</v>
      </c>
      <c r="O423" s="321">
        <v>266256.05700000003</v>
      </c>
      <c r="P423" s="321">
        <v>300257.82800000004</v>
      </c>
      <c r="Q423" s="321">
        <v>276362.75900000002</v>
      </c>
      <c r="R423" s="321">
        <v>328135.01699999999</v>
      </c>
      <c r="S423" s="321">
        <v>239235.24799999996</v>
      </c>
      <c r="T423" s="321">
        <v>548711.04500000004</v>
      </c>
      <c r="U423" s="322">
        <v>534620.66800000006</v>
      </c>
      <c r="V423" s="323">
        <v>3925778.5460000001</v>
      </c>
      <c r="W423" s="303"/>
      <c r="X423" s="324">
        <v>534620.66800000006</v>
      </c>
      <c r="Y423" s="325">
        <v>3925778.5460000001</v>
      </c>
      <c r="AA423" s="388"/>
    </row>
    <row r="424" spans="1:27" hidden="1" outlineLevel="1" x14ac:dyDescent="0.3">
      <c r="E424" s="250" t="s">
        <v>1360</v>
      </c>
      <c r="F424" s="317">
        <v>4302006</v>
      </c>
      <c r="G424" s="318"/>
      <c r="H424" s="319">
        <v>5101530111</v>
      </c>
      <c r="I424" s="320">
        <v>5101530134</v>
      </c>
      <c r="J424" s="337">
        <v>4500</v>
      </c>
      <c r="K424" s="321">
        <v>88000</v>
      </c>
      <c r="L424" s="321">
        <v>382545.21300000005</v>
      </c>
      <c r="M424" s="321">
        <v>4500</v>
      </c>
      <c r="N424" s="321">
        <v>4500</v>
      </c>
      <c r="O424" s="321">
        <v>-214387.508</v>
      </c>
      <c r="P424" s="321">
        <v>4500</v>
      </c>
      <c r="Q424" s="321">
        <v>74500</v>
      </c>
      <c r="R424" s="321">
        <v>45716.440999999999</v>
      </c>
      <c r="S424" s="321">
        <v>4500</v>
      </c>
      <c r="T424" s="321">
        <v>4500</v>
      </c>
      <c r="U424" s="322">
        <v>75602.880000000005</v>
      </c>
      <c r="V424" s="323">
        <v>478977.02600000007</v>
      </c>
      <c r="W424" s="303"/>
      <c r="X424" s="324">
        <v>75602.880000000005</v>
      </c>
      <c r="Y424" s="325">
        <v>478977.02600000007</v>
      </c>
      <c r="AA424" s="388"/>
    </row>
    <row r="425" spans="1:27" hidden="1" outlineLevel="1" x14ac:dyDescent="0.3">
      <c r="E425" s="250" t="s">
        <v>1361</v>
      </c>
      <c r="F425" s="317">
        <v>4302007</v>
      </c>
      <c r="G425" s="318"/>
      <c r="H425" s="319">
        <v>5101530113</v>
      </c>
      <c r="I425" s="320"/>
      <c r="J425" s="337">
        <v>58164.900000000009</v>
      </c>
      <c r="K425" s="321">
        <v>58499</v>
      </c>
      <c r="L425" s="321">
        <v>58636.799999999996</v>
      </c>
      <c r="M425" s="321">
        <v>59149.299999999996</v>
      </c>
      <c r="N425" s="321">
        <v>58932</v>
      </c>
      <c r="O425" s="321">
        <v>59913.9</v>
      </c>
      <c r="P425" s="321">
        <v>60144.6</v>
      </c>
      <c r="Q425" s="321">
        <v>60178.400000000001</v>
      </c>
      <c r="R425" s="321">
        <v>60647.9</v>
      </c>
      <c r="S425" s="321">
        <v>60986.400000000001</v>
      </c>
      <c r="T425" s="321">
        <v>60302.5</v>
      </c>
      <c r="U425" s="322">
        <v>61018.2</v>
      </c>
      <c r="V425" s="323">
        <v>716573.9</v>
      </c>
      <c r="W425" s="303"/>
      <c r="X425" s="324">
        <v>61018.2</v>
      </c>
      <c r="Y425" s="325">
        <v>716573.9</v>
      </c>
      <c r="AA425" s="388"/>
    </row>
    <row r="426" spans="1:27" hidden="1" outlineLevel="1" x14ac:dyDescent="0.3">
      <c r="E426" s="250" t="s">
        <v>1362</v>
      </c>
      <c r="F426" s="317">
        <v>4302008</v>
      </c>
      <c r="G426" s="318"/>
      <c r="H426" s="319">
        <v>5101530115</v>
      </c>
      <c r="I426" s="320"/>
      <c r="J426" s="337">
        <v>488654.48099999997</v>
      </c>
      <c r="K426" s="321">
        <v>524619.15100000007</v>
      </c>
      <c r="L426" s="321">
        <v>483262.821</v>
      </c>
      <c r="M426" s="321">
        <v>543422.02100000007</v>
      </c>
      <c r="N426" s="321">
        <v>522409.01399999997</v>
      </c>
      <c r="O426" s="321">
        <v>530424.75399999996</v>
      </c>
      <c r="P426" s="321">
        <v>540336.03799999994</v>
      </c>
      <c r="Q426" s="321">
        <v>677800.92500000005</v>
      </c>
      <c r="R426" s="321">
        <v>757240.27899999998</v>
      </c>
      <c r="S426" s="321">
        <v>680475.65899999987</v>
      </c>
      <c r="T426" s="321">
        <v>595025.41599999997</v>
      </c>
      <c r="U426" s="322">
        <v>520393.12700000004</v>
      </c>
      <c r="V426" s="323">
        <v>6864063.6859999998</v>
      </c>
      <c r="W426" s="303"/>
      <c r="X426" s="324">
        <v>520393.12700000004</v>
      </c>
      <c r="Y426" s="325">
        <v>6864063.6859999998</v>
      </c>
      <c r="AA426" s="388"/>
    </row>
    <row r="427" spans="1:27" hidden="1" outlineLevel="1" x14ac:dyDescent="0.3">
      <c r="E427" s="250" t="s">
        <v>1363</v>
      </c>
      <c r="F427" s="317">
        <v>4302009</v>
      </c>
      <c r="G427" s="318"/>
      <c r="H427" s="319">
        <v>5101530117</v>
      </c>
      <c r="I427" s="320"/>
      <c r="J427" s="337">
        <v>27165</v>
      </c>
      <c r="K427" s="321">
        <v>26554</v>
      </c>
      <c r="L427" s="321">
        <v>26506</v>
      </c>
      <c r="M427" s="321">
        <v>26506</v>
      </c>
      <c r="N427" s="321">
        <v>26507.75</v>
      </c>
      <c r="O427" s="321">
        <v>26506</v>
      </c>
      <c r="P427" s="321">
        <v>4.2</v>
      </c>
      <c r="Q427" s="321">
        <v>41</v>
      </c>
      <c r="R427" s="321">
        <v>2</v>
      </c>
      <c r="S427" s="321">
        <v>0</v>
      </c>
      <c r="T427" s="321">
        <v>0</v>
      </c>
      <c r="U427" s="322">
        <v>0</v>
      </c>
      <c r="V427" s="323">
        <v>159791.95000000001</v>
      </c>
      <c r="W427" s="303"/>
      <c r="X427" s="324">
        <v>0</v>
      </c>
      <c r="Y427" s="325">
        <v>159791.95000000001</v>
      </c>
      <c r="AA427" s="388"/>
    </row>
    <row r="428" spans="1:27" hidden="1" outlineLevel="1" x14ac:dyDescent="0.3">
      <c r="E428" s="250" t="s">
        <v>1364</v>
      </c>
      <c r="F428" s="317">
        <v>4302010</v>
      </c>
      <c r="G428" s="318"/>
      <c r="H428" s="319">
        <v>5101530119</v>
      </c>
      <c r="I428" s="320"/>
      <c r="J428" s="337">
        <v>129326.86199999999</v>
      </c>
      <c r="K428" s="321">
        <v>98557.759000000005</v>
      </c>
      <c r="L428" s="321">
        <v>122880.325</v>
      </c>
      <c r="M428" s="321">
        <v>112486.917</v>
      </c>
      <c r="N428" s="321">
        <v>134512.255</v>
      </c>
      <c r="O428" s="321">
        <v>119766.674</v>
      </c>
      <c r="P428" s="321">
        <v>127287.641</v>
      </c>
      <c r="Q428" s="321">
        <v>147056.02100000001</v>
      </c>
      <c r="R428" s="321">
        <v>123460.819</v>
      </c>
      <c r="S428" s="321">
        <v>91028.97</v>
      </c>
      <c r="T428" s="321">
        <v>121988.53200000001</v>
      </c>
      <c r="U428" s="322">
        <v>124346.91799999999</v>
      </c>
      <c r="V428" s="323">
        <v>1452699.693</v>
      </c>
      <c r="W428" s="303"/>
      <c r="X428" s="324">
        <v>124346.91799999999</v>
      </c>
      <c r="Y428" s="325">
        <v>1452699.693</v>
      </c>
      <c r="AA428" s="388"/>
    </row>
    <row r="429" spans="1:27" hidden="1" outlineLevel="1" x14ac:dyDescent="0.3">
      <c r="E429" s="250" t="s">
        <v>1365</v>
      </c>
      <c r="F429" s="317">
        <v>4302011</v>
      </c>
      <c r="G429" s="318"/>
      <c r="H429" s="319"/>
      <c r="I429" s="320"/>
      <c r="J429" s="337">
        <v>3753</v>
      </c>
      <c r="K429" s="321">
        <v>396</v>
      </c>
      <c r="L429" s="321">
        <v>3737</v>
      </c>
      <c r="M429" s="321">
        <v>4934</v>
      </c>
      <c r="N429" s="321">
        <v>5166</v>
      </c>
      <c r="O429" s="321">
        <v>4989</v>
      </c>
      <c r="P429" s="321">
        <v>5026</v>
      </c>
      <c r="Q429" s="321">
        <v>4943</v>
      </c>
      <c r="R429" s="321">
        <v>5042.2700000000004</v>
      </c>
      <c r="S429" s="321">
        <v>4923.0680000000002</v>
      </c>
      <c r="T429" s="321">
        <v>4899</v>
      </c>
      <c r="U429" s="322">
        <v>472</v>
      </c>
      <c r="V429" s="323">
        <v>48280.338000000003</v>
      </c>
      <c r="W429" s="303"/>
      <c r="X429" s="324">
        <v>472</v>
      </c>
      <c r="Y429" s="325">
        <v>48280.338000000003</v>
      </c>
      <c r="AA429" s="388"/>
    </row>
    <row r="430" spans="1:27" hidden="1" outlineLevel="1" x14ac:dyDescent="0.3">
      <c r="E430" s="250" t="s">
        <v>1366</v>
      </c>
      <c r="F430" s="317">
        <v>4302012</v>
      </c>
      <c r="G430" s="318"/>
      <c r="H430" s="319">
        <v>5101530121</v>
      </c>
      <c r="I430" s="320"/>
      <c r="J430" s="337">
        <v>919695.50699999998</v>
      </c>
      <c r="K430" s="321">
        <v>908202.64599999995</v>
      </c>
      <c r="L430" s="321">
        <v>915048.32</v>
      </c>
      <c r="M430" s="321">
        <v>921262.36699999997</v>
      </c>
      <c r="N430" s="321">
        <v>941130.27500000002</v>
      </c>
      <c r="O430" s="321">
        <v>922653.49699999997</v>
      </c>
      <c r="P430" s="321">
        <v>977863.31900000002</v>
      </c>
      <c r="Q430" s="321">
        <v>914414.66800000006</v>
      </c>
      <c r="R430" s="321">
        <v>922011.37399999995</v>
      </c>
      <c r="S430" s="321">
        <v>919367.09399999992</v>
      </c>
      <c r="T430" s="321">
        <v>922967.71099999989</v>
      </c>
      <c r="U430" s="322">
        <v>931325.58499999996</v>
      </c>
      <c r="V430" s="323">
        <v>11115942.362999998</v>
      </c>
      <c r="W430" s="303"/>
      <c r="X430" s="324">
        <v>931325.58499999996</v>
      </c>
      <c r="Y430" s="325">
        <v>11115942.362999998</v>
      </c>
      <c r="AA430" s="388"/>
    </row>
    <row r="431" spans="1:27" hidden="1" outlineLevel="1" x14ac:dyDescent="0.3">
      <c r="E431" s="250" t="s">
        <v>1367</v>
      </c>
      <c r="F431" s="317">
        <v>4302013</v>
      </c>
      <c r="G431" s="318"/>
      <c r="H431" s="319">
        <v>5101530123</v>
      </c>
      <c r="I431" s="320"/>
      <c r="J431" s="337">
        <v>109723.166</v>
      </c>
      <c r="K431" s="321">
        <v>96338.450999999986</v>
      </c>
      <c r="L431" s="321">
        <v>101932.833</v>
      </c>
      <c r="M431" s="321">
        <v>106622.807</v>
      </c>
      <c r="N431" s="321">
        <v>109669.015</v>
      </c>
      <c r="O431" s="321">
        <v>103987.75899999999</v>
      </c>
      <c r="P431" s="321">
        <v>100392.48500000002</v>
      </c>
      <c r="Q431" s="321">
        <v>116304.01</v>
      </c>
      <c r="R431" s="321">
        <v>96822.117000000013</v>
      </c>
      <c r="S431" s="321">
        <v>102378.29100000001</v>
      </c>
      <c r="T431" s="321">
        <v>95953.690000000017</v>
      </c>
      <c r="U431" s="322">
        <v>96149.349000000017</v>
      </c>
      <c r="V431" s="323">
        <v>1236273.9729999998</v>
      </c>
      <c r="W431" s="303"/>
      <c r="X431" s="324">
        <v>96149.349000000017</v>
      </c>
      <c r="Y431" s="325">
        <v>1236273.9729999998</v>
      </c>
      <c r="AA431" s="388"/>
    </row>
    <row r="432" spans="1:27" hidden="1" outlineLevel="1" x14ac:dyDescent="0.3">
      <c r="E432" s="250" t="s">
        <v>1368</v>
      </c>
      <c r="F432" s="317">
        <v>4302014</v>
      </c>
      <c r="G432" s="318"/>
      <c r="H432" s="319">
        <v>5101530125</v>
      </c>
      <c r="I432" s="320"/>
      <c r="J432" s="337">
        <v>9330</v>
      </c>
      <c r="K432" s="321">
        <v>23800</v>
      </c>
      <c r="L432" s="321">
        <v>79052.399999999994</v>
      </c>
      <c r="M432" s="321">
        <v>17765</v>
      </c>
      <c r="N432" s="321">
        <v>41480</v>
      </c>
      <c r="O432" s="321">
        <v>-1625</v>
      </c>
      <c r="P432" s="321">
        <v>30671.3</v>
      </c>
      <c r="Q432" s="321">
        <v>23477</v>
      </c>
      <c r="R432" s="321">
        <v>75324.5</v>
      </c>
      <c r="S432" s="321">
        <v>60882</v>
      </c>
      <c r="T432" s="321">
        <v>49675</v>
      </c>
      <c r="U432" s="322">
        <v>15113.92</v>
      </c>
      <c r="V432" s="323">
        <v>424946.11999999994</v>
      </c>
      <c r="W432" s="303"/>
      <c r="X432" s="324">
        <v>15113.92</v>
      </c>
      <c r="Y432" s="325">
        <v>424946.11999999994</v>
      </c>
      <c r="AA432" s="388"/>
    </row>
    <row r="433" spans="5:27" hidden="1" outlineLevel="1" x14ac:dyDescent="0.3">
      <c r="E433" s="250" t="s">
        <v>1369</v>
      </c>
      <c r="F433" s="317">
        <v>4302015</v>
      </c>
      <c r="G433" s="318"/>
      <c r="H433" s="319">
        <v>5101530127</v>
      </c>
      <c r="I433" s="320"/>
      <c r="J433" s="337">
        <v>4632649.8100000005</v>
      </c>
      <c r="K433" s="321">
        <v>5515718.1880000001</v>
      </c>
      <c r="L433" s="321">
        <v>4887047.9879999999</v>
      </c>
      <c r="M433" s="321">
        <v>5629388.4419999998</v>
      </c>
      <c r="N433" s="321">
        <v>5224476.2809999995</v>
      </c>
      <c r="O433" s="321">
        <v>4975173.9610000001</v>
      </c>
      <c r="P433" s="321">
        <v>5550227.7230000002</v>
      </c>
      <c r="Q433" s="321">
        <v>4561808.7829999998</v>
      </c>
      <c r="R433" s="321">
        <v>4019889.6219999995</v>
      </c>
      <c r="S433" s="321">
        <v>5596142.6349999998</v>
      </c>
      <c r="T433" s="321">
        <v>4880969.5290000001</v>
      </c>
      <c r="U433" s="322">
        <v>5219800.4550000001</v>
      </c>
      <c r="V433" s="323">
        <v>60693293.416999996</v>
      </c>
      <c r="W433" s="303"/>
      <c r="X433" s="324">
        <v>5219800.4550000001</v>
      </c>
      <c r="Y433" s="325">
        <v>60693293.416999996</v>
      </c>
      <c r="AA433" s="388"/>
    </row>
    <row r="434" spans="5:27" hidden="1" outlineLevel="1" x14ac:dyDescent="0.3">
      <c r="E434" s="250" t="s">
        <v>1370</v>
      </c>
      <c r="F434" s="317">
        <v>4302016</v>
      </c>
      <c r="G434" s="318"/>
      <c r="H434" s="319">
        <v>5101530129</v>
      </c>
      <c r="I434" s="320"/>
      <c r="J434" s="337">
        <v>1133.1859999999999</v>
      </c>
      <c r="K434" s="321">
        <v>800.25900000000001</v>
      </c>
      <c r="L434" s="321">
        <v>861.7</v>
      </c>
      <c r="M434" s="321">
        <v>803.327</v>
      </c>
      <c r="N434" s="321">
        <v>879.24</v>
      </c>
      <c r="O434" s="321">
        <v>898.45899999999995</v>
      </c>
      <c r="P434" s="321">
        <v>963.95</v>
      </c>
      <c r="Q434" s="321">
        <v>671.26299999999992</v>
      </c>
      <c r="R434" s="321">
        <v>769.18100000000004</v>
      </c>
      <c r="S434" s="321">
        <v>627.60900000000004</v>
      </c>
      <c r="T434" s="321">
        <v>761.60399999999993</v>
      </c>
      <c r="U434" s="322">
        <v>942.93100000000004</v>
      </c>
      <c r="V434" s="323">
        <v>10112.708999999999</v>
      </c>
      <c r="W434" s="303"/>
      <c r="X434" s="324">
        <v>942.93100000000004</v>
      </c>
      <c r="Y434" s="325">
        <v>10112.708999999999</v>
      </c>
      <c r="AA434" s="388"/>
    </row>
    <row r="435" spans="5:27" hidden="1" outlineLevel="1" x14ac:dyDescent="0.3">
      <c r="E435" s="250" t="s">
        <v>1371</v>
      </c>
      <c r="F435" s="317">
        <v>4302017</v>
      </c>
      <c r="G435" s="318"/>
      <c r="H435" s="319">
        <v>5101530131</v>
      </c>
      <c r="I435" s="320"/>
      <c r="J435" s="337">
        <v>53860.82</v>
      </c>
      <c r="K435" s="321">
        <v>34992.78</v>
      </c>
      <c r="L435" s="321">
        <v>31216.47</v>
      </c>
      <c r="M435" s="321">
        <v>86158.500999999989</v>
      </c>
      <c r="N435" s="321">
        <v>38878.600000000006</v>
      </c>
      <c r="O435" s="321">
        <v>52156.890000000007</v>
      </c>
      <c r="P435" s="321">
        <v>61811.201999999997</v>
      </c>
      <c r="Q435" s="321">
        <v>25425.57</v>
      </c>
      <c r="R435" s="321">
        <v>45167.89</v>
      </c>
      <c r="S435" s="321">
        <v>73326.469999999987</v>
      </c>
      <c r="T435" s="321">
        <v>23920.184000000001</v>
      </c>
      <c r="U435" s="322">
        <v>82394.90400000001</v>
      </c>
      <c r="V435" s="323">
        <v>609310.28099999996</v>
      </c>
      <c r="W435" s="303"/>
      <c r="X435" s="324">
        <v>82394.90400000001</v>
      </c>
      <c r="Y435" s="325">
        <v>609310.28099999996</v>
      </c>
      <c r="AA435" s="388"/>
    </row>
    <row r="436" spans="5:27" hidden="1" outlineLevel="1" x14ac:dyDescent="0.3">
      <c r="E436" s="250" t="s">
        <v>1372</v>
      </c>
      <c r="F436" s="317">
        <v>4302018</v>
      </c>
      <c r="G436" s="318"/>
      <c r="H436" s="319">
        <v>5101530199</v>
      </c>
      <c r="I436" s="320"/>
      <c r="J436" s="337">
        <v>5721.2</v>
      </c>
      <c r="K436" s="321">
        <v>5468.5</v>
      </c>
      <c r="L436" s="321">
        <v>5442.6</v>
      </c>
      <c r="M436" s="321">
        <v>5644.9</v>
      </c>
      <c r="N436" s="321">
        <v>5629.1</v>
      </c>
      <c r="O436" s="321">
        <v>5606</v>
      </c>
      <c r="P436" s="321">
        <v>5467.5999999999995</v>
      </c>
      <c r="Q436" s="321">
        <v>5620.6</v>
      </c>
      <c r="R436" s="321">
        <v>5245.8</v>
      </c>
      <c r="S436" s="321">
        <v>5053.3</v>
      </c>
      <c r="T436" s="321">
        <v>5064.6000000000004</v>
      </c>
      <c r="U436" s="322">
        <v>4994.6000000000004</v>
      </c>
      <c r="V436" s="323">
        <v>64958.8</v>
      </c>
      <c r="W436" s="303"/>
      <c r="X436" s="324">
        <v>4994.6000000000004</v>
      </c>
      <c r="Y436" s="325">
        <v>64958.8</v>
      </c>
      <c r="AA436" s="388"/>
    </row>
    <row r="437" spans="5:27" hidden="1" outlineLevel="1" x14ac:dyDescent="0.3">
      <c r="E437" s="250" t="s">
        <v>1373</v>
      </c>
      <c r="F437" s="317">
        <v>4302020</v>
      </c>
      <c r="G437" s="318"/>
      <c r="H437" s="319">
        <v>5101530133</v>
      </c>
      <c r="I437" s="320"/>
      <c r="J437" s="337">
        <v>13935.129000000001</v>
      </c>
      <c r="K437" s="321">
        <v>10407.619000000001</v>
      </c>
      <c r="L437" s="321">
        <v>13360.607</v>
      </c>
      <c r="M437" s="321">
        <v>11234.081</v>
      </c>
      <c r="N437" s="321">
        <v>13334.743</v>
      </c>
      <c r="O437" s="321">
        <v>13075.509</v>
      </c>
      <c r="P437" s="321">
        <v>14046.481</v>
      </c>
      <c r="Q437" s="321">
        <v>0.27400000000000002</v>
      </c>
      <c r="R437" s="321">
        <v>0</v>
      </c>
      <c r="S437" s="321">
        <v>0</v>
      </c>
      <c r="T437" s="321">
        <v>0</v>
      </c>
      <c r="U437" s="322">
        <v>0</v>
      </c>
      <c r="V437" s="323">
        <v>89394.442999999999</v>
      </c>
      <c r="W437" s="303"/>
      <c r="X437" s="324">
        <v>0</v>
      </c>
      <c r="Y437" s="325">
        <v>89394.442999999999</v>
      </c>
      <c r="AA437" s="388"/>
    </row>
    <row r="438" spans="5:27" hidden="1" outlineLevel="1" x14ac:dyDescent="0.3">
      <c r="E438" s="250" t="s">
        <v>1374</v>
      </c>
      <c r="F438" s="317">
        <v>4302022</v>
      </c>
      <c r="G438" s="318"/>
      <c r="H438" s="319"/>
      <c r="I438" s="320"/>
      <c r="J438" s="337">
        <v>41151178.645000003</v>
      </c>
      <c r="K438" s="321">
        <v>36234764.626000002</v>
      </c>
      <c r="L438" s="321">
        <v>40977508.93</v>
      </c>
      <c r="M438" s="321">
        <v>42218453.119999997</v>
      </c>
      <c r="N438" s="321">
        <v>43613178.748000003</v>
      </c>
      <c r="O438" s="321">
        <v>42778121.32</v>
      </c>
      <c r="P438" s="321">
        <v>47388384.281000003</v>
      </c>
      <c r="Q438" s="321">
        <v>47766841.989</v>
      </c>
      <c r="R438" s="321">
        <v>48420076.263999999</v>
      </c>
      <c r="S438" s="321">
        <v>47042330.739</v>
      </c>
      <c r="T438" s="321">
        <v>42736810.447999999</v>
      </c>
      <c r="U438" s="322">
        <v>43112929.144000001</v>
      </c>
      <c r="V438" s="323">
        <v>523440578.25400007</v>
      </c>
      <c r="W438" s="303"/>
      <c r="X438" s="324">
        <v>43112929.144000001</v>
      </c>
      <c r="Y438" s="325">
        <v>523440578.25400007</v>
      </c>
      <c r="AA438" s="388"/>
    </row>
    <row r="439" spans="5:27" hidden="1" outlineLevel="1" x14ac:dyDescent="0.3">
      <c r="E439" s="250" t="s">
        <v>1375</v>
      </c>
      <c r="F439" s="317">
        <v>4302080</v>
      </c>
      <c r="G439" s="318"/>
      <c r="H439" s="319"/>
      <c r="I439" s="320"/>
      <c r="J439" s="337">
        <v>0</v>
      </c>
      <c r="K439" s="321">
        <v>0</v>
      </c>
      <c r="L439" s="321">
        <v>0</v>
      </c>
      <c r="M439" s="321">
        <v>0</v>
      </c>
      <c r="N439" s="321">
        <v>0</v>
      </c>
      <c r="O439" s="321">
        <v>0</v>
      </c>
      <c r="P439" s="321">
        <v>0</v>
      </c>
      <c r="Q439" s="321">
        <v>0</v>
      </c>
      <c r="R439" s="321">
        <v>0</v>
      </c>
      <c r="S439" s="321">
        <v>0</v>
      </c>
      <c r="T439" s="321">
        <v>0</v>
      </c>
      <c r="U439" s="322">
        <v>0</v>
      </c>
      <c r="V439" s="323">
        <v>0</v>
      </c>
      <c r="W439" s="303"/>
      <c r="X439" s="324">
        <v>0</v>
      </c>
      <c r="Y439" s="325">
        <v>0</v>
      </c>
      <c r="AA439" s="388"/>
    </row>
    <row r="440" spans="5:27" hidden="1" outlineLevel="1" x14ac:dyDescent="0.3">
      <c r="E440" s="250" t="s">
        <v>1376</v>
      </c>
      <c r="F440" s="317">
        <v>4302081</v>
      </c>
      <c r="G440" s="318"/>
      <c r="H440" s="319"/>
      <c r="I440" s="320"/>
      <c r="J440" s="337">
        <v>5556833.3329999996</v>
      </c>
      <c r="K440" s="321">
        <v>5556833.3329999996</v>
      </c>
      <c r="L440" s="321">
        <v>5556833.3329999996</v>
      </c>
      <c r="M440" s="321">
        <v>5556833.3329999996</v>
      </c>
      <c r="N440" s="321">
        <v>5556833.3329999996</v>
      </c>
      <c r="O440" s="321">
        <v>5556833.3329999996</v>
      </c>
      <c r="P440" s="321">
        <v>5556833.3329999996</v>
      </c>
      <c r="Q440" s="321">
        <v>5456833.3329999996</v>
      </c>
      <c r="R440" s="321">
        <v>5456833.3329999996</v>
      </c>
      <c r="S440" s="321">
        <v>5456833.3339999998</v>
      </c>
      <c r="T440" s="321">
        <v>5456833.3339999998</v>
      </c>
      <c r="U440" s="322">
        <v>5038968.8770000003</v>
      </c>
      <c r="V440" s="323">
        <v>65764135.541999996</v>
      </c>
      <c r="W440" s="303"/>
      <c r="X440" s="324">
        <v>5038968.8770000003</v>
      </c>
      <c r="Y440" s="325">
        <v>65764135.541999996</v>
      </c>
      <c r="AA440" s="388"/>
    </row>
    <row r="441" spans="5:27" hidden="1" outlineLevel="1" x14ac:dyDescent="0.3">
      <c r="E441" s="250" t="s">
        <v>1377</v>
      </c>
      <c r="F441" s="317">
        <v>4302082</v>
      </c>
      <c r="G441" s="318"/>
      <c r="H441" s="319"/>
      <c r="I441" s="320"/>
      <c r="J441" s="337">
        <v>364583.326</v>
      </c>
      <c r="K441" s="321">
        <v>362070.125</v>
      </c>
      <c r="L441" s="321">
        <v>374965.75</v>
      </c>
      <c r="M441" s="321">
        <v>392716.18599999999</v>
      </c>
      <c r="N441" s="321">
        <v>371104.07900000003</v>
      </c>
      <c r="O441" s="321">
        <v>355615.38299999997</v>
      </c>
      <c r="P441" s="321">
        <v>353458.49699999997</v>
      </c>
      <c r="Q441" s="321">
        <v>545891.07400000002</v>
      </c>
      <c r="R441" s="321">
        <v>595693.62</v>
      </c>
      <c r="S441" s="321">
        <v>334895.30900000001</v>
      </c>
      <c r="T441" s="321">
        <v>632512.71</v>
      </c>
      <c r="U441" s="322">
        <v>454746.92699999997</v>
      </c>
      <c r="V441" s="323">
        <v>5138252.9860000005</v>
      </c>
      <c r="W441" s="303"/>
      <c r="X441" s="324">
        <v>454746.92699999997</v>
      </c>
      <c r="Y441" s="325">
        <v>5138252.9860000005</v>
      </c>
      <c r="AA441" s="388"/>
    </row>
    <row r="442" spans="5:27" hidden="1" outlineLevel="1" x14ac:dyDescent="0.3">
      <c r="E442" s="250" t="s">
        <v>1378</v>
      </c>
      <c r="F442" s="317">
        <v>4302083</v>
      </c>
      <c r="G442" s="318"/>
      <c r="H442" s="319"/>
      <c r="I442" s="320"/>
      <c r="J442" s="337">
        <v>2106889.9610000001</v>
      </c>
      <c r="K442" s="321">
        <v>1998117.9580000001</v>
      </c>
      <c r="L442" s="321">
        <v>2080905.9040000001</v>
      </c>
      <c r="M442" s="321">
        <v>1965544.308</v>
      </c>
      <c r="N442" s="321">
        <v>2110594.6150000002</v>
      </c>
      <c r="O442" s="321">
        <v>2098783.5430000001</v>
      </c>
      <c r="P442" s="321">
        <v>2027008.7039999999</v>
      </c>
      <c r="Q442" s="321">
        <v>2079804.263</v>
      </c>
      <c r="R442" s="321">
        <v>2024370.0379999999</v>
      </c>
      <c r="S442" s="321">
        <v>2211495.673</v>
      </c>
      <c r="T442" s="321">
        <v>2152118.716</v>
      </c>
      <c r="U442" s="322">
        <v>2260465.4640000002</v>
      </c>
      <c r="V442" s="323">
        <v>25116099.147</v>
      </c>
      <c r="W442" s="303"/>
      <c r="X442" s="324">
        <v>2260465.4640000002</v>
      </c>
      <c r="Y442" s="325">
        <v>25116099.147</v>
      </c>
      <c r="AA442" s="388"/>
    </row>
    <row r="443" spans="5:27" hidden="1" outlineLevel="1" x14ac:dyDescent="0.3">
      <c r="E443" s="250" t="s">
        <v>1379</v>
      </c>
      <c r="F443" s="317">
        <v>4302084</v>
      </c>
      <c r="G443" s="318"/>
      <c r="H443" s="319"/>
      <c r="I443" s="320"/>
      <c r="J443" s="337">
        <v>0</v>
      </c>
      <c r="K443" s="321">
        <v>0</v>
      </c>
      <c r="L443" s="321">
        <v>0</v>
      </c>
      <c r="M443" s="321">
        <v>0</v>
      </c>
      <c r="N443" s="321">
        <v>0</v>
      </c>
      <c r="O443" s="321">
        <v>0</v>
      </c>
      <c r="P443" s="321">
        <v>0</v>
      </c>
      <c r="Q443" s="321">
        <v>0</v>
      </c>
      <c r="R443" s="321">
        <v>0</v>
      </c>
      <c r="S443" s="321">
        <v>0</v>
      </c>
      <c r="T443" s="321">
        <v>0</v>
      </c>
      <c r="U443" s="322">
        <v>0</v>
      </c>
      <c r="V443" s="323">
        <v>0</v>
      </c>
      <c r="W443" s="303"/>
      <c r="X443" s="324">
        <v>0</v>
      </c>
      <c r="Y443" s="325">
        <v>0</v>
      </c>
      <c r="AA443" s="388"/>
    </row>
    <row r="444" spans="5:27" hidden="1" outlineLevel="1" x14ac:dyDescent="0.3">
      <c r="E444" s="250" t="s">
        <v>1380</v>
      </c>
      <c r="F444" s="317">
        <v>4302085</v>
      </c>
      <c r="G444" s="318"/>
      <c r="H444" s="319"/>
      <c r="I444" s="320"/>
      <c r="J444" s="337">
        <v>331096.766</v>
      </c>
      <c r="K444" s="321">
        <v>391652.03200000001</v>
      </c>
      <c r="L444" s="321">
        <v>411421.88299999997</v>
      </c>
      <c r="M444" s="321">
        <v>492523.34700000001</v>
      </c>
      <c r="N444" s="321">
        <v>498709.69699999999</v>
      </c>
      <c r="O444" s="321">
        <v>506066.08100000001</v>
      </c>
      <c r="P444" s="321">
        <v>520009.929</v>
      </c>
      <c r="Q444" s="321">
        <v>360296.52600000001</v>
      </c>
      <c r="R444" s="321">
        <v>478549.908</v>
      </c>
      <c r="S444" s="321">
        <v>510836.67599999998</v>
      </c>
      <c r="T444" s="321">
        <v>513342.98700000002</v>
      </c>
      <c r="U444" s="322">
        <v>526124.49600000004</v>
      </c>
      <c r="V444" s="323">
        <v>5540630.3279999997</v>
      </c>
      <c r="W444" s="303"/>
      <c r="X444" s="324">
        <v>526124.49600000004</v>
      </c>
      <c r="Y444" s="325">
        <v>5540630.3279999997</v>
      </c>
      <c r="AA444" s="388"/>
    </row>
    <row r="445" spans="5:27" hidden="1" outlineLevel="1" x14ac:dyDescent="0.3">
      <c r="E445" s="250" t="s">
        <v>1381</v>
      </c>
      <c r="F445" s="317">
        <v>4302086</v>
      </c>
      <c r="G445" s="318"/>
      <c r="H445" s="319"/>
      <c r="I445" s="320"/>
      <c r="J445" s="337">
        <v>54.75</v>
      </c>
      <c r="K445" s="321">
        <v>190063.065</v>
      </c>
      <c r="L445" s="321">
        <v>207553.57499999998</v>
      </c>
      <c r="M445" s="321">
        <v>191778.14800000002</v>
      </c>
      <c r="N445" s="321">
        <v>167110.772</v>
      </c>
      <c r="O445" s="321">
        <v>163312.027</v>
      </c>
      <c r="P445" s="321">
        <v>149829.32100000003</v>
      </c>
      <c r="Q445" s="321">
        <v>177556.42200000002</v>
      </c>
      <c r="R445" s="321">
        <v>147014.921</v>
      </c>
      <c r="S445" s="321">
        <v>205160.15299999999</v>
      </c>
      <c r="T445" s="321">
        <v>172070.75399999999</v>
      </c>
      <c r="U445" s="322">
        <v>145107.02900000001</v>
      </c>
      <c r="V445" s="323">
        <v>1916610.9370000002</v>
      </c>
      <c r="W445" s="303"/>
      <c r="X445" s="324">
        <v>145107.02900000001</v>
      </c>
      <c r="Y445" s="325">
        <v>1916610.9370000002</v>
      </c>
      <c r="AA445" s="388"/>
    </row>
    <row r="446" spans="5:27" hidden="1" outlineLevel="1" x14ac:dyDescent="0.3">
      <c r="E446" s="250" t="s">
        <v>1382</v>
      </c>
      <c r="F446" s="317">
        <v>4302087</v>
      </c>
      <c r="G446" s="318"/>
      <c r="H446" s="319"/>
      <c r="I446" s="320"/>
      <c r="J446" s="337">
        <v>1032787.3</v>
      </c>
      <c r="K446" s="321">
        <v>895735.48</v>
      </c>
      <c r="L446" s="321">
        <v>737541.13500000001</v>
      </c>
      <c r="M446" s="321">
        <v>733521.80799999996</v>
      </c>
      <c r="N446" s="321">
        <v>630753.18400000001</v>
      </c>
      <c r="O446" s="321">
        <v>687654.67700000003</v>
      </c>
      <c r="P446" s="321">
        <v>582110.71</v>
      </c>
      <c r="Q446" s="321">
        <v>475418.88400000002</v>
      </c>
      <c r="R446" s="321">
        <v>513797.08199999999</v>
      </c>
      <c r="S446" s="321">
        <v>531576.83499999996</v>
      </c>
      <c r="T446" s="321">
        <v>608324.86499999999</v>
      </c>
      <c r="U446" s="322">
        <v>578776.02099999995</v>
      </c>
      <c r="V446" s="323">
        <v>8007997.9809999997</v>
      </c>
      <c r="W446" s="303"/>
      <c r="X446" s="324">
        <v>578776.02099999995</v>
      </c>
      <c r="Y446" s="325">
        <v>8007997.9809999997</v>
      </c>
      <c r="AA446" s="388"/>
    </row>
    <row r="447" spans="5:27" hidden="1" outlineLevel="1" x14ac:dyDescent="0.3">
      <c r="E447" s="250" t="s">
        <v>1383</v>
      </c>
      <c r="F447" s="317">
        <v>4302088</v>
      </c>
      <c r="G447" s="318"/>
      <c r="H447" s="319"/>
      <c r="I447" s="320"/>
      <c r="J447" s="337">
        <v>385411.96799999999</v>
      </c>
      <c r="K447" s="321">
        <v>414528.79200000002</v>
      </c>
      <c r="L447" s="321">
        <v>503937.174</v>
      </c>
      <c r="M447" s="321">
        <v>577109.88300000003</v>
      </c>
      <c r="N447" s="321">
        <v>557270.49300000002</v>
      </c>
      <c r="O447" s="321">
        <v>519921.52299999999</v>
      </c>
      <c r="P447" s="321">
        <v>444068.75699999998</v>
      </c>
      <c r="Q447" s="321">
        <v>418993.54200000002</v>
      </c>
      <c r="R447" s="321">
        <v>406695.42200000002</v>
      </c>
      <c r="S447" s="321">
        <v>511226.58299999998</v>
      </c>
      <c r="T447" s="321">
        <v>440858.40299999999</v>
      </c>
      <c r="U447" s="322">
        <v>517103.17599999998</v>
      </c>
      <c r="V447" s="323">
        <v>5697125.7159999991</v>
      </c>
      <c r="W447" s="303"/>
      <c r="X447" s="324">
        <v>517103.17599999998</v>
      </c>
      <c r="Y447" s="325">
        <v>5697125.7159999991</v>
      </c>
      <c r="AA447" s="388"/>
    </row>
    <row r="448" spans="5:27" hidden="1" outlineLevel="1" x14ac:dyDescent="0.3">
      <c r="E448" s="250" t="s">
        <v>1384</v>
      </c>
      <c r="F448" s="317">
        <v>4302089</v>
      </c>
      <c r="G448" s="318"/>
      <c r="H448" s="319"/>
      <c r="I448" s="320"/>
      <c r="J448" s="337">
        <v>0</v>
      </c>
      <c r="K448" s="321">
        <v>0</v>
      </c>
      <c r="L448" s="321">
        <v>0</v>
      </c>
      <c r="M448" s="321">
        <v>0</v>
      </c>
      <c r="N448" s="321">
        <v>0</v>
      </c>
      <c r="O448" s="321">
        <v>0</v>
      </c>
      <c r="P448" s="321">
        <v>0</v>
      </c>
      <c r="Q448" s="321">
        <v>0</v>
      </c>
      <c r="R448" s="321">
        <v>0</v>
      </c>
      <c r="S448" s="321">
        <v>0</v>
      </c>
      <c r="T448" s="321">
        <v>0</v>
      </c>
      <c r="U448" s="322">
        <v>0</v>
      </c>
      <c r="V448" s="323">
        <v>0</v>
      </c>
      <c r="W448" s="303"/>
      <c r="X448" s="324">
        <v>0</v>
      </c>
      <c r="Y448" s="325">
        <v>0</v>
      </c>
      <c r="AA448" s="388"/>
    </row>
    <row r="449" spans="1:27" hidden="1" outlineLevel="1" x14ac:dyDescent="0.3">
      <c r="E449" s="250" t="s">
        <v>1385</v>
      </c>
      <c r="F449" s="317">
        <v>4302090</v>
      </c>
      <c r="G449" s="318"/>
      <c r="H449" s="319"/>
      <c r="I449" s="320"/>
      <c r="J449" s="337">
        <v>64676.017</v>
      </c>
      <c r="K449" s="321">
        <v>64533.053999999996</v>
      </c>
      <c r="L449" s="321">
        <v>64461.612000000001</v>
      </c>
      <c r="M449" s="321">
        <v>64533.053999999996</v>
      </c>
      <c r="N449" s="321">
        <v>64533.053999999996</v>
      </c>
      <c r="O449" s="321">
        <v>64533.053999999996</v>
      </c>
      <c r="P449" s="321">
        <v>64533.053999999996</v>
      </c>
      <c r="Q449" s="321">
        <v>64533.053999999996</v>
      </c>
      <c r="R449" s="321">
        <v>64533.053999999996</v>
      </c>
      <c r="S449" s="321">
        <v>64403.053999999996</v>
      </c>
      <c r="T449" s="321">
        <v>64403.053999999996</v>
      </c>
      <c r="U449" s="322">
        <v>64403.053999999996</v>
      </c>
      <c r="V449" s="323">
        <v>774078.16899999999</v>
      </c>
      <c r="W449" s="303"/>
      <c r="X449" s="324">
        <v>64403.053999999996</v>
      </c>
      <c r="Y449" s="325">
        <v>774078.16899999999</v>
      </c>
      <c r="AA449" s="388"/>
    </row>
    <row r="450" spans="1:27" hidden="1" outlineLevel="1" x14ac:dyDescent="0.3">
      <c r="E450" s="250" t="s">
        <v>1386</v>
      </c>
      <c r="F450" s="317">
        <v>4302091</v>
      </c>
      <c r="G450" s="318"/>
      <c r="H450" s="319"/>
      <c r="I450" s="320"/>
      <c r="J450" s="337">
        <v>28.466000000000001</v>
      </c>
      <c r="K450" s="321">
        <v>0</v>
      </c>
      <c r="L450" s="321">
        <v>0</v>
      </c>
      <c r="M450" s="321">
        <v>0</v>
      </c>
      <c r="N450" s="321">
        <v>0</v>
      </c>
      <c r="O450" s="321">
        <v>0</v>
      </c>
      <c r="P450" s="321">
        <v>0</v>
      </c>
      <c r="Q450" s="321">
        <v>0</v>
      </c>
      <c r="R450" s="321">
        <v>0</v>
      </c>
      <c r="S450" s="321">
        <v>0</v>
      </c>
      <c r="T450" s="321">
        <v>0</v>
      </c>
      <c r="U450" s="322">
        <v>0</v>
      </c>
      <c r="V450" s="323">
        <v>28.466000000000001</v>
      </c>
      <c r="W450" s="303"/>
      <c r="X450" s="324">
        <v>0</v>
      </c>
      <c r="Y450" s="325">
        <v>28.466000000000001</v>
      </c>
      <c r="AA450" s="388"/>
    </row>
    <row r="451" spans="1:27" hidden="1" outlineLevel="1" x14ac:dyDescent="0.3">
      <c r="E451" s="250" t="s">
        <v>1387</v>
      </c>
      <c r="F451" s="317">
        <v>4302092</v>
      </c>
      <c r="G451" s="318"/>
      <c r="H451" s="319"/>
      <c r="I451" s="320"/>
      <c r="J451" s="337">
        <v>1350</v>
      </c>
      <c r="K451" s="321">
        <v>1800</v>
      </c>
      <c r="L451" s="321">
        <v>810</v>
      </c>
      <c r="M451" s="321">
        <v>450</v>
      </c>
      <c r="N451" s="321">
        <v>810</v>
      </c>
      <c r="O451" s="321">
        <v>810</v>
      </c>
      <c r="P451" s="321">
        <v>1120</v>
      </c>
      <c r="Q451" s="321">
        <v>900</v>
      </c>
      <c r="R451" s="321">
        <v>720</v>
      </c>
      <c r="S451" s="321">
        <v>450</v>
      </c>
      <c r="T451" s="321">
        <v>360</v>
      </c>
      <c r="U451" s="322">
        <v>1620</v>
      </c>
      <c r="V451" s="323">
        <v>11200</v>
      </c>
      <c r="W451" s="303"/>
      <c r="X451" s="324">
        <v>1620</v>
      </c>
      <c r="Y451" s="325">
        <v>11200</v>
      </c>
      <c r="AA451" s="388"/>
    </row>
    <row r="452" spans="1:27" hidden="1" outlineLevel="1" x14ac:dyDescent="0.3">
      <c r="E452" s="250" t="s">
        <v>1388</v>
      </c>
      <c r="F452" s="317">
        <v>4302094</v>
      </c>
      <c r="G452" s="318"/>
      <c r="H452" s="319"/>
      <c r="I452" s="320"/>
      <c r="J452" s="337">
        <v>8288.5519999999997</v>
      </c>
      <c r="K452" s="321">
        <v>13762.231</v>
      </c>
      <c r="L452" s="321">
        <v>20417.435000000001</v>
      </c>
      <c r="M452" s="321">
        <v>8988.1849999999995</v>
      </c>
      <c r="N452" s="321">
        <v>3995.0189999999998</v>
      </c>
      <c r="O452" s="321">
        <v>5927.33</v>
      </c>
      <c r="P452" s="321">
        <v>2019.7919999999999</v>
      </c>
      <c r="Q452" s="321">
        <v>1951.8969999999999</v>
      </c>
      <c r="R452" s="321">
        <v>1840.675</v>
      </c>
      <c r="S452" s="321">
        <v>2541.2809999999999</v>
      </c>
      <c r="T452" s="321">
        <v>2005.2349999999999</v>
      </c>
      <c r="U452" s="322">
        <v>2014.192</v>
      </c>
      <c r="V452" s="323">
        <v>73751.823999999993</v>
      </c>
      <c r="W452" s="303"/>
      <c r="X452" s="324">
        <v>2014.192</v>
      </c>
      <c r="Y452" s="325">
        <v>73751.823999999993</v>
      </c>
      <c r="AA452" s="388"/>
    </row>
    <row r="453" spans="1:27" hidden="1" outlineLevel="1" x14ac:dyDescent="0.3">
      <c r="E453" s="250" t="s">
        <v>1389</v>
      </c>
      <c r="F453" s="317">
        <v>4302095</v>
      </c>
      <c r="G453" s="318"/>
      <c r="H453" s="319"/>
      <c r="I453" s="320"/>
      <c r="J453" s="337">
        <v>26113666.666999999</v>
      </c>
      <c r="K453" s="321">
        <v>26113666.666999999</v>
      </c>
      <c r="L453" s="321">
        <v>26113666.666999999</v>
      </c>
      <c r="M453" s="321">
        <v>26113666.666999999</v>
      </c>
      <c r="N453" s="321">
        <v>26113666.666999999</v>
      </c>
      <c r="O453" s="321">
        <v>26113666.666999999</v>
      </c>
      <c r="P453" s="321">
        <v>26113666.666999999</v>
      </c>
      <c r="Q453" s="321">
        <v>26213666.666999999</v>
      </c>
      <c r="R453" s="321">
        <v>26213666.666000001</v>
      </c>
      <c r="S453" s="321">
        <v>26213666.666000001</v>
      </c>
      <c r="T453" s="321">
        <v>26213666.666000001</v>
      </c>
      <c r="U453" s="322">
        <v>26718690.688999999</v>
      </c>
      <c r="V453" s="323">
        <v>314369024.023</v>
      </c>
      <c r="W453" s="303"/>
      <c r="X453" s="324">
        <v>26718690.688999999</v>
      </c>
      <c r="Y453" s="325">
        <v>314369024.023</v>
      </c>
      <c r="AA453" s="388"/>
    </row>
    <row r="454" spans="1:27" hidden="1" outlineLevel="1" x14ac:dyDescent="0.3">
      <c r="E454" s="250" t="s">
        <v>1390</v>
      </c>
      <c r="F454" s="317">
        <v>4302096</v>
      </c>
      <c r="G454" s="318"/>
      <c r="H454" s="319"/>
      <c r="I454" s="320"/>
      <c r="J454" s="337">
        <v>5339.0690000000004</v>
      </c>
      <c r="K454" s="321">
        <v>4600.9780000000001</v>
      </c>
      <c r="L454" s="321">
        <v>5049.384</v>
      </c>
      <c r="M454" s="321">
        <v>5596.6049999999996</v>
      </c>
      <c r="N454" s="321">
        <v>5929.0649999999996</v>
      </c>
      <c r="O454" s="321">
        <v>6240.6750000000002</v>
      </c>
      <c r="P454" s="321">
        <v>6087.21</v>
      </c>
      <c r="Q454" s="321">
        <v>5125.3500000000004</v>
      </c>
      <c r="R454" s="321">
        <v>4996.47</v>
      </c>
      <c r="S454" s="321">
        <v>4844.9549999999999</v>
      </c>
      <c r="T454" s="321">
        <v>5481.4049999999997</v>
      </c>
      <c r="U454" s="322">
        <v>4950.4650000000001</v>
      </c>
      <c r="V454" s="323">
        <v>64241.630999999994</v>
      </c>
      <c r="W454" s="303"/>
      <c r="X454" s="324">
        <v>4950.4650000000001</v>
      </c>
      <c r="Y454" s="325">
        <v>64241.630999999994</v>
      </c>
      <c r="AA454" s="388"/>
    </row>
    <row r="455" spans="1:27" hidden="1" outlineLevel="1" x14ac:dyDescent="0.3">
      <c r="E455" s="250" t="s">
        <v>1391</v>
      </c>
      <c r="F455" s="317">
        <v>4302099</v>
      </c>
      <c r="G455" s="318"/>
      <c r="H455" s="319">
        <v>5101530101</v>
      </c>
      <c r="I455" s="320"/>
      <c r="J455" s="337">
        <v>2039101.7650000004</v>
      </c>
      <c r="K455" s="321">
        <v>1930974.844</v>
      </c>
      <c r="L455" s="321">
        <v>1968516.7249999999</v>
      </c>
      <c r="M455" s="321">
        <v>1988247.8179999997</v>
      </c>
      <c r="N455" s="321">
        <v>2217778.8149999999</v>
      </c>
      <c r="O455" s="321">
        <v>1820893.46</v>
      </c>
      <c r="P455" s="321">
        <v>2215331.0979999998</v>
      </c>
      <c r="Q455" s="321">
        <v>2608520.0180000011</v>
      </c>
      <c r="R455" s="321">
        <v>1809525.3919999998</v>
      </c>
      <c r="S455" s="321">
        <v>1766480.5170000005</v>
      </c>
      <c r="T455" s="321">
        <v>1726189.6149999998</v>
      </c>
      <c r="U455" s="322">
        <v>2494374.2570000002</v>
      </c>
      <c r="V455" s="323">
        <v>24585934.324000001</v>
      </c>
      <c r="W455" s="303"/>
      <c r="X455" s="324">
        <v>2494374.2570000002</v>
      </c>
      <c r="Y455" s="325">
        <v>24585934.324000001</v>
      </c>
      <c r="AA455" s="388"/>
    </row>
    <row r="456" spans="1:27" s="361" customFormat="1" hidden="1" outlineLevel="2" x14ac:dyDescent="0.3">
      <c r="E456" s="326" t="s">
        <v>1392</v>
      </c>
      <c r="F456" s="351"/>
      <c r="G456" s="352"/>
      <c r="H456" s="353">
        <v>5101530134</v>
      </c>
      <c r="I456" s="354"/>
      <c r="J456" s="362">
        <v>0</v>
      </c>
      <c r="K456" s="355">
        <v>0</v>
      </c>
      <c r="L456" s="355">
        <v>0</v>
      </c>
      <c r="M456" s="355">
        <v>0</v>
      </c>
      <c r="N456" s="355">
        <v>0</v>
      </c>
      <c r="O456" s="355">
        <v>0</v>
      </c>
      <c r="P456" s="355">
        <v>0</v>
      </c>
      <c r="Q456" s="355">
        <v>0</v>
      </c>
      <c r="R456" s="355">
        <v>0</v>
      </c>
      <c r="S456" s="355">
        <v>0</v>
      </c>
      <c r="T456" s="355">
        <v>0</v>
      </c>
      <c r="U456" s="356">
        <v>0</v>
      </c>
      <c r="V456" s="357">
        <v>0</v>
      </c>
      <c r="W456" s="358"/>
      <c r="X456" s="359">
        <v>0</v>
      </c>
      <c r="Y456" s="360">
        <v>0</v>
      </c>
      <c r="AA456" s="388"/>
    </row>
    <row r="457" spans="1:27" s="361" customFormat="1" hidden="1" outlineLevel="2" x14ac:dyDescent="0.3">
      <c r="E457" s="326" t="s">
        <v>1393</v>
      </c>
      <c r="F457" s="351"/>
      <c r="G457" s="352"/>
      <c r="H457" s="353"/>
      <c r="I457" s="354"/>
      <c r="J457" s="362">
        <v>0</v>
      </c>
      <c r="K457" s="355">
        <v>0</v>
      </c>
      <c r="L457" s="355">
        <v>0</v>
      </c>
      <c r="M457" s="355">
        <v>0</v>
      </c>
      <c r="N457" s="355">
        <v>0</v>
      </c>
      <c r="O457" s="355">
        <v>0</v>
      </c>
      <c r="P457" s="355">
        <v>0</v>
      </c>
      <c r="Q457" s="355">
        <v>0</v>
      </c>
      <c r="R457" s="355">
        <v>0</v>
      </c>
      <c r="S457" s="355">
        <v>0</v>
      </c>
      <c r="T457" s="355">
        <v>0</v>
      </c>
      <c r="U457" s="356">
        <v>0</v>
      </c>
      <c r="V457" s="357">
        <v>0</v>
      </c>
      <c r="W457" s="358"/>
      <c r="X457" s="359">
        <v>0</v>
      </c>
      <c r="Y457" s="360">
        <v>0</v>
      </c>
      <c r="AA457" s="388"/>
    </row>
    <row r="458" spans="1:27" s="361" customFormat="1" hidden="1" outlineLevel="2" x14ac:dyDescent="0.3">
      <c r="E458" s="326" t="s">
        <v>1394</v>
      </c>
      <c r="F458" s="351"/>
      <c r="G458" s="352"/>
      <c r="H458" s="353"/>
      <c r="I458" s="354"/>
      <c r="J458" s="362">
        <v>0</v>
      </c>
      <c r="K458" s="355">
        <v>0</v>
      </c>
      <c r="L458" s="355">
        <v>0</v>
      </c>
      <c r="M458" s="355">
        <v>0</v>
      </c>
      <c r="N458" s="355">
        <v>0</v>
      </c>
      <c r="O458" s="355">
        <v>0</v>
      </c>
      <c r="P458" s="355">
        <v>0</v>
      </c>
      <c r="Q458" s="355">
        <v>0</v>
      </c>
      <c r="R458" s="355">
        <v>0</v>
      </c>
      <c r="S458" s="355">
        <v>0</v>
      </c>
      <c r="T458" s="355">
        <v>0</v>
      </c>
      <c r="U458" s="356">
        <v>0</v>
      </c>
      <c r="V458" s="357">
        <v>0</v>
      </c>
      <c r="W458" s="358"/>
      <c r="X458" s="359">
        <v>0</v>
      </c>
      <c r="Y458" s="360">
        <v>0</v>
      </c>
      <c r="AA458" s="388"/>
    </row>
    <row r="459" spans="1:27" hidden="1" collapsed="1" x14ac:dyDescent="0.3">
      <c r="A459" s="233"/>
      <c r="B459" s="234" t="s">
        <v>22</v>
      </c>
      <c r="D459" s="293" t="s">
        <v>1395</v>
      </c>
      <c r="E459" s="294"/>
      <c r="F459" s="295" t="s">
        <v>1396</v>
      </c>
      <c r="G459" s="296"/>
      <c r="H459" s="297"/>
      <c r="I459" s="298"/>
      <c r="J459" s="299">
        <v>5832529.9129999988</v>
      </c>
      <c r="K459" s="300">
        <v>5447520.8119999999</v>
      </c>
      <c r="L459" s="300">
        <v>5446138.3800000008</v>
      </c>
      <c r="M459" s="300">
        <v>5589527.1579999998</v>
      </c>
      <c r="N459" s="300">
        <v>5571207.79</v>
      </c>
      <c r="O459" s="300">
        <v>5442960.5880000005</v>
      </c>
      <c r="P459" s="300">
        <v>5328421.8910000017</v>
      </c>
      <c r="Q459" s="300">
        <v>5519020.8830000004</v>
      </c>
      <c r="R459" s="300">
        <v>5818048.9070000006</v>
      </c>
      <c r="S459" s="300">
        <v>5445554.6579999998</v>
      </c>
      <c r="T459" s="300">
        <v>5241926.2369999997</v>
      </c>
      <c r="U459" s="301">
        <v>5971838.9260000009</v>
      </c>
      <c r="V459" s="302">
        <v>66654696.143000007</v>
      </c>
      <c r="W459" s="303"/>
      <c r="X459" s="304">
        <v>5971838.9260000009</v>
      </c>
      <c r="Y459" s="305">
        <v>66654696.143000007</v>
      </c>
      <c r="AA459" s="388"/>
    </row>
    <row r="460" spans="1:27" hidden="1" outlineLevel="1" x14ac:dyDescent="0.3">
      <c r="E460" s="250" t="s">
        <v>1397</v>
      </c>
      <c r="F460" s="317">
        <v>4302301</v>
      </c>
      <c r="G460" s="318"/>
      <c r="H460" s="319">
        <v>5101250101</v>
      </c>
      <c r="I460" s="320"/>
      <c r="J460" s="337">
        <v>1584136.2830000003</v>
      </c>
      <c r="K460" s="321">
        <v>1387282.4290000002</v>
      </c>
      <c r="L460" s="321">
        <v>1371416.564</v>
      </c>
      <c r="M460" s="321">
        <v>1436621.29</v>
      </c>
      <c r="N460" s="321">
        <v>1133094.175</v>
      </c>
      <c r="O460" s="321">
        <v>1267326.5999999999</v>
      </c>
      <c r="P460" s="321">
        <v>1248286.926</v>
      </c>
      <c r="Q460" s="321">
        <v>1353983.46</v>
      </c>
      <c r="R460" s="321">
        <v>1072206.4950000003</v>
      </c>
      <c r="S460" s="321">
        <v>1140995.2189999998</v>
      </c>
      <c r="T460" s="321">
        <v>961819.63600000006</v>
      </c>
      <c r="U460" s="322">
        <v>1121316.649</v>
      </c>
      <c r="V460" s="323">
        <v>15078485.726000004</v>
      </c>
      <c r="W460" s="303"/>
      <c r="X460" s="324">
        <v>1121316.649</v>
      </c>
      <c r="Y460" s="325">
        <v>15078485.726000004</v>
      </c>
      <c r="AA460" s="388"/>
    </row>
    <row r="461" spans="1:27" hidden="1" outlineLevel="1" x14ac:dyDescent="0.3">
      <c r="E461" s="250" t="s">
        <v>1398</v>
      </c>
      <c r="F461" s="317">
        <v>4302302</v>
      </c>
      <c r="G461" s="318"/>
      <c r="H461" s="319">
        <v>5101250105</v>
      </c>
      <c r="I461" s="320"/>
      <c r="J461" s="337">
        <v>671993.31500000006</v>
      </c>
      <c r="K461" s="321">
        <v>550242.43300000008</v>
      </c>
      <c r="L461" s="321">
        <v>561976.902</v>
      </c>
      <c r="M461" s="321">
        <v>540960.55900000001</v>
      </c>
      <c r="N461" s="321">
        <v>532459.27500000002</v>
      </c>
      <c r="O461" s="321">
        <v>539853.03899999999</v>
      </c>
      <c r="P461" s="321">
        <v>539677.76500000001</v>
      </c>
      <c r="Q461" s="321">
        <v>540587.59400000004</v>
      </c>
      <c r="R461" s="321">
        <v>527536.78200000001</v>
      </c>
      <c r="S461" s="321">
        <v>421556.11000000004</v>
      </c>
      <c r="T461" s="321">
        <v>386631.29599999997</v>
      </c>
      <c r="U461" s="322">
        <v>341409.99099999998</v>
      </c>
      <c r="V461" s="323">
        <v>6154885.0610000007</v>
      </c>
      <c r="W461" s="303"/>
      <c r="X461" s="324">
        <v>341409.99099999998</v>
      </c>
      <c r="Y461" s="325">
        <v>6154885.0610000007</v>
      </c>
      <c r="AA461" s="388"/>
    </row>
    <row r="462" spans="1:27" hidden="1" outlineLevel="1" x14ac:dyDescent="0.3">
      <c r="E462" s="250" t="s">
        <v>1399</v>
      </c>
      <c r="F462" s="317">
        <v>4302303</v>
      </c>
      <c r="G462" s="318"/>
      <c r="H462" s="319">
        <v>5101250103</v>
      </c>
      <c r="I462" s="320"/>
      <c r="J462" s="337">
        <v>1888453.9900000002</v>
      </c>
      <c r="K462" s="321">
        <v>2337618.0010000002</v>
      </c>
      <c r="L462" s="321">
        <v>2212628.335</v>
      </c>
      <c r="M462" s="321">
        <v>1997680.5739999998</v>
      </c>
      <c r="N462" s="321">
        <v>2109763.6329999999</v>
      </c>
      <c r="O462" s="321">
        <v>2062150.2359999996</v>
      </c>
      <c r="P462" s="321">
        <v>2072385.743</v>
      </c>
      <c r="Q462" s="321">
        <v>2063469.6809999996</v>
      </c>
      <c r="R462" s="321">
        <v>2144897.2260000003</v>
      </c>
      <c r="S462" s="321">
        <v>2123370.551</v>
      </c>
      <c r="T462" s="321">
        <v>2088658.919</v>
      </c>
      <c r="U462" s="322">
        <v>2107839.1160000004</v>
      </c>
      <c r="V462" s="323">
        <v>25208916.004999999</v>
      </c>
      <c r="W462" s="303"/>
      <c r="X462" s="324">
        <v>2107839.1160000004</v>
      </c>
      <c r="Y462" s="325">
        <v>25208916.004999999</v>
      </c>
      <c r="AA462" s="388"/>
    </row>
    <row r="463" spans="1:27" hidden="1" outlineLevel="1" x14ac:dyDescent="0.3">
      <c r="E463" s="250" t="s">
        <v>1400</v>
      </c>
      <c r="F463" s="317">
        <v>4302304</v>
      </c>
      <c r="G463" s="318"/>
      <c r="H463" s="319">
        <v>5101250109</v>
      </c>
      <c r="I463" s="320"/>
      <c r="J463" s="337">
        <v>115622.777</v>
      </c>
      <c r="K463" s="321">
        <v>148319.64599999998</v>
      </c>
      <c r="L463" s="321">
        <v>127261.62700000001</v>
      </c>
      <c r="M463" s="321">
        <v>123739.427</v>
      </c>
      <c r="N463" s="321">
        <v>123739.427</v>
      </c>
      <c r="O463" s="321">
        <v>124374.827</v>
      </c>
      <c r="P463" s="321">
        <v>124673.42700000001</v>
      </c>
      <c r="Q463" s="321">
        <v>124673.42700000001</v>
      </c>
      <c r="R463" s="321">
        <v>124673.42700000001</v>
      </c>
      <c r="S463" s="321">
        <v>144673.42700000003</v>
      </c>
      <c r="T463" s="321">
        <v>136849.42700000003</v>
      </c>
      <c r="U463" s="322">
        <v>132617.03000000003</v>
      </c>
      <c r="V463" s="323">
        <v>1551217.8960000004</v>
      </c>
      <c r="W463" s="303"/>
      <c r="X463" s="324">
        <v>132617.03000000003</v>
      </c>
      <c r="Y463" s="325">
        <v>1551217.8960000004</v>
      </c>
      <c r="AA463" s="388"/>
    </row>
    <row r="464" spans="1:27" hidden="1" outlineLevel="1" x14ac:dyDescent="0.3">
      <c r="E464" s="250" t="s">
        <v>1401</v>
      </c>
      <c r="F464" s="376">
        <v>4302306</v>
      </c>
      <c r="G464" s="318"/>
      <c r="H464" s="319">
        <v>5101250111</v>
      </c>
      <c r="I464" s="320"/>
      <c r="J464" s="337">
        <v>109286.679</v>
      </c>
      <c r="K464" s="321">
        <v>120485.86199999999</v>
      </c>
      <c r="L464" s="321">
        <v>147685.02799999999</v>
      </c>
      <c r="M464" s="321">
        <v>138646.671</v>
      </c>
      <c r="N464" s="321">
        <v>135928.076</v>
      </c>
      <c r="O464" s="321">
        <v>183918.06200000001</v>
      </c>
      <c r="P464" s="321">
        <v>149463.20600000001</v>
      </c>
      <c r="Q464" s="321">
        <v>133042.28899999999</v>
      </c>
      <c r="R464" s="321">
        <v>138906.04699999999</v>
      </c>
      <c r="S464" s="321">
        <v>137264.625</v>
      </c>
      <c r="T464" s="321">
        <v>126682.40299999999</v>
      </c>
      <c r="U464" s="322">
        <v>128667.46599999999</v>
      </c>
      <c r="V464" s="323">
        <v>1649976.4140000001</v>
      </c>
      <c r="W464" s="303"/>
      <c r="X464" s="324">
        <v>128667.46599999999</v>
      </c>
      <c r="Y464" s="325">
        <v>1649976.4140000001</v>
      </c>
      <c r="AA464" s="388"/>
    </row>
    <row r="465" spans="1:27" s="326" customFormat="1" hidden="1" outlineLevel="1" x14ac:dyDescent="0.3">
      <c r="E465" s="250" t="s">
        <v>1402</v>
      </c>
      <c r="F465" s="376">
        <v>4302307</v>
      </c>
      <c r="G465" s="377"/>
      <c r="H465" s="378"/>
      <c r="I465" s="379"/>
      <c r="J465" s="337">
        <v>0</v>
      </c>
      <c r="K465" s="321">
        <v>0</v>
      </c>
      <c r="L465" s="321">
        <v>0</v>
      </c>
      <c r="M465" s="321">
        <v>4.6566128730773926E-10</v>
      </c>
      <c r="N465" s="321">
        <v>0</v>
      </c>
      <c r="O465" s="321">
        <v>0</v>
      </c>
      <c r="P465" s="321">
        <v>4.6566128730773926E-10</v>
      </c>
      <c r="Q465" s="321">
        <v>0</v>
      </c>
      <c r="R465" s="321">
        <v>0</v>
      </c>
      <c r="S465" s="321">
        <v>0</v>
      </c>
      <c r="T465" s="321">
        <v>0</v>
      </c>
      <c r="U465" s="322">
        <v>0</v>
      </c>
      <c r="V465" s="323">
        <v>9.3132257461547852E-10</v>
      </c>
      <c r="W465" s="303"/>
      <c r="X465" s="324">
        <v>0</v>
      </c>
      <c r="Y465" s="325">
        <v>9.3132257461547852E-10</v>
      </c>
      <c r="AA465" s="388"/>
    </row>
    <row r="466" spans="1:27" s="326" customFormat="1" hidden="1" outlineLevel="1" x14ac:dyDescent="0.3">
      <c r="E466" s="250" t="s">
        <v>1403</v>
      </c>
      <c r="F466" s="376">
        <v>4302308</v>
      </c>
      <c r="G466" s="377"/>
      <c r="H466" s="378"/>
      <c r="I466" s="379"/>
      <c r="J466" s="337">
        <v>352104.34499999997</v>
      </c>
      <c r="K466" s="321">
        <v>-188431.84499999997</v>
      </c>
      <c r="L466" s="321">
        <v>75412.5</v>
      </c>
      <c r="M466" s="321">
        <v>240482.4</v>
      </c>
      <c r="N466" s="321">
        <v>501933.58</v>
      </c>
      <c r="O466" s="321">
        <v>234040.95</v>
      </c>
      <c r="P466" s="321">
        <v>164832.94</v>
      </c>
      <c r="Q466" s="321">
        <v>217587.19</v>
      </c>
      <c r="R466" s="321">
        <v>575736.18999999994</v>
      </c>
      <c r="S466" s="321">
        <v>171919.78200000001</v>
      </c>
      <c r="T466" s="321">
        <v>228395.11200000002</v>
      </c>
      <c r="U466" s="322">
        <v>540763.40299999993</v>
      </c>
      <c r="V466" s="323">
        <v>3114776.5470000003</v>
      </c>
      <c r="W466" s="303"/>
      <c r="X466" s="324">
        <v>540763.40299999993</v>
      </c>
      <c r="Y466" s="325">
        <v>3114776.5470000003</v>
      </c>
      <c r="AA466" s="388"/>
    </row>
    <row r="467" spans="1:27" hidden="1" outlineLevel="1" x14ac:dyDescent="0.3">
      <c r="E467" s="250" t="s">
        <v>1404</v>
      </c>
      <c r="F467" s="376">
        <v>4302309</v>
      </c>
      <c r="G467" s="318"/>
      <c r="H467" s="319">
        <v>5101250199</v>
      </c>
      <c r="I467" s="320"/>
      <c r="J467" s="337">
        <v>1304411.9519999998</v>
      </c>
      <c r="K467" s="321">
        <v>1274023.3350000002</v>
      </c>
      <c r="L467" s="321">
        <v>1158488.2859999998</v>
      </c>
      <c r="M467" s="321">
        <v>1321395.7669999998</v>
      </c>
      <c r="N467" s="321">
        <v>1250392.9409999996</v>
      </c>
      <c r="O467" s="321">
        <v>1241838.2240000002</v>
      </c>
      <c r="P467" s="321">
        <v>1232321.298</v>
      </c>
      <c r="Q467" s="321">
        <v>1279185.4050000003</v>
      </c>
      <c r="R467" s="321">
        <v>1296740.7570000002</v>
      </c>
      <c r="S467" s="321">
        <v>1282158.7969999998</v>
      </c>
      <c r="T467" s="321">
        <v>1346905.6469999999</v>
      </c>
      <c r="U467" s="322">
        <v>1383899.9949999999</v>
      </c>
      <c r="V467" s="323">
        <v>15371762.403999999</v>
      </c>
      <c r="W467" s="303"/>
      <c r="X467" s="324">
        <v>1383899.9949999999</v>
      </c>
      <c r="Y467" s="325">
        <v>15371762.403999999</v>
      </c>
      <c r="AA467" s="388"/>
    </row>
    <row r="468" spans="1:27" s="326" customFormat="1" hidden="1" outlineLevel="2" x14ac:dyDescent="0.3">
      <c r="E468" s="250" t="s">
        <v>1405</v>
      </c>
      <c r="F468" s="306">
        <v>4302310</v>
      </c>
      <c r="G468" s="307"/>
      <c r="H468" s="308"/>
      <c r="I468" s="309"/>
      <c r="J468" s="310">
        <v>-193479.42800000001</v>
      </c>
      <c r="K468" s="311">
        <v>-182019.049</v>
      </c>
      <c r="L468" s="311">
        <v>-208730.86199999999</v>
      </c>
      <c r="M468" s="311">
        <v>-209999.53</v>
      </c>
      <c r="N468" s="311">
        <v>-216103.31700000001</v>
      </c>
      <c r="O468" s="311">
        <v>-210541.34999999998</v>
      </c>
      <c r="P468" s="311">
        <v>-203219.41399999999</v>
      </c>
      <c r="Q468" s="311">
        <v>-193508.163</v>
      </c>
      <c r="R468" s="311">
        <v>-200481.56899999999</v>
      </c>
      <c r="S468" s="311">
        <v>-199078.70500000002</v>
      </c>
      <c r="T468" s="311">
        <v>-200978.647</v>
      </c>
      <c r="U468" s="312">
        <v>-189579.05000000002</v>
      </c>
      <c r="V468" s="313">
        <v>-2407719.0839999998</v>
      </c>
      <c r="W468" s="314"/>
      <c r="X468" s="315">
        <v>-189579.05000000002</v>
      </c>
      <c r="Y468" s="316">
        <v>-2407719.0839999998</v>
      </c>
      <c r="AA468" s="388"/>
    </row>
    <row r="469" spans="1:27" s="2" customFormat="1" hidden="1" outlineLevel="2" x14ac:dyDescent="0.3">
      <c r="E469" s="2" t="s">
        <v>1406</v>
      </c>
      <c r="F469" s="380">
        <v>4302311</v>
      </c>
      <c r="G469" s="381"/>
      <c r="H469" s="382"/>
      <c r="I469" s="383"/>
      <c r="J469" s="384">
        <v>0</v>
      </c>
      <c r="K469" s="385">
        <v>0</v>
      </c>
      <c r="L469" s="385">
        <v>0</v>
      </c>
      <c r="M469" s="385">
        <v>0</v>
      </c>
      <c r="N469" s="385">
        <v>0</v>
      </c>
      <c r="O469" s="385">
        <v>0</v>
      </c>
      <c r="P469" s="385">
        <v>0</v>
      </c>
      <c r="Q469" s="385">
        <v>0</v>
      </c>
      <c r="R469" s="385">
        <v>137833.552</v>
      </c>
      <c r="S469" s="385">
        <v>222694.85200000001</v>
      </c>
      <c r="T469" s="385">
        <v>166962.44399999999</v>
      </c>
      <c r="U469" s="386">
        <v>404904.326</v>
      </c>
      <c r="V469" s="387">
        <v>932395.174</v>
      </c>
      <c r="W469" s="388"/>
      <c r="X469" s="389">
        <v>404904.326</v>
      </c>
      <c r="Y469" s="390">
        <v>932395.174</v>
      </c>
      <c r="AA469" s="388"/>
    </row>
    <row r="470" spans="1:27" s="326" customFormat="1" hidden="1" outlineLevel="2" x14ac:dyDescent="0.3">
      <c r="E470" s="326" t="s">
        <v>1407</v>
      </c>
      <c r="F470" s="336"/>
      <c r="G470" s="327"/>
      <c r="H470" s="328"/>
      <c r="I470" s="329"/>
      <c r="J470" s="338">
        <v>0</v>
      </c>
      <c r="K470" s="330">
        <v>0</v>
      </c>
      <c r="L470" s="330">
        <v>0</v>
      </c>
      <c r="M470" s="330">
        <v>0</v>
      </c>
      <c r="N470" s="330">
        <v>0</v>
      </c>
      <c r="O470" s="330">
        <v>0</v>
      </c>
      <c r="P470" s="330">
        <v>0</v>
      </c>
      <c r="Q470" s="330">
        <v>0</v>
      </c>
      <c r="R470" s="330">
        <v>0</v>
      </c>
      <c r="S470" s="330">
        <v>0</v>
      </c>
      <c r="T470" s="330">
        <v>0</v>
      </c>
      <c r="U470" s="331">
        <v>0</v>
      </c>
      <c r="V470" s="332">
        <v>0</v>
      </c>
      <c r="W470" s="333"/>
      <c r="X470" s="334">
        <v>0</v>
      </c>
      <c r="Y470" s="335">
        <v>0</v>
      </c>
      <c r="AA470" s="388"/>
    </row>
    <row r="471" spans="1:27" s="326" customFormat="1" hidden="1" outlineLevel="2" x14ac:dyDescent="0.3">
      <c r="E471" s="326" t="s">
        <v>1408</v>
      </c>
      <c r="F471" s="336"/>
      <c r="G471" s="327"/>
      <c r="H471" s="328"/>
      <c r="I471" s="329"/>
      <c r="J471" s="338">
        <v>0</v>
      </c>
      <c r="K471" s="330">
        <v>0</v>
      </c>
      <c r="L471" s="330">
        <v>0</v>
      </c>
      <c r="M471" s="330">
        <v>0</v>
      </c>
      <c r="N471" s="330">
        <v>0</v>
      </c>
      <c r="O471" s="330">
        <v>0</v>
      </c>
      <c r="P471" s="330">
        <v>0</v>
      </c>
      <c r="Q471" s="330">
        <v>0</v>
      </c>
      <c r="R471" s="330">
        <v>0</v>
      </c>
      <c r="S471" s="330">
        <v>0</v>
      </c>
      <c r="T471" s="330">
        <v>0</v>
      </c>
      <c r="U471" s="331">
        <v>0</v>
      </c>
      <c r="V471" s="332">
        <v>0</v>
      </c>
      <c r="W471" s="333"/>
      <c r="X471" s="334">
        <v>0</v>
      </c>
      <c r="Y471" s="335">
        <v>0</v>
      </c>
      <c r="AA471" s="388"/>
    </row>
    <row r="472" spans="1:27" hidden="1" collapsed="1" x14ac:dyDescent="0.3">
      <c r="A472" s="233"/>
      <c r="B472" s="234" t="s">
        <v>23</v>
      </c>
      <c r="D472" s="293" t="s">
        <v>1409</v>
      </c>
      <c r="E472" s="294"/>
      <c r="F472" s="295" t="s">
        <v>1410</v>
      </c>
      <c r="G472" s="296"/>
      <c r="H472" s="297"/>
      <c r="I472" s="298"/>
      <c r="J472" s="299">
        <v>473</v>
      </c>
      <c r="K472" s="300">
        <v>-141</v>
      </c>
      <c r="L472" s="300">
        <v>1595.8</v>
      </c>
      <c r="M472" s="300">
        <v>41.619</v>
      </c>
      <c r="N472" s="300">
        <v>3688.1930000000002</v>
      </c>
      <c r="O472" s="300">
        <v>-841</v>
      </c>
      <c r="P472" s="300">
        <v>-1878</v>
      </c>
      <c r="Q472" s="300">
        <v>-1195</v>
      </c>
      <c r="R472" s="300">
        <v>-1746.4190000000001</v>
      </c>
      <c r="S472" s="300">
        <v>1371</v>
      </c>
      <c r="T472" s="300">
        <v>1656</v>
      </c>
      <c r="U472" s="301">
        <v>1220</v>
      </c>
      <c r="V472" s="302">
        <v>4244.1930000000002</v>
      </c>
      <c r="W472" s="303"/>
      <c r="X472" s="304">
        <v>1220</v>
      </c>
      <c r="Y472" s="305">
        <v>4244.1930000000002</v>
      </c>
      <c r="AA472" s="388"/>
    </row>
    <row r="473" spans="1:27" hidden="1" outlineLevel="1" x14ac:dyDescent="0.3">
      <c r="E473" s="250" t="s">
        <v>1411</v>
      </c>
      <c r="F473" s="317">
        <v>4302601</v>
      </c>
      <c r="G473" s="318"/>
      <c r="H473" s="319">
        <v>5101270101</v>
      </c>
      <c r="I473" s="320"/>
      <c r="J473" s="337">
        <v>0</v>
      </c>
      <c r="K473" s="321">
        <v>0</v>
      </c>
      <c r="L473" s="321">
        <v>0</v>
      </c>
      <c r="M473" s="321">
        <v>0</v>
      </c>
      <c r="N473" s="321">
        <v>0</v>
      </c>
      <c r="O473" s="321">
        <v>0</v>
      </c>
      <c r="P473" s="321">
        <v>0</v>
      </c>
      <c r="Q473" s="321">
        <v>0</v>
      </c>
      <c r="R473" s="321">
        <v>0</v>
      </c>
      <c r="S473" s="321">
        <v>0</v>
      </c>
      <c r="T473" s="321">
        <v>0</v>
      </c>
      <c r="U473" s="322">
        <v>0</v>
      </c>
      <c r="V473" s="323">
        <v>0</v>
      </c>
      <c r="W473" s="303"/>
      <c r="X473" s="324">
        <v>0</v>
      </c>
      <c r="Y473" s="325">
        <v>0</v>
      </c>
      <c r="AA473" s="388"/>
    </row>
    <row r="474" spans="1:27" hidden="1" outlineLevel="1" x14ac:dyDescent="0.3">
      <c r="E474" s="250" t="s">
        <v>1412</v>
      </c>
      <c r="F474" s="317">
        <v>4302603</v>
      </c>
      <c r="G474" s="318"/>
      <c r="H474" s="319"/>
      <c r="I474" s="320"/>
      <c r="J474" s="337">
        <v>0</v>
      </c>
      <c r="K474" s="321">
        <v>0</v>
      </c>
      <c r="L474" s="321">
        <v>0</v>
      </c>
      <c r="M474" s="321">
        <v>0</v>
      </c>
      <c r="N474" s="321">
        <v>0</v>
      </c>
      <c r="O474" s="321">
        <v>0</v>
      </c>
      <c r="P474" s="321">
        <v>0</v>
      </c>
      <c r="Q474" s="321">
        <v>0</v>
      </c>
      <c r="R474" s="321">
        <v>0</v>
      </c>
      <c r="S474" s="321">
        <v>0</v>
      </c>
      <c r="T474" s="321">
        <v>0</v>
      </c>
      <c r="U474" s="322">
        <v>0</v>
      </c>
      <c r="V474" s="323">
        <v>0</v>
      </c>
      <c r="W474" s="303"/>
      <c r="X474" s="324">
        <v>0</v>
      </c>
      <c r="Y474" s="325">
        <v>0</v>
      </c>
      <c r="AA474" s="388"/>
    </row>
    <row r="475" spans="1:27" hidden="1" outlineLevel="1" x14ac:dyDescent="0.3">
      <c r="E475" s="250" t="s">
        <v>1413</v>
      </c>
      <c r="F475" s="317">
        <v>4302604</v>
      </c>
      <c r="G475" s="318"/>
      <c r="H475" s="319">
        <v>5101270105</v>
      </c>
      <c r="I475" s="320"/>
      <c r="J475" s="337">
        <v>0</v>
      </c>
      <c r="K475" s="321">
        <v>0</v>
      </c>
      <c r="L475" s="321">
        <v>0</v>
      </c>
      <c r="M475" s="321">
        <v>0</v>
      </c>
      <c r="N475" s="321">
        <v>0</v>
      </c>
      <c r="O475" s="321">
        <v>0</v>
      </c>
      <c r="P475" s="321">
        <v>0</v>
      </c>
      <c r="Q475" s="321">
        <v>0</v>
      </c>
      <c r="R475" s="321">
        <v>0</v>
      </c>
      <c r="S475" s="321">
        <v>0</v>
      </c>
      <c r="T475" s="321">
        <v>0</v>
      </c>
      <c r="U475" s="322">
        <v>0</v>
      </c>
      <c r="V475" s="323">
        <v>0</v>
      </c>
      <c r="W475" s="303"/>
      <c r="X475" s="324">
        <v>0</v>
      </c>
      <c r="Y475" s="325">
        <v>0</v>
      </c>
      <c r="AA475" s="388"/>
    </row>
    <row r="476" spans="1:27" hidden="1" outlineLevel="1" x14ac:dyDescent="0.3">
      <c r="E476" s="250" t="s">
        <v>1414</v>
      </c>
      <c r="F476" s="317">
        <v>4302605</v>
      </c>
      <c r="G476" s="318"/>
      <c r="H476" s="319"/>
      <c r="I476" s="320"/>
      <c r="J476" s="337">
        <v>0</v>
      </c>
      <c r="K476" s="321">
        <v>0</v>
      </c>
      <c r="L476" s="321">
        <v>0</v>
      </c>
      <c r="M476" s="321">
        <v>0</v>
      </c>
      <c r="N476" s="321">
        <v>0</v>
      </c>
      <c r="O476" s="321">
        <v>0</v>
      </c>
      <c r="P476" s="321">
        <v>0</v>
      </c>
      <c r="Q476" s="321">
        <v>0</v>
      </c>
      <c r="R476" s="321">
        <v>0</v>
      </c>
      <c r="S476" s="321">
        <v>0</v>
      </c>
      <c r="T476" s="321">
        <v>0</v>
      </c>
      <c r="U476" s="322">
        <v>0</v>
      </c>
      <c r="V476" s="323">
        <v>0</v>
      </c>
      <c r="W476" s="303"/>
      <c r="X476" s="324">
        <v>0</v>
      </c>
      <c r="Y476" s="325">
        <v>0</v>
      </c>
      <c r="AA476" s="388"/>
    </row>
    <row r="477" spans="1:27" hidden="1" outlineLevel="1" x14ac:dyDescent="0.3">
      <c r="E477" s="250" t="s">
        <v>1415</v>
      </c>
      <c r="F477" s="317">
        <v>4302607</v>
      </c>
      <c r="G477" s="318"/>
      <c r="H477" s="319"/>
      <c r="I477" s="320"/>
      <c r="J477" s="337">
        <v>0</v>
      </c>
      <c r="K477" s="321">
        <v>0</v>
      </c>
      <c r="L477" s="321">
        <v>0</v>
      </c>
      <c r="M477" s="321">
        <v>0</v>
      </c>
      <c r="N477" s="321">
        <v>0</v>
      </c>
      <c r="O477" s="321">
        <v>0</v>
      </c>
      <c r="P477" s="321">
        <v>0</v>
      </c>
      <c r="Q477" s="321">
        <v>0</v>
      </c>
      <c r="R477" s="321">
        <v>0</v>
      </c>
      <c r="S477" s="321">
        <v>0</v>
      </c>
      <c r="T477" s="321">
        <v>0</v>
      </c>
      <c r="U477" s="322">
        <v>0</v>
      </c>
      <c r="V477" s="323">
        <v>0</v>
      </c>
      <c r="W477" s="303"/>
      <c r="X477" s="324">
        <v>0</v>
      </c>
      <c r="Y477" s="325">
        <v>0</v>
      </c>
      <c r="AA477" s="388"/>
    </row>
    <row r="478" spans="1:27" hidden="1" outlineLevel="1" x14ac:dyDescent="0.3">
      <c r="E478" s="250" t="s">
        <v>1416</v>
      </c>
      <c r="F478" s="317">
        <v>4302611</v>
      </c>
      <c r="G478" s="318"/>
      <c r="H478" s="319"/>
      <c r="I478" s="320"/>
      <c r="J478" s="337">
        <v>0</v>
      </c>
      <c r="K478" s="321">
        <v>0</v>
      </c>
      <c r="L478" s="321">
        <v>0</v>
      </c>
      <c r="M478" s="321">
        <v>0</v>
      </c>
      <c r="N478" s="321">
        <v>0</v>
      </c>
      <c r="O478" s="321">
        <v>0</v>
      </c>
      <c r="P478" s="321">
        <v>0</v>
      </c>
      <c r="Q478" s="321">
        <v>0</v>
      </c>
      <c r="R478" s="321">
        <v>0</v>
      </c>
      <c r="S478" s="321">
        <v>0</v>
      </c>
      <c r="T478" s="321">
        <v>0</v>
      </c>
      <c r="U478" s="322">
        <v>0</v>
      </c>
      <c r="V478" s="323">
        <v>0</v>
      </c>
      <c r="W478" s="303"/>
      <c r="X478" s="324">
        <v>0</v>
      </c>
      <c r="Y478" s="325">
        <v>0</v>
      </c>
      <c r="AA478" s="388"/>
    </row>
    <row r="479" spans="1:27" hidden="1" outlineLevel="1" x14ac:dyDescent="0.3">
      <c r="E479" s="250" t="s">
        <v>1417</v>
      </c>
      <c r="F479" s="317">
        <v>4302612</v>
      </c>
      <c r="G479" s="318"/>
      <c r="H479" s="319"/>
      <c r="I479" s="320"/>
      <c r="J479" s="337">
        <v>0</v>
      </c>
      <c r="K479" s="321">
        <v>0</v>
      </c>
      <c r="L479" s="321">
        <v>0</v>
      </c>
      <c r="M479" s="321">
        <v>0</v>
      </c>
      <c r="N479" s="321">
        <v>0</v>
      </c>
      <c r="O479" s="321">
        <v>0</v>
      </c>
      <c r="P479" s="321">
        <v>0</v>
      </c>
      <c r="Q479" s="321">
        <v>0</v>
      </c>
      <c r="R479" s="321">
        <v>0</v>
      </c>
      <c r="S479" s="321">
        <v>0</v>
      </c>
      <c r="T479" s="321">
        <v>0</v>
      </c>
      <c r="U479" s="322">
        <v>0</v>
      </c>
      <c r="V479" s="323">
        <v>0</v>
      </c>
      <c r="W479" s="303"/>
      <c r="X479" s="324">
        <v>0</v>
      </c>
      <c r="Y479" s="325">
        <v>0</v>
      </c>
      <c r="AA479" s="388"/>
    </row>
    <row r="480" spans="1:27" hidden="1" outlineLevel="1" x14ac:dyDescent="0.3">
      <c r="E480" s="250" t="s">
        <v>1418</v>
      </c>
      <c r="F480" s="317">
        <v>4302699</v>
      </c>
      <c r="G480" s="318"/>
      <c r="H480" s="319">
        <v>5101270199</v>
      </c>
      <c r="I480" s="320"/>
      <c r="J480" s="337">
        <v>473</v>
      </c>
      <c r="K480" s="321">
        <v>-141</v>
      </c>
      <c r="L480" s="321">
        <v>1595.8</v>
      </c>
      <c r="M480" s="321">
        <v>41.619</v>
      </c>
      <c r="N480" s="321">
        <v>3688.1930000000002</v>
      </c>
      <c r="O480" s="321">
        <v>-841</v>
      </c>
      <c r="P480" s="321">
        <v>-1878</v>
      </c>
      <c r="Q480" s="321">
        <v>-1195</v>
      </c>
      <c r="R480" s="321">
        <v>-1746.4190000000001</v>
      </c>
      <c r="S480" s="321">
        <v>1371</v>
      </c>
      <c r="T480" s="321">
        <v>1656</v>
      </c>
      <c r="U480" s="322">
        <v>1220</v>
      </c>
      <c r="V480" s="323">
        <v>4244.1930000000002</v>
      </c>
      <c r="W480" s="303"/>
      <c r="X480" s="324">
        <v>1220</v>
      </c>
      <c r="Y480" s="325">
        <v>4244.1930000000002</v>
      </c>
      <c r="AA480" s="388"/>
    </row>
    <row r="481" spans="1:27" s="361" customFormat="1" hidden="1" outlineLevel="2" x14ac:dyDescent="0.3">
      <c r="E481" s="350" t="s">
        <v>1419</v>
      </c>
      <c r="F481" s="306">
        <v>4302613</v>
      </c>
      <c r="G481" s="307"/>
      <c r="H481" s="308"/>
      <c r="I481" s="309"/>
      <c r="J481" s="310">
        <v>0</v>
      </c>
      <c r="K481" s="311">
        <v>0</v>
      </c>
      <c r="L481" s="311">
        <v>0</v>
      </c>
      <c r="M481" s="311">
        <v>0</v>
      </c>
      <c r="N481" s="311">
        <v>0</v>
      </c>
      <c r="O481" s="311">
        <v>0</v>
      </c>
      <c r="P481" s="311">
        <v>0</v>
      </c>
      <c r="Q481" s="311">
        <v>0</v>
      </c>
      <c r="R481" s="311">
        <v>0</v>
      </c>
      <c r="S481" s="311">
        <v>0</v>
      </c>
      <c r="T481" s="311">
        <v>0</v>
      </c>
      <c r="U481" s="312">
        <v>0</v>
      </c>
      <c r="V481" s="313">
        <v>0</v>
      </c>
      <c r="W481" s="314"/>
      <c r="X481" s="315">
        <v>0</v>
      </c>
      <c r="Y481" s="316">
        <v>0</v>
      </c>
      <c r="AA481" s="388"/>
    </row>
    <row r="482" spans="1:27" s="361" customFormat="1" hidden="1" outlineLevel="2" x14ac:dyDescent="0.3">
      <c r="E482" s="326" t="s">
        <v>1420</v>
      </c>
      <c r="F482" s="351"/>
      <c r="G482" s="352"/>
      <c r="H482" s="353"/>
      <c r="I482" s="354"/>
      <c r="J482" s="362">
        <v>0</v>
      </c>
      <c r="K482" s="355">
        <v>0</v>
      </c>
      <c r="L482" s="355">
        <v>0</v>
      </c>
      <c r="M482" s="355">
        <v>0</v>
      </c>
      <c r="N482" s="355">
        <v>0</v>
      </c>
      <c r="O482" s="355">
        <v>0</v>
      </c>
      <c r="P482" s="355">
        <v>0</v>
      </c>
      <c r="Q482" s="355">
        <v>0</v>
      </c>
      <c r="R482" s="355">
        <v>0</v>
      </c>
      <c r="S482" s="355">
        <v>0</v>
      </c>
      <c r="T482" s="355">
        <v>0</v>
      </c>
      <c r="U482" s="356">
        <v>0</v>
      </c>
      <c r="V482" s="357">
        <v>0</v>
      </c>
      <c r="W482" s="358"/>
      <c r="X482" s="359">
        <v>0</v>
      </c>
      <c r="Y482" s="360">
        <v>0</v>
      </c>
      <c r="AA482" s="388"/>
    </row>
    <row r="483" spans="1:27" s="361" customFormat="1" hidden="1" outlineLevel="2" x14ac:dyDescent="0.3">
      <c r="E483" s="326" t="s">
        <v>1421</v>
      </c>
      <c r="F483" s="351"/>
      <c r="G483" s="352"/>
      <c r="H483" s="353"/>
      <c r="I483" s="354"/>
      <c r="J483" s="362">
        <v>0</v>
      </c>
      <c r="K483" s="355">
        <v>0</v>
      </c>
      <c r="L483" s="355">
        <v>0</v>
      </c>
      <c r="M483" s="355">
        <v>0</v>
      </c>
      <c r="N483" s="355">
        <v>0</v>
      </c>
      <c r="O483" s="355">
        <v>0</v>
      </c>
      <c r="P483" s="355">
        <v>0</v>
      </c>
      <c r="Q483" s="355">
        <v>0</v>
      </c>
      <c r="R483" s="355">
        <v>0</v>
      </c>
      <c r="S483" s="355">
        <v>0</v>
      </c>
      <c r="T483" s="355">
        <v>0</v>
      </c>
      <c r="U483" s="356">
        <v>0</v>
      </c>
      <c r="V483" s="357">
        <v>0</v>
      </c>
      <c r="W483" s="358"/>
      <c r="X483" s="359">
        <v>0</v>
      </c>
      <c r="Y483" s="360">
        <v>0</v>
      </c>
      <c r="AA483" s="388"/>
    </row>
    <row r="484" spans="1:27" hidden="1" collapsed="1" x14ac:dyDescent="0.3">
      <c r="A484" s="233"/>
      <c r="B484" s="234" t="s">
        <v>16</v>
      </c>
      <c r="D484" s="293" t="s">
        <v>1422</v>
      </c>
      <c r="E484" s="294"/>
      <c r="F484" s="295" t="s">
        <v>1423</v>
      </c>
      <c r="G484" s="296"/>
      <c r="H484" s="297"/>
      <c r="I484" s="298"/>
      <c r="J484" s="299">
        <v>3063020.5290000001</v>
      </c>
      <c r="K484" s="300">
        <v>3104041.8220000002</v>
      </c>
      <c r="L484" s="300">
        <v>3256833.3990000002</v>
      </c>
      <c r="M484" s="300">
        <v>3268206.7590000005</v>
      </c>
      <c r="N484" s="300">
        <v>3165203.9050000003</v>
      </c>
      <c r="O484" s="300">
        <v>3259572.9240000001</v>
      </c>
      <c r="P484" s="300">
        <v>3285220.426</v>
      </c>
      <c r="Q484" s="300">
        <v>3130445.0379999997</v>
      </c>
      <c r="R484" s="300">
        <v>3191831.1129999999</v>
      </c>
      <c r="S484" s="300">
        <v>3156018.6979999999</v>
      </c>
      <c r="T484" s="300">
        <v>3375345.3740000003</v>
      </c>
      <c r="U484" s="301">
        <v>3247273.9249999998</v>
      </c>
      <c r="V484" s="302">
        <v>38503013.912</v>
      </c>
      <c r="W484" s="303"/>
      <c r="X484" s="304">
        <v>3247273.9249999998</v>
      </c>
      <c r="Y484" s="305">
        <v>38503013.912</v>
      </c>
      <c r="AA484" s="388"/>
    </row>
    <row r="485" spans="1:27" hidden="1" outlineLevel="1" x14ac:dyDescent="0.3">
      <c r="E485" s="250" t="s">
        <v>1424</v>
      </c>
      <c r="F485" s="317">
        <v>4300801</v>
      </c>
      <c r="G485" s="318"/>
      <c r="H485" s="319">
        <v>5101290101</v>
      </c>
      <c r="I485" s="320"/>
      <c r="J485" s="337">
        <v>760890.8</v>
      </c>
      <c r="K485" s="321">
        <v>730729.2</v>
      </c>
      <c r="L485" s="321">
        <v>727644.9</v>
      </c>
      <c r="M485" s="321">
        <v>740762.8</v>
      </c>
      <c r="N485" s="321">
        <v>735133.6</v>
      </c>
      <c r="O485" s="321">
        <v>731564.6</v>
      </c>
      <c r="P485" s="321">
        <v>729390.9</v>
      </c>
      <c r="Q485" s="321">
        <v>736991.2</v>
      </c>
      <c r="R485" s="321">
        <v>725187.1</v>
      </c>
      <c r="S485" s="321">
        <v>745872.7</v>
      </c>
      <c r="T485" s="321">
        <v>776641.5</v>
      </c>
      <c r="U485" s="322">
        <v>739028.6</v>
      </c>
      <c r="V485" s="323">
        <v>8879837.9000000004</v>
      </c>
      <c r="W485" s="303"/>
      <c r="X485" s="324">
        <v>739028.6</v>
      </c>
      <c r="Y485" s="325">
        <v>8879837.9000000004</v>
      </c>
      <c r="AA485" s="388"/>
    </row>
    <row r="486" spans="1:27" hidden="1" outlineLevel="1" x14ac:dyDescent="0.3">
      <c r="E486" s="250" t="s">
        <v>1425</v>
      </c>
      <c r="F486" s="317">
        <v>4300802</v>
      </c>
      <c r="G486" s="318"/>
      <c r="H486" s="319">
        <v>5101290103</v>
      </c>
      <c r="I486" s="320"/>
      <c r="J486" s="337">
        <v>48712</v>
      </c>
      <c r="K486" s="321">
        <v>48712</v>
      </c>
      <c r="L486" s="321">
        <v>48912</v>
      </c>
      <c r="M486" s="321">
        <v>48912</v>
      </c>
      <c r="N486" s="321">
        <v>48412.29</v>
      </c>
      <c r="O486" s="321">
        <v>46699</v>
      </c>
      <c r="P486" s="321">
        <v>46529.8</v>
      </c>
      <c r="Q486" s="321">
        <v>46529</v>
      </c>
      <c r="R486" s="321">
        <v>33251</v>
      </c>
      <c r="S486" s="321">
        <v>59807</v>
      </c>
      <c r="T486" s="321">
        <v>46529</v>
      </c>
      <c r="U486" s="322">
        <v>46529</v>
      </c>
      <c r="V486" s="323">
        <v>569534.09000000008</v>
      </c>
      <c r="W486" s="303"/>
      <c r="X486" s="324">
        <v>46529</v>
      </c>
      <c r="Y486" s="325">
        <v>569534.09000000008</v>
      </c>
      <c r="AA486" s="388"/>
    </row>
    <row r="487" spans="1:27" hidden="1" outlineLevel="1" x14ac:dyDescent="0.3">
      <c r="E487" s="250" t="s">
        <v>1426</v>
      </c>
      <c r="F487" s="317">
        <v>4300803</v>
      </c>
      <c r="G487" s="318"/>
      <c r="H487" s="319"/>
      <c r="I487" s="320"/>
      <c r="J487" s="337">
        <v>215267.367</v>
      </c>
      <c r="K487" s="321">
        <v>220573.02100000001</v>
      </c>
      <c r="L487" s="321">
        <v>228367.30100000001</v>
      </c>
      <c r="M487" s="321">
        <v>222108.73499999999</v>
      </c>
      <c r="N487" s="321">
        <v>234271.299</v>
      </c>
      <c r="O487" s="321">
        <v>186493.742</v>
      </c>
      <c r="P487" s="321">
        <v>190405.62899999999</v>
      </c>
      <c r="Q487" s="321">
        <v>190196.853</v>
      </c>
      <c r="R487" s="321">
        <v>191891.859</v>
      </c>
      <c r="S487" s="321">
        <v>182660.69899999999</v>
      </c>
      <c r="T487" s="321">
        <v>234820.946</v>
      </c>
      <c r="U487" s="322">
        <v>218159.48</v>
      </c>
      <c r="V487" s="323">
        <v>2515216.9310000003</v>
      </c>
      <c r="W487" s="303"/>
      <c r="X487" s="324">
        <v>218159.48</v>
      </c>
      <c r="Y487" s="325">
        <v>2515216.9310000003</v>
      </c>
      <c r="AA487" s="388"/>
    </row>
    <row r="488" spans="1:27" hidden="1" outlineLevel="1" x14ac:dyDescent="0.3">
      <c r="E488" s="250" t="s">
        <v>1427</v>
      </c>
      <c r="F488" s="317">
        <v>4300805</v>
      </c>
      <c r="G488" s="318"/>
      <c r="H488" s="319"/>
      <c r="I488" s="320"/>
      <c r="J488" s="337">
        <v>322151.16599999997</v>
      </c>
      <c r="K488" s="321">
        <v>330453.29000000004</v>
      </c>
      <c r="L488" s="321">
        <v>335268.60399999993</v>
      </c>
      <c r="M488" s="321">
        <v>360362.90600000008</v>
      </c>
      <c r="N488" s="321">
        <v>303137.08899999992</v>
      </c>
      <c r="O488" s="321">
        <v>343445.31900000008</v>
      </c>
      <c r="P488" s="321">
        <v>321782.14800000004</v>
      </c>
      <c r="Q488" s="321">
        <v>306783.54599999997</v>
      </c>
      <c r="R488" s="321">
        <v>338867.76200000005</v>
      </c>
      <c r="S488" s="321">
        <v>283266.52599999995</v>
      </c>
      <c r="T488" s="321">
        <v>263749.01500000001</v>
      </c>
      <c r="U488" s="322">
        <v>298066.86200000002</v>
      </c>
      <c r="V488" s="323">
        <v>3807334.2330000005</v>
      </c>
      <c r="W488" s="303"/>
      <c r="X488" s="324">
        <v>298066.86200000002</v>
      </c>
      <c r="Y488" s="325">
        <v>3807334.2330000005</v>
      </c>
      <c r="AA488" s="388"/>
    </row>
    <row r="489" spans="1:27" hidden="1" outlineLevel="1" x14ac:dyDescent="0.3">
      <c r="E489" s="250" t="s">
        <v>1428</v>
      </c>
      <c r="F489" s="317">
        <v>4300899</v>
      </c>
      <c r="G489" s="318"/>
      <c r="H489" s="319">
        <v>5101290199</v>
      </c>
      <c r="I489" s="320"/>
      <c r="J489" s="337">
        <v>1715999.196</v>
      </c>
      <c r="K489" s="321">
        <v>1773574.3110000002</v>
      </c>
      <c r="L489" s="321">
        <v>1916640.5940000003</v>
      </c>
      <c r="M489" s="321">
        <v>1896060.3180000002</v>
      </c>
      <c r="N489" s="321">
        <v>1844249.6270000001</v>
      </c>
      <c r="O489" s="321">
        <v>1951370.263</v>
      </c>
      <c r="P489" s="321">
        <v>1997111.949</v>
      </c>
      <c r="Q489" s="321">
        <v>1849944.439</v>
      </c>
      <c r="R489" s="321">
        <v>1902633.392</v>
      </c>
      <c r="S489" s="321">
        <v>1884411.773</v>
      </c>
      <c r="T489" s="321">
        <v>2053604.9130000002</v>
      </c>
      <c r="U489" s="322">
        <v>1945489.9829999998</v>
      </c>
      <c r="V489" s="323">
        <v>22731090.758000001</v>
      </c>
      <c r="W489" s="303"/>
      <c r="X489" s="324">
        <v>1945489.9829999998</v>
      </c>
      <c r="Y489" s="325">
        <v>22731090.758000001</v>
      </c>
      <c r="AA489" s="388"/>
    </row>
    <row r="490" spans="1:27" s="326" customFormat="1" hidden="1" outlineLevel="2" x14ac:dyDescent="0.3">
      <c r="E490" s="326" t="s">
        <v>1429</v>
      </c>
      <c r="F490" s="336"/>
      <c r="G490" s="327"/>
      <c r="H490" s="328"/>
      <c r="I490" s="329"/>
      <c r="J490" s="338">
        <v>0</v>
      </c>
      <c r="K490" s="330">
        <v>0</v>
      </c>
      <c r="L490" s="330">
        <v>0</v>
      </c>
      <c r="M490" s="330">
        <v>0</v>
      </c>
      <c r="N490" s="330">
        <v>0</v>
      </c>
      <c r="O490" s="330">
        <v>0</v>
      </c>
      <c r="P490" s="330">
        <v>0</v>
      </c>
      <c r="Q490" s="330">
        <v>0</v>
      </c>
      <c r="R490" s="330">
        <v>0</v>
      </c>
      <c r="S490" s="330">
        <v>0</v>
      </c>
      <c r="T490" s="330">
        <v>0</v>
      </c>
      <c r="U490" s="331">
        <v>0</v>
      </c>
      <c r="V490" s="332">
        <v>0</v>
      </c>
      <c r="W490" s="333"/>
      <c r="X490" s="334">
        <v>0</v>
      </c>
      <c r="Y490" s="335">
        <v>0</v>
      </c>
      <c r="AA490" s="388"/>
    </row>
    <row r="491" spans="1:27" s="326" customFormat="1" hidden="1" outlineLevel="2" x14ac:dyDescent="0.3">
      <c r="E491" s="326" t="s">
        <v>1430</v>
      </c>
      <c r="F491" s="336"/>
      <c r="G491" s="327"/>
      <c r="H491" s="328"/>
      <c r="I491" s="329"/>
      <c r="J491" s="338">
        <v>0</v>
      </c>
      <c r="K491" s="330">
        <v>0</v>
      </c>
      <c r="L491" s="330">
        <v>0</v>
      </c>
      <c r="M491" s="330">
        <v>0</v>
      </c>
      <c r="N491" s="330">
        <v>0</v>
      </c>
      <c r="O491" s="330">
        <v>0</v>
      </c>
      <c r="P491" s="330">
        <v>0</v>
      </c>
      <c r="Q491" s="330">
        <v>0</v>
      </c>
      <c r="R491" s="330">
        <v>0</v>
      </c>
      <c r="S491" s="330">
        <v>0</v>
      </c>
      <c r="T491" s="330">
        <v>0</v>
      </c>
      <c r="U491" s="331">
        <v>0</v>
      </c>
      <c r="V491" s="332">
        <v>0</v>
      </c>
      <c r="W491" s="333"/>
      <c r="X491" s="334">
        <v>0</v>
      </c>
      <c r="Y491" s="335">
        <v>0</v>
      </c>
      <c r="AA491" s="388"/>
    </row>
    <row r="492" spans="1:27" s="326" customFormat="1" hidden="1" outlineLevel="2" x14ac:dyDescent="0.3">
      <c r="E492" s="326" t="s">
        <v>1431</v>
      </c>
      <c r="F492" s="336"/>
      <c r="G492" s="327"/>
      <c r="H492" s="328"/>
      <c r="I492" s="329"/>
      <c r="J492" s="338">
        <v>0</v>
      </c>
      <c r="K492" s="330">
        <v>0</v>
      </c>
      <c r="L492" s="330">
        <v>0</v>
      </c>
      <c r="M492" s="330">
        <v>0</v>
      </c>
      <c r="N492" s="330">
        <v>0</v>
      </c>
      <c r="O492" s="330">
        <v>0</v>
      </c>
      <c r="P492" s="330">
        <v>0</v>
      </c>
      <c r="Q492" s="330">
        <v>0</v>
      </c>
      <c r="R492" s="330">
        <v>0</v>
      </c>
      <c r="S492" s="330">
        <v>0</v>
      </c>
      <c r="T492" s="330">
        <v>0</v>
      </c>
      <c r="U492" s="331">
        <v>0</v>
      </c>
      <c r="V492" s="332">
        <v>0</v>
      </c>
      <c r="W492" s="333"/>
      <c r="X492" s="334">
        <v>0</v>
      </c>
      <c r="Y492" s="335">
        <v>0</v>
      </c>
      <c r="AA492" s="388"/>
    </row>
    <row r="493" spans="1:27" hidden="1" collapsed="1" x14ac:dyDescent="0.3">
      <c r="A493" s="233"/>
      <c r="B493" s="234" t="s">
        <v>24</v>
      </c>
      <c r="D493" s="293" t="s">
        <v>1432</v>
      </c>
      <c r="E493" s="294"/>
      <c r="F493" s="295" t="s">
        <v>1433</v>
      </c>
      <c r="G493" s="296"/>
      <c r="H493" s="297"/>
      <c r="I493" s="298"/>
      <c r="J493" s="299">
        <v>3848296.3760000002</v>
      </c>
      <c r="K493" s="300">
        <v>3468329.1320000002</v>
      </c>
      <c r="L493" s="300">
        <v>5952542.6749999998</v>
      </c>
      <c r="M493" s="300">
        <v>4199438.5590000004</v>
      </c>
      <c r="N493" s="300">
        <v>4318043.3010000009</v>
      </c>
      <c r="O493" s="300">
        <v>4081129.6380000003</v>
      </c>
      <c r="P493" s="300">
        <v>5223915.4459999995</v>
      </c>
      <c r="Q493" s="300">
        <v>3562735.8880000003</v>
      </c>
      <c r="R493" s="300">
        <v>3878956.9580000006</v>
      </c>
      <c r="S493" s="300">
        <v>4159911.6409999998</v>
      </c>
      <c r="T493" s="300">
        <v>3673885.2710000002</v>
      </c>
      <c r="U493" s="301">
        <v>4772897.1420000009</v>
      </c>
      <c r="V493" s="302">
        <v>51140082.026999995</v>
      </c>
      <c r="W493" s="303"/>
      <c r="X493" s="304">
        <v>4772897.1420000009</v>
      </c>
      <c r="Y493" s="305">
        <v>51140082.026999995</v>
      </c>
      <c r="AA493" s="388"/>
    </row>
    <row r="494" spans="1:27" hidden="1" outlineLevel="1" x14ac:dyDescent="0.3">
      <c r="E494" s="250" t="s">
        <v>1434</v>
      </c>
      <c r="F494" s="317">
        <v>4302902</v>
      </c>
      <c r="G494" s="318"/>
      <c r="H494" s="319">
        <v>5101310105</v>
      </c>
      <c r="I494" s="320"/>
      <c r="J494" s="337">
        <v>25029</v>
      </c>
      <c r="K494" s="321">
        <v>19804.5</v>
      </c>
      <c r="L494" s="321">
        <v>49366.5</v>
      </c>
      <c r="M494" s="321">
        <v>41280</v>
      </c>
      <c r="N494" s="321">
        <v>41520</v>
      </c>
      <c r="O494" s="321">
        <v>83356</v>
      </c>
      <c r="P494" s="321">
        <v>36072</v>
      </c>
      <c r="Q494" s="321">
        <v>24600</v>
      </c>
      <c r="R494" s="321">
        <v>54348</v>
      </c>
      <c r="S494" s="321">
        <v>59880</v>
      </c>
      <c r="T494" s="321">
        <v>25680</v>
      </c>
      <c r="U494" s="322">
        <v>30840</v>
      </c>
      <c r="V494" s="323">
        <v>491776</v>
      </c>
      <c r="W494" s="303"/>
      <c r="X494" s="324">
        <v>30840</v>
      </c>
      <c r="Y494" s="325">
        <v>491776</v>
      </c>
      <c r="AA494" s="388"/>
    </row>
    <row r="495" spans="1:27" hidden="1" outlineLevel="1" x14ac:dyDescent="0.3">
      <c r="E495" s="250" t="s">
        <v>1435</v>
      </c>
      <c r="F495" s="317">
        <v>4302903</v>
      </c>
      <c r="G495" s="318"/>
      <c r="H495" s="319">
        <v>5101310103</v>
      </c>
      <c r="I495" s="320"/>
      <c r="J495" s="337">
        <v>101312.254</v>
      </c>
      <c r="K495" s="321">
        <v>93021.388000000006</v>
      </c>
      <c r="L495" s="321">
        <v>466421.47600000002</v>
      </c>
      <c r="M495" s="321">
        <v>116026.189</v>
      </c>
      <c r="N495" s="321">
        <v>443370.76300000004</v>
      </c>
      <c r="O495" s="321">
        <v>373057.79</v>
      </c>
      <c r="P495" s="321">
        <v>206409.07399999999</v>
      </c>
      <c r="Q495" s="321">
        <v>136700.014</v>
      </c>
      <c r="R495" s="321">
        <v>313153.12300000002</v>
      </c>
      <c r="S495" s="321">
        <v>116409.97500000001</v>
      </c>
      <c r="T495" s="321">
        <v>162952.19</v>
      </c>
      <c r="U495" s="322">
        <v>696919.44400000002</v>
      </c>
      <c r="V495" s="323">
        <v>3225753.68</v>
      </c>
      <c r="W495" s="303"/>
      <c r="X495" s="324">
        <v>696919.44400000002</v>
      </c>
      <c r="Y495" s="325">
        <v>3225753.68</v>
      </c>
      <c r="AA495" s="388"/>
    </row>
    <row r="496" spans="1:27" hidden="1" outlineLevel="1" x14ac:dyDescent="0.3">
      <c r="E496" s="250" t="s">
        <v>1436</v>
      </c>
      <c r="F496" s="317">
        <v>4302904</v>
      </c>
      <c r="G496" s="318"/>
      <c r="H496" s="319"/>
      <c r="I496" s="320"/>
      <c r="J496" s="337">
        <v>137691.36300000001</v>
      </c>
      <c r="K496" s="321">
        <v>107878.327</v>
      </c>
      <c r="L496" s="321">
        <v>126814.49</v>
      </c>
      <c r="M496" s="321">
        <v>129149.939</v>
      </c>
      <c r="N496" s="321">
        <v>124661.822</v>
      </c>
      <c r="O496" s="321">
        <v>84440.142999999996</v>
      </c>
      <c r="P496" s="321">
        <v>88149.797999999995</v>
      </c>
      <c r="Q496" s="321">
        <v>121011.561</v>
      </c>
      <c r="R496" s="321">
        <v>97138.903999999995</v>
      </c>
      <c r="S496" s="321">
        <v>78649.899999999994</v>
      </c>
      <c r="T496" s="321">
        <v>109987.99400000001</v>
      </c>
      <c r="U496" s="322">
        <v>89647.441000000006</v>
      </c>
      <c r="V496" s="323">
        <v>1295221.682</v>
      </c>
      <c r="W496" s="303"/>
      <c r="X496" s="324">
        <v>89647.441000000006</v>
      </c>
      <c r="Y496" s="325">
        <v>1295221.682</v>
      </c>
      <c r="AA496" s="388"/>
    </row>
    <row r="497" spans="1:27" hidden="1" outlineLevel="1" x14ac:dyDescent="0.3">
      <c r="E497" s="250" t="s">
        <v>1437</v>
      </c>
      <c r="F497" s="317">
        <v>4302906</v>
      </c>
      <c r="G497" s="318"/>
      <c r="H497" s="319">
        <v>5101310101</v>
      </c>
      <c r="I497" s="320"/>
      <c r="J497" s="337">
        <v>0</v>
      </c>
      <c r="K497" s="321">
        <v>0</v>
      </c>
      <c r="L497" s="321">
        <v>0</v>
      </c>
      <c r="M497" s="321">
        <v>0</v>
      </c>
      <c r="N497" s="321">
        <v>0</v>
      </c>
      <c r="O497" s="321">
        <v>0</v>
      </c>
      <c r="P497" s="321">
        <v>0</v>
      </c>
      <c r="Q497" s="321">
        <v>0</v>
      </c>
      <c r="R497" s="321">
        <v>0</v>
      </c>
      <c r="S497" s="321">
        <v>0</v>
      </c>
      <c r="T497" s="321">
        <v>0</v>
      </c>
      <c r="U497" s="322">
        <v>0</v>
      </c>
      <c r="V497" s="323">
        <v>0</v>
      </c>
      <c r="W497" s="303"/>
      <c r="X497" s="324">
        <v>0</v>
      </c>
      <c r="Y497" s="325">
        <v>0</v>
      </c>
      <c r="AA497" s="388"/>
    </row>
    <row r="498" spans="1:27" hidden="1" outlineLevel="1" x14ac:dyDescent="0.3">
      <c r="E498" s="250" t="s">
        <v>1438</v>
      </c>
      <c r="F498" s="317">
        <v>4302907</v>
      </c>
      <c r="G498" s="318"/>
      <c r="H498" s="319"/>
      <c r="I498" s="320"/>
      <c r="J498" s="337">
        <v>1471331.3729999999</v>
      </c>
      <c r="K498" s="321">
        <v>1329806.5930000001</v>
      </c>
      <c r="L498" s="321">
        <v>1257417.6429999999</v>
      </c>
      <c r="M498" s="321">
        <v>1324899.585</v>
      </c>
      <c r="N498" s="321">
        <v>1432380.4210000001</v>
      </c>
      <c r="O498" s="321">
        <v>1266286.95</v>
      </c>
      <c r="P498" s="321">
        <v>1097430.115</v>
      </c>
      <c r="Q498" s="321">
        <v>973514.73800000001</v>
      </c>
      <c r="R498" s="321">
        <v>683831.32299999997</v>
      </c>
      <c r="S498" s="321">
        <v>905810.32499999995</v>
      </c>
      <c r="T498" s="321">
        <v>933244.01800000004</v>
      </c>
      <c r="U498" s="322">
        <v>924339.50800000003</v>
      </c>
      <c r="V498" s="323">
        <v>13600292.591999998</v>
      </c>
      <c r="W498" s="303"/>
      <c r="X498" s="324">
        <v>924339.50800000003</v>
      </c>
      <c r="Y498" s="325">
        <v>13600292.591999998</v>
      </c>
      <c r="AA498" s="388"/>
    </row>
    <row r="499" spans="1:27" hidden="1" outlineLevel="1" x14ac:dyDescent="0.3">
      <c r="E499" s="250" t="s">
        <v>1439</v>
      </c>
      <c r="F499" s="317">
        <v>4302908</v>
      </c>
      <c r="G499" s="318"/>
      <c r="H499" s="319">
        <v>5101310199</v>
      </c>
      <c r="I499" s="320"/>
      <c r="J499" s="337">
        <v>1800</v>
      </c>
      <c r="K499" s="321">
        <v>0</v>
      </c>
      <c r="L499" s="321">
        <v>0</v>
      </c>
      <c r="M499" s="321">
        <v>0</v>
      </c>
      <c r="N499" s="321">
        <v>750</v>
      </c>
      <c r="O499" s="321">
        <v>0</v>
      </c>
      <c r="P499" s="321">
        <v>0</v>
      </c>
      <c r="Q499" s="321">
        <v>0</v>
      </c>
      <c r="R499" s="321">
        <v>0</v>
      </c>
      <c r="S499" s="321">
        <v>0</v>
      </c>
      <c r="T499" s="321">
        <v>0</v>
      </c>
      <c r="U499" s="322">
        <v>0</v>
      </c>
      <c r="V499" s="323">
        <v>2550</v>
      </c>
      <c r="W499" s="303"/>
      <c r="X499" s="324">
        <v>0</v>
      </c>
      <c r="Y499" s="325">
        <v>2550</v>
      </c>
      <c r="AA499" s="388"/>
    </row>
    <row r="500" spans="1:27" s="350" customFormat="1" hidden="1" outlineLevel="2" x14ac:dyDescent="0.3">
      <c r="E500" s="350" t="s">
        <v>1440</v>
      </c>
      <c r="F500" s="306">
        <v>4302999</v>
      </c>
      <c r="G500" s="307"/>
      <c r="H500" s="308"/>
      <c r="I500" s="309"/>
      <c r="J500" s="310">
        <v>2111132.3859999999</v>
      </c>
      <c r="K500" s="311">
        <v>1917818.3240000003</v>
      </c>
      <c r="L500" s="311">
        <v>4052522.5659999996</v>
      </c>
      <c r="M500" s="311">
        <v>2588082.8459999999</v>
      </c>
      <c r="N500" s="311">
        <v>2275360.2950000004</v>
      </c>
      <c r="O500" s="311">
        <v>2273988.7550000004</v>
      </c>
      <c r="P500" s="311">
        <v>3795854.4589999998</v>
      </c>
      <c r="Q500" s="311">
        <v>2306909.5750000002</v>
      </c>
      <c r="R500" s="311">
        <v>2730485.6080000005</v>
      </c>
      <c r="S500" s="311">
        <v>2999161.4410000001</v>
      </c>
      <c r="T500" s="311">
        <v>2442021.0690000001</v>
      </c>
      <c r="U500" s="312">
        <v>3031150.7490000003</v>
      </c>
      <c r="V500" s="313">
        <v>32524488.073000003</v>
      </c>
      <c r="W500" s="314"/>
      <c r="X500" s="315">
        <v>3031150.7490000003</v>
      </c>
      <c r="Y500" s="316">
        <v>32524488.073000003</v>
      </c>
      <c r="AA500" s="388"/>
    </row>
    <row r="501" spans="1:27" s="361" customFormat="1" hidden="1" outlineLevel="2" x14ac:dyDescent="0.3">
      <c r="E501" s="326" t="s">
        <v>1441</v>
      </c>
      <c r="F501" s="351"/>
      <c r="G501" s="352"/>
      <c r="H501" s="353"/>
      <c r="I501" s="354"/>
      <c r="J501" s="362">
        <v>0</v>
      </c>
      <c r="K501" s="355">
        <v>0</v>
      </c>
      <c r="L501" s="355">
        <v>0</v>
      </c>
      <c r="M501" s="355">
        <v>0</v>
      </c>
      <c r="N501" s="355">
        <v>0</v>
      </c>
      <c r="O501" s="355">
        <v>0</v>
      </c>
      <c r="P501" s="355">
        <v>0</v>
      </c>
      <c r="Q501" s="355">
        <v>0</v>
      </c>
      <c r="R501" s="355">
        <v>0</v>
      </c>
      <c r="S501" s="355">
        <v>0</v>
      </c>
      <c r="T501" s="355">
        <v>0</v>
      </c>
      <c r="U501" s="356">
        <v>0</v>
      </c>
      <c r="V501" s="357">
        <v>0</v>
      </c>
      <c r="W501" s="358"/>
      <c r="X501" s="359">
        <v>0</v>
      </c>
      <c r="Y501" s="360">
        <v>0</v>
      </c>
      <c r="AA501" s="388"/>
    </row>
    <row r="502" spans="1:27" s="361" customFormat="1" hidden="1" outlineLevel="2" x14ac:dyDescent="0.3">
      <c r="E502" s="326" t="s">
        <v>1442</v>
      </c>
      <c r="F502" s="351"/>
      <c r="G502" s="352"/>
      <c r="H502" s="353"/>
      <c r="I502" s="354"/>
      <c r="J502" s="362">
        <v>0</v>
      </c>
      <c r="K502" s="355">
        <v>0</v>
      </c>
      <c r="L502" s="355">
        <v>0</v>
      </c>
      <c r="M502" s="355">
        <v>0</v>
      </c>
      <c r="N502" s="355">
        <v>0</v>
      </c>
      <c r="O502" s="355">
        <v>0</v>
      </c>
      <c r="P502" s="355">
        <v>0</v>
      </c>
      <c r="Q502" s="355">
        <v>0</v>
      </c>
      <c r="R502" s="355">
        <v>0</v>
      </c>
      <c r="S502" s="355">
        <v>0</v>
      </c>
      <c r="T502" s="355">
        <v>0</v>
      </c>
      <c r="U502" s="356">
        <v>0</v>
      </c>
      <c r="V502" s="357">
        <v>0</v>
      </c>
      <c r="W502" s="358"/>
      <c r="X502" s="359">
        <v>0</v>
      </c>
      <c r="Y502" s="360">
        <v>0</v>
      </c>
      <c r="AA502" s="388"/>
    </row>
    <row r="503" spans="1:27" s="361" customFormat="1" hidden="1" outlineLevel="2" x14ac:dyDescent="0.3">
      <c r="E503" s="326" t="s">
        <v>1443</v>
      </c>
      <c r="F503" s="351"/>
      <c r="G503" s="352"/>
      <c r="H503" s="353"/>
      <c r="I503" s="354"/>
      <c r="J503" s="362">
        <v>0</v>
      </c>
      <c r="K503" s="355">
        <v>0</v>
      </c>
      <c r="L503" s="355">
        <v>0</v>
      </c>
      <c r="M503" s="355">
        <v>0</v>
      </c>
      <c r="N503" s="355">
        <v>0</v>
      </c>
      <c r="O503" s="355">
        <v>0</v>
      </c>
      <c r="P503" s="355">
        <v>0</v>
      </c>
      <c r="Q503" s="355">
        <v>0</v>
      </c>
      <c r="R503" s="355">
        <v>0</v>
      </c>
      <c r="S503" s="355">
        <v>0</v>
      </c>
      <c r="T503" s="355">
        <v>0</v>
      </c>
      <c r="U503" s="356">
        <v>0</v>
      </c>
      <c r="V503" s="357">
        <v>0</v>
      </c>
      <c r="W503" s="358"/>
      <c r="X503" s="359">
        <v>0</v>
      </c>
      <c r="Y503" s="360">
        <v>0</v>
      </c>
      <c r="AA503" s="388"/>
    </row>
    <row r="504" spans="1:27" hidden="1" collapsed="1" x14ac:dyDescent="0.3">
      <c r="A504" s="233"/>
      <c r="B504" s="234" t="s">
        <v>25</v>
      </c>
      <c r="D504" s="293" t="s">
        <v>1444</v>
      </c>
      <c r="E504" s="294"/>
      <c r="F504" s="295" t="s">
        <v>1445</v>
      </c>
      <c r="G504" s="296"/>
      <c r="H504" s="297"/>
      <c r="I504" s="298"/>
      <c r="J504" s="299">
        <v>3552745.45</v>
      </c>
      <c r="K504" s="300">
        <v>3070489.1010000003</v>
      </c>
      <c r="L504" s="300">
        <v>4654490.0130000003</v>
      </c>
      <c r="M504" s="300">
        <v>3509706.824</v>
      </c>
      <c r="N504" s="300">
        <v>4905819.6739999996</v>
      </c>
      <c r="O504" s="300">
        <v>4607111.2709999997</v>
      </c>
      <c r="P504" s="300">
        <v>6661010.1899999995</v>
      </c>
      <c r="Q504" s="300">
        <v>5698737.3140000002</v>
      </c>
      <c r="R504" s="300">
        <v>3530743.6269999985</v>
      </c>
      <c r="S504" s="300">
        <v>7794537.3100000015</v>
      </c>
      <c r="T504" s="300">
        <v>4701882.2709999997</v>
      </c>
      <c r="U504" s="301">
        <v>8863364.5050000008</v>
      </c>
      <c r="V504" s="302">
        <v>61550637.550000004</v>
      </c>
      <c r="W504" s="303"/>
      <c r="X504" s="304">
        <v>8863364.5050000008</v>
      </c>
      <c r="Y504" s="305">
        <v>61550637.550000004</v>
      </c>
      <c r="AA504" s="388"/>
    </row>
    <row r="505" spans="1:27" hidden="1" outlineLevel="1" x14ac:dyDescent="0.3">
      <c r="E505" s="250" t="s">
        <v>1446</v>
      </c>
      <c r="F505" s="317">
        <v>4303201</v>
      </c>
      <c r="G505" s="318"/>
      <c r="H505" s="319">
        <v>5101330101</v>
      </c>
      <c r="I505" s="320"/>
      <c r="J505" s="337">
        <v>1004990.031</v>
      </c>
      <c r="K505" s="321">
        <v>1137711.1340000001</v>
      </c>
      <c r="L505" s="321">
        <v>1607524.78</v>
      </c>
      <c r="M505" s="321">
        <v>1240983.0379999999</v>
      </c>
      <c r="N505" s="321">
        <v>1781752.112</v>
      </c>
      <c r="O505" s="321">
        <v>1075755.0280000002</v>
      </c>
      <c r="P505" s="321">
        <v>2095694.5160000001</v>
      </c>
      <c r="Q505" s="321">
        <v>-2646929.6849999996</v>
      </c>
      <c r="R505" s="321">
        <v>1364174.5939999998</v>
      </c>
      <c r="S505" s="321">
        <v>1278987.2210000001</v>
      </c>
      <c r="T505" s="321">
        <v>466009.38499999995</v>
      </c>
      <c r="U505" s="322">
        <v>563928.47200000007</v>
      </c>
      <c r="V505" s="323">
        <v>10970580.626000002</v>
      </c>
      <c r="W505" s="303"/>
      <c r="X505" s="324">
        <v>563928.47200000007</v>
      </c>
      <c r="Y505" s="325">
        <v>10970580.626000002</v>
      </c>
      <c r="AA505" s="388"/>
    </row>
    <row r="506" spans="1:27" hidden="1" outlineLevel="1" x14ac:dyDescent="0.3">
      <c r="E506" s="250" t="s">
        <v>1447</v>
      </c>
      <c r="F506" s="317">
        <v>4303202</v>
      </c>
      <c r="G506" s="318"/>
      <c r="H506" s="319">
        <v>5101330103</v>
      </c>
      <c r="I506" s="320"/>
      <c r="J506" s="337">
        <v>0</v>
      </c>
      <c r="K506" s="321">
        <v>0</v>
      </c>
      <c r="L506" s="321">
        <v>0</v>
      </c>
      <c r="M506" s="321">
        <v>0</v>
      </c>
      <c r="N506" s="321">
        <v>4400</v>
      </c>
      <c r="O506" s="321">
        <v>0</v>
      </c>
      <c r="P506" s="321">
        <v>0</v>
      </c>
      <c r="Q506" s="321">
        <v>0</v>
      </c>
      <c r="R506" s="321">
        <v>0</v>
      </c>
      <c r="S506" s="321">
        <v>0</v>
      </c>
      <c r="T506" s="321">
        <v>0</v>
      </c>
      <c r="U506" s="322">
        <v>0</v>
      </c>
      <c r="V506" s="323">
        <v>4400</v>
      </c>
      <c r="W506" s="303"/>
      <c r="X506" s="324">
        <v>0</v>
      </c>
      <c r="Y506" s="325">
        <v>4400</v>
      </c>
      <c r="AA506" s="388"/>
    </row>
    <row r="507" spans="1:27" hidden="1" outlineLevel="1" x14ac:dyDescent="0.3">
      <c r="E507" s="250" t="s">
        <v>1448</v>
      </c>
      <c r="F507" s="317">
        <v>4303203</v>
      </c>
      <c r="G507" s="318"/>
      <c r="H507" s="319">
        <v>5101330105</v>
      </c>
      <c r="I507" s="320"/>
      <c r="J507" s="337">
        <v>6998.9740000000002</v>
      </c>
      <c r="K507" s="321">
        <v>14309.414000000001</v>
      </c>
      <c r="L507" s="321">
        <v>8446.6409999999996</v>
      </c>
      <c r="M507" s="321">
        <v>17677.752</v>
      </c>
      <c r="N507" s="321">
        <v>20843.436999999998</v>
      </c>
      <c r="O507" s="321">
        <v>11277.191999999999</v>
      </c>
      <c r="P507" s="321">
        <v>23304.897000000001</v>
      </c>
      <c r="Q507" s="321">
        <v>20937.833999999999</v>
      </c>
      <c r="R507" s="321">
        <v>19914.452000000001</v>
      </c>
      <c r="S507" s="321">
        <v>20193.392</v>
      </c>
      <c r="T507" s="321">
        <v>8971.0480000000007</v>
      </c>
      <c r="U507" s="322">
        <v>44589.592000000004</v>
      </c>
      <c r="V507" s="323">
        <v>217464.625</v>
      </c>
      <c r="W507" s="303"/>
      <c r="X507" s="324">
        <v>44589.592000000004</v>
      </c>
      <c r="Y507" s="325">
        <v>217464.625</v>
      </c>
      <c r="AA507" s="388"/>
    </row>
    <row r="508" spans="1:27" hidden="1" outlineLevel="1" x14ac:dyDescent="0.3">
      <c r="E508" s="250" t="s">
        <v>1449</v>
      </c>
      <c r="F508" s="317">
        <v>4303204</v>
      </c>
      <c r="G508" s="318"/>
      <c r="H508" s="319">
        <v>5101330199</v>
      </c>
      <c r="I508" s="320"/>
      <c r="J508" s="337">
        <v>19125.303</v>
      </c>
      <c r="K508" s="321">
        <v>0</v>
      </c>
      <c r="L508" s="321">
        <v>0</v>
      </c>
      <c r="M508" s="321">
        <v>0</v>
      </c>
      <c r="N508" s="321">
        <v>0</v>
      </c>
      <c r="O508" s="321">
        <v>0</v>
      </c>
      <c r="P508" s="321">
        <v>0</v>
      </c>
      <c r="Q508" s="321">
        <v>0</v>
      </c>
      <c r="R508" s="321">
        <v>5150</v>
      </c>
      <c r="S508" s="321">
        <v>13569.119000000001</v>
      </c>
      <c r="T508" s="321">
        <v>0</v>
      </c>
      <c r="U508" s="322">
        <v>5400</v>
      </c>
      <c r="V508" s="323">
        <v>43244.421999999999</v>
      </c>
      <c r="W508" s="303"/>
      <c r="X508" s="324">
        <v>5400</v>
      </c>
      <c r="Y508" s="325">
        <v>43244.421999999999</v>
      </c>
      <c r="AA508" s="388"/>
    </row>
    <row r="509" spans="1:27" hidden="1" outlineLevel="1" x14ac:dyDescent="0.3">
      <c r="E509" s="250" t="s">
        <v>1450</v>
      </c>
      <c r="F509" s="317">
        <v>4303205</v>
      </c>
      <c r="G509" s="318"/>
      <c r="H509" s="319"/>
      <c r="I509" s="320"/>
      <c r="J509" s="337">
        <v>55832.702000000012</v>
      </c>
      <c r="K509" s="321">
        <v>28307.813999999998</v>
      </c>
      <c r="L509" s="321">
        <v>53657.898000000008</v>
      </c>
      <c r="M509" s="321">
        <v>69300.762000000002</v>
      </c>
      <c r="N509" s="321">
        <v>33581.234000000004</v>
      </c>
      <c r="O509" s="321">
        <v>28361.564999999999</v>
      </c>
      <c r="P509" s="321">
        <v>32613.890999999996</v>
      </c>
      <c r="Q509" s="321">
        <v>29656.345999999998</v>
      </c>
      <c r="R509" s="321">
        <v>26856.218000000001</v>
      </c>
      <c r="S509" s="321">
        <v>24368.689000000002</v>
      </c>
      <c r="T509" s="321">
        <v>23484.953999999998</v>
      </c>
      <c r="U509" s="322">
        <v>22409.047000000002</v>
      </c>
      <c r="V509" s="323">
        <v>428431.12000000011</v>
      </c>
      <c r="W509" s="303"/>
      <c r="X509" s="324">
        <v>22409.047000000002</v>
      </c>
      <c r="Y509" s="325">
        <v>428431.12000000011</v>
      </c>
      <c r="AA509" s="388"/>
    </row>
    <row r="510" spans="1:27" hidden="1" outlineLevel="1" x14ac:dyDescent="0.3">
      <c r="E510" s="250" t="s">
        <v>1451</v>
      </c>
      <c r="F510" s="317">
        <v>4303210</v>
      </c>
      <c r="G510" s="318"/>
      <c r="H510" s="319"/>
      <c r="I510" s="320"/>
      <c r="J510" s="337">
        <v>155201.02299999999</v>
      </c>
      <c r="K510" s="321">
        <v>172792.92499999999</v>
      </c>
      <c r="L510" s="321">
        <v>187333.57399999999</v>
      </c>
      <c r="M510" s="321">
        <v>196850.967</v>
      </c>
      <c r="N510" s="321">
        <v>200580.144</v>
      </c>
      <c r="O510" s="321">
        <v>175699.109</v>
      </c>
      <c r="P510" s="321">
        <v>202753.54800000001</v>
      </c>
      <c r="Q510" s="321">
        <v>144790.84899999999</v>
      </c>
      <c r="R510" s="321">
        <v>157966.459</v>
      </c>
      <c r="S510" s="321">
        <v>142117.476</v>
      </c>
      <c r="T510" s="321">
        <v>151950.32699999999</v>
      </c>
      <c r="U510" s="322">
        <v>134018.56</v>
      </c>
      <c r="V510" s="323">
        <v>2022054.9610000001</v>
      </c>
      <c r="W510" s="303"/>
      <c r="X510" s="324">
        <v>134018.56</v>
      </c>
      <c r="Y510" s="325">
        <v>2022054.9610000001</v>
      </c>
      <c r="AA510" s="388"/>
    </row>
    <row r="511" spans="1:27" hidden="1" outlineLevel="1" x14ac:dyDescent="0.3">
      <c r="E511" s="250" t="s">
        <v>1452</v>
      </c>
      <c r="F511" s="317">
        <v>4303214</v>
      </c>
      <c r="G511" s="318"/>
      <c r="H511" s="319"/>
      <c r="I511" s="320"/>
      <c r="J511" s="337">
        <v>0</v>
      </c>
      <c r="K511" s="321">
        <v>0</v>
      </c>
      <c r="L511" s="321">
        <v>0</v>
      </c>
      <c r="M511" s="321">
        <v>0</v>
      </c>
      <c r="N511" s="321">
        <v>0</v>
      </c>
      <c r="O511" s="321">
        <v>0</v>
      </c>
      <c r="P511" s="321">
        <v>0</v>
      </c>
      <c r="Q511" s="321">
        <v>0</v>
      </c>
      <c r="R511" s="321">
        <v>0</v>
      </c>
      <c r="S511" s="321">
        <v>0</v>
      </c>
      <c r="T511" s="321">
        <v>0</v>
      </c>
      <c r="U511" s="322">
        <v>0</v>
      </c>
      <c r="V511" s="323">
        <v>0</v>
      </c>
      <c r="W511" s="303"/>
      <c r="X511" s="324">
        <v>0</v>
      </c>
      <c r="Y511" s="325">
        <v>0</v>
      </c>
      <c r="AA511" s="388"/>
    </row>
    <row r="512" spans="1:27" hidden="1" outlineLevel="1" x14ac:dyDescent="0.3">
      <c r="E512" s="250" t="s">
        <v>1453</v>
      </c>
      <c r="F512" s="317">
        <v>4303215</v>
      </c>
      <c r="G512" s="318"/>
      <c r="H512" s="319"/>
      <c r="I512" s="320"/>
      <c r="J512" s="337">
        <v>459667.73200000002</v>
      </c>
      <c r="K512" s="321">
        <v>428216.08</v>
      </c>
      <c r="L512" s="321">
        <v>534579.40800000005</v>
      </c>
      <c r="M512" s="321">
        <v>538152.97900000005</v>
      </c>
      <c r="N512" s="321">
        <v>591141.66</v>
      </c>
      <c r="O512" s="321">
        <v>629954.90599999996</v>
      </c>
      <c r="P512" s="321">
        <v>667936.00600000005</v>
      </c>
      <c r="Q512" s="321">
        <v>640396.61800000002</v>
      </c>
      <c r="R512" s="321">
        <v>603231.03099999996</v>
      </c>
      <c r="S512" s="321">
        <v>597138.48699999996</v>
      </c>
      <c r="T512" s="321">
        <v>561220.25699999998</v>
      </c>
      <c r="U512" s="322">
        <v>481856.11200000002</v>
      </c>
      <c r="V512" s="323">
        <v>6733491.2759999996</v>
      </c>
      <c r="W512" s="303"/>
      <c r="X512" s="324">
        <v>481856.11200000002</v>
      </c>
      <c r="Y512" s="325">
        <v>6733491.2759999996</v>
      </c>
      <c r="AA512" s="388"/>
    </row>
    <row r="513" spans="1:27" hidden="1" outlineLevel="1" x14ac:dyDescent="0.3">
      <c r="E513" s="250" t="s">
        <v>1454</v>
      </c>
      <c r="F513" s="317">
        <v>4303216</v>
      </c>
      <c r="G513" s="318"/>
      <c r="H513" s="319"/>
      <c r="I513" s="320"/>
      <c r="J513" s="337">
        <v>20000</v>
      </c>
      <c r="K513" s="321">
        <v>20000</v>
      </c>
      <c r="L513" s="321">
        <v>20000</v>
      </c>
      <c r="M513" s="321">
        <v>20000</v>
      </c>
      <c r="N513" s="321">
        <v>20000</v>
      </c>
      <c r="O513" s="321">
        <v>20000</v>
      </c>
      <c r="P513" s="321">
        <v>20000</v>
      </c>
      <c r="Q513" s="321">
        <v>20000</v>
      </c>
      <c r="R513" s="321">
        <v>20000</v>
      </c>
      <c r="S513" s="321">
        <v>20000</v>
      </c>
      <c r="T513" s="321">
        <v>20000</v>
      </c>
      <c r="U513" s="322">
        <v>20000</v>
      </c>
      <c r="V513" s="323">
        <v>240000</v>
      </c>
      <c r="W513" s="303"/>
      <c r="X513" s="324">
        <v>20000</v>
      </c>
      <c r="Y513" s="325">
        <v>240000</v>
      </c>
      <c r="AA513" s="388"/>
    </row>
    <row r="514" spans="1:27" hidden="1" outlineLevel="1" x14ac:dyDescent="0.3">
      <c r="E514" s="250" t="s">
        <v>1455</v>
      </c>
      <c r="F514" s="317">
        <v>4303217</v>
      </c>
      <c r="G514" s="318"/>
      <c r="H514" s="319"/>
      <c r="I514" s="320"/>
      <c r="J514" s="337">
        <v>88214.701000000001</v>
      </c>
      <c r="K514" s="321">
        <v>75765.004000000001</v>
      </c>
      <c r="L514" s="321">
        <v>63654.42</v>
      </c>
      <c r="M514" s="321">
        <v>68081.774999999994</v>
      </c>
      <c r="N514" s="321">
        <v>119570.829</v>
      </c>
      <c r="O514" s="321">
        <v>106921.505</v>
      </c>
      <c r="P514" s="321">
        <v>121892.109</v>
      </c>
      <c r="Q514" s="321">
        <v>108498.90399999999</v>
      </c>
      <c r="R514" s="321">
        <v>69258.98</v>
      </c>
      <c r="S514" s="321">
        <v>110790.822</v>
      </c>
      <c r="T514" s="321">
        <v>83527.573999999993</v>
      </c>
      <c r="U514" s="322">
        <v>88331.914999999994</v>
      </c>
      <c r="V514" s="323">
        <v>1104508.5380000002</v>
      </c>
      <c r="W514" s="303"/>
      <c r="X514" s="324">
        <v>88331.914999999994</v>
      </c>
      <c r="Y514" s="325">
        <v>1104508.5380000002</v>
      </c>
      <c r="AA514" s="388"/>
    </row>
    <row r="515" spans="1:27" hidden="1" outlineLevel="1" x14ac:dyDescent="0.3">
      <c r="E515" s="250" t="s">
        <v>1456</v>
      </c>
      <c r="F515" s="317">
        <v>4303218</v>
      </c>
      <c r="G515" s="318"/>
      <c r="H515" s="319"/>
      <c r="I515" s="320"/>
      <c r="J515" s="337">
        <v>0</v>
      </c>
      <c r="K515" s="321">
        <v>0</v>
      </c>
      <c r="L515" s="321">
        <v>0</v>
      </c>
      <c r="M515" s="321">
        <v>0</v>
      </c>
      <c r="N515" s="321">
        <v>0</v>
      </c>
      <c r="O515" s="321">
        <v>0</v>
      </c>
      <c r="P515" s="321">
        <v>0</v>
      </c>
      <c r="Q515" s="321">
        <v>0</v>
      </c>
      <c r="R515" s="321">
        <v>0</v>
      </c>
      <c r="S515" s="321">
        <v>0</v>
      </c>
      <c r="T515" s="321">
        <v>0</v>
      </c>
      <c r="U515" s="322">
        <v>0</v>
      </c>
      <c r="V515" s="323">
        <v>0</v>
      </c>
      <c r="W515" s="303"/>
      <c r="X515" s="324">
        <v>0</v>
      </c>
      <c r="Y515" s="325">
        <v>0</v>
      </c>
      <c r="AA515" s="388"/>
    </row>
    <row r="516" spans="1:27" hidden="1" outlineLevel="1" x14ac:dyDescent="0.3">
      <c r="E516" s="250" t="s">
        <v>1457</v>
      </c>
      <c r="F516" s="317">
        <v>4303220</v>
      </c>
      <c r="G516" s="318"/>
      <c r="H516" s="319"/>
      <c r="I516" s="320"/>
      <c r="J516" s="337">
        <v>0</v>
      </c>
      <c r="K516" s="321">
        <v>0</v>
      </c>
      <c r="L516" s="321">
        <v>0</v>
      </c>
      <c r="M516" s="321">
        <v>0</v>
      </c>
      <c r="N516" s="321">
        <v>0</v>
      </c>
      <c r="O516" s="321">
        <v>0</v>
      </c>
      <c r="P516" s="321">
        <v>0</v>
      </c>
      <c r="Q516" s="321">
        <v>0</v>
      </c>
      <c r="R516" s="321">
        <v>0</v>
      </c>
      <c r="S516" s="321">
        <v>0</v>
      </c>
      <c r="T516" s="321">
        <v>0</v>
      </c>
      <c r="U516" s="322">
        <v>0</v>
      </c>
      <c r="V516" s="323">
        <v>0</v>
      </c>
      <c r="W516" s="303"/>
      <c r="X516" s="324">
        <v>0</v>
      </c>
      <c r="Y516" s="325">
        <v>0</v>
      </c>
      <c r="AA516" s="388"/>
    </row>
    <row r="517" spans="1:27" hidden="1" outlineLevel="1" x14ac:dyDescent="0.3">
      <c r="E517" s="250" t="s">
        <v>1458</v>
      </c>
      <c r="F517" s="317">
        <v>4303221</v>
      </c>
      <c r="G517" s="318"/>
      <c r="H517" s="319"/>
      <c r="I517" s="320"/>
      <c r="J517" s="337">
        <v>-2630.72</v>
      </c>
      <c r="K517" s="321">
        <v>-1099.395</v>
      </c>
      <c r="L517" s="321">
        <v>0</v>
      </c>
      <c r="M517" s="321">
        <v>0</v>
      </c>
      <c r="N517" s="321">
        <v>0</v>
      </c>
      <c r="O517" s="321">
        <v>0</v>
      </c>
      <c r="P517" s="321">
        <v>0</v>
      </c>
      <c r="Q517" s="321">
        <v>0</v>
      </c>
      <c r="R517" s="321">
        <v>0</v>
      </c>
      <c r="S517" s="321">
        <v>0</v>
      </c>
      <c r="T517" s="321">
        <v>0</v>
      </c>
      <c r="U517" s="322">
        <v>0</v>
      </c>
      <c r="V517" s="323">
        <v>-3730.1149999999998</v>
      </c>
      <c r="W517" s="303"/>
      <c r="X517" s="324">
        <v>0</v>
      </c>
      <c r="Y517" s="325">
        <v>-3730.1149999999998</v>
      </c>
      <c r="AA517" s="388"/>
    </row>
    <row r="518" spans="1:27" hidden="1" outlineLevel="1" x14ac:dyDescent="0.3">
      <c r="E518" s="250" t="s">
        <v>1459</v>
      </c>
      <c r="F518" s="317">
        <v>4303299</v>
      </c>
      <c r="G518" s="318"/>
      <c r="H518" s="319"/>
      <c r="I518" s="320"/>
      <c r="J518" s="337">
        <v>1745345.7039999999</v>
      </c>
      <c r="K518" s="321">
        <v>1194486.125</v>
      </c>
      <c r="L518" s="321">
        <v>2179293.2919999999</v>
      </c>
      <c r="M518" s="321">
        <v>1358659.5509999997</v>
      </c>
      <c r="N518" s="321">
        <v>2133950.2579999999</v>
      </c>
      <c r="O518" s="321">
        <v>2559141.966</v>
      </c>
      <c r="P518" s="321">
        <v>3496815.2229999998</v>
      </c>
      <c r="Q518" s="321">
        <v>7381386.4479999999</v>
      </c>
      <c r="R518" s="321">
        <v>1264191.892999999</v>
      </c>
      <c r="S518" s="321">
        <v>5587372.1040000012</v>
      </c>
      <c r="T518" s="321">
        <v>3386718.7260000003</v>
      </c>
      <c r="U518" s="322">
        <v>7502830.807000001</v>
      </c>
      <c r="V518" s="323">
        <v>39790192.097000003</v>
      </c>
      <c r="W518" s="303"/>
      <c r="X518" s="324">
        <v>7502830.807000001</v>
      </c>
      <c r="Y518" s="325">
        <v>39790192.097000003</v>
      </c>
      <c r="AA518" s="388"/>
    </row>
    <row r="519" spans="1:27" s="361" customFormat="1" hidden="1" outlineLevel="2" x14ac:dyDescent="0.3">
      <c r="E519" s="326" t="s">
        <v>1460</v>
      </c>
      <c r="F519" s="351"/>
      <c r="G519" s="352"/>
      <c r="H519" s="353"/>
      <c r="I519" s="354"/>
      <c r="J519" s="362">
        <v>0</v>
      </c>
      <c r="K519" s="355">
        <v>0</v>
      </c>
      <c r="L519" s="355">
        <v>0</v>
      </c>
      <c r="M519" s="355">
        <v>0</v>
      </c>
      <c r="N519" s="355">
        <v>0</v>
      </c>
      <c r="O519" s="355">
        <v>0</v>
      </c>
      <c r="P519" s="355">
        <v>0</v>
      </c>
      <c r="Q519" s="355">
        <v>0</v>
      </c>
      <c r="R519" s="355">
        <v>0</v>
      </c>
      <c r="S519" s="355">
        <v>0</v>
      </c>
      <c r="T519" s="355">
        <v>0</v>
      </c>
      <c r="U519" s="356">
        <v>0</v>
      </c>
      <c r="V519" s="357">
        <v>0</v>
      </c>
      <c r="W519" s="358"/>
      <c r="X519" s="359">
        <v>0</v>
      </c>
      <c r="Y519" s="360">
        <v>0</v>
      </c>
      <c r="AA519" s="388"/>
    </row>
    <row r="520" spans="1:27" s="361" customFormat="1" hidden="1" outlineLevel="2" x14ac:dyDescent="0.3">
      <c r="E520" s="326" t="s">
        <v>1461</v>
      </c>
      <c r="F520" s="351"/>
      <c r="G520" s="352"/>
      <c r="H520" s="353"/>
      <c r="I520" s="354"/>
      <c r="J520" s="362">
        <v>0</v>
      </c>
      <c r="K520" s="355">
        <v>0</v>
      </c>
      <c r="L520" s="355">
        <v>0</v>
      </c>
      <c r="M520" s="355">
        <v>0</v>
      </c>
      <c r="N520" s="355">
        <v>0</v>
      </c>
      <c r="O520" s="355">
        <v>0</v>
      </c>
      <c r="P520" s="355">
        <v>0</v>
      </c>
      <c r="Q520" s="355">
        <v>0</v>
      </c>
      <c r="R520" s="355">
        <v>0</v>
      </c>
      <c r="S520" s="355">
        <v>0</v>
      </c>
      <c r="T520" s="355">
        <v>0</v>
      </c>
      <c r="U520" s="356">
        <v>0</v>
      </c>
      <c r="V520" s="357">
        <v>0</v>
      </c>
      <c r="W520" s="358"/>
      <c r="X520" s="359">
        <v>0</v>
      </c>
      <c r="Y520" s="360">
        <v>0</v>
      </c>
      <c r="AA520" s="388"/>
    </row>
    <row r="521" spans="1:27" s="361" customFormat="1" hidden="1" outlineLevel="2" x14ac:dyDescent="0.3">
      <c r="E521" s="326" t="s">
        <v>1462</v>
      </c>
      <c r="F521" s="351"/>
      <c r="G521" s="352"/>
      <c r="H521" s="353"/>
      <c r="I521" s="354"/>
      <c r="J521" s="362">
        <v>0</v>
      </c>
      <c r="K521" s="355">
        <v>0</v>
      </c>
      <c r="L521" s="355">
        <v>0</v>
      </c>
      <c r="M521" s="355">
        <v>0</v>
      </c>
      <c r="N521" s="355">
        <v>0</v>
      </c>
      <c r="O521" s="355">
        <v>0</v>
      </c>
      <c r="P521" s="355">
        <v>0</v>
      </c>
      <c r="Q521" s="355">
        <v>0</v>
      </c>
      <c r="R521" s="355">
        <v>0</v>
      </c>
      <c r="S521" s="355">
        <v>0</v>
      </c>
      <c r="T521" s="355">
        <v>0</v>
      </c>
      <c r="U521" s="356">
        <v>0</v>
      </c>
      <c r="V521" s="357">
        <v>0</v>
      </c>
      <c r="W521" s="358"/>
      <c r="X521" s="359">
        <v>0</v>
      </c>
      <c r="Y521" s="360">
        <v>0</v>
      </c>
      <c r="AA521" s="388"/>
    </row>
    <row r="522" spans="1:27" hidden="1" collapsed="1" x14ac:dyDescent="0.3">
      <c r="A522" s="233"/>
      <c r="B522" s="234" t="s">
        <v>26</v>
      </c>
      <c r="D522" s="293" t="s">
        <v>1463</v>
      </c>
      <c r="E522" s="294"/>
      <c r="F522" s="295" t="s">
        <v>1464</v>
      </c>
      <c r="G522" s="296"/>
      <c r="H522" s="297"/>
      <c r="I522" s="298"/>
      <c r="J522" s="299">
        <v>721962.54800000007</v>
      </c>
      <c r="K522" s="300">
        <v>719805.39500000002</v>
      </c>
      <c r="L522" s="300">
        <v>626359.89599999995</v>
      </c>
      <c r="M522" s="300">
        <v>687871.29499999993</v>
      </c>
      <c r="N522" s="300">
        <v>560680.81299999997</v>
      </c>
      <c r="O522" s="300">
        <v>610471.8949999999</v>
      </c>
      <c r="P522" s="300">
        <v>567488.55000000005</v>
      </c>
      <c r="Q522" s="300">
        <v>562583.55500000005</v>
      </c>
      <c r="R522" s="300">
        <v>624428.55099999998</v>
      </c>
      <c r="S522" s="300">
        <v>652273.91200000001</v>
      </c>
      <c r="T522" s="300">
        <v>370858.96600000001</v>
      </c>
      <c r="U522" s="301">
        <v>875597.82200000004</v>
      </c>
      <c r="V522" s="302">
        <v>7580383.1979999999</v>
      </c>
      <c r="W522" s="303"/>
      <c r="X522" s="304">
        <v>875597.82200000004</v>
      </c>
      <c r="Y522" s="305">
        <v>7580383.1979999999</v>
      </c>
      <c r="AA522" s="388"/>
    </row>
    <row r="523" spans="1:27" hidden="1" outlineLevel="1" x14ac:dyDescent="0.3">
      <c r="E523" s="250" t="s">
        <v>1465</v>
      </c>
      <c r="F523" s="317">
        <v>4303501</v>
      </c>
      <c r="G523" s="318"/>
      <c r="H523" s="319">
        <v>5101350101</v>
      </c>
      <c r="I523" s="320"/>
      <c r="J523" s="337">
        <v>95109.3</v>
      </c>
      <c r="K523" s="321">
        <v>26213.11</v>
      </c>
      <c r="L523" s="321">
        <v>16912.88</v>
      </c>
      <c r="M523" s="321">
        <v>52783.44</v>
      </c>
      <c r="N523" s="321">
        <v>27342.38</v>
      </c>
      <c r="O523" s="321">
        <v>21668</v>
      </c>
      <c r="P523" s="321">
        <v>30040.379999999997</v>
      </c>
      <c r="Q523" s="321">
        <v>21369.48</v>
      </c>
      <c r="R523" s="321">
        <v>21512.65</v>
      </c>
      <c r="S523" s="321">
        <v>28366.57</v>
      </c>
      <c r="T523" s="321">
        <v>16867.29</v>
      </c>
      <c r="U523" s="322">
        <v>43879.740000000005</v>
      </c>
      <c r="V523" s="323">
        <v>402065.22</v>
      </c>
      <c r="W523" s="303"/>
      <c r="X523" s="324">
        <v>43879.740000000005</v>
      </c>
      <c r="Y523" s="325">
        <v>402065.22</v>
      </c>
      <c r="AA523" s="388"/>
    </row>
    <row r="524" spans="1:27" hidden="1" outlineLevel="1" x14ac:dyDescent="0.3">
      <c r="E524" s="250" t="s">
        <v>1466</v>
      </c>
      <c r="F524" s="317">
        <v>4303502</v>
      </c>
      <c r="G524" s="318"/>
      <c r="H524" s="319">
        <v>5101350103</v>
      </c>
      <c r="I524" s="320"/>
      <c r="J524" s="337">
        <v>37599.816000000006</v>
      </c>
      <c r="K524" s="321">
        <v>44972.719000000005</v>
      </c>
      <c r="L524" s="321">
        <v>48064.606</v>
      </c>
      <c r="M524" s="321">
        <v>48203.24</v>
      </c>
      <c r="N524" s="321">
        <v>48427.82</v>
      </c>
      <c r="O524" s="321">
        <v>72078.509999999995</v>
      </c>
      <c r="P524" s="321">
        <v>63110.224000000002</v>
      </c>
      <c r="Q524" s="321">
        <v>40979.534</v>
      </c>
      <c r="R524" s="321">
        <v>70952.540999999997</v>
      </c>
      <c r="S524" s="321">
        <v>57798.622000000003</v>
      </c>
      <c r="T524" s="321">
        <v>84064.413</v>
      </c>
      <c r="U524" s="322">
        <v>72374.112999999998</v>
      </c>
      <c r="V524" s="323">
        <v>688626.15799999994</v>
      </c>
      <c r="W524" s="303"/>
      <c r="X524" s="324">
        <v>72374.112999999998</v>
      </c>
      <c r="Y524" s="325">
        <v>688626.15799999994</v>
      </c>
      <c r="AA524" s="388"/>
    </row>
    <row r="525" spans="1:27" hidden="1" outlineLevel="1" x14ac:dyDescent="0.3">
      <c r="E525" s="250" t="s">
        <v>1467</v>
      </c>
      <c r="F525" s="317">
        <v>4303504</v>
      </c>
      <c r="G525" s="318"/>
      <c r="H525" s="319">
        <v>5101350105</v>
      </c>
      <c r="I525" s="320"/>
      <c r="J525" s="337">
        <v>586966.99200000009</v>
      </c>
      <c r="K525" s="321">
        <v>536186.35400000005</v>
      </c>
      <c r="L525" s="321">
        <v>552773.84</v>
      </c>
      <c r="M525" s="321">
        <v>576332.71</v>
      </c>
      <c r="N525" s="321">
        <v>476811.41599999997</v>
      </c>
      <c r="O525" s="321">
        <v>507680.685</v>
      </c>
      <c r="P525" s="321">
        <v>471271.25900000002</v>
      </c>
      <c r="Q525" s="321">
        <v>489995.40499999997</v>
      </c>
      <c r="R525" s="321">
        <v>523467.76</v>
      </c>
      <c r="S525" s="321">
        <v>539212.36800000002</v>
      </c>
      <c r="T525" s="321">
        <v>268213.26299999998</v>
      </c>
      <c r="U525" s="322">
        <v>725306.27300000004</v>
      </c>
      <c r="V525" s="323">
        <v>6254218.3250000002</v>
      </c>
      <c r="W525" s="303"/>
      <c r="X525" s="324">
        <v>725306.27300000004</v>
      </c>
      <c r="Y525" s="325">
        <v>6254218.3250000002</v>
      </c>
      <c r="AA525" s="388"/>
    </row>
    <row r="526" spans="1:27" hidden="1" outlineLevel="1" x14ac:dyDescent="0.3">
      <c r="E526" s="250" t="s">
        <v>1468</v>
      </c>
      <c r="F526" s="317">
        <v>4303599</v>
      </c>
      <c r="G526" s="318"/>
      <c r="H526" s="319">
        <v>5101350199</v>
      </c>
      <c r="I526" s="320"/>
      <c r="J526" s="337">
        <v>2286.44</v>
      </c>
      <c r="K526" s="321">
        <v>112433.212</v>
      </c>
      <c r="L526" s="321">
        <v>8608.570000000007</v>
      </c>
      <c r="M526" s="321">
        <v>10551.904999999999</v>
      </c>
      <c r="N526" s="321">
        <v>8099.1970000000001</v>
      </c>
      <c r="O526" s="321">
        <v>9044.7000000000007</v>
      </c>
      <c r="P526" s="321">
        <v>3066.6869999999999</v>
      </c>
      <c r="Q526" s="321">
        <v>10239.136</v>
      </c>
      <c r="R526" s="321">
        <v>8495.6</v>
      </c>
      <c r="S526" s="321">
        <v>26896.351999999999</v>
      </c>
      <c r="T526" s="321">
        <v>1714</v>
      </c>
      <c r="U526" s="322">
        <v>34037.695999999996</v>
      </c>
      <c r="V526" s="323">
        <v>235473.49500000005</v>
      </c>
      <c r="W526" s="303"/>
      <c r="X526" s="324">
        <v>34037.695999999996</v>
      </c>
      <c r="Y526" s="325">
        <v>235473.49500000005</v>
      </c>
      <c r="AA526" s="388"/>
    </row>
    <row r="527" spans="1:27" s="326" customFormat="1" hidden="1" outlineLevel="2" x14ac:dyDescent="0.3">
      <c r="E527" s="326" t="s">
        <v>1469</v>
      </c>
      <c r="F527" s="336"/>
      <c r="G527" s="327"/>
      <c r="H527" s="328"/>
      <c r="I527" s="329"/>
      <c r="J527" s="338">
        <v>0</v>
      </c>
      <c r="K527" s="330">
        <v>0</v>
      </c>
      <c r="L527" s="330">
        <v>0</v>
      </c>
      <c r="M527" s="330">
        <v>0</v>
      </c>
      <c r="N527" s="330">
        <v>0</v>
      </c>
      <c r="O527" s="330">
        <v>0</v>
      </c>
      <c r="P527" s="330">
        <v>0</v>
      </c>
      <c r="Q527" s="330">
        <v>0</v>
      </c>
      <c r="R527" s="330">
        <v>0</v>
      </c>
      <c r="S527" s="330">
        <v>0</v>
      </c>
      <c r="T527" s="330">
        <v>0</v>
      </c>
      <c r="U527" s="331">
        <v>0</v>
      </c>
      <c r="V527" s="332">
        <v>0</v>
      </c>
      <c r="W527" s="333"/>
      <c r="X527" s="334">
        <v>0</v>
      </c>
      <c r="Y527" s="335">
        <v>0</v>
      </c>
      <c r="AA527" s="388"/>
    </row>
    <row r="528" spans="1:27" s="326" customFormat="1" hidden="1" outlineLevel="2" x14ac:dyDescent="0.3">
      <c r="E528" s="326" t="s">
        <v>1470</v>
      </c>
      <c r="F528" s="336"/>
      <c r="G528" s="327"/>
      <c r="H528" s="328"/>
      <c r="I528" s="329"/>
      <c r="J528" s="338">
        <v>0</v>
      </c>
      <c r="K528" s="330">
        <v>0</v>
      </c>
      <c r="L528" s="330">
        <v>0</v>
      </c>
      <c r="M528" s="330">
        <v>0</v>
      </c>
      <c r="N528" s="330">
        <v>0</v>
      </c>
      <c r="O528" s="330">
        <v>0</v>
      </c>
      <c r="P528" s="330">
        <v>0</v>
      </c>
      <c r="Q528" s="330">
        <v>0</v>
      </c>
      <c r="R528" s="330">
        <v>0</v>
      </c>
      <c r="S528" s="330">
        <v>0</v>
      </c>
      <c r="T528" s="330">
        <v>0</v>
      </c>
      <c r="U528" s="331">
        <v>0</v>
      </c>
      <c r="V528" s="332">
        <v>0</v>
      </c>
      <c r="W528" s="333"/>
      <c r="X528" s="334">
        <v>0</v>
      </c>
      <c r="Y528" s="335">
        <v>0</v>
      </c>
      <c r="AA528" s="388"/>
    </row>
    <row r="529" spans="1:27" s="326" customFormat="1" hidden="1" outlineLevel="2" x14ac:dyDescent="0.3">
      <c r="E529" s="326" t="s">
        <v>1471</v>
      </c>
      <c r="F529" s="336"/>
      <c r="G529" s="327"/>
      <c r="H529" s="328"/>
      <c r="I529" s="329"/>
      <c r="J529" s="338">
        <v>0</v>
      </c>
      <c r="K529" s="330">
        <v>0</v>
      </c>
      <c r="L529" s="330">
        <v>0</v>
      </c>
      <c r="M529" s="330">
        <v>0</v>
      </c>
      <c r="N529" s="330">
        <v>0</v>
      </c>
      <c r="O529" s="330">
        <v>0</v>
      </c>
      <c r="P529" s="330">
        <v>0</v>
      </c>
      <c r="Q529" s="330">
        <v>0</v>
      </c>
      <c r="R529" s="330">
        <v>0</v>
      </c>
      <c r="S529" s="330">
        <v>0</v>
      </c>
      <c r="T529" s="330">
        <v>0</v>
      </c>
      <c r="U529" s="331">
        <v>0</v>
      </c>
      <c r="V529" s="332">
        <v>0</v>
      </c>
      <c r="W529" s="333"/>
      <c r="X529" s="334">
        <v>0</v>
      </c>
      <c r="Y529" s="335">
        <v>0</v>
      </c>
      <c r="AA529" s="388"/>
    </row>
    <row r="530" spans="1:27" hidden="1" collapsed="1" x14ac:dyDescent="0.3">
      <c r="A530" s="233"/>
      <c r="B530" s="234" t="s">
        <v>18</v>
      </c>
      <c r="D530" s="293" t="s">
        <v>1472</v>
      </c>
      <c r="E530" s="294"/>
      <c r="F530" s="295" t="s">
        <v>1473</v>
      </c>
      <c r="G530" s="296"/>
      <c r="H530" s="297"/>
      <c r="I530" s="298"/>
      <c r="J530" s="299">
        <v>19212517.368000001</v>
      </c>
      <c r="K530" s="300">
        <v>19312684.419000003</v>
      </c>
      <c r="L530" s="300">
        <v>19375945.640000004</v>
      </c>
      <c r="M530" s="300">
        <v>19451694.471999999</v>
      </c>
      <c r="N530" s="300">
        <v>19418800.300999999</v>
      </c>
      <c r="O530" s="300">
        <v>19477351.937000003</v>
      </c>
      <c r="P530" s="300">
        <v>19572130.682</v>
      </c>
      <c r="Q530" s="300">
        <v>19613771.291999999</v>
      </c>
      <c r="R530" s="300">
        <v>19666885.855</v>
      </c>
      <c r="S530" s="300">
        <v>19694735.836999997</v>
      </c>
      <c r="T530" s="300">
        <v>19701200.197999999</v>
      </c>
      <c r="U530" s="301">
        <v>19818943.509999998</v>
      </c>
      <c r="V530" s="302">
        <v>234316661.51100001</v>
      </c>
      <c r="W530" s="303"/>
      <c r="X530" s="304">
        <v>19818943.509999998</v>
      </c>
      <c r="Y530" s="305">
        <v>234316661.51100001</v>
      </c>
      <c r="AA530" s="388"/>
    </row>
    <row r="531" spans="1:27" hidden="1" outlineLevel="1" x14ac:dyDescent="0.3">
      <c r="E531" s="250" t="s">
        <v>1474</v>
      </c>
      <c r="F531" s="317">
        <v>4301401</v>
      </c>
      <c r="G531" s="318"/>
      <c r="H531" s="319">
        <v>5101370101</v>
      </c>
      <c r="I531" s="320"/>
      <c r="J531" s="337">
        <v>584741.99100000004</v>
      </c>
      <c r="K531" s="321">
        <v>584742.00100000005</v>
      </c>
      <c r="L531" s="321">
        <v>594323.06199999992</v>
      </c>
      <c r="M531" s="321">
        <v>584546.17700000003</v>
      </c>
      <c r="N531" s="321">
        <v>584546.18199999991</v>
      </c>
      <c r="O531" s="321">
        <v>584546.18000000005</v>
      </c>
      <c r="P531" s="321">
        <v>584546.17500000005</v>
      </c>
      <c r="Q531" s="321">
        <v>584546.18299999996</v>
      </c>
      <c r="R531" s="321">
        <v>580864.28300000005</v>
      </c>
      <c r="S531" s="321">
        <v>580864.29000000015</v>
      </c>
      <c r="T531" s="321">
        <v>580863.28399999999</v>
      </c>
      <c r="U531" s="322">
        <v>574015.78300000005</v>
      </c>
      <c r="V531" s="323">
        <v>7003145.591</v>
      </c>
      <c r="W531" s="303"/>
      <c r="X531" s="324">
        <v>574015.78300000005</v>
      </c>
      <c r="Y531" s="325">
        <v>7003145.591</v>
      </c>
      <c r="AA531" s="388"/>
    </row>
    <row r="532" spans="1:27" hidden="1" outlineLevel="1" x14ac:dyDescent="0.3">
      <c r="E532" s="250" t="s">
        <v>1475</v>
      </c>
      <c r="F532" s="317">
        <v>4301402</v>
      </c>
      <c r="G532" s="318"/>
      <c r="H532" s="319">
        <v>5101370103</v>
      </c>
      <c r="I532" s="320"/>
      <c r="J532" s="337">
        <v>381673.86599999998</v>
      </c>
      <c r="K532" s="321">
        <v>382173.01500000001</v>
      </c>
      <c r="L532" s="321">
        <v>380021.93200000003</v>
      </c>
      <c r="M532" s="321">
        <v>382578.05499999999</v>
      </c>
      <c r="N532" s="321">
        <v>380604.19199999998</v>
      </c>
      <c r="O532" s="321">
        <v>380300.9</v>
      </c>
      <c r="P532" s="321">
        <v>378548.41700000002</v>
      </c>
      <c r="Q532" s="321">
        <v>378279.52300000004</v>
      </c>
      <c r="R532" s="321">
        <v>376489.94799999997</v>
      </c>
      <c r="S532" s="321">
        <v>376520.61099999998</v>
      </c>
      <c r="T532" s="321">
        <v>376643.43</v>
      </c>
      <c r="U532" s="322">
        <v>377138.11300000001</v>
      </c>
      <c r="V532" s="323">
        <v>4550972.0020000003</v>
      </c>
      <c r="W532" s="303"/>
      <c r="X532" s="324">
        <v>377138.11300000001</v>
      </c>
      <c r="Y532" s="325">
        <v>4550972.0020000003</v>
      </c>
      <c r="AA532" s="388"/>
    </row>
    <row r="533" spans="1:27" hidden="1" outlineLevel="1" x14ac:dyDescent="0.3">
      <c r="E533" s="250" t="s">
        <v>1476</v>
      </c>
      <c r="F533" s="317">
        <v>4301403</v>
      </c>
      <c r="G533" s="318"/>
      <c r="H533" s="319">
        <v>5101370105</v>
      </c>
      <c r="I533" s="320"/>
      <c r="J533" s="337">
        <v>3922.402</v>
      </c>
      <c r="K533" s="321">
        <v>3922.4050000000002</v>
      </c>
      <c r="L533" s="321">
        <v>3922.402</v>
      </c>
      <c r="M533" s="321">
        <v>3922.4009999999998</v>
      </c>
      <c r="N533" s="321">
        <v>3922.4049999999997</v>
      </c>
      <c r="O533" s="321">
        <v>3922.402</v>
      </c>
      <c r="P533" s="321">
        <v>3922.4059999999999</v>
      </c>
      <c r="Q533" s="321">
        <v>3922.402</v>
      </c>
      <c r="R533" s="321">
        <v>3922.4040000000005</v>
      </c>
      <c r="S533" s="321">
        <v>3922.4009999999998</v>
      </c>
      <c r="T533" s="321">
        <v>3922.404</v>
      </c>
      <c r="U533" s="322">
        <v>3922.4029999999998</v>
      </c>
      <c r="V533" s="323">
        <v>47068.837</v>
      </c>
      <c r="W533" s="303"/>
      <c r="X533" s="324">
        <v>3922.4029999999998</v>
      </c>
      <c r="Y533" s="325">
        <v>47068.837</v>
      </c>
      <c r="AA533" s="388"/>
    </row>
    <row r="534" spans="1:27" hidden="1" outlineLevel="1" x14ac:dyDescent="0.3">
      <c r="E534" s="250" t="s">
        <v>1477</v>
      </c>
      <c r="F534" s="317">
        <v>4301404</v>
      </c>
      <c r="G534" s="318"/>
      <c r="H534" s="319">
        <v>5101370107</v>
      </c>
      <c r="I534" s="320"/>
      <c r="J534" s="337">
        <v>4609367.2770000007</v>
      </c>
      <c r="K534" s="321">
        <v>4614718.2249999996</v>
      </c>
      <c r="L534" s="321">
        <v>4618903.8269999996</v>
      </c>
      <c r="M534" s="321">
        <v>4618578.1569999997</v>
      </c>
      <c r="N534" s="321">
        <v>4612264.398</v>
      </c>
      <c r="O534" s="321">
        <v>4626001.3039999995</v>
      </c>
      <c r="P534" s="321">
        <v>4656875.4630000005</v>
      </c>
      <c r="Q534" s="321">
        <v>4672728.2919999994</v>
      </c>
      <c r="R534" s="321">
        <v>4672535.5299999993</v>
      </c>
      <c r="S534" s="321">
        <v>4679505.2590000015</v>
      </c>
      <c r="T534" s="321">
        <v>4659496.3479999993</v>
      </c>
      <c r="U534" s="322">
        <v>4702972.4619999994</v>
      </c>
      <c r="V534" s="323">
        <v>55743946.542000003</v>
      </c>
      <c r="W534" s="303"/>
      <c r="X534" s="324">
        <v>4702972.4619999994</v>
      </c>
      <c r="Y534" s="325">
        <v>55743946.542000003</v>
      </c>
      <c r="AA534" s="388"/>
    </row>
    <row r="535" spans="1:27" hidden="1" outlineLevel="1" x14ac:dyDescent="0.3">
      <c r="E535" s="250" t="s">
        <v>1478</v>
      </c>
      <c r="F535" s="317">
        <v>4301405</v>
      </c>
      <c r="G535" s="318"/>
      <c r="H535" s="319">
        <v>5101370109</v>
      </c>
      <c r="I535" s="320"/>
      <c r="J535" s="337">
        <v>229252.78799999997</v>
      </c>
      <c r="K535" s="321">
        <v>229251.78200000001</v>
      </c>
      <c r="L535" s="321">
        <v>228981.93299999999</v>
      </c>
      <c r="M535" s="321">
        <v>235835.09100000001</v>
      </c>
      <c r="N535" s="321">
        <v>236011.20699999999</v>
      </c>
      <c r="O535" s="321">
        <v>236011.20300000001</v>
      </c>
      <c r="P535" s="321">
        <v>237444.82800000001</v>
      </c>
      <c r="Q535" s="321">
        <v>236369.60799999998</v>
      </c>
      <c r="R535" s="321">
        <v>236369.61800000002</v>
      </c>
      <c r="S535" s="321">
        <v>236369.61499999999</v>
      </c>
      <c r="T535" s="321">
        <v>236369.61899999998</v>
      </c>
      <c r="U535" s="322">
        <v>238070.133</v>
      </c>
      <c r="V535" s="323">
        <v>2816337.4250000003</v>
      </c>
      <c r="W535" s="303"/>
      <c r="X535" s="324">
        <v>238070.133</v>
      </c>
      <c r="Y535" s="325">
        <v>2816337.4250000003</v>
      </c>
      <c r="AA535" s="388"/>
    </row>
    <row r="536" spans="1:27" hidden="1" outlineLevel="1" x14ac:dyDescent="0.3">
      <c r="E536" s="250" t="s">
        <v>1479</v>
      </c>
      <c r="F536" s="317">
        <v>4301406</v>
      </c>
      <c r="G536" s="318"/>
      <c r="H536" s="319">
        <v>5101370111</v>
      </c>
      <c r="I536" s="320"/>
      <c r="J536" s="337">
        <v>3281.6709999999998</v>
      </c>
      <c r="K536" s="321">
        <v>3371.91</v>
      </c>
      <c r="L536" s="321">
        <v>3368.6129999999998</v>
      </c>
      <c r="M536" s="321">
        <v>3455.5149999999999</v>
      </c>
      <c r="N536" s="321">
        <v>3629.9769999999999</v>
      </c>
      <c r="O536" s="321">
        <v>3599.5650000000001</v>
      </c>
      <c r="P536" s="321">
        <v>3603.9569999999999</v>
      </c>
      <c r="Q536" s="321">
        <v>3588.83</v>
      </c>
      <c r="R536" s="321">
        <v>3625.8980000000001</v>
      </c>
      <c r="S536" s="321">
        <v>3674.7660000000001</v>
      </c>
      <c r="T536" s="321">
        <v>3645.2919999999999</v>
      </c>
      <c r="U536" s="322">
        <v>3585.7580000000003</v>
      </c>
      <c r="V536" s="323">
        <v>42431.752</v>
      </c>
      <c r="W536" s="303"/>
      <c r="X536" s="324">
        <v>3585.7580000000003</v>
      </c>
      <c r="Y536" s="325">
        <v>42431.752</v>
      </c>
      <c r="AA536" s="388"/>
    </row>
    <row r="537" spans="1:27" hidden="1" outlineLevel="1" x14ac:dyDescent="0.3">
      <c r="E537" s="250" t="s">
        <v>1480</v>
      </c>
      <c r="F537" s="317">
        <v>4301407</v>
      </c>
      <c r="G537" s="318"/>
      <c r="H537" s="319">
        <v>5101370113</v>
      </c>
      <c r="I537" s="320"/>
      <c r="J537" s="337">
        <v>0</v>
      </c>
      <c r="K537" s="321">
        <v>0</v>
      </c>
      <c r="L537" s="321">
        <v>0</v>
      </c>
      <c r="M537" s="321">
        <v>0</v>
      </c>
      <c r="N537" s="321">
        <v>0</v>
      </c>
      <c r="O537" s="321">
        <v>0</v>
      </c>
      <c r="P537" s="321">
        <v>0</v>
      </c>
      <c r="Q537" s="321">
        <v>0</v>
      </c>
      <c r="R537" s="321">
        <v>0</v>
      </c>
      <c r="S537" s="321">
        <v>0</v>
      </c>
      <c r="T537" s="321">
        <v>0</v>
      </c>
      <c r="U537" s="322">
        <v>0</v>
      </c>
      <c r="V537" s="323">
        <v>0</v>
      </c>
      <c r="W537" s="303"/>
      <c r="X537" s="324">
        <v>0</v>
      </c>
      <c r="Y537" s="325">
        <v>0</v>
      </c>
      <c r="AA537" s="388"/>
    </row>
    <row r="538" spans="1:27" hidden="1" outlineLevel="1" x14ac:dyDescent="0.3">
      <c r="E538" s="250" t="s">
        <v>1481</v>
      </c>
      <c r="F538" s="317">
        <v>4301408</v>
      </c>
      <c r="G538" s="318"/>
      <c r="H538" s="319">
        <v>5101370115</v>
      </c>
      <c r="I538" s="320"/>
      <c r="J538" s="337">
        <v>11063475.999</v>
      </c>
      <c r="K538" s="321">
        <v>11085862.525000004</v>
      </c>
      <c r="L538" s="321">
        <v>11143308.295000004</v>
      </c>
      <c r="M538" s="321">
        <v>11231348.340000002</v>
      </c>
      <c r="N538" s="321">
        <v>11228433.124</v>
      </c>
      <c r="O538" s="321">
        <v>11290938.280000001</v>
      </c>
      <c r="P538" s="321">
        <v>11356126.428000001</v>
      </c>
      <c r="Q538" s="321">
        <v>11388374.050000001</v>
      </c>
      <c r="R538" s="321">
        <v>11447672.294000003</v>
      </c>
      <c r="S538" s="321">
        <v>11478020.082999999</v>
      </c>
      <c r="T538" s="321">
        <v>11506790.804</v>
      </c>
      <c r="U538" s="322">
        <v>11601698.775999999</v>
      </c>
      <c r="V538" s="323">
        <v>135822048.99800003</v>
      </c>
      <c r="W538" s="303"/>
      <c r="X538" s="324">
        <v>11601698.775999999</v>
      </c>
      <c r="Y538" s="325">
        <v>135822048.99800003</v>
      </c>
      <c r="AA538" s="388"/>
    </row>
    <row r="539" spans="1:27" hidden="1" outlineLevel="1" x14ac:dyDescent="0.3">
      <c r="E539" s="250" t="s">
        <v>1482</v>
      </c>
      <c r="F539" s="317">
        <v>4301410</v>
      </c>
      <c r="G539" s="318"/>
      <c r="H539" s="319">
        <v>5101370117</v>
      </c>
      <c r="I539" s="320"/>
      <c r="J539" s="337">
        <v>2189249.5500000003</v>
      </c>
      <c r="K539" s="321">
        <v>2272158.3759999997</v>
      </c>
      <c r="L539" s="321">
        <v>2269629.3240000005</v>
      </c>
      <c r="M539" s="321">
        <v>2257667.8929999997</v>
      </c>
      <c r="N539" s="321">
        <v>2236177.719</v>
      </c>
      <c r="O539" s="321">
        <v>2216178.5559999999</v>
      </c>
      <c r="P539" s="321">
        <v>2216058.7419999996</v>
      </c>
      <c r="Q539" s="321">
        <v>2206072.7659999998</v>
      </c>
      <c r="R539" s="321">
        <v>2205172.7480000001</v>
      </c>
      <c r="S539" s="321">
        <v>2193032.0920000002</v>
      </c>
      <c r="T539" s="321">
        <v>2190653.6570000001</v>
      </c>
      <c r="U539" s="322">
        <v>2180359.9309999999</v>
      </c>
      <c r="V539" s="323">
        <v>26632411.354000002</v>
      </c>
      <c r="W539" s="303"/>
      <c r="X539" s="324">
        <v>2180359.9309999999</v>
      </c>
      <c r="Y539" s="325">
        <v>26632411.354000002</v>
      </c>
      <c r="AA539" s="388"/>
    </row>
    <row r="540" spans="1:27" hidden="1" outlineLevel="1" x14ac:dyDescent="0.3">
      <c r="E540" s="250" t="s">
        <v>1483</v>
      </c>
      <c r="F540" s="317">
        <v>4301496</v>
      </c>
      <c r="G540" s="318"/>
      <c r="H540" s="319">
        <v>5101370119</v>
      </c>
      <c r="I540" s="320"/>
      <c r="J540" s="337">
        <v>91425.573000000004</v>
      </c>
      <c r="K540" s="321">
        <v>70300.91</v>
      </c>
      <c r="L540" s="321">
        <v>71096.576000000001</v>
      </c>
      <c r="M540" s="321">
        <v>71372.866999999998</v>
      </c>
      <c r="N540" s="321">
        <v>70851.686000000002</v>
      </c>
      <c r="O540" s="321">
        <v>70845.573999999993</v>
      </c>
      <c r="P540" s="321">
        <v>70911.956000000006</v>
      </c>
      <c r="Q540" s="321">
        <v>70966.823999999993</v>
      </c>
      <c r="R540" s="321">
        <v>71095.111999999994</v>
      </c>
      <c r="S540" s="321">
        <v>73544.600000000006</v>
      </c>
      <c r="T540" s="321">
        <v>73542.078999999998</v>
      </c>
      <c r="U540" s="322">
        <v>73940.062999999995</v>
      </c>
      <c r="V540" s="323">
        <v>879893.82</v>
      </c>
      <c r="W540" s="303"/>
      <c r="X540" s="324">
        <v>73940.062999999995</v>
      </c>
      <c r="Y540" s="325">
        <v>879893.82</v>
      </c>
      <c r="AA540" s="388"/>
    </row>
    <row r="541" spans="1:27" hidden="1" outlineLevel="1" x14ac:dyDescent="0.3">
      <c r="E541" s="250" t="s">
        <v>1484</v>
      </c>
      <c r="F541" s="317">
        <v>4301497</v>
      </c>
      <c r="G541" s="318"/>
      <c r="H541" s="319"/>
      <c r="I541" s="320"/>
      <c r="J541" s="337">
        <v>104916.29300000001</v>
      </c>
      <c r="K541" s="321">
        <v>104898.257</v>
      </c>
      <c r="L541" s="321">
        <v>101104.663</v>
      </c>
      <c r="M541" s="321">
        <v>101104.962</v>
      </c>
      <c r="N541" s="321">
        <v>101074.399</v>
      </c>
      <c r="O541" s="321">
        <v>103722.958</v>
      </c>
      <c r="P541" s="321">
        <v>102807.29700000001</v>
      </c>
      <c r="Q541" s="321">
        <v>107637.8</v>
      </c>
      <c r="R541" s="321">
        <v>107853.007</v>
      </c>
      <c r="S541" s="321">
        <v>107997.106</v>
      </c>
      <c r="T541" s="321">
        <v>107988.265</v>
      </c>
      <c r="U541" s="322">
        <v>101955.07399999999</v>
      </c>
      <c r="V541" s="323">
        <v>1253060.081</v>
      </c>
      <c r="W541" s="303"/>
      <c r="X541" s="324">
        <v>101955.07399999999</v>
      </c>
      <c r="Y541" s="325">
        <v>1253060.081</v>
      </c>
      <c r="AA541" s="388"/>
    </row>
    <row r="542" spans="1:27" hidden="1" outlineLevel="1" x14ac:dyDescent="0.3">
      <c r="E542" s="250" t="s">
        <v>1485</v>
      </c>
      <c r="F542" s="317">
        <v>4301480</v>
      </c>
      <c r="G542" s="318"/>
      <c r="H542" s="319">
        <v>5101370199</v>
      </c>
      <c r="I542" s="320"/>
      <c r="J542" s="337">
        <v>0</v>
      </c>
      <c r="K542" s="321">
        <v>0</v>
      </c>
      <c r="L542" s="321">
        <v>0</v>
      </c>
      <c r="M542" s="321">
        <v>0</v>
      </c>
      <c r="N542" s="321">
        <v>0</v>
      </c>
      <c r="O542" s="321">
        <v>0</v>
      </c>
      <c r="P542" s="321">
        <v>0</v>
      </c>
      <c r="Q542" s="321">
        <v>0</v>
      </c>
      <c r="R542" s="321">
        <v>0</v>
      </c>
      <c r="S542" s="321">
        <v>0</v>
      </c>
      <c r="T542" s="321">
        <v>0</v>
      </c>
      <c r="U542" s="322">
        <v>0</v>
      </c>
      <c r="V542" s="323">
        <v>0</v>
      </c>
      <c r="W542" s="303"/>
      <c r="X542" s="324">
        <v>0</v>
      </c>
      <c r="Y542" s="325">
        <v>0</v>
      </c>
      <c r="AA542" s="388"/>
    </row>
    <row r="543" spans="1:27" hidden="1" outlineLevel="1" x14ac:dyDescent="0.3">
      <c r="E543" s="250" t="s">
        <v>1486</v>
      </c>
      <c r="F543" s="317">
        <v>4301411</v>
      </c>
      <c r="G543" s="318"/>
      <c r="H543" s="319"/>
      <c r="I543" s="320"/>
      <c r="J543" s="337">
        <v>-48790.042000000001</v>
      </c>
      <c r="K543" s="321">
        <v>-38714.987000000001</v>
      </c>
      <c r="L543" s="321">
        <v>-38714.987000000001</v>
      </c>
      <c r="M543" s="321">
        <v>-38714.985999999997</v>
      </c>
      <c r="N543" s="321">
        <v>-38714.987999999998</v>
      </c>
      <c r="O543" s="321">
        <v>-38714.985000000001</v>
      </c>
      <c r="P543" s="321">
        <v>-38714.987000000001</v>
      </c>
      <c r="Q543" s="321">
        <v>-38714.985999999997</v>
      </c>
      <c r="R543" s="321">
        <v>-38714.987000000001</v>
      </c>
      <c r="S543" s="321">
        <v>-38714.985999999997</v>
      </c>
      <c r="T543" s="321">
        <v>-38714.983999999997</v>
      </c>
      <c r="U543" s="322">
        <v>-38714.985999999997</v>
      </c>
      <c r="V543" s="323">
        <v>-474654.89099999995</v>
      </c>
      <c r="W543" s="303"/>
      <c r="X543" s="324">
        <v>-38714.985999999997</v>
      </c>
      <c r="Y543" s="325">
        <v>-474654.89099999995</v>
      </c>
      <c r="AA543" s="388"/>
    </row>
    <row r="544" spans="1:27" s="326" customFormat="1" hidden="1" outlineLevel="2" x14ac:dyDescent="0.3">
      <c r="E544" s="326" t="s">
        <v>1487</v>
      </c>
      <c r="F544" s="336"/>
      <c r="G544" s="327"/>
      <c r="H544" s="328"/>
      <c r="I544" s="329"/>
      <c r="J544" s="338">
        <v>0</v>
      </c>
      <c r="K544" s="330">
        <v>0</v>
      </c>
      <c r="L544" s="330">
        <v>0</v>
      </c>
      <c r="M544" s="330">
        <v>0</v>
      </c>
      <c r="N544" s="330">
        <v>0</v>
      </c>
      <c r="O544" s="330">
        <v>0</v>
      </c>
      <c r="P544" s="330">
        <v>0</v>
      </c>
      <c r="Q544" s="330">
        <v>0</v>
      </c>
      <c r="R544" s="330">
        <v>0</v>
      </c>
      <c r="S544" s="330">
        <v>0</v>
      </c>
      <c r="T544" s="330">
        <v>0</v>
      </c>
      <c r="U544" s="331">
        <v>0</v>
      </c>
      <c r="V544" s="332">
        <v>0</v>
      </c>
      <c r="W544" s="333"/>
      <c r="X544" s="334">
        <v>0</v>
      </c>
      <c r="Y544" s="335">
        <v>0</v>
      </c>
      <c r="AA544" s="388"/>
    </row>
    <row r="545" spans="1:27" s="326" customFormat="1" hidden="1" outlineLevel="2" x14ac:dyDescent="0.3">
      <c r="E545" s="326" t="s">
        <v>1488</v>
      </c>
      <c r="F545" s="336"/>
      <c r="G545" s="327"/>
      <c r="H545" s="328"/>
      <c r="I545" s="329"/>
      <c r="J545" s="338">
        <v>0</v>
      </c>
      <c r="K545" s="330">
        <v>0</v>
      </c>
      <c r="L545" s="330">
        <v>0</v>
      </c>
      <c r="M545" s="330">
        <v>0</v>
      </c>
      <c r="N545" s="330">
        <v>0</v>
      </c>
      <c r="O545" s="330">
        <v>0</v>
      </c>
      <c r="P545" s="330">
        <v>0</v>
      </c>
      <c r="Q545" s="330">
        <v>0</v>
      </c>
      <c r="R545" s="330">
        <v>0</v>
      </c>
      <c r="S545" s="330">
        <v>0</v>
      </c>
      <c r="T545" s="330">
        <v>0</v>
      </c>
      <c r="U545" s="331">
        <v>0</v>
      </c>
      <c r="V545" s="332">
        <v>0</v>
      </c>
      <c r="W545" s="333"/>
      <c r="X545" s="334">
        <v>0</v>
      </c>
      <c r="Y545" s="335">
        <v>0</v>
      </c>
      <c r="AA545" s="388"/>
    </row>
    <row r="546" spans="1:27" s="326" customFormat="1" hidden="1" outlineLevel="2" x14ac:dyDescent="0.3">
      <c r="E546" s="326" t="s">
        <v>1489</v>
      </c>
      <c r="F546" s="336"/>
      <c r="G546" s="327"/>
      <c r="H546" s="328"/>
      <c r="I546" s="329"/>
      <c r="J546" s="338">
        <v>0</v>
      </c>
      <c r="K546" s="330">
        <v>0</v>
      </c>
      <c r="L546" s="330">
        <v>0</v>
      </c>
      <c r="M546" s="330">
        <v>0</v>
      </c>
      <c r="N546" s="330">
        <v>0</v>
      </c>
      <c r="O546" s="330">
        <v>0</v>
      </c>
      <c r="P546" s="330">
        <v>0</v>
      </c>
      <c r="Q546" s="330">
        <v>0</v>
      </c>
      <c r="R546" s="330">
        <v>0</v>
      </c>
      <c r="S546" s="330">
        <v>0</v>
      </c>
      <c r="T546" s="330">
        <v>0</v>
      </c>
      <c r="U546" s="331">
        <v>0</v>
      </c>
      <c r="V546" s="332">
        <v>0</v>
      </c>
      <c r="W546" s="333"/>
      <c r="X546" s="334">
        <v>0</v>
      </c>
      <c r="Y546" s="335">
        <v>0</v>
      </c>
      <c r="AA546" s="388"/>
    </row>
    <row r="547" spans="1:27" hidden="1" collapsed="1" x14ac:dyDescent="0.3">
      <c r="A547" s="233"/>
      <c r="B547" s="234" t="s">
        <v>18</v>
      </c>
      <c r="D547" s="293" t="s">
        <v>1490</v>
      </c>
      <c r="E547" s="294"/>
      <c r="F547" s="295" t="s">
        <v>1491</v>
      </c>
      <c r="G547" s="296"/>
      <c r="H547" s="297"/>
      <c r="I547" s="298"/>
      <c r="J547" s="299">
        <v>24347048.563999999</v>
      </c>
      <c r="K547" s="300">
        <v>24596859.607999995</v>
      </c>
      <c r="L547" s="300">
        <v>24747448.379000001</v>
      </c>
      <c r="M547" s="300">
        <v>25023176.252</v>
      </c>
      <c r="N547" s="300">
        <v>25078989.232000001</v>
      </c>
      <c r="O547" s="300">
        <v>25205527.033</v>
      </c>
      <c r="P547" s="300">
        <v>25223286.373</v>
      </c>
      <c r="Q547" s="300">
        <v>24967469.695999999</v>
      </c>
      <c r="R547" s="300">
        <v>25945325.041999999</v>
      </c>
      <c r="S547" s="300">
        <v>25456245.832999997</v>
      </c>
      <c r="T547" s="300">
        <v>25557717.803000003</v>
      </c>
      <c r="U547" s="301">
        <v>25449890.011999995</v>
      </c>
      <c r="V547" s="302">
        <v>301598983.82699996</v>
      </c>
      <c r="W547" s="303"/>
      <c r="X547" s="304">
        <v>25449890.011999995</v>
      </c>
      <c r="Y547" s="305">
        <v>301598983.82699996</v>
      </c>
      <c r="AA547" s="388"/>
    </row>
    <row r="548" spans="1:27" hidden="1" outlineLevel="1" x14ac:dyDescent="0.3">
      <c r="E548" s="250" t="s">
        <v>1492</v>
      </c>
      <c r="F548" s="317">
        <v>4301491</v>
      </c>
      <c r="G548" s="318"/>
      <c r="H548" s="319">
        <v>5101370200</v>
      </c>
      <c r="I548" s="320"/>
      <c r="J548" s="337">
        <v>20605396.567000002</v>
      </c>
      <c r="K548" s="321">
        <v>20803900.513999999</v>
      </c>
      <c r="L548" s="321">
        <v>20950424.528000001</v>
      </c>
      <c r="M548" s="321">
        <v>21181209.763</v>
      </c>
      <c r="N548" s="321">
        <v>21249306.902000003</v>
      </c>
      <c r="O548" s="321">
        <v>21312282.182</v>
      </c>
      <c r="P548" s="321">
        <v>21309582.677999999</v>
      </c>
      <c r="Q548" s="321">
        <v>21073946.592999998</v>
      </c>
      <c r="R548" s="321">
        <v>22014043.747000001</v>
      </c>
      <c r="S548" s="321">
        <v>21506167.362999998</v>
      </c>
      <c r="T548" s="321">
        <v>21588262.850000001</v>
      </c>
      <c r="U548" s="322">
        <v>21494530.521999996</v>
      </c>
      <c r="V548" s="323">
        <v>255089054.20899996</v>
      </c>
      <c r="W548" s="303"/>
      <c r="X548" s="324">
        <v>21494530.521999996</v>
      </c>
      <c r="Y548" s="325">
        <v>255089054.20899996</v>
      </c>
      <c r="AA548" s="388"/>
    </row>
    <row r="549" spans="1:27" hidden="1" outlineLevel="1" x14ac:dyDescent="0.3">
      <c r="E549" s="250" t="s">
        <v>1493</v>
      </c>
      <c r="F549" s="317">
        <v>4301492</v>
      </c>
      <c r="G549" s="318"/>
      <c r="H549" s="319"/>
      <c r="I549" s="320"/>
      <c r="J549" s="337">
        <v>0</v>
      </c>
      <c r="K549" s="321">
        <v>0</v>
      </c>
      <c r="L549" s="321">
        <v>0</v>
      </c>
      <c r="M549" s="321">
        <v>0</v>
      </c>
      <c r="N549" s="321">
        <v>0</v>
      </c>
      <c r="O549" s="321">
        <v>0</v>
      </c>
      <c r="P549" s="321">
        <v>0</v>
      </c>
      <c r="Q549" s="321">
        <v>0</v>
      </c>
      <c r="R549" s="321">
        <v>0</v>
      </c>
      <c r="S549" s="321">
        <v>0</v>
      </c>
      <c r="T549" s="321">
        <v>0</v>
      </c>
      <c r="U549" s="322">
        <v>0</v>
      </c>
      <c r="V549" s="323">
        <v>0</v>
      </c>
      <c r="W549" s="303"/>
      <c r="X549" s="324">
        <v>0</v>
      </c>
      <c r="Y549" s="325">
        <v>0</v>
      </c>
      <c r="AA549" s="388"/>
    </row>
    <row r="550" spans="1:27" hidden="1" outlineLevel="1" x14ac:dyDescent="0.3">
      <c r="E550" s="250" t="s">
        <v>1494</v>
      </c>
      <c r="F550" s="317">
        <v>4301493</v>
      </c>
      <c r="G550" s="318"/>
      <c r="H550" s="319"/>
      <c r="I550" s="320"/>
      <c r="J550" s="337">
        <v>0</v>
      </c>
      <c r="K550" s="321">
        <v>0</v>
      </c>
      <c r="L550" s="321">
        <v>0</v>
      </c>
      <c r="M550" s="321">
        <v>0</v>
      </c>
      <c r="N550" s="321">
        <v>0</v>
      </c>
      <c r="O550" s="321">
        <v>0</v>
      </c>
      <c r="P550" s="321">
        <v>0</v>
      </c>
      <c r="Q550" s="321">
        <v>0</v>
      </c>
      <c r="R550" s="321">
        <v>0</v>
      </c>
      <c r="S550" s="321">
        <v>0</v>
      </c>
      <c r="T550" s="321">
        <v>0</v>
      </c>
      <c r="U550" s="322">
        <v>0</v>
      </c>
      <c r="V550" s="323">
        <v>0</v>
      </c>
      <c r="W550" s="303"/>
      <c r="X550" s="324">
        <v>0</v>
      </c>
      <c r="Y550" s="325">
        <v>0</v>
      </c>
      <c r="AA550" s="388"/>
    </row>
    <row r="551" spans="1:27" hidden="1" outlineLevel="1" x14ac:dyDescent="0.3">
      <c r="E551" s="250" t="s">
        <v>1495</v>
      </c>
      <c r="F551" s="317">
        <v>4301494</v>
      </c>
      <c r="G551" s="318"/>
      <c r="H551" s="319">
        <v>5101370203</v>
      </c>
      <c r="I551" s="320"/>
      <c r="J551" s="337">
        <v>179012.13200000001</v>
      </c>
      <c r="K551" s="321">
        <v>202451.45500000002</v>
      </c>
      <c r="L551" s="321">
        <v>206654.41600000003</v>
      </c>
      <c r="M551" s="321">
        <v>201463.739</v>
      </c>
      <c r="N551" s="321">
        <v>201463.75899999999</v>
      </c>
      <c r="O551" s="321">
        <v>200632.70400000003</v>
      </c>
      <c r="P551" s="321">
        <v>202747.13100000002</v>
      </c>
      <c r="Q551" s="321">
        <v>192669.63800000001</v>
      </c>
      <c r="R551" s="321">
        <v>193458.14300000001</v>
      </c>
      <c r="S551" s="321">
        <v>205476.91500000001</v>
      </c>
      <c r="T551" s="321">
        <v>205476.96</v>
      </c>
      <c r="U551" s="322">
        <v>205472.81</v>
      </c>
      <c r="V551" s="323">
        <v>2396979.8020000001</v>
      </c>
      <c r="W551" s="303"/>
      <c r="X551" s="324">
        <v>205472.81</v>
      </c>
      <c r="Y551" s="325">
        <v>2396979.8020000001</v>
      </c>
      <c r="AA551" s="388"/>
    </row>
    <row r="552" spans="1:27" hidden="1" outlineLevel="1" x14ac:dyDescent="0.3">
      <c r="E552" s="250" t="s">
        <v>1496</v>
      </c>
      <c r="F552" s="317">
        <v>4301495</v>
      </c>
      <c r="G552" s="318"/>
      <c r="H552" s="319"/>
      <c r="I552" s="320"/>
      <c r="J552" s="337">
        <v>0</v>
      </c>
      <c r="K552" s="321">
        <v>0</v>
      </c>
      <c r="L552" s="321">
        <v>0</v>
      </c>
      <c r="M552" s="321">
        <v>0</v>
      </c>
      <c r="N552" s="321">
        <v>0</v>
      </c>
      <c r="O552" s="321">
        <v>0</v>
      </c>
      <c r="P552" s="321">
        <v>0</v>
      </c>
      <c r="Q552" s="321">
        <v>0</v>
      </c>
      <c r="R552" s="321">
        <v>0</v>
      </c>
      <c r="S552" s="321">
        <v>0</v>
      </c>
      <c r="T552" s="321">
        <v>0</v>
      </c>
      <c r="U552" s="322">
        <v>0</v>
      </c>
      <c r="V552" s="323">
        <v>0</v>
      </c>
      <c r="W552" s="303"/>
      <c r="X552" s="324">
        <v>0</v>
      </c>
      <c r="Y552" s="325">
        <v>0</v>
      </c>
      <c r="AA552" s="388"/>
    </row>
    <row r="553" spans="1:27" hidden="1" outlineLevel="1" x14ac:dyDescent="0.3">
      <c r="E553" s="250" t="s">
        <v>1497</v>
      </c>
      <c r="F553" s="317">
        <v>4301500</v>
      </c>
      <c r="G553" s="318"/>
      <c r="H553" s="319"/>
      <c r="I553" s="320"/>
      <c r="J553" s="337">
        <v>3562639.8649999998</v>
      </c>
      <c r="K553" s="321">
        <v>3590507.639</v>
      </c>
      <c r="L553" s="321">
        <v>3590369.4350000001</v>
      </c>
      <c r="M553" s="321">
        <v>3640502.75</v>
      </c>
      <c r="N553" s="321">
        <v>3628218.571</v>
      </c>
      <c r="O553" s="321">
        <v>3692612.1470000008</v>
      </c>
      <c r="P553" s="321">
        <v>3710956.5639999998</v>
      </c>
      <c r="Q553" s="321">
        <v>3700853.4649999999</v>
      </c>
      <c r="R553" s="321">
        <v>3737823.1519999998</v>
      </c>
      <c r="S553" s="321">
        <v>3744601.5549999997</v>
      </c>
      <c r="T553" s="321">
        <v>3763977.9930000002</v>
      </c>
      <c r="U553" s="322">
        <v>3749886.68</v>
      </c>
      <c r="V553" s="323">
        <v>44112949.815999992</v>
      </c>
      <c r="W553" s="303"/>
      <c r="X553" s="324">
        <v>3749886.68</v>
      </c>
      <c r="Y553" s="325">
        <v>44112949.815999992</v>
      </c>
      <c r="AA553" s="388"/>
    </row>
    <row r="554" spans="1:27" s="361" customFormat="1" hidden="1" outlineLevel="2" x14ac:dyDescent="0.3">
      <c r="E554" s="326" t="s">
        <v>1498</v>
      </c>
      <c r="F554" s="351"/>
      <c r="G554" s="352"/>
      <c r="H554" s="353"/>
      <c r="I554" s="354"/>
      <c r="J554" s="362">
        <v>0</v>
      </c>
      <c r="K554" s="355">
        <v>0</v>
      </c>
      <c r="L554" s="355">
        <v>0</v>
      </c>
      <c r="M554" s="355">
        <v>0</v>
      </c>
      <c r="N554" s="355">
        <v>0</v>
      </c>
      <c r="O554" s="355">
        <v>0</v>
      </c>
      <c r="P554" s="355">
        <v>0</v>
      </c>
      <c r="Q554" s="355">
        <v>0</v>
      </c>
      <c r="R554" s="355">
        <v>0</v>
      </c>
      <c r="S554" s="355">
        <v>0</v>
      </c>
      <c r="T554" s="355">
        <v>0</v>
      </c>
      <c r="U554" s="356">
        <v>0</v>
      </c>
      <c r="V554" s="357">
        <v>0</v>
      </c>
      <c r="W554" s="358"/>
      <c r="X554" s="359">
        <v>0</v>
      </c>
      <c r="Y554" s="360">
        <v>0</v>
      </c>
      <c r="AA554" s="388"/>
    </row>
    <row r="555" spans="1:27" s="361" customFormat="1" hidden="1" outlineLevel="2" x14ac:dyDescent="0.3">
      <c r="E555" s="326" t="s">
        <v>1499</v>
      </c>
      <c r="F555" s="351"/>
      <c r="G555" s="352"/>
      <c r="H555" s="353"/>
      <c r="I555" s="354"/>
      <c r="J555" s="362">
        <v>0</v>
      </c>
      <c r="K555" s="355">
        <v>0</v>
      </c>
      <c r="L555" s="355">
        <v>0</v>
      </c>
      <c r="M555" s="355">
        <v>0</v>
      </c>
      <c r="N555" s="355">
        <v>0</v>
      </c>
      <c r="O555" s="355">
        <v>0</v>
      </c>
      <c r="P555" s="355">
        <v>0</v>
      </c>
      <c r="Q555" s="355">
        <v>0</v>
      </c>
      <c r="R555" s="355">
        <v>0</v>
      </c>
      <c r="S555" s="355">
        <v>0</v>
      </c>
      <c r="T555" s="355">
        <v>0</v>
      </c>
      <c r="U555" s="356">
        <v>0</v>
      </c>
      <c r="V555" s="357">
        <v>0</v>
      </c>
      <c r="W555" s="358"/>
      <c r="X555" s="359">
        <v>0</v>
      </c>
      <c r="Y555" s="360">
        <v>0</v>
      </c>
      <c r="AA555" s="388"/>
    </row>
    <row r="556" spans="1:27" s="361" customFormat="1" hidden="1" outlineLevel="2" x14ac:dyDescent="0.3">
      <c r="E556" s="326" t="s">
        <v>1500</v>
      </c>
      <c r="F556" s="351"/>
      <c r="G556" s="352"/>
      <c r="H556" s="353"/>
      <c r="I556" s="354"/>
      <c r="J556" s="362">
        <v>0</v>
      </c>
      <c r="K556" s="355">
        <v>0</v>
      </c>
      <c r="L556" s="355">
        <v>0</v>
      </c>
      <c r="M556" s="355">
        <v>0</v>
      </c>
      <c r="N556" s="355">
        <v>0</v>
      </c>
      <c r="O556" s="355">
        <v>0</v>
      </c>
      <c r="P556" s="355">
        <v>0</v>
      </c>
      <c r="Q556" s="355">
        <v>0</v>
      </c>
      <c r="R556" s="355">
        <v>0</v>
      </c>
      <c r="S556" s="355">
        <v>0</v>
      </c>
      <c r="T556" s="355">
        <v>0</v>
      </c>
      <c r="U556" s="356">
        <v>0</v>
      </c>
      <c r="V556" s="357">
        <v>0</v>
      </c>
      <c r="W556" s="358"/>
      <c r="X556" s="359">
        <v>0</v>
      </c>
      <c r="Y556" s="360">
        <v>0</v>
      </c>
      <c r="AA556" s="388"/>
    </row>
    <row r="557" spans="1:27" hidden="1" collapsed="1" x14ac:dyDescent="0.3">
      <c r="A557" s="233"/>
      <c r="B557" s="234" t="s">
        <v>19</v>
      </c>
      <c r="D557" s="293" t="s">
        <v>1501</v>
      </c>
      <c r="E557" s="294"/>
      <c r="F557" s="295" t="s">
        <v>1502</v>
      </c>
      <c r="G557" s="296"/>
      <c r="H557" s="297"/>
      <c r="I557" s="298"/>
      <c r="J557" s="299">
        <v>2872043.0730000003</v>
      </c>
      <c r="K557" s="300">
        <v>2750627.5370000005</v>
      </c>
      <c r="L557" s="300">
        <v>2854908.0450000004</v>
      </c>
      <c r="M557" s="300">
        <v>2794063.2370000002</v>
      </c>
      <c r="N557" s="300">
        <v>2771188.5440000002</v>
      </c>
      <c r="O557" s="300">
        <v>2759666.0310000004</v>
      </c>
      <c r="P557" s="300">
        <v>2787966.83</v>
      </c>
      <c r="Q557" s="300">
        <v>3088577.2950000004</v>
      </c>
      <c r="R557" s="300">
        <v>3065611.0510000004</v>
      </c>
      <c r="S557" s="300">
        <v>3072536.8539999998</v>
      </c>
      <c r="T557" s="300">
        <v>3063617.2500000009</v>
      </c>
      <c r="U557" s="301">
        <v>3111118.665</v>
      </c>
      <c r="V557" s="302">
        <v>34991924.412</v>
      </c>
      <c r="W557" s="303"/>
      <c r="X557" s="304">
        <v>3111118.665</v>
      </c>
      <c r="Y557" s="305">
        <v>34991924.412</v>
      </c>
      <c r="AA557" s="388"/>
    </row>
    <row r="558" spans="1:27" hidden="1" outlineLevel="1" x14ac:dyDescent="0.3">
      <c r="E558" s="250" t="s">
        <v>1503</v>
      </c>
      <c r="F558" s="317">
        <v>4309501</v>
      </c>
      <c r="G558" s="318"/>
      <c r="H558" s="319">
        <v>5101390199</v>
      </c>
      <c r="I558" s="320"/>
      <c r="J558" s="337">
        <v>25126.276999999998</v>
      </c>
      <c r="K558" s="321">
        <v>25334.611999999997</v>
      </c>
      <c r="L558" s="321">
        <v>25334.610999999997</v>
      </c>
      <c r="M558" s="321">
        <v>20482.719000000001</v>
      </c>
      <c r="N558" s="321">
        <v>8511.1899999999987</v>
      </c>
      <c r="O558" s="321">
        <v>7394.5240000000003</v>
      </c>
      <c r="P558" s="321">
        <v>3027.857</v>
      </c>
      <c r="Q558" s="321">
        <v>17863.463</v>
      </c>
      <c r="R558" s="321">
        <v>4060.665</v>
      </c>
      <c r="S558" s="321">
        <v>5230.9830000000002</v>
      </c>
      <c r="T558" s="321">
        <v>4408.0650000000005</v>
      </c>
      <c r="U558" s="322">
        <v>20522.3</v>
      </c>
      <c r="V558" s="323">
        <v>167297.266</v>
      </c>
      <c r="W558" s="303"/>
      <c r="X558" s="324">
        <v>20522.3</v>
      </c>
      <c r="Y558" s="325">
        <v>167297.266</v>
      </c>
      <c r="AA558" s="388"/>
    </row>
    <row r="559" spans="1:27" hidden="1" outlineLevel="1" x14ac:dyDescent="0.3">
      <c r="E559" s="250" t="s">
        <v>1504</v>
      </c>
      <c r="F559" s="317">
        <v>4309503</v>
      </c>
      <c r="G559" s="318"/>
      <c r="H559" s="319">
        <v>5101390105</v>
      </c>
      <c r="I559" s="320"/>
      <c r="J559" s="337">
        <v>621.07299999999998</v>
      </c>
      <c r="K559" s="321">
        <v>559.52199999999993</v>
      </c>
      <c r="L559" s="321">
        <v>559.52299999999991</v>
      </c>
      <c r="M559" s="321">
        <v>596.70499999999993</v>
      </c>
      <c r="N559" s="321">
        <v>596.70600000000002</v>
      </c>
      <c r="O559" s="321">
        <v>596.7059999999999</v>
      </c>
      <c r="P559" s="321">
        <v>596.70499999999993</v>
      </c>
      <c r="Q559" s="321">
        <v>596.70699999999999</v>
      </c>
      <c r="R559" s="321">
        <v>596.7059999999999</v>
      </c>
      <c r="S559" s="321">
        <v>596.70399999999995</v>
      </c>
      <c r="T559" s="321">
        <v>596.70900000000006</v>
      </c>
      <c r="U559" s="322">
        <v>303.82600000000002</v>
      </c>
      <c r="V559" s="323">
        <v>6817.5919999999996</v>
      </c>
      <c r="W559" s="303"/>
      <c r="X559" s="324">
        <v>303.82600000000002</v>
      </c>
      <c r="Y559" s="325">
        <v>6817.5919999999996</v>
      </c>
      <c r="AA559" s="388"/>
    </row>
    <row r="560" spans="1:27" hidden="1" outlineLevel="1" x14ac:dyDescent="0.3">
      <c r="E560" s="250" t="s">
        <v>1505</v>
      </c>
      <c r="F560" s="317">
        <v>4309509</v>
      </c>
      <c r="G560" s="318"/>
      <c r="H560" s="319">
        <v>5101390115</v>
      </c>
      <c r="I560" s="320"/>
      <c r="J560" s="337">
        <v>2361891.2430000002</v>
      </c>
      <c r="K560" s="321">
        <v>2240328.9340000004</v>
      </c>
      <c r="L560" s="321">
        <v>2344607.0890000002</v>
      </c>
      <c r="M560" s="321">
        <v>2288510.2280000001</v>
      </c>
      <c r="N560" s="321">
        <v>2277525.2390000001</v>
      </c>
      <c r="O560" s="321">
        <v>2266959.8020000001</v>
      </c>
      <c r="P560" s="321">
        <v>2299626.5620000004</v>
      </c>
      <c r="Q560" s="321">
        <v>2585358.4020000002</v>
      </c>
      <c r="R560" s="321">
        <v>2576194.9630000005</v>
      </c>
      <c r="S560" s="321">
        <v>2581949.926</v>
      </c>
      <c r="T560" s="321">
        <v>2573857.1530000004</v>
      </c>
      <c r="U560" s="322">
        <v>2606102.017</v>
      </c>
      <c r="V560" s="323">
        <v>29002911.558000002</v>
      </c>
      <c r="W560" s="303"/>
      <c r="X560" s="324">
        <v>2606102.017</v>
      </c>
      <c r="Y560" s="325">
        <v>29002911.558000002</v>
      </c>
      <c r="AA560" s="388"/>
    </row>
    <row r="561" spans="1:27" hidden="1" outlineLevel="1" x14ac:dyDescent="0.3">
      <c r="E561" s="250" t="s">
        <v>1506</v>
      </c>
      <c r="F561" s="317">
        <v>4309502</v>
      </c>
      <c r="G561" s="318"/>
      <c r="H561" s="319">
        <v>5101390103</v>
      </c>
      <c r="I561" s="320"/>
      <c r="J561" s="337">
        <v>1590.0050000000001</v>
      </c>
      <c r="K561" s="321">
        <v>1589.9940000000001</v>
      </c>
      <c r="L561" s="321">
        <v>1592.3480000000002</v>
      </c>
      <c r="M561" s="321">
        <v>1659.11</v>
      </c>
      <c r="N561" s="321">
        <v>1740.934</v>
      </c>
      <c r="O561" s="321">
        <v>1900.5240000000001</v>
      </c>
      <c r="P561" s="321">
        <v>1901.2320000000002</v>
      </c>
      <c r="Q561" s="321">
        <v>1944.248</v>
      </c>
      <c r="R561" s="321">
        <v>1944.242</v>
      </c>
      <c r="S561" s="321">
        <v>1944.7660000000001</v>
      </c>
      <c r="T561" s="321">
        <v>1940.8480000000002</v>
      </c>
      <c r="U561" s="322">
        <v>1376.048</v>
      </c>
      <c r="V561" s="323">
        <v>21124.299000000003</v>
      </c>
      <c r="W561" s="303"/>
      <c r="X561" s="324">
        <v>1376.048</v>
      </c>
      <c r="Y561" s="325">
        <v>21124.299000000003</v>
      </c>
      <c r="AA561" s="388"/>
    </row>
    <row r="562" spans="1:27" hidden="1" outlineLevel="1" x14ac:dyDescent="0.3">
      <c r="E562" s="250" t="s">
        <v>1507</v>
      </c>
      <c r="F562" s="317">
        <v>4309780</v>
      </c>
      <c r="G562" s="318"/>
      <c r="H562" s="319"/>
      <c r="I562" s="320"/>
      <c r="J562" s="337">
        <v>0</v>
      </c>
      <c r="K562" s="321">
        <v>0</v>
      </c>
      <c r="L562" s="321">
        <v>0</v>
      </c>
      <c r="M562" s="321">
        <v>0</v>
      </c>
      <c r="N562" s="321">
        <v>0</v>
      </c>
      <c r="O562" s="321">
        <v>0</v>
      </c>
      <c r="P562" s="321">
        <v>0</v>
      </c>
      <c r="Q562" s="321">
        <v>0</v>
      </c>
      <c r="R562" s="321">
        <v>0</v>
      </c>
      <c r="S562" s="321">
        <v>0</v>
      </c>
      <c r="T562" s="321">
        <v>0</v>
      </c>
      <c r="U562" s="322">
        <v>0</v>
      </c>
      <c r="V562" s="323">
        <v>0</v>
      </c>
      <c r="W562" s="303"/>
      <c r="X562" s="324">
        <v>0</v>
      </c>
      <c r="Y562" s="325">
        <v>0</v>
      </c>
      <c r="AA562" s="388"/>
    </row>
    <row r="563" spans="1:27" hidden="1" outlineLevel="1" x14ac:dyDescent="0.3">
      <c r="E563" s="250" t="s">
        <v>1508</v>
      </c>
      <c r="F563" s="317">
        <v>4309505</v>
      </c>
      <c r="G563" s="318"/>
      <c r="H563" s="319"/>
      <c r="I563" s="320"/>
      <c r="J563" s="337">
        <v>0</v>
      </c>
      <c r="K563" s="321">
        <v>0</v>
      </c>
      <c r="L563" s="321">
        <v>0</v>
      </c>
      <c r="M563" s="321">
        <v>0</v>
      </c>
      <c r="N563" s="321">
        <v>0</v>
      </c>
      <c r="O563" s="321">
        <v>0</v>
      </c>
      <c r="P563" s="321">
        <v>0</v>
      </c>
      <c r="Q563" s="321">
        <v>0</v>
      </c>
      <c r="R563" s="321">
        <v>0</v>
      </c>
      <c r="S563" s="321">
        <v>0</v>
      </c>
      <c r="T563" s="321">
        <v>0</v>
      </c>
      <c r="U563" s="322">
        <v>0</v>
      </c>
      <c r="V563" s="323">
        <v>0</v>
      </c>
      <c r="W563" s="303"/>
      <c r="X563" s="324">
        <v>0</v>
      </c>
      <c r="Y563" s="325">
        <v>0</v>
      </c>
      <c r="AA563" s="388"/>
    </row>
    <row r="564" spans="1:27" s="350" customFormat="1" hidden="1" outlineLevel="2" x14ac:dyDescent="0.3">
      <c r="E564" s="250" t="s">
        <v>1509</v>
      </c>
      <c r="F564" s="306">
        <v>4309600</v>
      </c>
      <c r="G564" s="307"/>
      <c r="H564" s="308">
        <v>5101390117</v>
      </c>
      <c r="I564" s="309"/>
      <c r="J564" s="310">
        <v>482814.47499999998</v>
      </c>
      <c r="K564" s="311">
        <v>482814.47499999998</v>
      </c>
      <c r="L564" s="311">
        <v>482814.47399999999</v>
      </c>
      <c r="M564" s="311">
        <v>482814.47499999998</v>
      </c>
      <c r="N564" s="311">
        <v>482814.47499999998</v>
      </c>
      <c r="O564" s="311">
        <v>482814.47499999998</v>
      </c>
      <c r="P564" s="311">
        <v>482814.47399999999</v>
      </c>
      <c r="Q564" s="311">
        <v>482814.47499999998</v>
      </c>
      <c r="R564" s="311">
        <v>482814.47499999998</v>
      </c>
      <c r="S564" s="311">
        <v>482814.47499999998</v>
      </c>
      <c r="T564" s="311">
        <v>482814.47499999998</v>
      </c>
      <c r="U564" s="312">
        <v>482814.47399999999</v>
      </c>
      <c r="V564" s="313">
        <v>5793773.6969999997</v>
      </c>
      <c r="W564" s="314"/>
      <c r="X564" s="315">
        <v>482814.47399999999</v>
      </c>
      <c r="Y564" s="316">
        <v>5793773.6969999997</v>
      </c>
      <c r="AA564" s="388"/>
    </row>
    <row r="565" spans="1:27" s="361" customFormat="1" hidden="1" outlineLevel="2" x14ac:dyDescent="0.3">
      <c r="A565"/>
      <c r="B565"/>
      <c r="E565" s="326" t="s">
        <v>1510</v>
      </c>
      <c r="F565" s="351"/>
      <c r="G565" s="352"/>
      <c r="H565" s="353"/>
      <c r="I565" s="354"/>
      <c r="J565" s="362">
        <v>0</v>
      </c>
      <c r="K565" s="355">
        <v>0</v>
      </c>
      <c r="L565" s="355">
        <v>0</v>
      </c>
      <c r="M565" s="355">
        <v>0</v>
      </c>
      <c r="N565" s="355">
        <v>0</v>
      </c>
      <c r="O565" s="355">
        <v>0</v>
      </c>
      <c r="P565" s="355">
        <v>0</v>
      </c>
      <c r="Q565" s="355">
        <v>0</v>
      </c>
      <c r="R565" s="355">
        <v>0</v>
      </c>
      <c r="S565" s="355">
        <v>0</v>
      </c>
      <c r="T565" s="355">
        <v>0</v>
      </c>
      <c r="U565" s="356">
        <v>0</v>
      </c>
      <c r="V565" s="357">
        <v>0</v>
      </c>
      <c r="W565" s="358"/>
      <c r="X565" s="359">
        <v>0</v>
      </c>
      <c r="Y565" s="360">
        <v>0</v>
      </c>
      <c r="AA565" s="388"/>
    </row>
    <row r="566" spans="1:27" s="361" customFormat="1" hidden="1" outlineLevel="2" x14ac:dyDescent="0.3">
      <c r="E566" s="326" t="s">
        <v>1511</v>
      </c>
      <c r="F566" s="351"/>
      <c r="G566" s="352"/>
      <c r="H566" s="353"/>
      <c r="I566" s="354"/>
      <c r="J566" s="362">
        <v>0</v>
      </c>
      <c r="K566" s="355">
        <v>0</v>
      </c>
      <c r="L566" s="355">
        <v>0</v>
      </c>
      <c r="M566" s="355">
        <v>0</v>
      </c>
      <c r="N566" s="355">
        <v>0</v>
      </c>
      <c r="O566" s="355">
        <v>0</v>
      </c>
      <c r="P566" s="355">
        <v>0</v>
      </c>
      <c r="Q566" s="355">
        <v>0</v>
      </c>
      <c r="R566" s="355">
        <v>0</v>
      </c>
      <c r="S566" s="355">
        <v>0</v>
      </c>
      <c r="T566" s="355">
        <v>0</v>
      </c>
      <c r="U566" s="356">
        <v>0</v>
      </c>
      <c r="V566" s="357">
        <v>0</v>
      </c>
      <c r="W566" s="358"/>
      <c r="X566" s="359">
        <v>0</v>
      </c>
      <c r="Y566" s="360">
        <v>0</v>
      </c>
      <c r="AA566" s="388"/>
    </row>
    <row r="567" spans="1:27" s="361" customFormat="1" hidden="1" outlineLevel="2" x14ac:dyDescent="0.3">
      <c r="E567" s="326" t="s">
        <v>1512</v>
      </c>
      <c r="F567" s="351"/>
      <c r="G567" s="352"/>
      <c r="H567" s="353"/>
      <c r="I567" s="354"/>
      <c r="J567" s="362">
        <v>0</v>
      </c>
      <c r="K567" s="355">
        <v>0</v>
      </c>
      <c r="L567" s="355">
        <v>0</v>
      </c>
      <c r="M567" s="355">
        <v>0</v>
      </c>
      <c r="N567" s="355">
        <v>0</v>
      </c>
      <c r="O567" s="355">
        <v>0</v>
      </c>
      <c r="P567" s="355">
        <v>0</v>
      </c>
      <c r="Q567" s="355">
        <v>0</v>
      </c>
      <c r="R567" s="355">
        <v>0</v>
      </c>
      <c r="S567" s="355">
        <v>0</v>
      </c>
      <c r="T567" s="355">
        <v>0</v>
      </c>
      <c r="U567" s="356">
        <v>0</v>
      </c>
      <c r="V567" s="357">
        <v>0</v>
      </c>
      <c r="W567" s="358"/>
      <c r="X567" s="359">
        <v>0</v>
      </c>
      <c r="Y567" s="360">
        <v>0</v>
      </c>
      <c r="AA567" s="388"/>
    </row>
    <row r="568" spans="1:27" hidden="1" collapsed="1" x14ac:dyDescent="0.3">
      <c r="A568" s="233"/>
      <c r="B568" s="234" t="s">
        <v>18</v>
      </c>
      <c r="D568" s="293" t="s">
        <v>1513</v>
      </c>
      <c r="E568" s="294"/>
      <c r="F568" s="295" t="s">
        <v>1514</v>
      </c>
      <c r="G568" s="296"/>
      <c r="H568" s="297"/>
      <c r="I568" s="298"/>
      <c r="J568" s="299">
        <v>48790.042000000001</v>
      </c>
      <c r="K568" s="300">
        <v>38714.987000000001</v>
      </c>
      <c r="L568" s="300">
        <v>95449.025999999998</v>
      </c>
      <c r="M568" s="300">
        <v>38714.985999999997</v>
      </c>
      <c r="N568" s="300">
        <v>38714.987999999998</v>
      </c>
      <c r="O568" s="300">
        <v>114760.073</v>
      </c>
      <c r="P568" s="300">
        <v>38714.987000000001</v>
      </c>
      <c r="Q568" s="300">
        <v>38714.985999999997</v>
      </c>
      <c r="R568" s="300">
        <v>100715.67600000001</v>
      </c>
      <c r="S568" s="300">
        <v>38714.985999999997</v>
      </c>
      <c r="T568" s="300">
        <v>38714.983999999997</v>
      </c>
      <c r="U568" s="301">
        <v>100715.67499999999</v>
      </c>
      <c r="V568" s="302">
        <v>731435.39599999995</v>
      </c>
      <c r="W568" s="303"/>
      <c r="X568" s="304">
        <v>100715.67499999999</v>
      </c>
      <c r="Y568" s="305">
        <v>731435.39599999995</v>
      </c>
      <c r="AA568" s="388"/>
    </row>
    <row r="569" spans="1:27" hidden="1" outlineLevel="1" x14ac:dyDescent="0.3">
      <c r="E569" s="250" t="s">
        <v>1515</v>
      </c>
      <c r="F569" s="317">
        <v>4309683</v>
      </c>
      <c r="G569" s="318"/>
      <c r="H569" s="319"/>
      <c r="I569" s="320"/>
      <c r="J569" s="337">
        <v>0</v>
      </c>
      <c r="K569" s="321">
        <v>0</v>
      </c>
      <c r="L569" s="321">
        <v>0</v>
      </c>
      <c r="M569" s="321">
        <v>0</v>
      </c>
      <c r="N569" s="321">
        <v>0</v>
      </c>
      <c r="O569" s="321">
        <v>0</v>
      </c>
      <c r="P569" s="321">
        <v>0</v>
      </c>
      <c r="Q569" s="321">
        <v>0</v>
      </c>
      <c r="R569" s="321">
        <v>0</v>
      </c>
      <c r="S569" s="321">
        <v>0</v>
      </c>
      <c r="T569" s="321">
        <v>0</v>
      </c>
      <c r="U569" s="322">
        <v>0</v>
      </c>
      <c r="V569" s="323">
        <v>0</v>
      </c>
      <c r="W569" s="303"/>
      <c r="X569" s="324">
        <v>0</v>
      </c>
      <c r="Y569" s="325">
        <v>0</v>
      </c>
      <c r="AA569" s="388"/>
    </row>
    <row r="570" spans="1:27" hidden="1" outlineLevel="1" x14ac:dyDescent="0.3">
      <c r="E570" s="250" t="s">
        <v>1516</v>
      </c>
      <c r="F570" s="317">
        <v>4309681</v>
      </c>
      <c r="G570" s="318"/>
      <c r="H570" s="319">
        <v>5101410200</v>
      </c>
      <c r="I570" s="320"/>
      <c r="J570" s="337">
        <v>0</v>
      </c>
      <c r="K570" s="321">
        <v>0</v>
      </c>
      <c r="L570" s="321">
        <v>56734.038999999997</v>
      </c>
      <c r="M570" s="321">
        <v>0</v>
      </c>
      <c r="N570" s="321">
        <v>0</v>
      </c>
      <c r="O570" s="321">
        <v>76045.088000000003</v>
      </c>
      <c r="P570" s="321">
        <v>0</v>
      </c>
      <c r="Q570" s="321">
        <v>0</v>
      </c>
      <c r="R570" s="321">
        <v>0</v>
      </c>
      <c r="S570" s="321">
        <v>62000.688999999998</v>
      </c>
      <c r="T570" s="321">
        <v>0</v>
      </c>
      <c r="U570" s="322">
        <v>62000.688999999998</v>
      </c>
      <c r="V570" s="323">
        <v>256780.505</v>
      </c>
      <c r="W570" s="303"/>
      <c r="X570" s="324">
        <v>62000.688999999998</v>
      </c>
      <c r="Y570" s="325">
        <v>256780.505</v>
      </c>
      <c r="AA570" s="388"/>
    </row>
    <row r="571" spans="1:27" hidden="1" outlineLevel="1" x14ac:dyDescent="0.3">
      <c r="E571" s="250" t="s">
        <v>1517</v>
      </c>
      <c r="F571" s="317">
        <v>4309685</v>
      </c>
      <c r="G571" s="318"/>
      <c r="H571" s="319">
        <v>5101410101</v>
      </c>
      <c r="I571" s="320"/>
      <c r="J571" s="337">
        <v>48790.042000000001</v>
      </c>
      <c r="K571" s="321">
        <v>38714.987000000001</v>
      </c>
      <c r="L571" s="321">
        <v>38714.987000000001</v>
      </c>
      <c r="M571" s="321">
        <v>38714.985999999997</v>
      </c>
      <c r="N571" s="321">
        <v>38714.987999999998</v>
      </c>
      <c r="O571" s="321">
        <v>38714.985000000001</v>
      </c>
      <c r="P571" s="321">
        <v>38714.987000000001</v>
      </c>
      <c r="Q571" s="321">
        <v>38714.985999999997</v>
      </c>
      <c r="R571" s="321">
        <v>100715.67600000001</v>
      </c>
      <c r="S571" s="321">
        <v>-23285.703000000001</v>
      </c>
      <c r="T571" s="321">
        <v>38714.983999999997</v>
      </c>
      <c r="U571" s="322">
        <v>38714.985999999997</v>
      </c>
      <c r="V571" s="323">
        <v>474654.89099999995</v>
      </c>
      <c r="W571" s="303"/>
      <c r="X571" s="324">
        <v>38714.985999999997</v>
      </c>
      <c r="Y571" s="325">
        <v>474654.89099999995</v>
      </c>
      <c r="AA571" s="388"/>
    </row>
    <row r="572" spans="1:27" s="361" customFormat="1" hidden="1" outlineLevel="2" x14ac:dyDescent="0.3">
      <c r="E572" s="326" t="s">
        <v>1518</v>
      </c>
      <c r="F572" s="351"/>
      <c r="G572" s="352"/>
      <c r="H572" s="353"/>
      <c r="I572" s="354"/>
      <c r="J572" s="362">
        <v>0</v>
      </c>
      <c r="K572" s="355">
        <v>0</v>
      </c>
      <c r="L572" s="355">
        <v>0</v>
      </c>
      <c r="M572" s="355">
        <v>0</v>
      </c>
      <c r="N572" s="355">
        <v>0</v>
      </c>
      <c r="O572" s="355">
        <v>0</v>
      </c>
      <c r="P572" s="355">
        <v>0</v>
      </c>
      <c r="Q572" s="355">
        <v>0</v>
      </c>
      <c r="R572" s="355">
        <v>0</v>
      </c>
      <c r="S572" s="355">
        <v>0</v>
      </c>
      <c r="T572" s="355">
        <v>0</v>
      </c>
      <c r="U572" s="356">
        <v>0</v>
      </c>
      <c r="V572" s="357">
        <v>0</v>
      </c>
      <c r="W572" s="358"/>
      <c r="X572" s="359">
        <v>0</v>
      </c>
      <c r="Y572" s="360">
        <v>0</v>
      </c>
      <c r="AA572" s="388"/>
    </row>
    <row r="573" spans="1:27" s="361" customFormat="1" hidden="1" outlineLevel="2" x14ac:dyDescent="0.3">
      <c r="E573" s="326" t="s">
        <v>1518</v>
      </c>
      <c r="F573" s="351"/>
      <c r="G573" s="352"/>
      <c r="H573" s="353"/>
      <c r="I573" s="354"/>
      <c r="J573" s="362">
        <v>0</v>
      </c>
      <c r="K573" s="355">
        <v>0</v>
      </c>
      <c r="L573" s="355">
        <v>0</v>
      </c>
      <c r="M573" s="355">
        <v>0</v>
      </c>
      <c r="N573" s="355">
        <v>0</v>
      </c>
      <c r="O573" s="355">
        <v>0</v>
      </c>
      <c r="P573" s="355">
        <v>0</v>
      </c>
      <c r="Q573" s="355">
        <v>0</v>
      </c>
      <c r="R573" s="355">
        <v>0</v>
      </c>
      <c r="S573" s="355">
        <v>0</v>
      </c>
      <c r="T573" s="355">
        <v>0</v>
      </c>
      <c r="U573" s="356">
        <v>0</v>
      </c>
      <c r="V573" s="357">
        <v>0</v>
      </c>
      <c r="W573" s="358"/>
      <c r="X573" s="359">
        <v>0</v>
      </c>
      <c r="Y573" s="360">
        <v>0</v>
      </c>
      <c r="AA573" s="388"/>
    </row>
    <row r="574" spans="1:27" s="361" customFormat="1" hidden="1" outlineLevel="2" x14ac:dyDescent="0.3">
      <c r="E574" s="326" t="s">
        <v>1519</v>
      </c>
      <c r="F574" s="351"/>
      <c r="G574" s="352"/>
      <c r="H574" s="353"/>
      <c r="I574" s="354"/>
      <c r="J574" s="362">
        <v>0</v>
      </c>
      <c r="K574" s="355">
        <v>0</v>
      </c>
      <c r="L574" s="355">
        <v>0</v>
      </c>
      <c r="M574" s="355">
        <v>0</v>
      </c>
      <c r="N574" s="355">
        <v>0</v>
      </c>
      <c r="O574" s="355">
        <v>0</v>
      </c>
      <c r="P574" s="355">
        <v>0</v>
      </c>
      <c r="Q574" s="355">
        <v>0</v>
      </c>
      <c r="R574" s="355">
        <v>0</v>
      </c>
      <c r="S574" s="355">
        <v>0</v>
      </c>
      <c r="T574" s="355">
        <v>0</v>
      </c>
      <c r="U574" s="356">
        <v>0</v>
      </c>
      <c r="V574" s="357">
        <v>0</v>
      </c>
      <c r="W574" s="358"/>
      <c r="X574" s="359">
        <v>0</v>
      </c>
      <c r="Y574" s="360">
        <v>0</v>
      </c>
      <c r="AA574" s="388"/>
    </row>
    <row r="575" spans="1:27" hidden="1" collapsed="1" x14ac:dyDescent="0.3">
      <c r="A575" s="233"/>
      <c r="B575" s="234" t="s">
        <v>41</v>
      </c>
      <c r="D575" s="293" t="s">
        <v>1520</v>
      </c>
      <c r="E575" s="294"/>
      <c r="F575" s="295" t="s">
        <v>1521</v>
      </c>
      <c r="G575" s="296"/>
      <c r="H575" s="297"/>
      <c r="I575" s="298"/>
      <c r="J575" s="299">
        <v>487975.37099999998</v>
      </c>
      <c r="K575" s="300">
        <v>-92246.407999999996</v>
      </c>
      <c r="L575" s="300">
        <v>-708698.88500000001</v>
      </c>
      <c r="M575" s="300">
        <v>-2664738.2710000002</v>
      </c>
      <c r="N575" s="300">
        <v>102052.13800000001</v>
      </c>
      <c r="O575" s="300">
        <v>995285.31300000008</v>
      </c>
      <c r="P575" s="300">
        <v>-70395.593999999997</v>
      </c>
      <c r="Q575" s="300">
        <v>84884.182000000001</v>
      </c>
      <c r="R575" s="300">
        <v>-243922.93400000004</v>
      </c>
      <c r="S575" s="300">
        <v>16072.489000000001</v>
      </c>
      <c r="T575" s="300">
        <v>125662.06600000001</v>
      </c>
      <c r="U575" s="301">
        <v>466091.12599999999</v>
      </c>
      <c r="V575" s="302">
        <v>-1501979.4069999999</v>
      </c>
      <c r="W575" s="303"/>
      <c r="X575" s="304">
        <v>466091.12599999999</v>
      </c>
      <c r="Y575" s="305">
        <v>-1501979.4069999999</v>
      </c>
      <c r="AA575" s="388"/>
    </row>
    <row r="576" spans="1:27" hidden="1" outlineLevel="1" x14ac:dyDescent="0.3">
      <c r="E576" s="250" t="s">
        <v>1522</v>
      </c>
      <c r="F576" s="317">
        <v>4309201</v>
      </c>
      <c r="G576" s="318"/>
      <c r="H576" s="319">
        <v>5101430101</v>
      </c>
      <c r="I576" s="320"/>
      <c r="J576" s="337">
        <v>3184.8519999999999</v>
      </c>
      <c r="K576" s="321">
        <v>-1888.8210000000001</v>
      </c>
      <c r="L576" s="321">
        <v>26971.109000000004</v>
      </c>
      <c r="M576" s="321">
        <v>-1479.4349999999999</v>
      </c>
      <c r="N576" s="321">
        <v>1811.606</v>
      </c>
      <c r="O576" s="321">
        <v>51617.999000000003</v>
      </c>
      <c r="P576" s="321">
        <v>-3274.913</v>
      </c>
      <c r="Q576" s="321">
        <v>7923.2420000000002</v>
      </c>
      <c r="R576" s="321">
        <v>16198.118</v>
      </c>
      <c r="S576" s="321">
        <v>639.94600000000003</v>
      </c>
      <c r="T576" s="321">
        <v>3235.0280000000002</v>
      </c>
      <c r="U576" s="322">
        <v>-49999.951999999997</v>
      </c>
      <c r="V576" s="323">
        <v>54938.779000000002</v>
      </c>
      <c r="W576" s="303"/>
      <c r="X576" s="324">
        <v>-49999.951999999997</v>
      </c>
      <c r="Y576" s="325">
        <v>54938.779000000002</v>
      </c>
      <c r="AA576" s="388"/>
    </row>
    <row r="577" spans="1:27" hidden="1" outlineLevel="1" x14ac:dyDescent="0.3">
      <c r="E577" s="250" t="s">
        <v>1523</v>
      </c>
      <c r="F577" s="317">
        <v>4309202</v>
      </c>
      <c r="G577" s="318"/>
      <c r="H577" s="319"/>
      <c r="I577" s="320"/>
      <c r="J577" s="337">
        <v>0</v>
      </c>
      <c r="K577" s="321">
        <v>0</v>
      </c>
      <c r="L577" s="321">
        <v>0</v>
      </c>
      <c r="M577" s="321">
        <v>0</v>
      </c>
      <c r="N577" s="321">
        <v>0</v>
      </c>
      <c r="O577" s="321">
        <v>0</v>
      </c>
      <c r="P577" s="321">
        <v>0</v>
      </c>
      <c r="Q577" s="321">
        <v>0</v>
      </c>
      <c r="R577" s="321">
        <v>0</v>
      </c>
      <c r="S577" s="321">
        <v>0</v>
      </c>
      <c r="T577" s="321">
        <v>0</v>
      </c>
      <c r="U577" s="322">
        <v>0</v>
      </c>
      <c r="V577" s="323">
        <v>0</v>
      </c>
      <c r="W577" s="303"/>
      <c r="X577" s="324">
        <v>0</v>
      </c>
      <c r="Y577" s="325">
        <v>0</v>
      </c>
      <c r="AA577" s="388"/>
    </row>
    <row r="578" spans="1:27" hidden="1" outlineLevel="1" x14ac:dyDescent="0.3">
      <c r="E578" s="250" t="s">
        <v>1524</v>
      </c>
      <c r="F578" s="317">
        <v>4309203</v>
      </c>
      <c r="G578" s="318"/>
      <c r="H578" s="319"/>
      <c r="I578" s="320"/>
      <c r="J578" s="337">
        <v>484790.51899999997</v>
      </c>
      <c r="K578" s="321">
        <v>-90357.587</v>
      </c>
      <c r="L578" s="321">
        <v>-735669.99400000006</v>
      </c>
      <c r="M578" s="321">
        <v>-1673561.7120000001</v>
      </c>
      <c r="N578" s="321">
        <v>100240.53200000001</v>
      </c>
      <c r="O578" s="321">
        <v>943667.31400000013</v>
      </c>
      <c r="P578" s="321">
        <v>-67120.680999999997</v>
      </c>
      <c r="Q578" s="321">
        <v>76960.94</v>
      </c>
      <c r="R578" s="321">
        <v>-260121.05200000003</v>
      </c>
      <c r="S578" s="321">
        <v>15432.543000000001</v>
      </c>
      <c r="T578" s="321">
        <v>122427.038</v>
      </c>
      <c r="U578" s="322">
        <v>516091.07799999998</v>
      </c>
      <c r="V578" s="323">
        <v>-567221.06199999992</v>
      </c>
      <c r="W578" s="303"/>
      <c r="X578" s="324">
        <v>516091.07799999998</v>
      </c>
      <c r="Y578" s="325">
        <v>-567221.06199999992</v>
      </c>
      <c r="AA578" s="388"/>
    </row>
    <row r="579" spans="1:27" hidden="1" outlineLevel="1" x14ac:dyDescent="0.3">
      <c r="E579" s="250" t="s">
        <v>1525</v>
      </c>
      <c r="F579" s="317">
        <v>4309206</v>
      </c>
      <c r="G579" s="318"/>
      <c r="H579" s="319"/>
      <c r="I579" s="320"/>
      <c r="J579" s="337">
        <v>0</v>
      </c>
      <c r="K579" s="321">
        <v>0</v>
      </c>
      <c r="L579" s="321">
        <v>0</v>
      </c>
      <c r="M579" s="321">
        <v>-989697.12399999995</v>
      </c>
      <c r="N579" s="321">
        <v>0</v>
      </c>
      <c r="O579" s="321">
        <v>0</v>
      </c>
      <c r="P579" s="321">
        <v>0</v>
      </c>
      <c r="Q579" s="321">
        <v>0</v>
      </c>
      <c r="R579" s="321">
        <v>0</v>
      </c>
      <c r="S579" s="321">
        <v>0</v>
      </c>
      <c r="T579" s="321">
        <v>0</v>
      </c>
      <c r="U579" s="322">
        <v>0</v>
      </c>
      <c r="V579" s="323">
        <v>-989697.12399999995</v>
      </c>
      <c r="W579" s="303"/>
      <c r="X579" s="324">
        <v>0</v>
      </c>
      <c r="Y579" s="325">
        <v>-989697.12399999995</v>
      </c>
      <c r="AA579" s="388"/>
    </row>
    <row r="580" spans="1:27" s="361" customFormat="1" hidden="1" outlineLevel="2" x14ac:dyDescent="0.3">
      <c r="E580" s="361" t="s">
        <v>1526</v>
      </c>
      <c r="F580" s="351"/>
      <c r="G580" s="352"/>
      <c r="H580" s="353"/>
      <c r="I580" s="354"/>
      <c r="J580" s="362">
        <v>0</v>
      </c>
      <c r="K580" s="355">
        <v>0</v>
      </c>
      <c r="L580" s="355">
        <v>0</v>
      </c>
      <c r="M580" s="355">
        <v>0</v>
      </c>
      <c r="N580" s="355">
        <v>0</v>
      </c>
      <c r="O580" s="355">
        <v>0</v>
      </c>
      <c r="P580" s="355">
        <v>0</v>
      </c>
      <c r="Q580" s="355">
        <v>0</v>
      </c>
      <c r="R580" s="355">
        <v>0</v>
      </c>
      <c r="S580" s="355">
        <v>0</v>
      </c>
      <c r="T580" s="355">
        <v>0</v>
      </c>
      <c r="U580" s="356">
        <v>0</v>
      </c>
      <c r="V580" s="357">
        <v>0</v>
      </c>
      <c r="W580" s="358"/>
      <c r="X580" s="359">
        <v>0</v>
      </c>
      <c r="Y580" s="360">
        <v>0</v>
      </c>
      <c r="AA580" s="388"/>
    </row>
    <row r="581" spans="1:27" s="361" customFormat="1" hidden="1" outlineLevel="2" x14ac:dyDescent="0.3">
      <c r="E581" s="326" t="s">
        <v>1527</v>
      </c>
      <c r="F581" s="351"/>
      <c r="G581" s="352"/>
      <c r="H581" s="353"/>
      <c r="I581" s="354"/>
      <c r="J581" s="362">
        <v>0</v>
      </c>
      <c r="K581" s="355">
        <v>0</v>
      </c>
      <c r="L581" s="355">
        <v>0</v>
      </c>
      <c r="M581" s="355">
        <v>0</v>
      </c>
      <c r="N581" s="355">
        <v>0</v>
      </c>
      <c r="O581" s="355">
        <v>0</v>
      </c>
      <c r="P581" s="355">
        <v>0</v>
      </c>
      <c r="Q581" s="355">
        <v>0</v>
      </c>
      <c r="R581" s="355">
        <v>0</v>
      </c>
      <c r="S581" s="355">
        <v>0</v>
      </c>
      <c r="T581" s="355">
        <v>0</v>
      </c>
      <c r="U581" s="356">
        <v>0</v>
      </c>
      <c r="V581" s="357">
        <v>0</v>
      </c>
      <c r="W581" s="358"/>
      <c r="X581" s="359">
        <v>0</v>
      </c>
      <c r="Y581" s="360">
        <v>0</v>
      </c>
      <c r="AA581" s="388"/>
    </row>
    <row r="582" spans="1:27" s="361" customFormat="1" hidden="1" outlineLevel="2" x14ac:dyDescent="0.3">
      <c r="E582" s="326" t="s">
        <v>1528</v>
      </c>
      <c r="F582" s="351"/>
      <c r="G582" s="352"/>
      <c r="H582" s="353"/>
      <c r="I582" s="354"/>
      <c r="J582" s="362">
        <v>0</v>
      </c>
      <c r="K582" s="355">
        <v>0</v>
      </c>
      <c r="L582" s="355">
        <v>0</v>
      </c>
      <c r="M582" s="355">
        <v>0</v>
      </c>
      <c r="N582" s="355">
        <v>0</v>
      </c>
      <c r="O582" s="355">
        <v>0</v>
      </c>
      <c r="P582" s="355">
        <v>0</v>
      </c>
      <c r="Q582" s="355">
        <v>0</v>
      </c>
      <c r="R582" s="355">
        <v>0</v>
      </c>
      <c r="S582" s="355">
        <v>0</v>
      </c>
      <c r="T582" s="355">
        <v>0</v>
      </c>
      <c r="U582" s="356">
        <v>0</v>
      </c>
      <c r="V582" s="357">
        <v>0</v>
      </c>
      <c r="W582" s="358"/>
      <c r="X582" s="359">
        <v>0</v>
      </c>
      <c r="Y582" s="360">
        <v>0</v>
      </c>
      <c r="AA582" s="388"/>
    </row>
    <row r="583" spans="1:27" s="361" customFormat="1" hidden="1" outlineLevel="2" x14ac:dyDescent="0.3">
      <c r="E583" s="326" t="s">
        <v>1529</v>
      </c>
      <c r="F583" s="351"/>
      <c r="G583" s="352"/>
      <c r="H583" s="353"/>
      <c r="I583" s="354"/>
      <c r="J583" s="362">
        <v>0</v>
      </c>
      <c r="K583" s="355">
        <v>0</v>
      </c>
      <c r="L583" s="355">
        <v>0</v>
      </c>
      <c r="M583" s="355">
        <v>0</v>
      </c>
      <c r="N583" s="355">
        <v>0</v>
      </c>
      <c r="O583" s="355">
        <v>0</v>
      </c>
      <c r="P583" s="355">
        <v>0</v>
      </c>
      <c r="Q583" s="355">
        <v>0</v>
      </c>
      <c r="R583" s="355">
        <v>0</v>
      </c>
      <c r="S583" s="355">
        <v>0</v>
      </c>
      <c r="T583" s="355">
        <v>0</v>
      </c>
      <c r="U583" s="356">
        <v>0</v>
      </c>
      <c r="V583" s="357">
        <v>0</v>
      </c>
      <c r="W583" s="358"/>
      <c r="X583" s="359">
        <v>0</v>
      </c>
      <c r="Y583" s="360">
        <v>0</v>
      </c>
      <c r="AA583" s="388"/>
    </row>
    <row r="584" spans="1:27" s="361" customFormat="1" hidden="1" outlineLevel="2" x14ac:dyDescent="0.3">
      <c r="E584" s="326" t="s">
        <v>1530</v>
      </c>
      <c r="F584" s="351"/>
      <c r="G584" s="352"/>
      <c r="H584" s="353"/>
      <c r="I584" s="354"/>
      <c r="J584" s="362">
        <v>0</v>
      </c>
      <c r="K584" s="355">
        <v>0</v>
      </c>
      <c r="L584" s="355">
        <v>0</v>
      </c>
      <c r="M584" s="355">
        <v>0</v>
      </c>
      <c r="N584" s="355">
        <v>0</v>
      </c>
      <c r="O584" s="355">
        <v>0</v>
      </c>
      <c r="P584" s="355">
        <v>0</v>
      </c>
      <c r="Q584" s="355">
        <v>0</v>
      </c>
      <c r="R584" s="355">
        <v>0</v>
      </c>
      <c r="S584" s="355">
        <v>0</v>
      </c>
      <c r="T584" s="355">
        <v>0</v>
      </c>
      <c r="U584" s="356">
        <v>0</v>
      </c>
      <c r="V584" s="357">
        <v>0</v>
      </c>
      <c r="W584" s="358"/>
      <c r="X584" s="359">
        <v>0</v>
      </c>
      <c r="Y584" s="360">
        <v>0</v>
      </c>
      <c r="AA584" s="388"/>
    </row>
    <row r="585" spans="1:27" hidden="1" collapsed="1" x14ac:dyDescent="0.3">
      <c r="A585" s="233"/>
      <c r="B585" s="234" t="s">
        <v>41</v>
      </c>
      <c r="D585" s="293" t="s">
        <v>1531</v>
      </c>
      <c r="E585" s="294"/>
      <c r="F585" s="295" t="s">
        <v>1532</v>
      </c>
      <c r="G585" s="296"/>
      <c r="H585" s="297"/>
      <c r="I585" s="298"/>
      <c r="J585" s="299">
        <v>0</v>
      </c>
      <c r="K585" s="300">
        <v>0</v>
      </c>
      <c r="L585" s="300">
        <v>0</v>
      </c>
      <c r="M585" s="300">
        <v>0</v>
      </c>
      <c r="N585" s="300">
        <v>0</v>
      </c>
      <c r="O585" s="300">
        <v>0</v>
      </c>
      <c r="P585" s="300">
        <v>0</v>
      </c>
      <c r="Q585" s="300">
        <v>0</v>
      </c>
      <c r="R585" s="300">
        <v>0</v>
      </c>
      <c r="S585" s="300">
        <v>0</v>
      </c>
      <c r="T585" s="300">
        <v>0</v>
      </c>
      <c r="U585" s="301">
        <v>0</v>
      </c>
      <c r="V585" s="302">
        <v>0</v>
      </c>
      <c r="W585" s="303"/>
      <c r="X585" s="304">
        <v>0</v>
      </c>
      <c r="Y585" s="305">
        <v>0</v>
      </c>
      <c r="AA585" s="388"/>
    </row>
    <row r="586" spans="1:27" hidden="1" outlineLevel="1" x14ac:dyDescent="0.3">
      <c r="E586" s="250" t="s">
        <v>1533</v>
      </c>
      <c r="F586" s="317">
        <v>4404000</v>
      </c>
      <c r="G586" s="318"/>
      <c r="H586" s="319"/>
      <c r="I586" s="320"/>
      <c r="J586" s="337">
        <v>0</v>
      </c>
      <c r="K586" s="321">
        <v>0</v>
      </c>
      <c r="L586" s="321">
        <v>0</v>
      </c>
      <c r="M586" s="321">
        <v>0</v>
      </c>
      <c r="N586" s="321">
        <v>0</v>
      </c>
      <c r="O586" s="321">
        <v>0</v>
      </c>
      <c r="P586" s="321">
        <v>0</v>
      </c>
      <c r="Q586" s="321">
        <v>0</v>
      </c>
      <c r="R586" s="321">
        <v>0</v>
      </c>
      <c r="S586" s="321">
        <v>0</v>
      </c>
      <c r="T586" s="321">
        <v>0</v>
      </c>
      <c r="U586" s="322">
        <v>0</v>
      </c>
      <c r="V586" s="323">
        <v>0</v>
      </c>
      <c r="W586" s="303"/>
      <c r="X586" s="324">
        <v>0</v>
      </c>
      <c r="Y586" s="325">
        <v>0</v>
      </c>
      <c r="AA586" s="388"/>
    </row>
    <row r="587" spans="1:27" s="326" customFormat="1" hidden="1" outlineLevel="2" x14ac:dyDescent="0.3">
      <c r="E587" s="326" t="s">
        <v>1534</v>
      </c>
      <c r="F587" s="336"/>
      <c r="G587" s="327"/>
      <c r="H587" s="328"/>
      <c r="I587" s="329"/>
      <c r="J587" s="338">
        <v>0</v>
      </c>
      <c r="K587" s="330">
        <v>0</v>
      </c>
      <c r="L587" s="330">
        <v>0</v>
      </c>
      <c r="M587" s="330">
        <v>0</v>
      </c>
      <c r="N587" s="330">
        <v>0</v>
      </c>
      <c r="O587" s="330">
        <v>0</v>
      </c>
      <c r="P587" s="330">
        <v>0</v>
      </c>
      <c r="Q587" s="330">
        <v>0</v>
      </c>
      <c r="R587" s="330">
        <v>0</v>
      </c>
      <c r="S587" s="330">
        <v>0</v>
      </c>
      <c r="T587" s="330">
        <v>0</v>
      </c>
      <c r="U587" s="331">
        <v>0</v>
      </c>
      <c r="V587" s="332">
        <v>0</v>
      </c>
      <c r="W587" s="333"/>
      <c r="X587" s="334">
        <v>0</v>
      </c>
      <c r="Y587" s="335">
        <v>0</v>
      </c>
      <c r="AA587" s="388"/>
    </row>
    <row r="588" spans="1:27" s="326" customFormat="1" hidden="1" outlineLevel="2" x14ac:dyDescent="0.3">
      <c r="E588" s="326" t="s">
        <v>1535</v>
      </c>
      <c r="F588" s="336"/>
      <c r="G588" s="327"/>
      <c r="H588" s="328"/>
      <c r="I588" s="329"/>
      <c r="J588" s="338">
        <v>0</v>
      </c>
      <c r="K588" s="330">
        <v>0</v>
      </c>
      <c r="L588" s="330">
        <v>0</v>
      </c>
      <c r="M588" s="330">
        <v>0</v>
      </c>
      <c r="N588" s="330">
        <v>0</v>
      </c>
      <c r="O588" s="330">
        <v>0</v>
      </c>
      <c r="P588" s="330">
        <v>0</v>
      </c>
      <c r="Q588" s="330">
        <v>0</v>
      </c>
      <c r="R588" s="330">
        <v>0</v>
      </c>
      <c r="S588" s="330">
        <v>0</v>
      </c>
      <c r="T588" s="330">
        <v>0</v>
      </c>
      <c r="U588" s="331">
        <v>0</v>
      </c>
      <c r="V588" s="332">
        <v>0</v>
      </c>
      <c r="W588" s="333"/>
      <c r="X588" s="334">
        <v>0</v>
      </c>
      <c r="Y588" s="335">
        <v>0</v>
      </c>
      <c r="AA588" s="388"/>
    </row>
    <row r="589" spans="1:27" s="326" customFormat="1" hidden="1" outlineLevel="2" x14ac:dyDescent="0.3">
      <c r="E589" s="326" t="s">
        <v>1536</v>
      </c>
      <c r="F589" s="336"/>
      <c r="G589" s="327"/>
      <c r="H589" s="328"/>
      <c r="I589" s="329"/>
      <c r="J589" s="338">
        <v>0</v>
      </c>
      <c r="K589" s="330">
        <v>0</v>
      </c>
      <c r="L589" s="330">
        <v>0</v>
      </c>
      <c r="M589" s="330">
        <v>0</v>
      </c>
      <c r="N589" s="330">
        <v>0</v>
      </c>
      <c r="O589" s="330">
        <v>0</v>
      </c>
      <c r="P589" s="330">
        <v>0</v>
      </c>
      <c r="Q589" s="330">
        <v>0</v>
      </c>
      <c r="R589" s="330">
        <v>0</v>
      </c>
      <c r="S589" s="330">
        <v>0</v>
      </c>
      <c r="T589" s="330">
        <v>0</v>
      </c>
      <c r="U589" s="331">
        <v>0</v>
      </c>
      <c r="V589" s="332">
        <v>0</v>
      </c>
      <c r="W589" s="333"/>
      <c r="X589" s="334">
        <v>0</v>
      </c>
      <c r="Y589" s="335">
        <v>0</v>
      </c>
      <c r="AA589" s="388"/>
    </row>
    <row r="590" spans="1:27" hidden="1" collapsed="1" x14ac:dyDescent="0.3">
      <c r="A590" s="233"/>
      <c r="B590" s="234" t="s">
        <v>28</v>
      </c>
      <c r="D590" s="293" t="s">
        <v>1537</v>
      </c>
      <c r="E590" s="294"/>
      <c r="F590" s="295" t="s">
        <v>1538</v>
      </c>
      <c r="G590" s="296"/>
      <c r="H590" s="297"/>
      <c r="I590" s="298"/>
      <c r="J590" s="299">
        <v>903881.68700000003</v>
      </c>
      <c r="K590" s="300">
        <v>1351942.841</v>
      </c>
      <c r="L590" s="300">
        <v>1557530.2609999999</v>
      </c>
      <c r="M590" s="300">
        <v>1849342.392</v>
      </c>
      <c r="N590" s="300">
        <v>1845094.6289999997</v>
      </c>
      <c r="O590" s="300">
        <v>1699358.1459999997</v>
      </c>
      <c r="P590" s="300">
        <v>1698431.4819999996</v>
      </c>
      <c r="Q590" s="300">
        <v>1634271.078</v>
      </c>
      <c r="R590" s="300">
        <v>1602560.0700000003</v>
      </c>
      <c r="S590" s="300">
        <v>1683245.5779999997</v>
      </c>
      <c r="T590" s="300">
        <v>1631638.4480000001</v>
      </c>
      <c r="U590" s="301">
        <v>1898811.6940000004</v>
      </c>
      <c r="V590" s="302">
        <v>19356108.306000002</v>
      </c>
      <c r="W590" s="303"/>
      <c r="X590" s="304">
        <v>1898811.6940000004</v>
      </c>
      <c r="Y590" s="305">
        <v>19356108.306000002</v>
      </c>
      <c r="AA590" s="388"/>
    </row>
    <row r="591" spans="1:27" hidden="1" outlineLevel="1" x14ac:dyDescent="0.3">
      <c r="E591" s="250" t="s">
        <v>1539</v>
      </c>
      <c r="F591" s="317">
        <v>4304101</v>
      </c>
      <c r="G591" s="318"/>
      <c r="H591" s="319">
        <v>5101450199</v>
      </c>
      <c r="I591" s="320"/>
      <c r="J591" s="337">
        <v>7492.2</v>
      </c>
      <c r="K591" s="321">
        <v>29353.708999999999</v>
      </c>
      <c r="L591" s="321">
        <v>10902</v>
      </c>
      <c r="M591" s="321">
        <v>59582.841999999997</v>
      </c>
      <c r="N591" s="321">
        <v>90602</v>
      </c>
      <c r="O591" s="321">
        <v>46304.227999999996</v>
      </c>
      <c r="P591" s="321">
        <v>7351</v>
      </c>
      <c r="Q591" s="321">
        <v>19845.599999999999</v>
      </c>
      <c r="R591" s="321">
        <v>55539</v>
      </c>
      <c r="S591" s="321">
        <v>36419</v>
      </c>
      <c r="T591" s="321">
        <v>25213.5</v>
      </c>
      <c r="U591" s="322">
        <v>233288</v>
      </c>
      <c r="V591" s="323">
        <v>621893.07899999991</v>
      </c>
      <c r="W591" s="303"/>
      <c r="X591" s="324">
        <v>233288</v>
      </c>
      <c r="Y591" s="325">
        <v>621893.07899999991</v>
      </c>
      <c r="AA591" s="388"/>
    </row>
    <row r="592" spans="1:27" hidden="1" outlineLevel="1" x14ac:dyDescent="0.3">
      <c r="E592" s="250" t="s">
        <v>1540</v>
      </c>
      <c r="F592" s="317">
        <v>4304102</v>
      </c>
      <c r="G592" s="318"/>
      <c r="H592" s="319"/>
      <c r="I592" s="320"/>
      <c r="J592" s="337">
        <v>1970</v>
      </c>
      <c r="K592" s="321">
        <v>23900</v>
      </c>
      <c r="L592" s="321">
        <v>20280</v>
      </c>
      <c r="M592" s="321">
        <v>4070</v>
      </c>
      <c r="N592" s="321">
        <v>22841</v>
      </c>
      <c r="O592" s="321">
        <v>44867.892</v>
      </c>
      <c r="P592" s="321">
        <v>800</v>
      </c>
      <c r="Q592" s="321">
        <v>36183</v>
      </c>
      <c r="R592" s="321">
        <v>9830</v>
      </c>
      <c r="S592" s="321">
        <v>4012</v>
      </c>
      <c r="T592" s="321">
        <v>30911</v>
      </c>
      <c r="U592" s="322">
        <v>16600</v>
      </c>
      <c r="V592" s="323">
        <v>216264.89199999999</v>
      </c>
      <c r="W592" s="303"/>
      <c r="X592" s="324">
        <v>16600</v>
      </c>
      <c r="Y592" s="325">
        <v>216264.89199999999</v>
      </c>
      <c r="AA592" s="388"/>
    </row>
    <row r="593" spans="1:27" hidden="1" outlineLevel="1" x14ac:dyDescent="0.3">
      <c r="A593" s="361"/>
      <c r="B593" s="361"/>
      <c r="E593" s="250" t="s">
        <v>1541</v>
      </c>
      <c r="F593" s="317">
        <v>4304103</v>
      </c>
      <c r="G593" s="318"/>
      <c r="H593" s="319">
        <v>5101450101</v>
      </c>
      <c r="I593" s="320"/>
      <c r="J593" s="337">
        <v>108767.122</v>
      </c>
      <c r="K593" s="321">
        <v>117532.458</v>
      </c>
      <c r="L593" s="321">
        <v>121986.63</v>
      </c>
      <c r="M593" s="321">
        <v>118669.077</v>
      </c>
      <c r="N593" s="321">
        <v>106846.96399999999</v>
      </c>
      <c r="O593" s="321">
        <v>186756.44</v>
      </c>
      <c r="P593" s="321">
        <v>99418.260000000009</v>
      </c>
      <c r="Q593" s="321">
        <v>183574.60200000001</v>
      </c>
      <c r="R593" s="321">
        <v>160289.054</v>
      </c>
      <c r="S593" s="321">
        <v>107445.65399999999</v>
      </c>
      <c r="T593" s="321">
        <v>123370.988</v>
      </c>
      <c r="U593" s="322">
        <v>122208.41499999999</v>
      </c>
      <c r="V593" s="323">
        <v>1556865.6640000001</v>
      </c>
      <c r="W593" s="303"/>
      <c r="X593" s="324">
        <v>122208.41499999999</v>
      </c>
      <c r="Y593" s="325">
        <v>1556865.6640000001</v>
      </c>
      <c r="AA593" s="388"/>
    </row>
    <row r="594" spans="1:27" hidden="1" outlineLevel="1" x14ac:dyDescent="0.3">
      <c r="E594" s="250" t="s">
        <v>1542</v>
      </c>
      <c r="F594" s="317">
        <v>4304104</v>
      </c>
      <c r="G594" s="318"/>
      <c r="H594" s="319">
        <v>5101450103</v>
      </c>
      <c r="I594" s="320"/>
      <c r="J594" s="337">
        <v>1150536.6300000001</v>
      </c>
      <c r="K594" s="321">
        <v>1009486.1459999999</v>
      </c>
      <c r="L594" s="321">
        <v>1107085.3030000001</v>
      </c>
      <c r="M594" s="321">
        <v>1269467.2319999998</v>
      </c>
      <c r="N594" s="321">
        <v>1222467.257</v>
      </c>
      <c r="O594" s="321">
        <v>1207907.9010000001</v>
      </c>
      <c r="P594" s="321">
        <v>1306480.6549999998</v>
      </c>
      <c r="Q594" s="321">
        <v>1100357.0970000001</v>
      </c>
      <c r="R594" s="321">
        <v>1074418.5180000002</v>
      </c>
      <c r="S594" s="321">
        <v>1282004.405</v>
      </c>
      <c r="T594" s="321">
        <v>1197501.459</v>
      </c>
      <c r="U594" s="322">
        <v>1069545.905</v>
      </c>
      <c r="V594" s="323">
        <v>13997258.507999999</v>
      </c>
      <c r="W594" s="303"/>
      <c r="X594" s="324">
        <v>1069545.905</v>
      </c>
      <c r="Y594" s="325">
        <v>13997258.507999999</v>
      </c>
      <c r="AA594" s="388"/>
    </row>
    <row r="595" spans="1:27" hidden="1" outlineLevel="1" x14ac:dyDescent="0.3">
      <c r="E595" s="250" t="s">
        <v>1543</v>
      </c>
      <c r="F595" s="317">
        <v>4304105</v>
      </c>
      <c r="G595" s="318"/>
      <c r="H595" s="319"/>
      <c r="I595" s="320"/>
      <c r="J595" s="337">
        <v>189.78999999999996</v>
      </c>
      <c r="K595" s="321">
        <v>3629.5</v>
      </c>
      <c r="L595" s="321">
        <v>-620.13800000000003</v>
      </c>
      <c r="M595" s="321">
        <v>1906.2249999999999</v>
      </c>
      <c r="N595" s="321">
        <v>2736.5140000000001</v>
      </c>
      <c r="O595" s="321">
        <v>106.68000000000006</v>
      </c>
      <c r="P595" s="321">
        <v>1430.14</v>
      </c>
      <c r="Q595" s="321">
        <v>2158.27</v>
      </c>
      <c r="R595" s="321">
        <v>1521.55</v>
      </c>
      <c r="S595" s="321">
        <v>-1263.7020000000002</v>
      </c>
      <c r="T595" s="321">
        <v>5151.5</v>
      </c>
      <c r="U595" s="322">
        <v>4007.424</v>
      </c>
      <c r="V595" s="323">
        <v>20953.753000000001</v>
      </c>
      <c r="W595" s="303"/>
      <c r="X595" s="324">
        <v>4007.424</v>
      </c>
      <c r="Y595" s="325">
        <v>20953.753000000001</v>
      </c>
      <c r="AA595" s="388"/>
    </row>
    <row r="596" spans="1:27" hidden="1" outlineLevel="1" x14ac:dyDescent="0.3">
      <c r="E596" s="250" t="s">
        <v>1544</v>
      </c>
      <c r="F596" s="317">
        <v>4304106</v>
      </c>
      <c r="G596" s="318"/>
      <c r="H596" s="319"/>
      <c r="I596" s="320"/>
      <c r="J596" s="337">
        <v>-412768.43599999999</v>
      </c>
      <c r="K596" s="321">
        <v>57766.027999999998</v>
      </c>
      <c r="L596" s="321">
        <v>116653.738</v>
      </c>
      <c r="M596" s="321">
        <v>83970.393000000011</v>
      </c>
      <c r="N596" s="321">
        <v>124829.05799999999</v>
      </c>
      <c r="O596" s="321">
        <v>-46722.728999999999</v>
      </c>
      <c r="P596" s="321">
        <v>104688.51800000001</v>
      </c>
      <c r="Q596" s="321">
        <v>95014.758000000016</v>
      </c>
      <c r="R596" s="321">
        <v>70077.624000000011</v>
      </c>
      <c r="S596" s="321">
        <v>-41727.414999999986</v>
      </c>
      <c r="T596" s="321">
        <v>94861.77399999999</v>
      </c>
      <c r="U596" s="322">
        <v>183373.016</v>
      </c>
      <c r="V596" s="323">
        <v>430016.32700000005</v>
      </c>
      <c r="W596" s="303"/>
      <c r="X596" s="324">
        <v>183373.016</v>
      </c>
      <c r="Y596" s="325">
        <v>430016.32700000005</v>
      </c>
      <c r="AA596" s="388"/>
    </row>
    <row r="597" spans="1:27" hidden="1" outlineLevel="1" x14ac:dyDescent="0.3">
      <c r="E597" s="250" t="s">
        <v>1545</v>
      </c>
      <c r="F597" s="317">
        <v>4304107</v>
      </c>
      <c r="G597" s="318"/>
      <c r="H597" s="319"/>
      <c r="I597" s="320"/>
      <c r="J597" s="337">
        <v>0</v>
      </c>
      <c r="K597" s="321">
        <v>0</v>
      </c>
      <c r="L597" s="321">
        <v>0</v>
      </c>
      <c r="M597" s="321">
        <v>0</v>
      </c>
      <c r="N597" s="321">
        <v>0</v>
      </c>
      <c r="O597" s="321">
        <v>0</v>
      </c>
      <c r="P597" s="321">
        <v>0</v>
      </c>
      <c r="Q597" s="321">
        <v>0</v>
      </c>
      <c r="R597" s="321">
        <v>0</v>
      </c>
      <c r="S597" s="321">
        <v>18</v>
      </c>
      <c r="T597" s="321">
        <v>0</v>
      </c>
      <c r="U597" s="322">
        <v>0</v>
      </c>
      <c r="V597" s="323">
        <v>18</v>
      </c>
      <c r="W597" s="303"/>
      <c r="X597" s="324">
        <v>0</v>
      </c>
      <c r="Y597" s="325">
        <v>18</v>
      </c>
      <c r="AA597" s="388"/>
    </row>
    <row r="598" spans="1:27" hidden="1" outlineLevel="1" x14ac:dyDescent="0.3">
      <c r="E598" s="250" t="s">
        <v>1546</v>
      </c>
      <c r="F598" s="317">
        <v>4304108</v>
      </c>
      <c r="G598" s="318"/>
      <c r="H598" s="319"/>
      <c r="I598" s="320"/>
      <c r="J598" s="337">
        <v>11800</v>
      </c>
      <c r="K598" s="321">
        <v>59837</v>
      </c>
      <c r="L598" s="321">
        <v>65343</v>
      </c>
      <c r="M598" s="321">
        <v>217029.75</v>
      </c>
      <c r="N598" s="321">
        <v>152810</v>
      </c>
      <c r="O598" s="321">
        <v>187969.954</v>
      </c>
      <c r="P598" s="321">
        <v>139021.818</v>
      </c>
      <c r="Q598" s="321">
        <v>143811</v>
      </c>
      <c r="R598" s="321">
        <v>161153</v>
      </c>
      <c r="S598" s="321">
        <v>147371</v>
      </c>
      <c r="T598" s="321">
        <v>121194.727</v>
      </c>
      <c r="U598" s="322">
        <v>155403.72500000001</v>
      </c>
      <c r="V598" s="323">
        <v>1562744.9739999999</v>
      </c>
      <c r="W598" s="303"/>
      <c r="X598" s="324">
        <v>155403.72500000001</v>
      </c>
      <c r="Y598" s="325">
        <v>1562744.9739999999</v>
      </c>
      <c r="AA598" s="388"/>
    </row>
    <row r="599" spans="1:27" hidden="1" outlineLevel="1" x14ac:dyDescent="0.3">
      <c r="E599" s="250" t="s">
        <v>1547</v>
      </c>
      <c r="F599" s="317">
        <v>4304109</v>
      </c>
      <c r="G599" s="318"/>
      <c r="H599" s="319"/>
      <c r="I599" s="320"/>
      <c r="J599" s="337">
        <v>3680</v>
      </c>
      <c r="K599" s="321">
        <v>1400</v>
      </c>
      <c r="L599" s="321">
        <v>1892</v>
      </c>
      <c r="M599" s="321">
        <v>1330.6</v>
      </c>
      <c r="N599" s="321">
        <v>1500</v>
      </c>
      <c r="O599" s="321">
        <v>4976.88</v>
      </c>
      <c r="P599" s="321">
        <v>1199</v>
      </c>
      <c r="Q599" s="321">
        <v>0</v>
      </c>
      <c r="R599" s="321">
        <v>9000</v>
      </c>
      <c r="S599" s="321">
        <v>14811</v>
      </c>
      <c r="T599" s="321">
        <v>0</v>
      </c>
      <c r="U599" s="322">
        <v>1975</v>
      </c>
      <c r="V599" s="323">
        <v>41764.479999999996</v>
      </c>
      <c r="W599" s="303"/>
      <c r="X599" s="324">
        <v>1975</v>
      </c>
      <c r="Y599" s="325">
        <v>41764.479999999996</v>
      </c>
      <c r="AA599" s="388"/>
    </row>
    <row r="600" spans="1:27" hidden="1" outlineLevel="1" x14ac:dyDescent="0.3">
      <c r="E600" s="250" t="s">
        <v>1548</v>
      </c>
      <c r="F600" s="317">
        <v>4304110</v>
      </c>
      <c r="G600" s="318"/>
      <c r="H600" s="319"/>
      <c r="I600" s="320"/>
      <c r="J600" s="337">
        <v>16420.599999999999</v>
      </c>
      <c r="K600" s="321">
        <v>1523</v>
      </c>
      <c r="L600" s="321">
        <v>5400</v>
      </c>
      <c r="M600" s="321">
        <v>40559</v>
      </c>
      <c r="N600" s="321">
        <v>6860</v>
      </c>
      <c r="O600" s="321">
        <v>5135</v>
      </c>
      <c r="P600" s="321">
        <v>22098</v>
      </c>
      <c r="Q600" s="321">
        <v>5452</v>
      </c>
      <c r="R600" s="321">
        <v>31904</v>
      </c>
      <c r="S600" s="321">
        <v>15902.636</v>
      </c>
      <c r="T600" s="321">
        <v>7709</v>
      </c>
      <c r="U600" s="322">
        <v>10463.647999999999</v>
      </c>
      <c r="V600" s="323">
        <v>169426.88399999999</v>
      </c>
      <c r="W600" s="303"/>
      <c r="X600" s="324">
        <v>10463.647999999999</v>
      </c>
      <c r="Y600" s="325">
        <v>169426.88399999999</v>
      </c>
      <c r="AA600" s="388"/>
    </row>
    <row r="601" spans="1:27" hidden="1" outlineLevel="1" x14ac:dyDescent="0.3">
      <c r="E601" s="250" t="s">
        <v>1549</v>
      </c>
      <c r="F601" s="317">
        <v>4304199</v>
      </c>
      <c r="G601" s="318"/>
      <c r="H601" s="319"/>
      <c r="I601" s="320"/>
      <c r="J601" s="337">
        <v>15793.781000000001</v>
      </c>
      <c r="K601" s="321">
        <v>47515</v>
      </c>
      <c r="L601" s="321">
        <v>108607.728</v>
      </c>
      <c r="M601" s="321">
        <v>52757.272999999994</v>
      </c>
      <c r="N601" s="321">
        <v>113601.836</v>
      </c>
      <c r="O601" s="321">
        <v>62055.9</v>
      </c>
      <c r="P601" s="321">
        <v>15944.091</v>
      </c>
      <c r="Q601" s="321">
        <v>47874.751000000004</v>
      </c>
      <c r="R601" s="321">
        <v>28827.324000000001</v>
      </c>
      <c r="S601" s="321">
        <v>118253</v>
      </c>
      <c r="T601" s="321">
        <v>25724.5</v>
      </c>
      <c r="U601" s="322">
        <v>101946.561</v>
      </c>
      <c r="V601" s="323">
        <v>738901.74500000011</v>
      </c>
      <c r="W601" s="303"/>
      <c r="X601" s="324">
        <v>101946.561</v>
      </c>
      <c r="Y601" s="325">
        <v>738901.74500000011</v>
      </c>
      <c r="AA601" s="388"/>
    </row>
    <row r="602" spans="1:27" s="326" customFormat="1" hidden="1" outlineLevel="2" x14ac:dyDescent="0.3">
      <c r="E602" s="326" t="s">
        <v>1550</v>
      </c>
      <c r="F602" s="336"/>
      <c r="G602" s="327"/>
      <c r="H602" s="328"/>
      <c r="I602" s="329"/>
      <c r="J602" s="338">
        <v>0</v>
      </c>
      <c r="K602" s="330">
        <v>0</v>
      </c>
      <c r="L602" s="330">
        <v>0</v>
      </c>
      <c r="M602" s="330">
        <v>0</v>
      </c>
      <c r="N602" s="330">
        <v>0</v>
      </c>
      <c r="O602" s="330">
        <v>0</v>
      </c>
      <c r="P602" s="330">
        <v>0</v>
      </c>
      <c r="Q602" s="330">
        <v>0</v>
      </c>
      <c r="R602" s="330">
        <v>0</v>
      </c>
      <c r="S602" s="330">
        <v>0</v>
      </c>
      <c r="T602" s="330">
        <v>0</v>
      </c>
      <c r="U602" s="331">
        <v>0</v>
      </c>
      <c r="V602" s="332">
        <v>0</v>
      </c>
      <c r="W602" s="333"/>
      <c r="X602" s="334">
        <v>0</v>
      </c>
      <c r="Y602" s="335">
        <v>0</v>
      </c>
      <c r="AA602" s="388"/>
    </row>
    <row r="603" spans="1:27" s="326" customFormat="1" hidden="1" outlineLevel="2" x14ac:dyDescent="0.3">
      <c r="E603" s="326" t="s">
        <v>1551</v>
      </c>
      <c r="F603" s="336"/>
      <c r="G603" s="327"/>
      <c r="H603" s="328"/>
      <c r="I603" s="329"/>
      <c r="J603" s="338">
        <v>0</v>
      </c>
      <c r="K603" s="330">
        <v>0</v>
      </c>
      <c r="L603" s="330">
        <v>0</v>
      </c>
      <c r="M603" s="330">
        <v>0</v>
      </c>
      <c r="N603" s="330">
        <v>0</v>
      </c>
      <c r="O603" s="330">
        <v>0</v>
      </c>
      <c r="P603" s="330">
        <v>0</v>
      </c>
      <c r="Q603" s="330">
        <v>0</v>
      </c>
      <c r="R603" s="330">
        <v>0</v>
      </c>
      <c r="S603" s="330">
        <v>0</v>
      </c>
      <c r="T603" s="330">
        <v>0</v>
      </c>
      <c r="U603" s="331">
        <v>0</v>
      </c>
      <c r="V603" s="332">
        <v>0</v>
      </c>
      <c r="W603" s="333"/>
      <c r="X603" s="334">
        <v>0</v>
      </c>
      <c r="Y603" s="335">
        <v>0</v>
      </c>
      <c r="AA603" s="388"/>
    </row>
    <row r="604" spans="1:27" s="326" customFormat="1" hidden="1" outlineLevel="2" x14ac:dyDescent="0.3">
      <c r="E604" s="326" t="s">
        <v>1552</v>
      </c>
      <c r="F604" s="336"/>
      <c r="G604" s="327"/>
      <c r="H604" s="328"/>
      <c r="I604" s="329"/>
      <c r="J604" s="338">
        <v>0</v>
      </c>
      <c r="K604" s="330">
        <v>0</v>
      </c>
      <c r="L604" s="330">
        <v>0</v>
      </c>
      <c r="M604" s="330">
        <v>0</v>
      </c>
      <c r="N604" s="330">
        <v>0</v>
      </c>
      <c r="O604" s="330">
        <v>0</v>
      </c>
      <c r="P604" s="330">
        <v>0</v>
      </c>
      <c r="Q604" s="330">
        <v>0</v>
      </c>
      <c r="R604" s="330">
        <v>0</v>
      </c>
      <c r="S604" s="330">
        <v>0</v>
      </c>
      <c r="T604" s="330">
        <v>0</v>
      </c>
      <c r="U604" s="331">
        <v>0</v>
      </c>
      <c r="V604" s="332">
        <v>0</v>
      </c>
      <c r="W604" s="333"/>
      <c r="X604" s="334">
        <v>0</v>
      </c>
      <c r="Y604" s="335">
        <v>0</v>
      </c>
      <c r="AA604" s="388"/>
    </row>
    <row r="605" spans="1:27" hidden="1" collapsed="1" x14ac:dyDescent="0.3">
      <c r="A605" s="233"/>
      <c r="B605" s="234" t="s">
        <v>30</v>
      </c>
      <c r="D605" s="293" t="s">
        <v>1553</v>
      </c>
      <c r="E605" s="294"/>
      <c r="F605" s="295" t="s">
        <v>1554</v>
      </c>
      <c r="G605" s="296"/>
      <c r="H605" s="297"/>
      <c r="I605" s="298"/>
      <c r="J605" s="299">
        <v>34235.908000000003</v>
      </c>
      <c r="K605" s="300">
        <v>26868.93</v>
      </c>
      <c r="L605" s="300">
        <v>25019.25</v>
      </c>
      <c r="M605" s="300">
        <v>32680.84</v>
      </c>
      <c r="N605" s="300">
        <v>31131.75</v>
      </c>
      <c r="O605" s="300">
        <v>30171.49</v>
      </c>
      <c r="P605" s="300">
        <v>31430.55</v>
      </c>
      <c r="Q605" s="300">
        <v>25061.48</v>
      </c>
      <c r="R605" s="300">
        <v>25120.564999999999</v>
      </c>
      <c r="S605" s="300">
        <v>32022.560000000001</v>
      </c>
      <c r="T605" s="300">
        <v>32763.34</v>
      </c>
      <c r="U605" s="301">
        <v>22253.026000000002</v>
      </c>
      <c r="V605" s="302">
        <v>348759.68900000007</v>
      </c>
      <c r="W605" s="303"/>
      <c r="X605" s="304">
        <v>22253.026000000002</v>
      </c>
      <c r="Y605" s="305">
        <v>348759.68900000007</v>
      </c>
      <c r="AA605" s="388"/>
    </row>
    <row r="606" spans="1:27" hidden="1" outlineLevel="1" x14ac:dyDescent="0.3">
      <c r="E606" s="250" t="s">
        <v>1555</v>
      </c>
      <c r="F606" s="317">
        <v>4304702</v>
      </c>
      <c r="G606" s="318"/>
      <c r="H606" s="319"/>
      <c r="I606" s="320"/>
      <c r="J606" s="337">
        <v>0</v>
      </c>
      <c r="K606" s="321">
        <v>0</v>
      </c>
      <c r="L606" s="321">
        <v>0</v>
      </c>
      <c r="M606" s="321">
        <v>0</v>
      </c>
      <c r="N606" s="321">
        <v>0</v>
      </c>
      <c r="O606" s="321">
        <v>0</v>
      </c>
      <c r="P606" s="321">
        <v>0</v>
      </c>
      <c r="Q606" s="321">
        <v>0</v>
      </c>
      <c r="R606" s="321">
        <v>0</v>
      </c>
      <c r="S606" s="321">
        <v>0</v>
      </c>
      <c r="T606" s="321">
        <v>0</v>
      </c>
      <c r="U606" s="322">
        <v>0</v>
      </c>
      <c r="V606" s="323">
        <v>0</v>
      </c>
      <c r="W606" s="303"/>
      <c r="X606" s="324">
        <v>0</v>
      </c>
      <c r="Y606" s="325">
        <v>0</v>
      </c>
      <c r="AA606" s="388"/>
    </row>
    <row r="607" spans="1:27" hidden="1" outlineLevel="1" x14ac:dyDescent="0.3">
      <c r="E607" s="250" t="s">
        <v>1556</v>
      </c>
      <c r="F607" s="317">
        <v>4304703</v>
      </c>
      <c r="G607" s="318"/>
      <c r="H607" s="319"/>
      <c r="I607" s="320"/>
      <c r="J607" s="337">
        <v>0</v>
      </c>
      <c r="K607" s="321">
        <v>0</v>
      </c>
      <c r="L607" s="321">
        <v>0</v>
      </c>
      <c r="M607" s="321">
        <v>0</v>
      </c>
      <c r="N607" s="321">
        <v>0</v>
      </c>
      <c r="O607" s="321">
        <v>0</v>
      </c>
      <c r="P607" s="321">
        <v>0</v>
      </c>
      <c r="Q607" s="321">
        <v>0</v>
      </c>
      <c r="R607" s="321">
        <v>0</v>
      </c>
      <c r="S607" s="321">
        <v>0</v>
      </c>
      <c r="T607" s="321">
        <v>0</v>
      </c>
      <c r="U607" s="322">
        <v>0</v>
      </c>
      <c r="V607" s="323">
        <v>0</v>
      </c>
      <c r="W607" s="303"/>
      <c r="X607" s="324">
        <v>0</v>
      </c>
      <c r="Y607" s="325">
        <v>0</v>
      </c>
      <c r="AA607" s="388"/>
    </row>
    <row r="608" spans="1:27" hidden="1" outlineLevel="1" x14ac:dyDescent="0.3">
      <c r="E608" s="250" t="s">
        <v>1557</v>
      </c>
      <c r="F608" s="317">
        <v>4304707</v>
      </c>
      <c r="G608" s="318"/>
      <c r="H608" s="319">
        <v>5101470199</v>
      </c>
      <c r="I608" s="320"/>
      <c r="J608" s="337">
        <v>34235.908000000003</v>
      </c>
      <c r="K608" s="321">
        <v>26868.93</v>
      </c>
      <c r="L608" s="321">
        <v>25019.25</v>
      </c>
      <c r="M608" s="321">
        <v>32680.84</v>
      </c>
      <c r="N608" s="321">
        <v>31131.75</v>
      </c>
      <c r="O608" s="321">
        <v>30171.49</v>
      </c>
      <c r="P608" s="321">
        <v>31430.55</v>
      </c>
      <c r="Q608" s="321">
        <v>25061.48</v>
      </c>
      <c r="R608" s="321">
        <v>25120.564999999999</v>
      </c>
      <c r="S608" s="321">
        <v>32022.560000000001</v>
      </c>
      <c r="T608" s="321">
        <v>32763.34</v>
      </c>
      <c r="U608" s="322">
        <v>22253.026000000002</v>
      </c>
      <c r="V608" s="323">
        <v>348759.68900000007</v>
      </c>
      <c r="W608" s="303"/>
      <c r="X608" s="324">
        <v>22253.026000000002</v>
      </c>
      <c r="Y608" s="325">
        <v>348759.68900000007</v>
      </c>
      <c r="AA608" s="388"/>
    </row>
    <row r="609" spans="1:27" hidden="1" outlineLevel="1" x14ac:dyDescent="0.3">
      <c r="E609" s="250" t="s">
        <v>1558</v>
      </c>
      <c r="F609" s="317">
        <v>4304799</v>
      </c>
      <c r="G609" s="318"/>
      <c r="H609" s="319"/>
      <c r="I609" s="320"/>
      <c r="J609" s="337">
        <v>0</v>
      </c>
      <c r="K609" s="321">
        <v>0</v>
      </c>
      <c r="L609" s="321">
        <v>0</v>
      </c>
      <c r="M609" s="321">
        <v>0</v>
      </c>
      <c r="N609" s="321">
        <v>0</v>
      </c>
      <c r="O609" s="321">
        <v>0</v>
      </c>
      <c r="P609" s="321">
        <v>0</v>
      </c>
      <c r="Q609" s="321">
        <v>0</v>
      </c>
      <c r="R609" s="321">
        <v>0</v>
      </c>
      <c r="S609" s="321">
        <v>0</v>
      </c>
      <c r="T609" s="321">
        <v>0</v>
      </c>
      <c r="U609" s="322">
        <v>0</v>
      </c>
      <c r="V609" s="323">
        <v>0</v>
      </c>
      <c r="W609" s="303"/>
      <c r="X609" s="324">
        <v>0</v>
      </c>
      <c r="Y609" s="325">
        <v>0</v>
      </c>
      <c r="AA609" s="388"/>
    </row>
    <row r="610" spans="1:27" s="326" customFormat="1" hidden="1" outlineLevel="2" x14ac:dyDescent="0.3">
      <c r="E610" s="326" t="s">
        <v>1559</v>
      </c>
      <c r="F610" s="336"/>
      <c r="G610" s="327"/>
      <c r="H610" s="328"/>
      <c r="I610" s="329"/>
      <c r="J610" s="338">
        <v>0</v>
      </c>
      <c r="K610" s="330">
        <v>0</v>
      </c>
      <c r="L610" s="330">
        <v>0</v>
      </c>
      <c r="M610" s="330">
        <v>0</v>
      </c>
      <c r="N610" s="330">
        <v>0</v>
      </c>
      <c r="O610" s="330">
        <v>0</v>
      </c>
      <c r="P610" s="330">
        <v>0</v>
      </c>
      <c r="Q610" s="330">
        <v>0</v>
      </c>
      <c r="R610" s="330">
        <v>0</v>
      </c>
      <c r="S610" s="330">
        <v>0</v>
      </c>
      <c r="T610" s="330">
        <v>0</v>
      </c>
      <c r="U610" s="331">
        <v>0</v>
      </c>
      <c r="V610" s="332">
        <v>0</v>
      </c>
      <c r="W610" s="333"/>
      <c r="X610" s="334">
        <v>0</v>
      </c>
      <c r="Y610" s="335">
        <v>0</v>
      </c>
      <c r="AA610" s="388"/>
    </row>
    <row r="611" spans="1:27" s="326" customFormat="1" hidden="1" outlineLevel="2" x14ac:dyDescent="0.3">
      <c r="E611" s="326" t="s">
        <v>1560</v>
      </c>
      <c r="F611" s="336"/>
      <c r="G611" s="327"/>
      <c r="H611" s="328"/>
      <c r="I611" s="329"/>
      <c r="J611" s="338">
        <v>0</v>
      </c>
      <c r="K611" s="330">
        <v>0</v>
      </c>
      <c r="L611" s="330">
        <v>0</v>
      </c>
      <c r="M611" s="330">
        <v>0</v>
      </c>
      <c r="N611" s="330">
        <v>0</v>
      </c>
      <c r="O611" s="330">
        <v>0</v>
      </c>
      <c r="P611" s="330">
        <v>0</v>
      </c>
      <c r="Q611" s="330">
        <v>0</v>
      </c>
      <c r="R611" s="330">
        <v>0</v>
      </c>
      <c r="S611" s="330">
        <v>0</v>
      </c>
      <c r="T611" s="330">
        <v>0</v>
      </c>
      <c r="U611" s="331">
        <v>0</v>
      </c>
      <c r="V611" s="332">
        <v>0</v>
      </c>
      <c r="W611" s="333"/>
      <c r="X611" s="334">
        <v>0</v>
      </c>
      <c r="Y611" s="335">
        <v>0</v>
      </c>
      <c r="AA611" s="388"/>
    </row>
    <row r="612" spans="1:27" s="326" customFormat="1" hidden="1" outlineLevel="2" x14ac:dyDescent="0.3">
      <c r="E612" s="326" t="s">
        <v>1561</v>
      </c>
      <c r="F612" s="336"/>
      <c r="G612" s="327"/>
      <c r="H612" s="328"/>
      <c r="I612" s="329"/>
      <c r="J612" s="338">
        <v>0</v>
      </c>
      <c r="K612" s="330">
        <v>0</v>
      </c>
      <c r="L612" s="330">
        <v>0</v>
      </c>
      <c r="M612" s="330">
        <v>0</v>
      </c>
      <c r="N612" s="330">
        <v>0</v>
      </c>
      <c r="O612" s="330">
        <v>0</v>
      </c>
      <c r="P612" s="330">
        <v>0</v>
      </c>
      <c r="Q612" s="330">
        <v>0</v>
      </c>
      <c r="R612" s="330">
        <v>0</v>
      </c>
      <c r="S612" s="330">
        <v>0</v>
      </c>
      <c r="T612" s="330">
        <v>0</v>
      </c>
      <c r="U612" s="331">
        <v>0</v>
      </c>
      <c r="V612" s="332">
        <v>0</v>
      </c>
      <c r="W612" s="333"/>
      <c r="X612" s="334">
        <v>0</v>
      </c>
      <c r="Y612" s="335">
        <v>0</v>
      </c>
      <c r="AA612" s="388"/>
    </row>
    <row r="613" spans="1:27" hidden="1" collapsed="1" x14ac:dyDescent="0.3">
      <c r="A613" s="233"/>
      <c r="B613" s="234" t="s">
        <v>34</v>
      </c>
      <c r="D613" s="293" t="s">
        <v>1562</v>
      </c>
      <c r="E613" s="294"/>
      <c r="F613" s="295" t="s">
        <v>1563</v>
      </c>
      <c r="G613" s="296"/>
      <c r="H613" s="297"/>
      <c r="I613" s="298"/>
      <c r="J613" s="299">
        <v>25905.055</v>
      </c>
      <c r="K613" s="300">
        <v>24895.174999999999</v>
      </c>
      <c r="L613" s="300">
        <v>22962.474999999995</v>
      </c>
      <c r="M613" s="300">
        <v>29583.692000000003</v>
      </c>
      <c r="N613" s="300">
        <v>23050.600999999999</v>
      </c>
      <c r="O613" s="300">
        <v>16876.047999999999</v>
      </c>
      <c r="P613" s="300">
        <v>49768.961000000003</v>
      </c>
      <c r="Q613" s="300">
        <v>22537.271999999997</v>
      </c>
      <c r="R613" s="300">
        <v>16510.302</v>
      </c>
      <c r="S613" s="300">
        <v>23388.425999999999</v>
      </c>
      <c r="T613" s="300">
        <v>9544.1539999999986</v>
      </c>
      <c r="U613" s="301">
        <v>43075.373000000007</v>
      </c>
      <c r="V613" s="302">
        <v>308097.53399999999</v>
      </c>
      <c r="W613" s="303"/>
      <c r="X613" s="304">
        <v>43075.373000000007</v>
      </c>
      <c r="Y613" s="305">
        <v>308097.53399999999</v>
      </c>
      <c r="AA613" s="388"/>
    </row>
    <row r="614" spans="1:27" hidden="1" outlineLevel="1" x14ac:dyDescent="0.3">
      <c r="E614" s="250" t="s">
        <v>1564</v>
      </c>
      <c r="F614" s="317">
        <v>4305901</v>
      </c>
      <c r="G614" s="318"/>
      <c r="H614" s="319">
        <v>5101550101</v>
      </c>
      <c r="I614" s="320"/>
      <c r="J614" s="337">
        <v>21147.545000000002</v>
      </c>
      <c r="K614" s="321">
        <v>16510.904999999999</v>
      </c>
      <c r="L614" s="321">
        <v>16608.654999999995</v>
      </c>
      <c r="M614" s="321">
        <v>22897.585000000003</v>
      </c>
      <c r="N614" s="321">
        <v>19353.120999999999</v>
      </c>
      <c r="O614" s="321">
        <v>9980.0059999999994</v>
      </c>
      <c r="P614" s="321">
        <v>45592.451000000001</v>
      </c>
      <c r="Q614" s="321">
        <v>16580.401999999998</v>
      </c>
      <c r="R614" s="321">
        <v>10894.111999999999</v>
      </c>
      <c r="S614" s="321">
        <v>14589.042000000001</v>
      </c>
      <c r="T614" s="321">
        <v>3882.7</v>
      </c>
      <c r="U614" s="322">
        <v>34653.055000000008</v>
      </c>
      <c r="V614" s="323">
        <v>232689.57899999997</v>
      </c>
      <c r="W614" s="303"/>
      <c r="X614" s="324">
        <v>34653.055000000008</v>
      </c>
      <c r="Y614" s="325">
        <v>232689.57899999997</v>
      </c>
      <c r="AA614" s="388"/>
    </row>
    <row r="615" spans="1:27" hidden="1" outlineLevel="1" x14ac:dyDescent="0.3">
      <c r="E615" s="250" t="s">
        <v>1565</v>
      </c>
      <c r="F615" s="317">
        <v>4305902</v>
      </c>
      <c r="G615" s="318"/>
      <c r="H615" s="319"/>
      <c r="I615" s="320"/>
      <c r="J615" s="337">
        <v>1500</v>
      </c>
      <c r="K615" s="321">
        <v>1650</v>
      </c>
      <c r="L615" s="321">
        <v>1500</v>
      </c>
      <c r="M615" s="321">
        <v>1500</v>
      </c>
      <c r="N615" s="321">
        <v>1500</v>
      </c>
      <c r="O615" s="321">
        <v>1500</v>
      </c>
      <c r="P615" s="321">
        <v>1500</v>
      </c>
      <c r="Q615" s="321">
        <v>1999.5</v>
      </c>
      <c r="R615" s="321">
        <v>1500</v>
      </c>
      <c r="S615" s="321">
        <v>2019.5</v>
      </c>
      <c r="T615" s="321">
        <v>1500</v>
      </c>
      <c r="U615" s="322">
        <v>1500</v>
      </c>
      <c r="V615" s="323">
        <v>19169</v>
      </c>
      <c r="W615" s="303"/>
      <c r="X615" s="324">
        <v>1500</v>
      </c>
      <c r="Y615" s="325">
        <v>19169</v>
      </c>
      <c r="AA615" s="388"/>
    </row>
    <row r="616" spans="1:27" hidden="1" outlineLevel="1" x14ac:dyDescent="0.3">
      <c r="E616" s="250" t="s">
        <v>1566</v>
      </c>
      <c r="F616" s="317">
        <v>4305904</v>
      </c>
      <c r="G616" s="318"/>
      <c r="H616" s="319"/>
      <c r="I616" s="320"/>
      <c r="J616" s="337">
        <v>166.96</v>
      </c>
      <c r="K616" s="321">
        <v>1081.3800000000001</v>
      </c>
      <c r="L616" s="321">
        <v>835.54</v>
      </c>
      <c r="M616" s="321">
        <v>1376</v>
      </c>
      <c r="N616" s="321">
        <v>98</v>
      </c>
      <c r="O616" s="321">
        <v>1503.4270000000001</v>
      </c>
      <c r="P616" s="321">
        <v>554.27499999999998</v>
      </c>
      <c r="Q616" s="321">
        <v>691.75</v>
      </c>
      <c r="R616" s="321">
        <v>620.28</v>
      </c>
      <c r="S616" s="321">
        <v>3165.7109999999998</v>
      </c>
      <c r="T616" s="321">
        <v>914.36</v>
      </c>
      <c r="U616" s="322">
        <v>585.75600000000009</v>
      </c>
      <c r="V616" s="323">
        <v>11593.439</v>
      </c>
      <c r="W616" s="303"/>
      <c r="X616" s="324">
        <v>585.75600000000009</v>
      </c>
      <c r="Y616" s="325">
        <v>11593.439</v>
      </c>
      <c r="AA616" s="388"/>
    </row>
    <row r="617" spans="1:27" hidden="1" outlineLevel="1" x14ac:dyDescent="0.3">
      <c r="E617" s="250" t="s">
        <v>1567</v>
      </c>
      <c r="F617" s="317">
        <v>4305999</v>
      </c>
      <c r="G617" s="318"/>
      <c r="H617" s="319">
        <v>5101550199</v>
      </c>
      <c r="I617" s="320"/>
      <c r="J617" s="337">
        <v>3090.55</v>
      </c>
      <c r="K617" s="321">
        <v>5652.8899999999994</v>
      </c>
      <c r="L617" s="321">
        <v>4018.2799999999997</v>
      </c>
      <c r="M617" s="321">
        <v>3810.1069999999991</v>
      </c>
      <c r="N617" s="321">
        <v>2099.4799999999996</v>
      </c>
      <c r="O617" s="321">
        <v>3892.6150000000002</v>
      </c>
      <c r="P617" s="321">
        <v>2122.2350000000001</v>
      </c>
      <c r="Q617" s="321">
        <v>3265.62</v>
      </c>
      <c r="R617" s="321">
        <v>3495.9100000000003</v>
      </c>
      <c r="S617" s="321">
        <v>3614.1729999999998</v>
      </c>
      <c r="T617" s="321">
        <v>3247.0939999999991</v>
      </c>
      <c r="U617" s="322">
        <v>6336.5619999999999</v>
      </c>
      <c r="V617" s="323">
        <v>44645.515999999996</v>
      </c>
      <c r="W617" s="303"/>
      <c r="X617" s="324">
        <v>6336.5619999999999</v>
      </c>
      <c r="Y617" s="325">
        <v>44645.515999999996</v>
      </c>
      <c r="AA617" s="388"/>
    </row>
    <row r="618" spans="1:27" s="326" customFormat="1" hidden="1" outlineLevel="2" x14ac:dyDescent="0.3">
      <c r="E618" s="326" t="s">
        <v>1568</v>
      </c>
      <c r="F618" s="336"/>
      <c r="G618" s="327"/>
      <c r="H618" s="328"/>
      <c r="I618" s="329"/>
      <c r="J618" s="338">
        <v>0</v>
      </c>
      <c r="K618" s="330">
        <v>0</v>
      </c>
      <c r="L618" s="330">
        <v>0</v>
      </c>
      <c r="M618" s="330">
        <v>0</v>
      </c>
      <c r="N618" s="330">
        <v>0</v>
      </c>
      <c r="O618" s="330">
        <v>0</v>
      </c>
      <c r="P618" s="330">
        <v>0</v>
      </c>
      <c r="Q618" s="330">
        <v>0</v>
      </c>
      <c r="R618" s="330">
        <v>0</v>
      </c>
      <c r="S618" s="330">
        <v>0</v>
      </c>
      <c r="T618" s="330">
        <v>0</v>
      </c>
      <c r="U618" s="331">
        <v>0</v>
      </c>
      <c r="V618" s="332">
        <v>0</v>
      </c>
      <c r="W618" s="333"/>
      <c r="X618" s="334">
        <v>0</v>
      </c>
      <c r="Y618" s="335">
        <v>0</v>
      </c>
      <c r="AA618" s="388"/>
    </row>
    <row r="619" spans="1:27" s="326" customFormat="1" hidden="1" outlineLevel="2" x14ac:dyDescent="0.3">
      <c r="E619" s="326" t="s">
        <v>1569</v>
      </c>
      <c r="F619" s="336"/>
      <c r="G619" s="327"/>
      <c r="H619" s="328"/>
      <c r="I619" s="329"/>
      <c r="J619" s="338">
        <v>0</v>
      </c>
      <c r="K619" s="330">
        <v>0</v>
      </c>
      <c r="L619" s="330">
        <v>0</v>
      </c>
      <c r="M619" s="330">
        <v>0</v>
      </c>
      <c r="N619" s="330">
        <v>0</v>
      </c>
      <c r="O619" s="330">
        <v>0</v>
      </c>
      <c r="P619" s="330">
        <v>0</v>
      </c>
      <c r="Q619" s="330">
        <v>0</v>
      </c>
      <c r="R619" s="330">
        <v>0</v>
      </c>
      <c r="S619" s="330">
        <v>0</v>
      </c>
      <c r="T619" s="330">
        <v>0</v>
      </c>
      <c r="U619" s="331">
        <v>0</v>
      </c>
      <c r="V619" s="332">
        <v>0</v>
      </c>
      <c r="W619" s="333"/>
      <c r="X619" s="334">
        <v>0</v>
      </c>
      <c r="Y619" s="335">
        <v>0</v>
      </c>
      <c r="AA619" s="388"/>
    </row>
    <row r="620" spans="1:27" s="326" customFormat="1" hidden="1" outlineLevel="2" x14ac:dyDescent="0.3">
      <c r="E620" s="326" t="s">
        <v>1570</v>
      </c>
      <c r="F620" s="336"/>
      <c r="G620" s="327"/>
      <c r="H620" s="328"/>
      <c r="I620" s="329"/>
      <c r="J620" s="338">
        <v>0</v>
      </c>
      <c r="K620" s="330">
        <v>0</v>
      </c>
      <c r="L620" s="330">
        <v>0</v>
      </c>
      <c r="M620" s="330">
        <v>0</v>
      </c>
      <c r="N620" s="330">
        <v>0</v>
      </c>
      <c r="O620" s="330">
        <v>0</v>
      </c>
      <c r="P620" s="330">
        <v>0</v>
      </c>
      <c r="Q620" s="330">
        <v>0</v>
      </c>
      <c r="R620" s="330">
        <v>0</v>
      </c>
      <c r="S620" s="330">
        <v>0</v>
      </c>
      <c r="T620" s="330">
        <v>0</v>
      </c>
      <c r="U620" s="331">
        <v>0</v>
      </c>
      <c r="V620" s="332">
        <v>0</v>
      </c>
      <c r="W620" s="333"/>
      <c r="X620" s="334">
        <v>0</v>
      </c>
      <c r="Y620" s="335">
        <v>0</v>
      </c>
      <c r="AA620" s="388"/>
    </row>
    <row r="621" spans="1:27" hidden="1" collapsed="1" x14ac:dyDescent="0.3">
      <c r="A621" s="233"/>
      <c r="B621" s="234" t="s">
        <v>29</v>
      </c>
      <c r="D621" s="293" t="s">
        <v>1571</v>
      </c>
      <c r="E621" s="294"/>
      <c r="F621" s="295" t="s">
        <v>1572</v>
      </c>
      <c r="G621" s="296"/>
      <c r="H621" s="297"/>
      <c r="I621" s="298"/>
      <c r="J621" s="299">
        <v>543361.9</v>
      </c>
      <c r="K621" s="300">
        <v>557591.39899999998</v>
      </c>
      <c r="L621" s="300">
        <v>543458.53</v>
      </c>
      <c r="M621" s="300">
        <v>606105.01399999997</v>
      </c>
      <c r="N621" s="300">
        <v>575019.46100000001</v>
      </c>
      <c r="O621" s="300">
        <v>571880.40700000001</v>
      </c>
      <c r="P621" s="300">
        <v>592270.41700000002</v>
      </c>
      <c r="Q621" s="300">
        <v>563421.85499999998</v>
      </c>
      <c r="R621" s="300">
        <v>550388.04500000004</v>
      </c>
      <c r="S621" s="300">
        <v>491764.13999999996</v>
      </c>
      <c r="T621" s="300">
        <v>495857.80699999991</v>
      </c>
      <c r="U621" s="301">
        <v>658661.98399999994</v>
      </c>
      <c r="V621" s="302">
        <v>6749780.9589999989</v>
      </c>
      <c r="W621" s="303"/>
      <c r="X621" s="304">
        <v>658661.98399999994</v>
      </c>
      <c r="Y621" s="305">
        <v>6749780.9589999989</v>
      </c>
      <c r="AA621" s="388"/>
    </row>
    <row r="622" spans="1:27" hidden="1" outlineLevel="1" x14ac:dyDescent="0.3">
      <c r="E622" s="250" t="s">
        <v>1573</v>
      </c>
      <c r="F622" s="317">
        <v>4304401</v>
      </c>
      <c r="G622" s="318"/>
      <c r="H622" s="319">
        <v>5101490101</v>
      </c>
      <c r="I622" s="320"/>
      <c r="J622" s="337">
        <v>11768.945</v>
      </c>
      <c r="K622" s="321">
        <v>15074.882</v>
      </c>
      <c r="L622" s="321">
        <v>8558.3290000000015</v>
      </c>
      <c r="M622" s="321">
        <v>11050.223</v>
      </c>
      <c r="N622" s="321">
        <v>10841.245000000001</v>
      </c>
      <c r="O622" s="321">
        <v>11239.619999999999</v>
      </c>
      <c r="P622" s="321">
        <v>12437.876</v>
      </c>
      <c r="Q622" s="321">
        <v>12640.029999999997</v>
      </c>
      <c r="R622" s="321">
        <v>13951.220000000001</v>
      </c>
      <c r="S622" s="321">
        <v>12700.842999999999</v>
      </c>
      <c r="T622" s="321">
        <v>10609.071</v>
      </c>
      <c r="U622" s="322">
        <v>14617.084000000003</v>
      </c>
      <c r="V622" s="323">
        <v>145489.36800000002</v>
      </c>
      <c r="W622" s="303"/>
      <c r="X622" s="324">
        <v>14617.084000000003</v>
      </c>
      <c r="Y622" s="325">
        <v>145489.36800000002</v>
      </c>
      <c r="AA622" s="388"/>
    </row>
    <row r="623" spans="1:27" hidden="1" outlineLevel="1" x14ac:dyDescent="0.3">
      <c r="E623" s="250" t="s">
        <v>1574</v>
      </c>
      <c r="F623" s="317">
        <v>4304402</v>
      </c>
      <c r="G623" s="318"/>
      <c r="H623" s="319">
        <v>5101490103</v>
      </c>
      <c r="I623" s="320"/>
      <c r="J623" s="337">
        <v>73953.429999999993</v>
      </c>
      <c r="K623" s="321">
        <v>48569.215000000004</v>
      </c>
      <c r="L623" s="321">
        <v>82791.98</v>
      </c>
      <c r="M623" s="321">
        <v>66379.293000000005</v>
      </c>
      <c r="N623" s="321">
        <v>74388.260000000009</v>
      </c>
      <c r="O623" s="321">
        <v>74883.157999999996</v>
      </c>
      <c r="P623" s="321">
        <v>77498.363999999987</v>
      </c>
      <c r="Q623" s="321">
        <v>84506.459999999992</v>
      </c>
      <c r="R623" s="321">
        <v>79464.384000000005</v>
      </c>
      <c r="S623" s="321">
        <v>86154.598999999987</v>
      </c>
      <c r="T623" s="321">
        <v>112922.90999999997</v>
      </c>
      <c r="U623" s="322">
        <v>112835.43599999999</v>
      </c>
      <c r="V623" s="323">
        <v>974347.48899999983</v>
      </c>
      <c r="W623" s="303"/>
      <c r="X623" s="324">
        <v>112835.43599999999</v>
      </c>
      <c r="Y623" s="325">
        <v>974347.48899999983</v>
      </c>
      <c r="AA623" s="388"/>
    </row>
    <row r="624" spans="1:27" hidden="1" outlineLevel="1" x14ac:dyDescent="0.3">
      <c r="E624" s="250" t="s">
        <v>1575</v>
      </c>
      <c r="F624" s="317">
        <v>4304403</v>
      </c>
      <c r="G624" s="318"/>
      <c r="H624" s="319">
        <v>5101490105</v>
      </c>
      <c r="I624" s="320"/>
      <c r="J624" s="337">
        <v>13312.070999999998</v>
      </c>
      <c r="K624" s="321">
        <v>13429.652</v>
      </c>
      <c r="L624" s="321">
        <v>15293.12</v>
      </c>
      <c r="M624" s="321">
        <v>14053.567000000001</v>
      </c>
      <c r="N624" s="321">
        <v>15318.528999999999</v>
      </c>
      <c r="O624" s="321">
        <v>14138.09</v>
      </c>
      <c r="P624" s="321">
        <v>14550.251</v>
      </c>
      <c r="Q624" s="321">
        <v>14607.535</v>
      </c>
      <c r="R624" s="321">
        <v>13548.869000000002</v>
      </c>
      <c r="S624" s="321">
        <v>12618.016</v>
      </c>
      <c r="T624" s="321">
        <v>11845.751</v>
      </c>
      <c r="U624" s="322">
        <v>11188.725</v>
      </c>
      <c r="V624" s="323">
        <v>163904.17600000001</v>
      </c>
      <c r="W624" s="303"/>
      <c r="X624" s="324">
        <v>11188.725</v>
      </c>
      <c r="Y624" s="325">
        <v>163904.17600000001</v>
      </c>
      <c r="AA624" s="388"/>
    </row>
    <row r="625" spans="1:27" hidden="1" outlineLevel="1" x14ac:dyDescent="0.3">
      <c r="E625" s="250" t="s">
        <v>1576</v>
      </c>
      <c r="F625" s="317">
        <v>4304404</v>
      </c>
      <c r="G625" s="318"/>
      <c r="H625" s="319"/>
      <c r="I625" s="320"/>
      <c r="J625" s="337">
        <v>1557.1859999999999</v>
      </c>
      <c r="K625" s="321">
        <v>787.79</v>
      </c>
      <c r="L625" s="321">
        <v>1799.365</v>
      </c>
      <c r="M625" s="321">
        <v>173.19100000000003</v>
      </c>
      <c r="N625" s="321">
        <v>412.72</v>
      </c>
      <c r="O625" s="321">
        <v>496.154</v>
      </c>
      <c r="P625" s="321">
        <v>1331.694</v>
      </c>
      <c r="Q625" s="321">
        <v>332.86600000000004</v>
      </c>
      <c r="R625" s="321">
        <v>303.45600000000002</v>
      </c>
      <c r="S625" s="321">
        <v>649.82500000000005</v>
      </c>
      <c r="T625" s="321">
        <v>391.01100000000002</v>
      </c>
      <c r="U625" s="322">
        <v>254.452</v>
      </c>
      <c r="V625" s="323">
        <v>8489.7099999999973</v>
      </c>
      <c r="W625" s="303"/>
      <c r="X625" s="324">
        <v>254.452</v>
      </c>
      <c r="Y625" s="325">
        <v>8489.7099999999973</v>
      </c>
      <c r="AA625" s="388"/>
    </row>
    <row r="626" spans="1:27" hidden="1" outlineLevel="1" x14ac:dyDescent="0.3">
      <c r="E626" s="250" t="s">
        <v>1577</v>
      </c>
      <c r="F626" s="317">
        <v>4304405</v>
      </c>
      <c r="G626" s="318"/>
      <c r="H626" s="319">
        <v>5101490107</v>
      </c>
      <c r="I626" s="320"/>
      <c r="J626" s="337">
        <v>109279.378</v>
      </c>
      <c r="K626" s="321">
        <v>175048.21000000002</v>
      </c>
      <c r="L626" s="321">
        <v>136974.446</v>
      </c>
      <c r="M626" s="321">
        <v>245923.28400000001</v>
      </c>
      <c r="N626" s="321">
        <v>161042.76800000001</v>
      </c>
      <c r="O626" s="321">
        <v>144175.84800000003</v>
      </c>
      <c r="P626" s="321">
        <v>153784.07800000001</v>
      </c>
      <c r="Q626" s="321">
        <v>141318.342</v>
      </c>
      <c r="R626" s="321">
        <v>104486.22900000001</v>
      </c>
      <c r="S626" s="321">
        <v>81834.82699999999</v>
      </c>
      <c r="T626" s="321">
        <v>98276.027000000002</v>
      </c>
      <c r="U626" s="322">
        <v>80641.740000000005</v>
      </c>
      <c r="V626" s="323">
        <v>1632785.1770000001</v>
      </c>
      <c r="W626" s="303"/>
      <c r="X626" s="324">
        <v>80641.740000000005</v>
      </c>
      <c r="Y626" s="325">
        <v>1632785.1770000001</v>
      </c>
      <c r="AA626" s="388"/>
    </row>
    <row r="627" spans="1:27" hidden="1" outlineLevel="1" x14ac:dyDescent="0.3">
      <c r="E627" s="250" t="s">
        <v>1578</v>
      </c>
      <c r="F627" s="317">
        <v>4304406</v>
      </c>
      <c r="G627" s="318"/>
      <c r="H627" s="319">
        <v>5101490109</v>
      </c>
      <c r="I627" s="320"/>
      <c r="J627" s="337">
        <v>245611.853</v>
      </c>
      <c r="K627" s="321">
        <v>201409.997</v>
      </c>
      <c r="L627" s="321">
        <v>219033.37100000001</v>
      </c>
      <c r="M627" s="321">
        <v>214934.46600000001</v>
      </c>
      <c r="N627" s="321">
        <v>235789.43800000002</v>
      </c>
      <c r="O627" s="321">
        <v>225567.155</v>
      </c>
      <c r="P627" s="321">
        <v>264563.02399999998</v>
      </c>
      <c r="Q627" s="321">
        <v>252178.394</v>
      </c>
      <c r="R627" s="321">
        <v>275608.69900000002</v>
      </c>
      <c r="S627" s="321">
        <v>227175.416</v>
      </c>
      <c r="T627" s="321">
        <v>209926.15</v>
      </c>
      <c r="U627" s="322">
        <v>242131.908</v>
      </c>
      <c r="V627" s="323">
        <v>2813929.8709999998</v>
      </c>
      <c r="W627" s="303"/>
      <c r="X627" s="324">
        <v>242131.908</v>
      </c>
      <c r="Y627" s="325">
        <v>2813929.8709999998</v>
      </c>
      <c r="AA627" s="388"/>
    </row>
    <row r="628" spans="1:27" hidden="1" outlineLevel="1" x14ac:dyDescent="0.3">
      <c r="E628" s="250" t="s">
        <v>1579</v>
      </c>
      <c r="F628" s="317">
        <v>4304499</v>
      </c>
      <c r="G628" s="318"/>
      <c r="H628" s="319">
        <v>5101490199</v>
      </c>
      <c r="I628" s="320"/>
      <c r="J628" s="337">
        <v>87879.037000000011</v>
      </c>
      <c r="K628" s="321">
        <v>103271.65299999998</v>
      </c>
      <c r="L628" s="321">
        <v>79007.919000000009</v>
      </c>
      <c r="M628" s="321">
        <v>53590.99</v>
      </c>
      <c r="N628" s="321">
        <v>77226.501000000004</v>
      </c>
      <c r="O628" s="321">
        <v>101380.382</v>
      </c>
      <c r="P628" s="321">
        <v>68105.12999999999</v>
      </c>
      <c r="Q628" s="321">
        <v>57838.227999999996</v>
      </c>
      <c r="R628" s="321">
        <v>63025.188000000002</v>
      </c>
      <c r="S628" s="321">
        <v>70630.613999999987</v>
      </c>
      <c r="T628" s="321">
        <v>51886.887000000002</v>
      </c>
      <c r="U628" s="322">
        <v>196992.639</v>
      </c>
      <c r="V628" s="323">
        <v>1010835.1679999998</v>
      </c>
      <c r="W628" s="303"/>
      <c r="X628" s="324">
        <v>196992.639</v>
      </c>
      <c r="Y628" s="325">
        <v>1010835.1679999998</v>
      </c>
      <c r="AA628" s="388"/>
    </row>
    <row r="629" spans="1:27" s="326" customFormat="1" hidden="1" outlineLevel="2" x14ac:dyDescent="0.3">
      <c r="E629" s="326" t="s">
        <v>1580</v>
      </c>
      <c r="F629" s="336"/>
      <c r="G629" s="327"/>
      <c r="H629" s="328"/>
      <c r="I629" s="329"/>
      <c r="J629" s="338">
        <v>0</v>
      </c>
      <c r="K629" s="330">
        <v>0</v>
      </c>
      <c r="L629" s="330">
        <v>0</v>
      </c>
      <c r="M629" s="330">
        <v>0</v>
      </c>
      <c r="N629" s="330">
        <v>0</v>
      </c>
      <c r="O629" s="330">
        <v>0</v>
      </c>
      <c r="P629" s="330">
        <v>0</v>
      </c>
      <c r="Q629" s="330">
        <v>0</v>
      </c>
      <c r="R629" s="330">
        <v>0</v>
      </c>
      <c r="S629" s="330">
        <v>0</v>
      </c>
      <c r="T629" s="330">
        <v>0</v>
      </c>
      <c r="U629" s="331">
        <v>0</v>
      </c>
      <c r="V629" s="332">
        <v>0</v>
      </c>
      <c r="W629" s="333"/>
      <c r="X629" s="334">
        <v>0</v>
      </c>
      <c r="Y629" s="335">
        <v>0</v>
      </c>
      <c r="AA629" s="388"/>
    </row>
    <row r="630" spans="1:27" s="326" customFormat="1" hidden="1" outlineLevel="2" x14ac:dyDescent="0.3">
      <c r="E630" s="326" t="s">
        <v>1581</v>
      </c>
      <c r="F630" s="336"/>
      <c r="G630" s="327"/>
      <c r="H630" s="328"/>
      <c r="I630" s="329"/>
      <c r="J630" s="338">
        <v>0</v>
      </c>
      <c r="K630" s="330">
        <v>0</v>
      </c>
      <c r="L630" s="330">
        <v>0</v>
      </c>
      <c r="M630" s="330">
        <v>0</v>
      </c>
      <c r="N630" s="330">
        <v>0</v>
      </c>
      <c r="O630" s="330">
        <v>0</v>
      </c>
      <c r="P630" s="330">
        <v>0</v>
      </c>
      <c r="Q630" s="330">
        <v>0</v>
      </c>
      <c r="R630" s="330">
        <v>0</v>
      </c>
      <c r="S630" s="330">
        <v>0</v>
      </c>
      <c r="T630" s="330">
        <v>0</v>
      </c>
      <c r="U630" s="331">
        <v>0</v>
      </c>
      <c r="V630" s="332">
        <v>0</v>
      </c>
      <c r="W630" s="333"/>
      <c r="X630" s="334">
        <v>0</v>
      </c>
      <c r="Y630" s="335">
        <v>0</v>
      </c>
      <c r="AA630" s="388"/>
    </row>
    <row r="631" spans="1:27" s="326" customFormat="1" hidden="1" outlineLevel="2" x14ac:dyDescent="0.3">
      <c r="E631" s="326" t="s">
        <v>1582</v>
      </c>
      <c r="F631" s="336"/>
      <c r="G631" s="327"/>
      <c r="H631" s="328"/>
      <c r="I631" s="329"/>
      <c r="J631" s="338">
        <v>0</v>
      </c>
      <c r="K631" s="330">
        <v>0</v>
      </c>
      <c r="L631" s="330">
        <v>0</v>
      </c>
      <c r="M631" s="330">
        <v>0</v>
      </c>
      <c r="N631" s="330">
        <v>0</v>
      </c>
      <c r="O631" s="330">
        <v>0</v>
      </c>
      <c r="P631" s="330">
        <v>0</v>
      </c>
      <c r="Q631" s="330">
        <v>0</v>
      </c>
      <c r="R631" s="330">
        <v>0</v>
      </c>
      <c r="S631" s="330">
        <v>0</v>
      </c>
      <c r="T631" s="330">
        <v>0</v>
      </c>
      <c r="U631" s="331">
        <v>0</v>
      </c>
      <c r="V631" s="332">
        <v>0</v>
      </c>
      <c r="W631" s="333"/>
      <c r="X631" s="334">
        <v>0</v>
      </c>
      <c r="Y631" s="335">
        <v>0</v>
      </c>
      <c r="AA631" s="388"/>
    </row>
    <row r="632" spans="1:27" hidden="1" collapsed="1" x14ac:dyDescent="0.3">
      <c r="A632" s="233"/>
      <c r="B632" s="234" t="s">
        <v>38</v>
      </c>
      <c r="D632" s="293" t="s">
        <v>1583</v>
      </c>
      <c r="E632" s="294"/>
      <c r="F632" s="295" t="s">
        <v>1584</v>
      </c>
      <c r="G632" s="296"/>
      <c r="H632" s="297"/>
      <c r="I632" s="298"/>
      <c r="J632" s="299">
        <v>195457.55499999999</v>
      </c>
      <c r="K632" s="300">
        <v>190414.82</v>
      </c>
      <c r="L632" s="300">
        <v>169331.761</v>
      </c>
      <c r="M632" s="300">
        <v>175100.807</v>
      </c>
      <c r="N632" s="300">
        <v>138235.80499999999</v>
      </c>
      <c r="O632" s="300">
        <v>156501.783</v>
      </c>
      <c r="P632" s="300">
        <v>147925.56699999998</v>
      </c>
      <c r="Q632" s="300">
        <v>140007.201</v>
      </c>
      <c r="R632" s="300">
        <v>654098.49899999995</v>
      </c>
      <c r="S632" s="300">
        <v>156479.60999999999</v>
      </c>
      <c r="T632" s="300">
        <v>174008.726</v>
      </c>
      <c r="U632" s="301">
        <v>206333.38800000001</v>
      </c>
      <c r="V632" s="302">
        <v>2503895.5219999999</v>
      </c>
      <c r="W632" s="303"/>
      <c r="X632" s="304">
        <v>206333.38800000001</v>
      </c>
      <c r="Y632" s="305">
        <v>2503895.5219999999</v>
      </c>
      <c r="AA632" s="388"/>
    </row>
    <row r="633" spans="1:27" hidden="1" outlineLevel="1" x14ac:dyDescent="0.3">
      <c r="E633" s="250" t="s">
        <v>1585</v>
      </c>
      <c r="F633" s="317">
        <v>4307112</v>
      </c>
      <c r="G633" s="318"/>
      <c r="H633" s="319"/>
      <c r="I633" s="320"/>
      <c r="J633" s="337">
        <v>0</v>
      </c>
      <c r="K633" s="321">
        <v>0</v>
      </c>
      <c r="L633" s="321">
        <v>0</v>
      </c>
      <c r="M633" s="321">
        <v>0</v>
      </c>
      <c r="N633" s="321">
        <v>0</v>
      </c>
      <c r="O633" s="321">
        <v>0</v>
      </c>
      <c r="P633" s="321">
        <v>0</v>
      </c>
      <c r="Q633" s="321">
        <v>0</v>
      </c>
      <c r="R633" s="321">
        <v>0</v>
      </c>
      <c r="S633" s="321">
        <v>0</v>
      </c>
      <c r="T633" s="321">
        <v>0</v>
      </c>
      <c r="U633" s="322">
        <v>0</v>
      </c>
      <c r="V633" s="323">
        <v>0</v>
      </c>
      <c r="W633" s="303"/>
      <c r="X633" s="324">
        <v>0</v>
      </c>
      <c r="Y633" s="325">
        <v>0</v>
      </c>
      <c r="AA633" s="388"/>
    </row>
    <row r="634" spans="1:27" hidden="1" outlineLevel="1" x14ac:dyDescent="0.3">
      <c r="E634" s="250" t="s">
        <v>1586</v>
      </c>
      <c r="F634" s="317">
        <v>4307109</v>
      </c>
      <c r="G634" s="318"/>
      <c r="H634" s="319"/>
      <c r="I634" s="320"/>
      <c r="J634" s="337">
        <v>0</v>
      </c>
      <c r="K634" s="321">
        <v>0</v>
      </c>
      <c r="L634" s="321">
        <v>0</v>
      </c>
      <c r="M634" s="321">
        <v>0</v>
      </c>
      <c r="N634" s="321">
        <v>0</v>
      </c>
      <c r="O634" s="321">
        <v>0</v>
      </c>
      <c r="P634" s="321">
        <v>0</v>
      </c>
      <c r="Q634" s="321">
        <v>0</v>
      </c>
      <c r="R634" s="321">
        <v>0</v>
      </c>
      <c r="S634" s="321">
        <v>0</v>
      </c>
      <c r="T634" s="321">
        <v>0</v>
      </c>
      <c r="U634" s="322">
        <v>0</v>
      </c>
      <c r="V634" s="323">
        <v>0</v>
      </c>
      <c r="W634" s="303"/>
      <c r="X634" s="324">
        <v>0</v>
      </c>
      <c r="Y634" s="325">
        <v>0</v>
      </c>
      <c r="AA634" s="388"/>
    </row>
    <row r="635" spans="1:27" hidden="1" outlineLevel="1" x14ac:dyDescent="0.3">
      <c r="E635" s="250" t="s">
        <v>1587</v>
      </c>
      <c r="F635" s="317">
        <v>4307105</v>
      </c>
      <c r="G635" s="318"/>
      <c r="H635" s="319"/>
      <c r="I635" s="320"/>
      <c r="J635" s="337">
        <v>2040</v>
      </c>
      <c r="K635" s="321">
        <v>1266.796</v>
      </c>
      <c r="L635" s="321">
        <v>19.399999999999999</v>
      </c>
      <c r="M635" s="321">
        <v>0</v>
      </c>
      <c r="N635" s="321">
        <v>86.227999999999994</v>
      </c>
      <c r="O635" s="321">
        <v>0</v>
      </c>
      <c r="P635" s="321">
        <v>100</v>
      </c>
      <c r="Q635" s="321">
        <v>21.637</v>
      </c>
      <c r="R635" s="321">
        <v>423.04599999999999</v>
      </c>
      <c r="S635" s="321">
        <v>1044.6770000000001</v>
      </c>
      <c r="T635" s="321">
        <v>258.68200000000002</v>
      </c>
      <c r="U635" s="322">
        <v>229.29599999999999</v>
      </c>
      <c r="V635" s="323">
        <v>5489.7620000000006</v>
      </c>
      <c r="W635" s="303"/>
      <c r="X635" s="324">
        <v>229.29599999999999</v>
      </c>
      <c r="Y635" s="325">
        <v>5489.7620000000006</v>
      </c>
      <c r="AA635" s="388"/>
    </row>
    <row r="636" spans="1:27" hidden="1" outlineLevel="1" x14ac:dyDescent="0.3">
      <c r="E636" s="250" t="s">
        <v>1588</v>
      </c>
      <c r="F636" s="317">
        <v>4307100</v>
      </c>
      <c r="G636" s="318"/>
      <c r="H636" s="319">
        <v>5101510101</v>
      </c>
      <c r="I636" s="320"/>
      <c r="J636" s="337">
        <v>136117.55499999999</v>
      </c>
      <c r="K636" s="321">
        <v>120248.024</v>
      </c>
      <c r="L636" s="321">
        <v>106083.621</v>
      </c>
      <c r="M636" s="321">
        <v>104791.227</v>
      </c>
      <c r="N636" s="321">
        <v>84403.010999999999</v>
      </c>
      <c r="O636" s="321">
        <v>105692.20300000001</v>
      </c>
      <c r="P636" s="321">
        <v>93693.000999999989</v>
      </c>
      <c r="Q636" s="321">
        <v>91138.998000000021</v>
      </c>
      <c r="R636" s="321">
        <v>190938.67300000001</v>
      </c>
      <c r="S636" s="321">
        <v>101113.76699999999</v>
      </c>
      <c r="T636" s="321">
        <v>120540.46399999999</v>
      </c>
      <c r="U636" s="322">
        <v>137157.416</v>
      </c>
      <c r="V636" s="323">
        <v>1391917.96</v>
      </c>
      <c r="W636" s="303"/>
      <c r="X636" s="324">
        <v>137157.416</v>
      </c>
      <c r="Y636" s="325">
        <v>1391917.96</v>
      </c>
      <c r="AA636" s="388"/>
    </row>
    <row r="637" spans="1:27" hidden="1" outlineLevel="1" x14ac:dyDescent="0.3">
      <c r="E637" s="250" t="s">
        <v>1589</v>
      </c>
      <c r="F637" s="317">
        <v>4307111</v>
      </c>
      <c r="G637" s="318"/>
      <c r="H637" s="319">
        <v>5101510103</v>
      </c>
      <c r="I637" s="320"/>
      <c r="J637" s="337">
        <v>57300</v>
      </c>
      <c r="K637" s="321">
        <v>68900</v>
      </c>
      <c r="L637" s="321">
        <v>50900</v>
      </c>
      <c r="M637" s="321">
        <v>66200</v>
      </c>
      <c r="N637" s="321">
        <v>49500</v>
      </c>
      <c r="O637" s="321">
        <v>46700</v>
      </c>
      <c r="P637" s="321">
        <v>49886</v>
      </c>
      <c r="Q637" s="321">
        <v>44600</v>
      </c>
      <c r="R637" s="321">
        <v>458627.2</v>
      </c>
      <c r="S637" s="321">
        <v>50074.6</v>
      </c>
      <c r="T637" s="321">
        <v>49100</v>
      </c>
      <c r="U637" s="322">
        <v>64700</v>
      </c>
      <c r="V637" s="323">
        <v>1056487.7999999998</v>
      </c>
      <c r="W637" s="303"/>
      <c r="X637" s="324">
        <v>64700</v>
      </c>
      <c r="Y637" s="325">
        <v>1056487.7999999998</v>
      </c>
      <c r="AA637" s="388"/>
    </row>
    <row r="638" spans="1:27" hidden="1" outlineLevel="1" x14ac:dyDescent="0.3">
      <c r="E638" s="250" t="s">
        <v>1590</v>
      </c>
      <c r="F638" s="317">
        <v>4307113</v>
      </c>
      <c r="G638" s="318"/>
      <c r="H638" s="319"/>
      <c r="I638" s="320"/>
      <c r="J638" s="337">
        <v>0</v>
      </c>
      <c r="K638" s="321">
        <v>0</v>
      </c>
      <c r="L638" s="321">
        <v>12328.74</v>
      </c>
      <c r="M638" s="321">
        <v>4109.58</v>
      </c>
      <c r="N638" s="321">
        <v>4246.5659999999998</v>
      </c>
      <c r="O638" s="321">
        <v>4109.58</v>
      </c>
      <c r="P638" s="321">
        <v>4246.5659999999998</v>
      </c>
      <c r="Q638" s="321">
        <v>4246.5659999999998</v>
      </c>
      <c r="R638" s="321">
        <v>4109.58</v>
      </c>
      <c r="S638" s="321">
        <v>4246.5659999999998</v>
      </c>
      <c r="T638" s="321">
        <v>4109.58</v>
      </c>
      <c r="U638" s="322">
        <v>4246.6760000000004</v>
      </c>
      <c r="V638" s="323">
        <v>50000</v>
      </c>
      <c r="W638" s="303"/>
      <c r="X638" s="324">
        <v>4246.6760000000004</v>
      </c>
      <c r="Y638" s="325">
        <v>50000</v>
      </c>
      <c r="AA638" s="388"/>
    </row>
    <row r="639" spans="1:27" s="361" customFormat="1" hidden="1" outlineLevel="2" x14ac:dyDescent="0.3">
      <c r="E639" s="326" t="s">
        <v>1591</v>
      </c>
      <c r="F639" s="351"/>
      <c r="G639" s="352"/>
      <c r="H639" s="353"/>
      <c r="I639" s="354"/>
      <c r="J639" s="362">
        <v>0</v>
      </c>
      <c r="K639" s="355">
        <v>0</v>
      </c>
      <c r="L639" s="355">
        <v>0</v>
      </c>
      <c r="M639" s="355">
        <v>0</v>
      </c>
      <c r="N639" s="355">
        <v>0</v>
      </c>
      <c r="O639" s="355">
        <v>0</v>
      </c>
      <c r="P639" s="355">
        <v>0</v>
      </c>
      <c r="Q639" s="355">
        <v>0</v>
      </c>
      <c r="R639" s="355">
        <v>0</v>
      </c>
      <c r="S639" s="355">
        <v>0</v>
      </c>
      <c r="T639" s="355">
        <v>0</v>
      </c>
      <c r="U639" s="356">
        <v>0</v>
      </c>
      <c r="V639" s="357">
        <v>0</v>
      </c>
      <c r="W639" s="358"/>
      <c r="X639" s="359">
        <v>0</v>
      </c>
      <c r="Y639" s="360">
        <v>0</v>
      </c>
      <c r="AA639" s="388"/>
    </row>
    <row r="640" spans="1:27" s="361" customFormat="1" hidden="1" outlineLevel="2" x14ac:dyDescent="0.3">
      <c r="E640" s="326" t="s">
        <v>1592</v>
      </c>
      <c r="F640" s="351"/>
      <c r="G640" s="352"/>
      <c r="H640" s="353"/>
      <c r="I640" s="354"/>
      <c r="J640" s="362">
        <v>0</v>
      </c>
      <c r="K640" s="355">
        <v>0</v>
      </c>
      <c r="L640" s="355">
        <v>0</v>
      </c>
      <c r="M640" s="355">
        <v>0</v>
      </c>
      <c r="N640" s="355">
        <v>0</v>
      </c>
      <c r="O640" s="355">
        <v>0</v>
      </c>
      <c r="P640" s="355">
        <v>0</v>
      </c>
      <c r="Q640" s="355">
        <v>0</v>
      </c>
      <c r="R640" s="355">
        <v>0</v>
      </c>
      <c r="S640" s="355">
        <v>0</v>
      </c>
      <c r="T640" s="355">
        <v>0</v>
      </c>
      <c r="U640" s="356">
        <v>0</v>
      </c>
      <c r="V640" s="357">
        <v>0</v>
      </c>
      <c r="W640" s="358"/>
      <c r="X640" s="359">
        <v>0</v>
      </c>
      <c r="Y640" s="360">
        <v>0</v>
      </c>
      <c r="AA640" s="388"/>
    </row>
    <row r="641" spans="1:27" s="361" customFormat="1" hidden="1" outlineLevel="2" x14ac:dyDescent="0.3">
      <c r="E641" s="326" t="s">
        <v>1593</v>
      </c>
      <c r="F641" s="351"/>
      <c r="G641" s="352"/>
      <c r="H641" s="353"/>
      <c r="I641" s="354"/>
      <c r="J641" s="362">
        <v>0</v>
      </c>
      <c r="K641" s="355">
        <v>0</v>
      </c>
      <c r="L641" s="355">
        <v>0</v>
      </c>
      <c r="M641" s="355">
        <v>0</v>
      </c>
      <c r="N641" s="355">
        <v>0</v>
      </c>
      <c r="O641" s="355">
        <v>0</v>
      </c>
      <c r="P641" s="355">
        <v>0</v>
      </c>
      <c r="Q641" s="355">
        <v>0</v>
      </c>
      <c r="R641" s="355">
        <v>0</v>
      </c>
      <c r="S641" s="355">
        <v>0</v>
      </c>
      <c r="T641" s="355">
        <v>0</v>
      </c>
      <c r="U641" s="356">
        <v>0</v>
      </c>
      <c r="V641" s="357">
        <v>0</v>
      </c>
      <c r="W641" s="358"/>
      <c r="X641" s="359">
        <v>0</v>
      </c>
      <c r="Y641" s="360">
        <v>0</v>
      </c>
      <c r="AA641" s="388"/>
    </row>
    <row r="642" spans="1:27" hidden="1" collapsed="1" x14ac:dyDescent="0.3">
      <c r="A642" s="233"/>
      <c r="B642" s="234" t="s">
        <v>36</v>
      </c>
      <c r="D642" s="293" t="s">
        <v>1594</v>
      </c>
      <c r="E642" s="294"/>
      <c r="F642" s="295" t="s">
        <v>1595</v>
      </c>
      <c r="G642" s="296"/>
      <c r="H642" s="297"/>
      <c r="I642" s="298"/>
      <c r="J642" s="299">
        <v>1131871.6919999998</v>
      </c>
      <c r="K642" s="300">
        <v>1267701.635</v>
      </c>
      <c r="L642" s="300">
        <v>1666567.4880000001</v>
      </c>
      <c r="M642" s="300">
        <v>1643276.4639999999</v>
      </c>
      <c r="N642" s="300">
        <v>1648794.4559999998</v>
      </c>
      <c r="O642" s="300">
        <v>1626247.9890000001</v>
      </c>
      <c r="P642" s="300">
        <v>1686461.3099999998</v>
      </c>
      <c r="Q642" s="300">
        <v>1255457.5109999999</v>
      </c>
      <c r="R642" s="300">
        <v>1685042.3140000002</v>
      </c>
      <c r="S642" s="300">
        <v>1598446.9779999999</v>
      </c>
      <c r="T642" s="300">
        <v>1558614.115</v>
      </c>
      <c r="U642" s="301">
        <v>1509389.4439999999</v>
      </c>
      <c r="V642" s="302">
        <v>18277871.395999998</v>
      </c>
      <c r="W642" s="303"/>
      <c r="X642" s="304">
        <v>1509389.4439999999</v>
      </c>
      <c r="Y642" s="305">
        <v>18277871.395999998</v>
      </c>
      <c r="AA642" s="388"/>
    </row>
    <row r="643" spans="1:27" hidden="1" outlineLevel="1" x14ac:dyDescent="0.3">
      <c r="E643" s="250" t="s">
        <v>1596</v>
      </c>
      <c r="F643" s="317">
        <v>4306501</v>
      </c>
      <c r="G643" s="318"/>
      <c r="H643" s="319">
        <v>5101570101</v>
      </c>
      <c r="I643" s="320"/>
      <c r="J643" s="337">
        <v>900221.44499999995</v>
      </c>
      <c r="K643" s="321">
        <v>992335.06299999997</v>
      </c>
      <c r="L643" s="321">
        <v>1315887.7050000001</v>
      </c>
      <c r="M643" s="321">
        <v>1263037.625</v>
      </c>
      <c r="N643" s="321">
        <v>1250206.1229999999</v>
      </c>
      <c r="O643" s="321">
        <v>1234612.5190000001</v>
      </c>
      <c r="P643" s="321">
        <v>1299090.0009999999</v>
      </c>
      <c r="Q643" s="321">
        <v>1014127.529</v>
      </c>
      <c r="R643" s="321">
        <v>1324485.2690000001</v>
      </c>
      <c r="S643" s="321">
        <v>1213212.0900000001</v>
      </c>
      <c r="T643" s="321">
        <v>1187999.4720000001</v>
      </c>
      <c r="U643" s="322">
        <v>1113882.7709999999</v>
      </c>
      <c r="V643" s="323">
        <v>14109097.611999998</v>
      </c>
      <c r="W643" s="303"/>
      <c r="X643" s="324">
        <v>1113882.7709999999</v>
      </c>
      <c r="Y643" s="325">
        <v>14109097.611999998</v>
      </c>
      <c r="AA643" s="388"/>
    </row>
    <row r="644" spans="1:27" hidden="1" outlineLevel="1" x14ac:dyDescent="0.3">
      <c r="E644" s="250" t="s">
        <v>1597</v>
      </c>
      <c r="F644" s="317">
        <v>4306502</v>
      </c>
      <c r="G644" s="318"/>
      <c r="H644" s="319"/>
      <c r="I644" s="320"/>
      <c r="J644" s="337">
        <v>230531.253</v>
      </c>
      <c r="K644" s="321">
        <v>274100.179</v>
      </c>
      <c r="L644" s="321">
        <v>349099.277</v>
      </c>
      <c r="M644" s="321">
        <v>378425.36900000001</v>
      </c>
      <c r="N644" s="321">
        <v>396608.47</v>
      </c>
      <c r="O644" s="321">
        <v>390152.44400000002</v>
      </c>
      <c r="P644" s="321">
        <v>385791.76400000002</v>
      </c>
      <c r="Q644" s="321">
        <v>239871.20600000001</v>
      </c>
      <c r="R644" s="321">
        <v>358940.68800000002</v>
      </c>
      <c r="S644" s="321">
        <v>383727.99800000002</v>
      </c>
      <c r="T644" s="321">
        <v>369167.217</v>
      </c>
      <c r="U644" s="322">
        <v>394228.337</v>
      </c>
      <c r="V644" s="323">
        <v>4150644.2020000005</v>
      </c>
      <c r="W644" s="303"/>
      <c r="X644" s="324">
        <v>394228.337</v>
      </c>
      <c r="Y644" s="325">
        <v>4150644.2020000005</v>
      </c>
      <c r="AA644" s="388"/>
    </row>
    <row r="645" spans="1:27" hidden="1" outlineLevel="1" x14ac:dyDescent="0.3">
      <c r="A645" s="250"/>
      <c r="B645" s="250"/>
      <c r="E645" s="250" t="s">
        <v>1598</v>
      </c>
      <c r="F645" s="317">
        <v>4306503</v>
      </c>
      <c r="G645" s="318"/>
      <c r="H645" s="319"/>
      <c r="I645" s="320"/>
      <c r="J645" s="337">
        <v>0</v>
      </c>
      <c r="K645" s="321">
        <v>0</v>
      </c>
      <c r="L645" s="321">
        <v>0</v>
      </c>
      <c r="M645" s="321">
        <v>0</v>
      </c>
      <c r="N645" s="321">
        <v>0</v>
      </c>
      <c r="O645" s="321">
        <v>0</v>
      </c>
      <c r="P645" s="321">
        <v>0</v>
      </c>
      <c r="Q645" s="321">
        <v>0</v>
      </c>
      <c r="R645" s="321">
        <v>0</v>
      </c>
      <c r="S645" s="321">
        <v>0</v>
      </c>
      <c r="T645" s="321">
        <v>0</v>
      </c>
      <c r="U645" s="322">
        <v>0</v>
      </c>
      <c r="V645" s="323">
        <v>0</v>
      </c>
      <c r="W645" s="303"/>
      <c r="X645" s="324">
        <v>0</v>
      </c>
      <c r="Y645" s="325">
        <v>0</v>
      </c>
      <c r="AA645" s="388"/>
    </row>
    <row r="646" spans="1:27" hidden="1" outlineLevel="1" x14ac:dyDescent="0.3">
      <c r="E646" s="250" t="s">
        <v>1599</v>
      </c>
      <c r="F646" s="317">
        <v>4306504</v>
      </c>
      <c r="G646" s="318"/>
      <c r="H646" s="319"/>
      <c r="I646" s="320"/>
      <c r="J646" s="337">
        <v>1118.9939999999999</v>
      </c>
      <c r="K646" s="321">
        <v>1266.393</v>
      </c>
      <c r="L646" s="321">
        <v>1580.5060000000001</v>
      </c>
      <c r="M646" s="321">
        <v>1813.47</v>
      </c>
      <c r="N646" s="321">
        <v>1979.8630000000001</v>
      </c>
      <c r="O646" s="321">
        <v>1483.0260000000001</v>
      </c>
      <c r="P646" s="321">
        <v>1579.5450000000001</v>
      </c>
      <c r="Q646" s="321">
        <v>1458.7760000000001</v>
      </c>
      <c r="R646" s="321">
        <v>1616.357</v>
      </c>
      <c r="S646" s="321">
        <v>1506.89</v>
      </c>
      <c r="T646" s="321">
        <v>1447.4259999999999</v>
      </c>
      <c r="U646" s="322">
        <v>1278.336</v>
      </c>
      <c r="V646" s="323">
        <v>18129.581999999999</v>
      </c>
      <c r="W646" s="303"/>
      <c r="X646" s="324">
        <v>1278.336</v>
      </c>
      <c r="Y646" s="325">
        <v>18129.581999999999</v>
      </c>
      <c r="AA646" s="388"/>
    </row>
    <row r="647" spans="1:27" hidden="1" outlineLevel="1" x14ac:dyDescent="0.3">
      <c r="E647" s="250" t="s">
        <v>1600</v>
      </c>
      <c r="F647" s="317">
        <v>4306599</v>
      </c>
      <c r="G647" s="318"/>
      <c r="H647" s="319"/>
      <c r="I647" s="320"/>
      <c r="J647" s="337">
        <v>0</v>
      </c>
      <c r="K647" s="321">
        <v>0</v>
      </c>
      <c r="L647" s="321">
        <v>0</v>
      </c>
      <c r="M647" s="321">
        <v>0</v>
      </c>
      <c r="N647" s="321">
        <v>0</v>
      </c>
      <c r="O647" s="321">
        <v>0</v>
      </c>
      <c r="P647" s="321">
        <v>0</v>
      </c>
      <c r="Q647" s="321">
        <v>0</v>
      </c>
      <c r="R647" s="321">
        <v>0</v>
      </c>
      <c r="S647" s="321">
        <v>0</v>
      </c>
      <c r="T647" s="321">
        <v>0</v>
      </c>
      <c r="U647" s="322">
        <v>0</v>
      </c>
      <c r="V647" s="323">
        <v>0</v>
      </c>
      <c r="W647" s="303"/>
      <c r="X647" s="324">
        <v>0</v>
      </c>
      <c r="Y647" s="325">
        <v>0</v>
      </c>
      <c r="AA647" s="388"/>
    </row>
    <row r="648" spans="1:27" s="361" customFormat="1" hidden="1" outlineLevel="2" x14ac:dyDescent="0.3">
      <c r="E648" s="326" t="s">
        <v>1601</v>
      </c>
      <c r="F648" s="351"/>
      <c r="G648" s="352"/>
      <c r="H648" s="353"/>
      <c r="I648" s="354"/>
      <c r="J648" s="362">
        <v>0</v>
      </c>
      <c r="K648" s="355">
        <v>0</v>
      </c>
      <c r="L648" s="355">
        <v>0</v>
      </c>
      <c r="M648" s="355">
        <v>0</v>
      </c>
      <c r="N648" s="355">
        <v>0</v>
      </c>
      <c r="O648" s="355">
        <v>0</v>
      </c>
      <c r="P648" s="355">
        <v>0</v>
      </c>
      <c r="Q648" s="355">
        <v>0</v>
      </c>
      <c r="R648" s="355">
        <v>0</v>
      </c>
      <c r="S648" s="355">
        <v>0</v>
      </c>
      <c r="T648" s="355">
        <v>0</v>
      </c>
      <c r="U648" s="356">
        <v>0</v>
      </c>
      <c r="V648" s="357">
        <v>0</v>
      </c>
      <c r="W648" s="358"/>
      <c r="X648" s="359">
        <v>0</v>
      </c>
      <c r="Y648" s="360">
        <v>0</v>
      </c>
      <c r="AA648" s="388"/>
    </row>
    <row r="649" spans="1:27" s="361" customFormat="1" hidden="1" outlineLevel="2" x14ac:dyDescent="0.3">
      <c r="E649" s="326" t="s">
        <v>1602</v>
      </c>
      <c r="F649" s="351"/>
      <c r="G649" s="352"/>
      <c r="H649" s="353"/>
      <c r="I649" s="354"/>
      <c r="J649" s="362">
        <v>0</v>
      </c>
      <c r="K649" s="355">
        <v>0</v>
      </c>
      <c r="L649" s="355">
        <v>0</v>
      </c>
      <c r="M649" s="355">
        <v>0</v>
      </c>
      <c r="N649" s="355">
        <v>0</v>
      </c>
      <c r="O649" s="355">
        <v>0</v>
      </c>
      <c r="P649" s="355">
        <v>0</v>
      </c>
      <c r="Q649" s="355">
        <v>0</v>
      </c>
      <c r="R649" s="355">
        <v>0</v>
      </c>
      <c r="S649" s="355">
        <v>0</v>
      </c>
      <c r="T649" s="355">
        <v>0</v>
      </c>
      <c r="U649" s="356">
        <v>0</v>
      </c>
      <c r="V649" s="357">
        <v>0</v>
      </c>
      <c r="W649" s="358"/>
      <c r="X649" s="359">
        <v>0</v>
      </c>
      <c r="Y649" s="360">
        <v>0</v>
      </c>
      <c r="AA649" s="388"/>
    </row>
    <row r="650" spans="1:27" s="361" customFormat="1" hidden="1" outlineLevel="2" x14ac:dyDescent="0.3">
      <c r="E650" s="326" t="s">
        <v>1603</v>
      </c>
      <c r="F650" s="351"/>
      <c r="G650" s="352"/>
      <c r="H650" s="353"/>
      <c r="I650" s="354"/>
      <c r="J650" s="362">
        <v>0</v>
      </c>
      <c r="K650" s="355">
        <v>0</v>
      </c>
      <c r="L650" s="355">
        <v>0</v>
      </c>
      <c r="M650" s="355">
        <v>0</v>
      </c>
      <c r="N650" s="355">
        <v>0</v>
      </c>
      <c r="O650" s="355">
        <v>0</v>
      </c>
      <c r="P650" s="355">
        <v>0</v>
      </c>
      <c r="Q650" s="355">
        <v>0</v>
      </c>
      <c r="R650" s="355">
        <v>0</v>
      </c>
      <c r="S650" s="355">
        <v>0</v>
      </c>
      <c r="T650" s="355">
        <v>0</v>
      </c>
      <c r="U650" s="356">
        <v>0</v>
      </c>
      <c r="V650" s="357">
        <v>0</v>
      </c>
      <c r="W650" s="358"/>
      <c r="X650" s="359">
        <v>0</v>
      </c>
      <c r="Y650" s="360">
        <v>0</v>
      </c>
      <c r="AA650" s="388"/>
    </row>
    <row r="651" spans="1:27" hidden="1" collapsed="1" x14ac:dyDescent="0.3">
      <c r="A651" s="233"/>
      <c r="B651" s="234" t="s">
        <v>40</v>
      </c>
      <c r="D651" s="293" t="s">
        <v>1604</v>
      </c>
      <c r="E651" s="294"/>
      <c r="F651" s="295" t="s">
        <v>1605</v>
      </c>
      <c r="G651" s="296"/>
      <c r="H651" s="297"/>
      <c r="I651" s="298"/>
      <c r="J651" s="299">
        <v>2793.7350000000001</v>
      </c>
      <c r="K651" s="300">
        <v>3965.3820000000001</v>
      </c>
      <c r="L651" s="300">
        <v>3638.52</v>
      </c>
      <c r="M651" s="300">
        <v>6405.6090000000004</v>
      </c>
      <c r="N651" s="300">
        <v>5199.04</v>
      </c>
      <c r="O651" s="300">
        <v>2364.6350000000002</v>
      </c>
      <c r="P651" s="300">
        <v>2648.4270000000001</v>
      </c>
      <c r="Q651" s="300">
        <v>8509.9220000000005</v>
      </c>
      <c r="R651" s="300">
        <v>11575.415999999999</v>
      </c>
      <c r="S651" s="300">
        <v>8921.1689999999999</v>
      </c>
      <c r="T651" s="300">
        <v>6192.7569999999996</v>
      </c>
      <c r="U651" s="301">
        <v>3597.83</v>
      </c>
      <c r="V651" s="302">
        <v>65812.441999999995</v>
      </c>
      <c r="W651" s="303"/>
      <c r="X651" s="304">
        <v>3597.83</v>
      </c>
      <c r="Y651" s="305">
        <v>65812.441999999995</v>
      </c>
      <c r="AA651" s="388"/>
    </row>
    <row r="652" spans="1:27" hidden="1" outlineLevel="1" x14ac:dyDescent="0.3">
      <c r="E652" s="250" t="s">
        <v>1606</v>
      </c>
      <c r="F652" s="317">
        <v>4308000</v>
      </c>
      <c r="G652" s="318"/>
      <c r="H652" s="319">
        <v>5101610101</v>
      </c>
      <c r="I652" s="320"/>
      <c r="J652" s="337">
        <v>2793.7350000000001</v>
      </c>
      <c r="K652" s="321">
        <v>3965.3820000000001</v>
      </c>
      <c r="L652" s="321">
        <v>3638.52</v>
      </c>
      <c r="M652" s="321">
        <v>6405.6090000000004</v>
      </c>
      <c r="N652" s="321">
        <v>5199.04</v>
      </c>
      <c r="O652" s="321">
        <v>2364.6350000000002</v>
      </c>
      <c r="P652" s="321">
        <v>2648.4270000000001</v>
      </c>
      <c r="Q652" s="321">
        <v>8509.9220000000005</v>
      </c>
      <c r="R652" s="321">
        <v>11575.415999999999</v>
      </c>
      <c r="S652" s="321">
        <v>8921.1689999999999</v>
      </c>
      <c r="T652" s="321">
        <v>6192.7569999999996</v>
      </c>
      <c r="U652" s="322">
        <v>3597.83</v>
      </c>
      <c r="V652" s="323">
        <v>65812.441999999995</v>
      </c>
      <c r="W652" s="303"/>
      <c r="X652" s="324">
        <v>3597.83</v>
      </c>
      <c r="Y652" s="325">
        <v>65812.441999999995</v>
      </c>
      <c r="AA652" s="388"/>
    </row>
    <row r="653" spans="1:27" s="361" customFormat="1" hidden="1" outlineLevel="2" x14ac:dyDescent="0.3">
      <c r="E653" s="326" t="s">
        <v>1607</v>
      </c>
      <c r="F653" s="351"/>
      <c r="G653" s="352"/>
      <c r="H653" s="353"/>
      <c r="I653" s="354"/>
      <c r="J653" s="362">
        <v>0</v>
      </c>
      <c r="K653" s="355">
        <v>0</v>
      </c>
      <c r="L653" s="355">
        <v>0</v>
      </c>
      <c r="M653" s="355">
        <v>0</v>
      </c>
      <c r="N653" s="355">
        <v>0</v>
      </c>
      <c r="O653" s="355">
        <v>0</v>
      </c>
      <c r="P653" s="355">
        <v>0</v>
      </c>
      <c r="Q653" s="355">
        <v>0</v>
      </c>
      <c r="R653" s="355">
        <v>0</v>
      </c>
      <c r="S653" s="355">
        <v>0</v>
      </c>
      <c r="T653" s="355">
        <v>0</v>
      </c>
      <c r="U653" s="356">
        <v>0</v>
      </c>
      <c r="V653" s="357">
        <v>0</v>
      </c>
      <c r="W653" s="358"/>
      <c r="X653" s="359">
        <v>0</v>
      </c>
      <c r="Y653" s="360">
        <v>0</v>
      </c>
      <c r="AA653" s="388"/>
    </row>
    <row r="654" spans="1:27" s="361" customFormat="1" hidden="1" outlineLevel="2" x14ac:dyDescent="0.3">
      <c r="E654" s="326" t="s">
        <v>1608</v>
      </c>
      <c r="F654" s="351"/>
      <c r="G654" s="352"/>
      <c r="H654" s="353"/>
      <c r="I654" s="354"/>
      <c r="J654" s="362">
        <v>0</v>
      </c>
      <c r="K654" s="355">
        <v>0</v>
      </c>
      <c r="L654" s="355">
        <v>0</v>
      </c>
      <c r="M654" s="355">
        <v>0</v>
      </c>
      <c r="N654" s="355">
        <v>0</v>
      </c>
      <c r="O654" s="355">
        <v>0</v>
      </c>
      <c r="P654" s="355">
        <v>0</v>
      </c>
      <c r="Q654" s="355">
        <v>0</v>
      </c>
      <c r="R654" s="355">
        <v>0</v>
      </c>
      <c r="S654" s="355">
        <v>0</v>
      </c>
      <c r="T654" s="355">
        <v>0</v>
      </c>
      <c r="U654" s="356">
        <v>0</v>
      </c>
      <c r="V654" s="357">
        <v>0</v>
      </c>
      <c r="W654" s="358"/>
      <c r="X654" s="359">
        <v>0</v>
      </c>
      <c r="Y654" s="360">
        <v>0</v>
      </c>
      <c r="AA654" s="388"/>
    </row>
    <row r="655" spans="1:27" s="361" customFormat="1" hidden="1" outlineLevel="2" x14ac:dyDescent="0.3">
      <c r="E655" s="326" t="s">
        <v>1609</v>
      </c>
      <c r="F655" s="351"/>
      <c r="G655" s="352"/>
      <c r="H655" s="353"/>
      <c r="I655" s="354"/>
      <c r="J655" s="362">
        <v>0</v>
      </c>
      <c r="K655" s="355">
        <v>0</v>
      </c>
      <c r="L655" s="355">
        <v>0</v>
      </c>
      <c r="M655" s="355">
        <v>0</v>
      </c>
      <c r="N655" s="355">
        <v>0</v>
      </c>
      <c r="O655" s="355">
        <v>0</v>
      </c>
      <c r="P655" s="355">
        <v>0</v>
      </c>
      <c r="Q655" s="355">
        <v>0</v>
      </c>
      <c r="R655" s="355">
        <v>0</v>
      </c>
      <c r="S655" s="355">
        <v>0</v>
      </c>
      <c r="T655" s="355">
        <v>0</v>
      </c>
      <c r="U655" s="356">
        <v>0</v>
      </c>
      <c r="V655" s="357">
        <v>0</v>
      </c>
      <c r="W655" s="358"/>
      <c r="X655" s="359">
        <v>0</v>
      </c>
      <c r="Y655" s="360">
        <v>0</v>
      </c>
      <c r="AA655" s="388"/>
    </row>
    <row r="656" spans="1:27" hidden="1" collapsed="1" x14ac:dyDescent="0.3">
      <c r="A656" s="233"/>
      <c r="B656" s="234" t="s">
        <v>70</v>
      </c>
      <c r="D656" s="293" t="s">
        <v>1610</v>
      </c>
      <c r="E656" s="294"/>
      <c r="F656" s="295" t="s">
        <v>1611</v>
      </c>
      <c r="G656" s="296"/>
      <c r="H656" s="297"/>
      <c r="I656" s="298"/>
      <c r="J656" s="299">
        <v>1200637.0209999999</v>
      </c>
      <c r="K656" s="300">
        <v>1200875.557</v>
      </c>
      <c r="L656" s="300">
        <v>1304225.4709999999</v>
      </c>
      <c r="M656" s="300">
        <v>1324184.318</v>
      </c>
      <c r="N656" s="300">
        <v>1346198.5899999999</v>
      </c>
      <c r="O656" s="300">
        <v>1178603.6059999999</v>
      </c>
      <c r="P656" s="300">
        <v>1342504.7110000001</v>
      </c>
      <c r="Q656" s="300">
        <v>1280543.5920000002</v>
      </c>
      <c r="R656" s="300">
        <v>1357300.209</v>
      </c>
      <c r="S656" s="300">
        <v>1247184.9720000001</v>
      </c>
      <c r="T656" s="300">
        <v>1291852.3</v>
      </c>
      <c r="U656" s="301">
        <v>834874.99200000009</v>
      </c>
      <c r="V656" s="302">
        <v>14908985.338999998</v>
      </c>
      <c r="W656" s="303"/>
      <c r="X656" s="304">
        <v>834874.99200000009</v>
      </c>
      <c r="Y656" s="305">
        <v>14908985.338999998</v>
      </c>
      <c r="AA656" s="388"/>
    </row>
    <row r="657" spans="5:27" hidden="1" outlineLevel="1" x14ac:dyDescent="0.3">
      <c r="E657" s="250" t="s">
        <v>1612</v>
      </c>
      <c r="F657" s="317">
        <v>4310001</v>
      </c>
      <c r="G657" s="318"/>
      <c r="H657" s="319">
        <v>5101650101</v>
      </c>
      <c r="I657" s="320"/>
      <c r="J657" s="337">
        <v>223452.96599999999</v>
      </c>
      <c r="K657" s="321">
        <v>244716.17199999999</v>
      </c>
      <c r="L657" s="321">
        <v>287283.777</v>
      </c>
      <c r="M657" s="321">
        <v>373243.97</v>
      </c>
      <c r="N657" s="321">
        <v>410383.14299999998</v>
      </c>
      <c r="O657" s="321">
        <v>296946.15399999998</v>
      </c>
      <c r="P657" s="321">
        <v>319164.09399999998</v>
      </c>
      <c r="Q657" s="321">
        <v>325705.52500000002</v>
      </c>
      <c r="R657" s="321">
        <v>393932.03499999997</v>
      </c>
      <c r="S657" s="321">
        <v>375843.929</v>
      </c>
      <c r="T657" s="321">
        <v>386125.74400000001</v>
      </c>
      <c r="U657" s="322">
        <v>309597.89799999999</v>
      </c>
      <c r="V657" s="323">
        <v>3946395.4070000001</v>
      </c>
      <c r="W657" s="303"/>
      <c r="X657" s="324">
        <v>309597.89799999999</v>
      </c>
      <c r="Y657" s="325">
        <v>3946395.4070000001</v>
      </c>
      <c r="AA657" s="388"/>
    </row>
    <row r="658" spans="5:27" hidden="1" outlineLevel="1" x14ac:dyDescent="0.3">
      <c r="E658" s="250" t="s">
        <v>1613</v>
      </c>
      <c r="F658" s="317">
        <v>4310002</v>
      </c>
      <c r="G658" s="318"/>
      <c r="H658" s="319">
        <v>5101690101</v>
      </c>
      <c r="I658" s="320"/>
      <c r="J658" s="337">
        <v>56410</v>
      </c>
      <c r="K658" s="321">
        <v>74130</v>
      </c>
      <c r="L658" s="321">
        <v>60250</v>
      </c>
      <c r="M658" s="321">
        <v>60140</v>
      </c>
      <c r="N658" s="321">
        <v>50570</v>
      </c>
      <c r="O658" s="321">
        <v>25260</v>
      </c>
      <c r="P658" s="321">
        <v>43485</v>
      </c>
      <c r="Q658" s="321">
        <v>41695</v>
      </c>
      <c r="R658" s="321">
        <v>38795</v>
      </c>
      <c r="S658" s="321">
        <v>40670</v>
      </c>
      <c r="T658" s="321">
        <v>36800</v>
      </c>
      <c r="U658" s="322">
        <v>30570</v>
      </c>
      <c r="V658" s="323">
        <v>558775</v>
      </c>
      <c r="W658" s="303"/>
      <c r="X658" s="324">
        <v>30570</v>
      </c>
      <c r="Y658" s="325">
        <v>558775</v>
      </c>
      <c r="AA658" s="388"/>
    </row>
    <row r="659" spans="5:27" hidden="1" outlineLevel="1" x14ac:dyDescent="0.3">
      <c r="E659" s="250" t="s">
        <v>1614</v>
      </c>
      <c r="F659" s="317">
        <v>4310003</v>
      </c>
      <c r="G659" s="318"/>
      <c r="H659" s="319">
        <v>5101990101</v>
      </c>
      <c r="I659" s="320"/>
      <c r="J659" s="337">
        <v>0</v>
      </c>
      <c r="K659" s="321">
        <v>0</v>
      </c>
      <c r="L659" s="321">
        <v>0</v>
      </c>
      <c r="M659" s="321">
        <v>0</v>
      </c>
      <c r="N659" s="321">
        <v>0</v>
      </c>
      <c r="O659" s="321">
        <v>0</v>
      </c>
      <c r="P659" s="321">
        <v>0</v>
      </c>
      <c r="Q659" s="321">
        <v>0</v>
      </c>
      <c r="R659" s="321">
        <v>0</v>
      </c>
      <c r="S659" s="321">
        <v>0</v>
      </c>
      <c r="T659" s="321">
        <v>0</v>
      </c>
      <c r="U659" s="322">
        <v>0</v>
      </c>
      <c r="V659" s="323">
        <v>0</v>
      </c>
      <c r="W659" s="303"/>
      <c r="X659" s="324">
        <v>0</v>
      </c>
      <c r="Y659" s="325">
        <v>0</v>
      </c>
      <c r="AA659" s="388"/>
    </row>
    <row r="660" spans="5:27" hidden="1" outlineLevel="1" x14ac:dyDescent="0.3">
      <c r="E660" s="250" t="s">
        <v>1615</v>
      </c>
      <c r="F660" s="317">
        <v>4310004</v>
      </c>
      <c r="G660" s="318"/>
      <c r="H660" s="319"/>
      <c r="I660" s="320"/>
      <c r="J660" s="337">
        <v>3780</v>
      </c>
      <c r="K660" s="321">
        <v>4720</v>
      </c>
      <c r="L660" s="321">
        <v>3420</v>
      </c>
      <c r="M660" s="321">
        <v>3380</v>
      </c>
      <c r="N660" s="321">
        <v>3480</v>
      </c>
      <c r="O660" s="321">
        <v>2320</v>
      </c>
      <c r="P660" s="321">
        <v>2420</v>
      </c>
      <c r="Q660" s="321">
        <v>2920</v>
      </c>
      <c r="R660" s="321">
        <v>2080</v>
      </c>
      <c r="S660" s="321">
        <v>2500</v>
      </c>
      <c r="T660" s="321">
        <v>3200</v>
      </c>
      <c r="U660" s="322">
        <v>2620</v>
      </c>
      <c r="V660" s="323">
        <v>36840</v>
      </c>
      <c r="W660" s="303"/>
      <c r="X660" s="324">
        <v>2620</v>
      </c>
      <c r="Y660" s="325">
        <v>36840</v>
      </c>
      <c r="AA660" s="388"/>
    </row>
    <row r="661" spans="5:27" hidden="1" outlineLevel="1" x14ac:dyDescent="0.3">
      <c r="E661" s="250" t="s">
        <v>1616</v>
      </c>
      <c r="F661" s="317">
        <v>4310005</v>
      </c>
      <c r="G661" s="318"/>
      <c r="H661" s="319"/>
      <c r="I661" s="320"/>
      <c r="J661" s="337">
        <v>0</v>
      </c>
      <c r="K661" s="321">
        <v>400</v>
      </c>
      <c r="L661" s="321">
        <v>3660</v>
      </c>
      <c r="M661" s="321">
        <v>4850</v>
      </c>
      <c r="N661" s="321">
        <v>1100</v>
      </c>
      <c r="O661" s="321">
        <v>500</v>
      </c>
      <c r="P661" s="321">
        <v>1000</v>
      </c>
      <c r="Q661" s="321">
        <v>800</v>
      </c>
      <c r="R661" s="321">
        <v>2100</v>
      </c>
      <c r="S661" s="321">
        <v>0</v>
      </c>
      <c r="T661" s="321">
        <v>0</v>
      </c>
      <c r="U661" s="322">
        <v>1000</v>
      </c>
      <c r="V661" s="323">
        <v>15410</v>
      </c>
      <c r="W661" s="303"/>
      <c r="X661" s="324">
        <v>1000</v>
      </c>
      <c r="Y661" s="325">
        <v>15410</v>
      </c>
      <c r="AA661" s="388"/>
    </row>
    <row r="662" spans="5:27" hidden="1" outlineLevel="1" x14ac:dyDescent="0.3">
      <c r="E662" s="250" t="s">
        <v>1617</v>
      </c>
      <c r="F662" s="317">
        <v>4310006</v>
      </c>
      <c r="G662" s="318"/>
      <c r="H662" s="319"/>
      <c r="I662" s="320"/>
      <c r="J662" s="337">
        <v>13900</v>
      </c>
      <c r="K662" s="321">
        <v>16150</v>
      </c>
      <c r="L662" s="321">
        <v>13220</v>
      </c>
      <c r="M662" s="321">
        <v>14550</v>
      </c>
      <c r="N662" s="321">
        <v>15050</v>
      </c>
      <c r="O662" s="321">
        <v>13000</v>
      </c>
      <c r="P662" s="321">
        <v>11300</v>
      </c>
      <c r="Q662" s="321">
        <v>14450</v>
      </c>
      <c r="R662" s="321">
        <v>12700</v>
      </c>
      <c r="S662" s="321">
        <v>13000</v>
      </c>
      <c r="T662" s="321">
        <v>11550</v>
      </c>
      <c r="U662" s="322">
        <v>11700</v>
      </c>
      <c r="V662" s="323">
        <v>160570</v>
      </c>
      <c r="W662" s="303"/>
      <c r="X662" s="324">
        <v>11700</v>
      </c>
      <c r="Y662" s="325">
        <v>160570</v>
      </c>
      <c r="AA662" s="388"/>
    </row>
    <row r="663" spans="5:27" hidden="1" outlineLevel="1" x14ac:dyDescent="0.3">
      <c r="E663" s="250" t="s">
        <v>1618</v>
      </c>
      <c r="F663" s="317">
        <v>4310007</v>
      </c>
      <c r="G663" s="318"/>
      <c r="H663" s="319"/>
      <c r="I663" s="320"/>
      <c r="J663" s="337">
        <v>7408</v>
      </c>
      <c r="K663" s="321">
        <v>6752</v>
      </c>
      <c r="L663" s="321">
        <v>6774</v>
      </c>
      <c r="M663" s="321">
        <v>11432.184999999999</v>
      </c>
      <c r="N663" s="321">
        <v>10271.700000000001</v>
      </c>
      <c r="O663" s="321">
        <v>2644.5</v>
      </c>
      <c r="P663" s="321">
        <v>14449.9</v>
      </c>
      <c r="Q663" s="321">
        <v>10855.6</v>
      </c>
      <c r="R663" s="321">
        <v>17037.599999999999</v>
      </c>
      <c r="S663" s="321">
        <v>11461.9</v>
      </c>
      <c r="T663" s="321">
        <v>7817</v>
      </c>
      <c r="U663" s="322">
        <v>6008.5</v>
      </c>
      <c r="V663" s="323">
        <v>112912.88499999998</v>
      </c>
      <c r="W663" s="303"/>
      <c r="X663" s="324">
        <v>6008.5</v>
      </c>
      <c r="Y663" s="325">
        <v>112912.88499999998</v>
      </c>
      <c r="AA663" s="388"/>
    </row>
    <row r="664" spans="5:27" hidden="1" outlineLevel="1" x14ac:dyDescent="0.3">
      <c r="E664" s="250" t="s">
        <v>1619</v>
      </c>
      <c r="F664" s="317">
        <v>4310008</v>
      </c>
      <c r="G664" s="318"/>
      <c r="H664" s="319"/>
      <c r="I664" s="320"/>
      <c r="J664" s="337">
        <v>1800</v>
      </c>
      <c r="K664" s="321">
        <v>200</v>
      </c>
      <c r="L664" s="321">
        <v>2500</v>
      </c>
      <c r="M664" s="321">
        <v>4600</v>
      </c>
      <c r="N664" s="321">
        <v>5300</v>
      </c>
      <c r="O664" s="321">
        <v>5100</v>
      </c>
      <c r="P664" s="321">
        <v>5800</v>
      </c>
      <c r="Q664" s="321">
        <v>300</v>
      </c>
      <c r="R664" s="321">
        <v>0</v>
      </c>
      <c r="S664" s="321">
        <v>0</v>
      </c>
      <c r="T664" s="321">
        <v>250</v>
      </c>
      <c r="U664" s="322">
        <v>0</v>
      </c>
      <c r="V664" s="323">
        <v>25850</v>
      </c>
      <c r="W664" s="303"/>
      <c r="X664" s="324">
        <v>0</v>
      </c>
      <c r="Y664" s="325">
        <v>25850</v>
      </c>
      <c r="AA664" s="388"/>
    </row>
    <row r="665" spans="5:27" hidden="1" outlineLevel="1" x14ac:dyDescent="0.3">
      <c r="E665" s="250" t="s">
        <v>1620</v>
      </c>
      <c r="F665" s="317">
        <v>4310009</v>
      </c>
      <c r="G665" s="318"/>
      <c r="H665" s="319"/>
      <c r="I665" s="320"/>
      <c r="J665" s="337">
        <v>0</v>
      </c>
      <c r="K665" s="321">
        <v>0</v>
      </c>
      <c r="L665" s="321">
        <v>0</v>
      </c>
      <c r="M665" s="321">
        <v>0</v>
      </c>
      <c r="N665" s="321">
        <v>0</v>
      </c>
      <c r="O665" s="321">
        <v>0</v>
      </c>
      <c r="P665" s="321">
        <v>0</v>
      </c>
      <c r="Q665" s="321">
        <v>0</v>
      </c>
      <c r="R665" s="321">
        <v>0</v>
      </c>
      <c r="S665" s="321">
        <v>0</v>
      </c>
      <c r="T665" s="321">
        <v>0</v>
      </c>
      <c r="U665" s="322">
        <v>0</v>
      </c>
      <c r="V665" s="323">
        <v>0</v>
      </c>
      <c r="W665" s="303"/>
      <c r="X665" s="324">
        <v>0</v>
      </c>
      <c r="Y665" s="325">
        <v>0</v>
      </c>
      <c r="AA665" s="388"/>
    </row>
    <row r="666" spans="5:27" hidden="1" outlineLevel="1" x14ac:dyDescent="0.3">
      <c r="E666" s="250" t="s">
        <v>1621</v>
      </c>
      <c r="F666" s="317">
        <v>4310010</v>
      </c>
      <c r="G666" s="318"/>
      <c r="H666" s="319"/>
      <c r="I666" s="320"/>
      <c r="J666" s="337">
        <v>0</v>
      </c>
      <c r="K666" s="321">
        <v>0</v>
      </c>
      <c r="L666" s="321">
        <v>0</v>
      </c>
      <c r="M666" s="321">
        <v>0</v>
      </c>
      <c r="N666" s="321">
        <v>0</v>
      </c>
      <c r="O666" s="321">
        <v>0</v>
      </c>
      <c r="P666" s="321">
        <v>0</v>
      </c>
      <c r="Q666" s="321">
        <v>0</v>
      </c>
      <c r="R666" s="321">
        <v>500</v>
      </c>
      <c r="S666" s="321">
        <v>0</v>
      </c>
      <c r="T666" s="321">
        <v>330</v>
      </c>
      <c r="U666" s="322">
        <v>30</v>
      </c>
      <c r="V666" s="323">
        <v>860</v>
      </c>
      <c r="W666" s="303"/>
      <c r="X666" s="324">
        <v>30</v>
      </c>
      <c r="Y666" s="325">
        <v>860</v>
      </c>
      <c r="AA666" s="388"/>
    </row>
    <row r="667" spans="5:27" hidden="1" outlineLevel="1" x14ac:dyDescent="0.3">
      <c r="E667" s="250" t="s">
        <v>1622</v>
      </c>
      <c r="F667" s="317">
        <v>4310011</v>
      </c>
      <c r="G667" s="318"/>
      <c r="H667" s="319"/>
      <c r="I667" s="320"/>
      <c r="J667" s="337">
        <v>7467.9</v>
      </c>
      <c r="K667" s="321">
        <v>10015</v>
      </c>
      <c r="L667" s="321">
        <v>-7627.9</v>
      </c>
      <c r="M667" s="321">
        <v>37380</v>
      </c>
      <c r="N667" s="321">
        <v>11596.6</v>
      </c>
      <c r="O667" s="321">
        <v>12385</v>
      </c>
      <c r="P667" s="321">
        <v>14058.5</v>
      </c>
      <c r="Q667" s="321">
        <v>16162.455</v>
      </c>
      <c r="R667" s="321">
        <v>16464.144</v>
      </c>
      <c r="S667" s="321">
        <v>18629.080000000002</v>
      </c>
      <c r="T667" s="321">
        <v>9948.75</v>
      </c>
      <c r="U667" s="322">
        <v>8580</v>
      </c>
      <c r="V667" s="323">
        <v>155059.52900000001</v>
      </c>
      <c r="W667" s="303"/>
      <c r="X667" s="324">
        <v>8580</v>
      </c>
      <c r="Y667" s="325">
        <v>155059.52900000001</v>
      </c>
      <c r="AA667" s="388"/>
    </row>
    <row r="668" spans="5:27" hidden="1" outlineLevel="1" x14ac:dyDescent="0.3">
      <c r="E668" s="250" t="s">
        <v>1623</v>
      </c>
      <c r="F668" s="317">
        <v>4310012</v>
      </c>
      <c r="G668" s="318"/>
      <c r="H668" s="319"/>
      <c r="I668" s="320"/>
      <c r="J668" s="337">
        <v>3858</v>
      </c>
      <c r="K668" s="321">
        <v>3263</v>
      </c>
      <c r="L668" s="321">
        <v>12256.8</v>
      </c>
      <c r="M668" s="321">
        <v>13068</v>
      </c>
      <c r="N668" s="321">
        <v>27710</v>
      </c>
      <c r="O668" s="321">
        <v>2902</v>
      </c>
      <c r="P668" s="321">
        <v>8568</v>
      </c>
      <c r="Q668" s="321">
        <v>4900</v>
      </c>
      <c r="R668" s="321">
        <v>14652.5</v>
      </c>
      <c r="S668" s="321">
        <v>150</v>
      </c>
      <c r="T668" s="321">
        <v>8484</v>
      </c>
      <c r="U668" s="322">
        <v>3486</v>
      </c>
      <c r="V668" s="323">
        <v>103298.3</v>
      </c>
      <c r="W668" s="303"/>
      <c r="X668" s="324">
        <v>3486</v>
      </c>
      <c r="Y668" s="325">
        <v>103298.3</v>
      </c>
      <c r="AA668" s="388"/>
    </row>
    <row r="669" spans="5:27" hidden="1" outlineLevel="1" x14ac:dyDescent="0.3">
      <c r="E669" s="250" t="s">
        <v>1624</v>
      </c>
      <c r="F669" s="317">
        <v>4310013</v>
      </c>
      <c r="G669" s="318"/>
      <c r="H669" s="319"/>
      <c r="I669" s="320"/>
      <c r="J669" s="337">
        <v>18790</v>
      </c>
      <c r="K669" s="321">
        <v>31528.2</v>
      </c>
      <c r="L669" s="321">
        <v>29722</v>
      </c>
      <c r="M669" s="321">
        <v>20118</v>
      </c>
      <c r="N669" s="321">
        <v>4726</v>
      </c>
      <c r="O669" s="321">
        <v>4517.25</v>
      </c>
      <c r="P669" s="321">
        <v>28714.726999999999</v>
      </c>
      <c r="Q669" s="321">
        <v>11504</v>
      </c>
      <c r="R669" s="321">
        <v>17930</v>
      </c>
      <c r="S669" s="321">
        <v>1152.546</v>
      </c>
      <c r="T669" s="321">
        <v>400</v>
      </c>
      <c r="U669" s="322">
        <v>6260</v>
      </c>
      <c r="V669" s="323">
        <v>175362.723</v>
      </c>
      <c r="W669" s="303"/>
      <c r="X669" s="324">
        <v>6260</v>
      </c>
      <c r="Y669" s="325">
        <v>175362.723</v>
      </c>
      <c r="AA669" s="388"/>
    </row>
    <row r="670" spans="5:27" hidden="1" outlineLevel="1" x14ac:dyDescent="0.3">
      <c r="E670" s="250" t="s">
        <v>1625</v>
      </c>
      <c r="F670" s="317">
        <v>4310014</v>
      </c>
      <c r="G670" s="318"/>
      <c r="H670" s="319"/>
      <c r="I670" s="320"/>
      <c r="J670" s="337">
        <v>37550.459000000003</v>
      </c>
      <c r="K670" s="321">
        <v>17068.437999999998</v>
      </c>
      <c r="L670" s="321">
        <v>40820.580999999998</v>
      </c>
      <c r="M670" s="321">
        <v>-25945.319</v>
      </c>
      <c r="N670" s="321">
        <v>-774.70299999999997</v>
      </c>
      <c r="O670" s="321">
        <v>25256.447</v>
      </c>
      <c r="P670" s="321">
        <v>18994.672999999999</v>
      </c>
      <c r="Q670" s="321">
        <v>-18603.263999999999</v>
      </c>
      <c r="R670" s="321">
        <v>-17015.863000000001</v>
      </c>
      <c r="S670" s="321">
        <v>-27231.016</v>
      </c>
      <c r="T670" s="321">
        <v>40741.163</v>
      </c>
      <c r="U670" s="322">
        <v>19461.087</v>
      </c>
      <c r="V670" s="323">
        <v>110322.683</v>
      </c>
      <c r="W670" s="303"/>
      <c r="X670" s="324">
        <v>19461.087</v>
      </c>
      <c r="Y670" s="325">
        <v>110322.683</v>
      </c>
      <c r="AA670" s="388"/>
    </row>
    <row r="671" spans="5:27" hidden="1" outlineLevel="1" x14ac:dyDescent="0.3">
      <c r="E671" s="250" t="s">
        <v>1626</v>
      </c>
      <c r="F671" s="317">
        <v>4310015</v>
      </c>
      <c r="G671" s="318"/>
      <c r="H671" s="319"/>
      <c r="I671" s="320"/>
      <c r="J671" s="337">
        <v>23280</v>
      </c>
      <c r="K671" s="321">
        <v>3752</v>
      </c>
      <c r="L671" s="321">
        <v>18508</v>
      </c>
      <c r="M671" s="321">
        <v>6400</v>
      </c>
      <c r="N671" s="321">
        <v>6768</v>
      </c>
      <c r="O671" s="321">
        <v>136</v>
      </c>
      <c r="P671" s="321">
        <v>59896</v>
      </c>
      <c r="Q671" s="321">
        <v>57092</v>
      </c>
      <c r="R671" s="321">
        <v>44706</v>
      </c>
      <c r="S671" s="321">
        <v>11190.911</v>
      </c>
      <c r="T671" s="321">
        <v>0</v>
      </c>
      <c r="U671" s="322">
        <v>7570</v>
      </c>
      <c r="V671" s="323">
        <v>239298.91099999999</v>
      </c>
      <c r="W671" s="303"/>
      <c r="X671" s="324">
        <v>7570</v>
      </c>
      <c r="Y671" s="325">
        <v>239298.91099999999</v>
      </c>
      <c r="AA671" s="388"/>
    </row>
    <row r="672" spans="5:27" hidden="1" outlineLevel="1" x14ac:dyDescent="0.3">
      <c r="E672" s="250" t="s">
        <v>1627</v>
      </c>
      <c r="F672" s="317">
        <v>4310016</v>
      </c>
      <c r="G672" s="318"/>
      <c r="H672" s="319"/>
      <c r="I672" s="320"/>
      <c r="J672" s="337">
        <v>7150.5110000000004</v>
      </c>
      <c r="K672" s="321">
        <v>7602.79</v>
      </c>
      <c r="L672" s="321">
        <v>6944.9949999999999</v>
      </c>
      <c r="M672" s="321">
        <v>7483.4480000000003</v>
      </c>
      <c r="N672" s="321">
        <v>3589.58</v>
      </c>
      <c r="O672" s="321">
        <v>1803.952</v>
      </c>
      <c r="P672" s="321">
        <v>5669.8220000000001</v>
      </c>
      <c r="Q672" s="321">
        <v>5970.04</v>
      </c>
      <c r="R672" s="321">
        <v>8346.58</v>
      </c>
      <c r="S672" s="321">
        <v>1318.9690000000001</v>
      </c>
      <c r="T672" s="321">
        <v>617.6</v>
      </c>
      <c r="U672" s="322">
        <v>2687.8780000000002</v>
      </c>
      <c r="V672" s="323">
        <v>59186.164999999994</v>
      </c>
      <c r="W672" s="303"/>
      <c r="X672" s="324">
        <v>2687.8780000000002</v>
      </c>
      <c r="Y672" s="325">
        <v>59186.164999999994</v>
      </c>
      <c r="AA672" s="388"/>
    </row>
    <row r="673" spans="1:27" hidden="1" outlineLevel="1" x14ac:dyDescent="0.3">
      <c r="E673" s="250" t="s">
        <v>1628</v>
      </c>
      <c r="F673" s="317">
        <v>4310017</v>
      </c>
      <c r="G673" s="318"/>
      <c r="H673" s="319"/>
      <c r="I673" s="320"/>
      <c r="J673" s="337">
        <v>351208.1</v>
      </c>
      <c r="K673" s="321">
        <v>351208.1</v>
      </c>
      <c r="L673" s="321">
        <v>351308.1</v>
      </c>
      <c r="M673" s="321">
        <v>351308.1</v>
      </c>
      <c r="N673" s="321">
        <v>351308.1</v>
      </c>
      <c r="O673" s="321">
        <v>351308.1</v>
      </c>
      <c r="P673" s="321">
        <v>351308.1</v>
      </c>
      <c r="Q673" s="321">
        <v>351308.1</v>
      </c>
      <c r="R673" s="321">
        <v>352308.1</v>
      </c>
      <c r="S673" s="321">
        <v>352308.1</v>
      </c>
      <c r="T673" s="321">
        <v>355938.1</v>
      </c>
      <c r="U673" s="322">
        <v>355938.1</v>
      </c>
      <c r="V673" s="323">
        <v>4226757.2</v>
      </c>
      <c r="W673" s="303"/>
      <c r="X673" s="324">
        <v>355938.1</v>
      </c>
      <c r="Y673" s="325">
        <v>4226757.2</v>
      </c>
      <c r="AA673" s="388"/>
    </row>
    <row r="674" spans="1:27" hidden="1" outlineLevel="1" x14ac:dyDescent="0.3">
      <c r="E674" s="250" t="s">
        <v>1629</v>
      </c>
      <c r="F674" s="317">
        <v>4310018</v>
      </c>
      <c r="G674" s="318"/>
      <c r="H674" s="319"/>
      <c r="I674" s="320"/>
      <c r="J674" s="337">
        <v>54017.796000000002</v>
      </c>
      <c r="K674" s="321">
        <v>54017.796000000002</v>
      </c>
      <c r="L674" s="321">
        <v>48145.319000000003</v>
      </c>
      <c r="M674" s="321">
        <v>48143.120999999999</v>
      </c>
      <c r="N674" s="321">
        <v>48143.120999999999</v>
      </c>
      <c r="O674" s="321">
        <v>48143.120999999999</v>
      </c>
      <c r="P674" s="321">
        <v>48143.120999999999</v>
      </c>
      <c r="Q674" s="321">
        <v>48143.120999999999</v>
      </c>
      <c r="R674" s="321">
        <v>48143.120999999999</v>
      </c>
      <c r="S674" s="321">
        <v>48143.120999999999</v>
      </c>
      <c r="T674" s="321">
        <v>48143.120999999999</v>
      </c>
      <c r="U674" s="322">
        <v>-321661.23599999998</v>
      </c>
      <c r="V674" s="323">
        <v>219664.64299999998</v>
      </c>
      <c r="W674" s="303"/>
      <c r="X674" s="324">
        <v>-321661.23599999998</v>
      </c>
      <c r="Y674" s="325">
        <v>219664.64299999998</v>
      </c>
      <c r="AA674" s="388"/>
    </row>
    <row r="675" spans="1:27" hidden="1" outlineLevel="1" x14ac:dyDescent="0.3">
      <c r="E675" s="250" t="s">
        <v>1630</v>
      </c>
      <c r="F675" s="317">
        <v>4310019</v>
      </c>
      <c r="G675" s="318"/>
      <c r="H675" s="319"/>
      <c r="I675" s="320"/>
      <c r="J675" s="337">
        <v>1000</v>
      </c>
      <c r="K675" s="321">
        <v>61.6</v>
      </c>
      <c r="L675" s="321">
        <v>0</v>
      </c>
      <c r="M675" s="321">
        <v>7724.4</v>
      </c>
      <c r="N675" s="321">
        <v>2600</v>
      </c>
      <c r="O675" s="321">
        <v>1605</v>
      </c>
      <c r="P675" s="321">
        <v>-75.909000000000006</v>
      </c>
      <c r="Q675" s="321">
        <v>0</v>
      </c>
      <c r="R675" s="321">
        <v>0</v>
      </c>
      <c r="S675" s="321">
        <v>2400</v>
      </c>
      <c r="T675" s="321">
        <v>2400</v>
      </c>
      <c r="U675" s="322">
        <v>0</v>
      </c>
      <c r="V675" s="323">
        <v>17715.091</v>
      </c>
      <c r="W675" s="303"/>
      <c r="X675" s="324">
        <v>0</v>
      </c>
      <c r="Y675" s="325">
        <v>17715.091</v>
      </c>
      <c r="AA675" s="388"/>
    </row>
    <row r="676" spans="1:27" hidden="1" outlineLevel="1" x14ac:dyDescent="0.3">
      <c r="E676" s="250" t="s">
        <v>1631</v>
      </c>
      <c r="F676" s="317">
        <v>4310020</v>
      </c>
      <c r="G676" s="318"/>
      <c r="H676" s="319"/>
      <c r="I676" s="320"/>
      <c r="J676" s="337">
        <v>0</v>
      </c>
      <c r="K676" s="321">
        <v>0</v>
      </c>
      <c r="L676" s="321">
        <v>0</v>
      </c>
      <c r="M676" s="321">
        <v>0</v>
      </c>
      <c r="N676" s="321">
        <v>0</v>
      </c>
      <c r="O676" s="321">
        <v>0</v>
      </c>
      <c r="P676" s="321">
        <v>0</v>
      </c>
      <c r="Q676" s="321">
        <v>0</v>
      </c>
      <c r="R676" s="321">
        <v>0</v>
      </c>
      <c r="S676" s="321">
        <v>0</v>
      </c>
      <c r="T676" s="321">
        <v>0</v>
      </c>
      <c r="U676" s="322">
        <v>0</v>
      </c>
      <c r="V676" s="323">
        <v>0</v>
      </c>
      <c r="W676" s="303"/>
      <c r="X676" s="324">
        <v>0</v>
      </c>
      <c r="Y676" s="325">
        <v>0</v>
      </c>
      <c r="AA676" s="388"/>
    </row>
    <row r="677" spans="1:27" hidden="1" outlineLevel="1" x14ac:dyDescent="0.3">
      <c r="E677" s="250" t="s">
        <v>1632</v>
      </c>
      <c r="F677" s="317">
        <v>4310021</v>
      </c>
      <c r="G677" s="318"/>
      <c r="H677" s="319"/>
      <c r="I677" s="320"/>
      <c r="J677" s="337">
        <v>389563.28899999999</v>
      </c>
      <c r="K677" s="321">
        <v>375290.46100000001</v>
      </c>
      <c r="L677" s="321">
        <v>427039.799</v>
      </c>
      <c r="M677" s="321">
        <v>386308.413</v>
      </c>
      <c r="N677" s="321">
        <v>394377.049</v>
      </c>
      <c r="O677" s="321">
        <v>384776.08199999999</v>
      </c>
      <c r="P677" s="321">
        <v>409608.68300000002</v>
      </c>
      <c r="Q677" s="321">
        <v>407341.01500000001</v>
      </c>
      <c r="R677" s="321">
        <v>404620.99200000003</v>
      </c>
      <c r="S677" s="321">
        <v>395647.43199999997</v>
      </c>
      <c r="T677" s="321">
        <v>379106.82199999999</v>
      </c>
      <c r="U677" s="322">
        <v>391026.76500000001</v>
      </c>
      <c r="V677" s="323">
        <v>4744706.8020000001</v>
      </c>
      <c r="W677" s="303"/>
      <c r="X677" s="324">
        <v>391026.76500000001</v>
      </c>
      <c r="Y677" s="325">
        <v>4744706.8020000001</v>
      </c>
      <c r="AA677" s="388"/>
    </row>
    <row r="678" spans="1:27" s="361" customFormat="1" hidden="1" outlineLevel="2" x14ac:dyDescent="0.3">
      <c r="E678" s="326" t="s">
        <v>1633</v>
      </c>
      <c r="F678" s="351"/>
      <c r="G678" s="352"/>
      <c r="H678" s="353"/>
      <c r="I678" s="354"/>
      <c r="J678" s="362">
        <v>0</v>
      </c>
      <c r="K678" s="355">
        <v>0</v>
      </c>
      <c r="L678" s="355">
        <v>0</v>
      </c>
      <c r="M678" s="355">
        <v>0</v>
      </c>
      <c r="N678" s="355">
        <v>0</v>
      </c>
      <c r="O678" s="355">
        <v>0</v>
      </c>
      <c r="P678" s="355">
        <v>0</v>
      </c>
      <c r="Q678" s="355">
        <v>0</v>
      </c>
      <c r="R678" s="355">
        <v>0</v>
      </c>
      <c r="S678" s="355">
        <v>0</v>
      </c>
      <c r="T678" s="355">
        <v>0</v>
      </c>
      <c r="U678" s="356">
        <v>0</v>
      </c>
      <c r="V678" s="357">
        <v>0</v>
      </c>
      <c r="W678" s="358"/>
      <c r="X678" s="359">
        <v>0</v>
      </c>
      <c r="Y678" s="360">
        <v>0</v>
      </c>
      <c r="AA678" s="388"/>
    </row>
    <row r="679" spans="1:27" s="361" customFormat="1" hidden="1" outlineLevel="2" x14ac:dyDescent="0.3">
      <c r="E679" s="326" t="s">
        <v>1634</v>
      </c>
      <c r="F679" s="351"/>
      <c r="G679" s="352"/>
      <c r="H679" s="353"/>
      <c r="I679" s="354"/>
      <c r="J679" s="362">
        <v>0</v>
      </c>
      <c r="K679" s="355">
        <v>0</v>
      </c>
      <c r="L679" s="355">
        <v>0</v>
      </c>
      <c r="M679" s="355">
        <v>0</v>
      </c>
      <c r="N679" s="355">
        <v>0</v>
      </c>
      <c r="O679" s="355">
        <v>0</v>
      </c>
      <c r="P679" s="355">
        <v>0</v>
      </c>
      <c r="Q679" s="355">
        <v>0</v>
      </c>
      <c r="R679" s="355">
        <v>0</v>
      </c>
      <c r="S679" s="355">
        <v>0</v>
      </c>
      <c r="T679" s="355">
        <v>0</v>
      </c>
      <c r="U679" s="356">
        <v>0</v>
      </c>
      <c r="V679" s="357">
        <v>0</v>
      </c>
      <c r="W679" s="358"/>
      <c r="X679" s="359">
        <v>0</v>
      </c>
      <c r="Y679" s="360">
        <v>0</v>
      </c>
      <c r="AA679" s="388"/>
    </row>
    <row r="680" spans="1:27" s="361" customFormat="1" hidden="1" outlineLevel="2" x14ac:dyDescent="0.3">
      <c r="E680" s="326" t="s">
        <v>1635</v>
      </c>
      <c r="F680" s="351"/>
      <c r="G680" s="352"/>
      <c r="H680" s="353"/>
      <c r="I680" s="354"/>
      <c r="J680" s="362">
        <v>0</v>
      </c>
      <c r="K680" s="355">
        <v>0</v>
      </c>
      <c r="L680" s="355">
        <v>0</v>
      </c>
      <c r="M680" s="355">
        <v>0</v>
      </c>
      <c r="N680" s="355">
        <v>0</v>
      </c>
      <c r="O680" s="355">
        <v>0</v>
      </c>
      <c r="P680" s="355">
        <v>0</v>
      </c>
      <c r="Q680" s="355">
        <v>0</v>
      </c>
      <c r="R680" s="355">
        <v>0</v>
      </c>
      <c r="S680" s="355">
        <v>0</v>
      </c>
      <c r="T680" s="355">
        <v>0</v>
      </c>
      <c r="U680" s="356">
        <v>0</v>
      </c>
      <c r="V680" s="357">
        <v>0</v>
      </c>
      <c r="W680" s="358"/>
      <c r="X680" s="359">
        <v>0</v>
      </c>
      <c r="Y680" s="360">
        <v>0</v>
      </c>
      <c r="AA680" s="388"/>
    </row>
    <row r="681" spans="1:27" hidden="1" collapsed="1" x14ac:dyDescent="0.3">
      <c r="A681" s="233"/>
      <c r="B681" s="234" t="s">
        <v>70</v>
      </c>
      <c r="D681" s="293" t="s">
        <v>1636</v>
      </c>
      <c r="E681" s="294"/>
      <c r="F681" s="295" t="s">
        <v>1637</v>
      </c>
      <c r="G681" s="296"/>
      <c r="H681" s="297"/>
      <c r="I681" s="298"/>
      <c r="J681" s="299">
        <v>14553.123</v>
      </c>
      <c r="K681" s="300">
        <v>9377.49</v>
      </c>
      <c r="L681" s="300">
        <v>50.188000000000002</v>
      </c>
      <c r="M681" s="300">
        <v>61.579000000000001</v>
      </c>
      <c r="N681" s="300">
        <v>0</v>
      </c>
      <c r="O681" s="300">
        <v>68.745999999999995</v>
      </c>
      <c r="P681" s="300">
        <v>59.497999999999998</v>
      </c>
      <c r="Q681" s="300">
        <v>150.875</v>
      </c>
      <c r="R681" s="300">
        <v>0</v>
      </c>
      <c r="S681" s="300">
        <v>50.215000000000003</v>
      </c>
      <c r="T681" s="300">
        <v>113.258</v>
      </c>
      <c r="U681" s="301">
        <v>60.268999999999998</v>
      </c>
      <c r="V681" s="302">
        <v>24545.240999999998</v>
      </c>
      <c r="W681" s="303"/>
      <c r="X681" s="304">
        <v>60.268999999999998</v>
      </c>
      <c r="Y681" s="305">
        <v>24545.240999999998</v>
      </c>
      <c r="AA681" s="388"/>
    </row>
    <row r="682" spans="1:27" hidden="1" outlineLevel="1" x14ac:dyDescent="0.3">
      <c r="E682" s="250" t="s">
        <v>1638</v>
      </c>
      <c r="F682" s="317">
        <v>4311001</v>
      </c>
      <c r="G682" s="318"/>
      <c r="H682" s="319"/>
      <c r="I682" s="320"/>
      <c r="J682" s="337">
        <v>0</v>
      </c>
      <c r="K682" s="321">
        <v>0</v>
      </c>
      <c r="L682" s="321">
        <v>0</v>
      </c>
      <c r="M682" s="321">
        <v>0</v>
      </c>
      <c r="N682" s="321">
        <v>0</v>
      </c>
      <c r="O682" s="321">
        <v>0</v>
      </c>
      <c r="P682" s="321">
        <v>0</v>
      </c>
      <c r="Q682" s="321">
        <v>0</v>
      </c>
      <c r="R682" s="321">
        <v>0</v>
      </c>
      <c r="S682" s="321">
        <v>0</v>
      </c>
      <c r="T682" s="321">
        <v>0</v>
      </c>
      <c r="U682" s="322">
        <v>0</v>
      </c>
      <c r="V682" s="323">
        <v>0</v>
      </c>
      <c r="W682" s="303"/>
      <c r="X682" s="324">
        <v>0</v>
      </c>
      <c r="Y682" s="325">
        <v>0</v>
      </c>
      <c r="AA682" s="388"/>
    </row>
    <row r="683" spans="1:27" hidden="1" outlineLevel="1" x14ac:dyDescent="0.3">
      <c r="E683" s="250" t="s">
        <v>1639</v>
      </c>
      <c r="F683" s="317">
        <v>4311002</v>
      </c>
      <c r="G683" s="318"/>
      <c r="H683" s="319"/>
      <c r="I683" s="320"/>
      <c r="J683" s="337">
        <v>67.59</v>
      </c>
      <c r="K683" s="321">
        <v>68.444000000000003</v>
      </c>
      <c r="L683" s="321">
        <v>50.188000000000002</v>
      </c>
      <c r="M683" s="321">
        <v>61.579000000000001</v>
      </c>
      <c r="N683" s="321">
        <v>0</v>
      </c>
      <c r="O683" s="321">
        <v>68.745999999999995</v>
      </c>
      <c r="P683" s="321">
        <v>59.497999999999998</v>
      </c>
      <c r="Q683" s="321">
        <v>150.875</v>
      </c>
      <c r="R683" s="321">
        <v>0</v>
      </c>
      <c r="S683" s="321">
        <v>50.215000000000003</v>
      </c>
      <c r="T683" s="321">
        <v>113.258</v>
      </c>
      <c r="U683" s="322">
        <v>60.268999999999998</v>
      </c>
      <c r="V683" s="323">
        <v>750.66200000000003</v>
      </c>
      <c r="W683" s="303"/>
      <c r="X683" s="324">
        <v>60.268999999999998</v>
      </c>
      <c r="Y683" s="325">
        <v>750.66200000000003</v>
      </c>
      <c r="AA683" s="388"/>
    </row>
    <row r="684" spans="1:27" hidden="1" outlineLevel="1" x14ac:dyDescent="0.3">
      <c r="E684" s="250" t="s">
        <v>1640</v>
      </c>
      <c r="F684" s="317">
        <v>4311003</v>
      </c>
      <c r="G684" s="318"/>
      <c r="H684" s="319"/>
      <c r="I684" s="320"/>
      <c r="J684" s="337">
        <v>14485.532999999999</v>
      </c>
      <c r="K684" s="321">
        <v>9309.0460000000003</v>
      </c>
      <c r="L684" s="321">
        <v>0</v>
      </c>
      <c r="M684" s="321">
        <v>0</v>
      </c>
      <c r="N684" s="321">
        <v>0</v>
      </c>
      <c r="O684" s="321">
        <v>0</v>
      </c>
      <c r="P684" s="321">
        <v>0</v>
      </c>
      <c r="Q684" s="321">
        <v>0</v>
      </c>
      <c r="R684" s="321">
        <v>0</v>
      </c>
      <c r="S684" s="321">
        <v>0</v>
      </c>
      <c r="T684" s="321">
        <v>0</v>
      </c>
      <c r="U684" s="322">
        <v>0</v>
      </c>
      <c r="V684" s="323">
        <v>23794.578999999998</v>
      </c>
      <c r="W684" s="303"/>
      <c r="X684" s="324">
        <v>0</v>
      </c>
      <c r="Y684" s="325">
        <v>23794.578999999998</v>
      </c>
      <c r="AA684" s="388"/>
    </row>
    <row r="685" spans="1:27" hidden="1" outlineLevel="1" x14ac:dyDescent="0.3">
      <c r="E685" s="250" t="s">
        <v>1641</v>
      </c>
      <c r="F685" s="317">
        <v>4311004</v>
      </c>
      <c r="G685" s="318"/>
      <c r="H685" s="319"/>
      <c r="I685" s="320"/>
      <c r="J685" s="337">
        <v>0</v>
      </c>
      <c r="K685" s="321">
        <v>0</v>
      </c>
      <c r="L685" s="321">
        <v>0</v>
      </c>
      <c r="M685" s="321">
        <v>0</v>
      </c>
      <c r="N685" s="321">
        <v>0</v>
      </c>
      <c r="O685" s="321">
        <v>0</v>
      </c>
      <c r="P685" s="321">
        <v>0</v>
      </c>
      <c r="Q685" s="321">
        <v>0</v>
      </c>
      <c r="R685" s="321">
        <v>0</v>
      </c>
      <c r="S685" s="321">
        <v>0</v>
      </c>
      <c r="T685" s="321">
        <v>0</v>
      </c>
      <c r="U685" s="322">
        <v>0</v>
      </c>
      <c r="V685" s="323">
        <v>0</v>
      </c>
      <c r="W685" s="303"/>
      <c r="X685" s="324">
        <v>0</v>
      </c>
      <c r="Y685" s="325">
        <v>0</v>
      </c>
      <c r="AA685" s="388"/>
    </row>
    <row r="686" spans="1:27" s="326" customFormat="1" hidden="1" outlineLevel="2" x14ac:dyDescent="0.3">
      <c r="E686" s="326" t="s">
        <v>1642</v>
      </c>
      <c r="F686" s="336"/>
      <c r="G686" s="327"/>
      <c r="H686" s="328"/>
      <c r="I686" s="329"/>
      <c r="J686" s="338">
        <v>0</v>
      </c>
      <c r="K686" s="330">
        <v>0</v>
      </c>
      <c r="L686" s="330">
        <v>0</v>
      </c>
      <c r="M686" s="330">
        <v>0</v>
      </c>
      <c r="N686" s="330">
        <v>0</v>
      </c>
      <c r="O686" s="330">
        <v>0</v>
      </c>
      <c r="P686" s="330">
        <v>0</v>
      </c>
      <c r="Q686" s="330">
        <v>0</v>
      </c>
      <c r="R686" s="330">
        <v>0</v>
      </c>
      <c r="S686" s="330">
        <v>0</v>
      </c>
      <c r="T686" s="330">
        <v>0</v>
      </c>
      <c r="U686" s="331">
        <v>0</v>
      </c>
      <c r="V686" s="332">
        <v>0</v>
      </c>
      <c r="W686" s="333"/>
      <c r="X686" s="334">
        <v>0</v>
      </c>
      <c r="Y686" s="335">
        <v>0</v>
      </c>
      <c r="AA686" s="388"/>
    </row>
    <row r="687" spans="1:27" s="326" customFormat="1" hidden="1" outlineLevel="2" x14ac:dyDescent="0.3">
      <c r="E687" s="326" t="s">
        <v>1643</v>
      </c>
      <c r="F687" s="336"/>
      <c r="G687" s="327"/>
      <c r="H687" s="328"/>
      <c r="I687" s="329"/>
      <c r="J687" s="338">
        <v>0</v>
      </c>
      <c r="K687" s="330">
        <v>0</v>
      </c>
      <c r="L687" s="330">
        <v>0</v>
      </c>
      <c r="M687" s="330">
        <v>0</v>
      </c>
      <c r="N687" s="330">
        <v>0</v>
      </c>
      <c r="O687" s="330">
        <v>0</v>
      </c>
      <c r="P687" s="330">
        <v>0</v>
      </c>
      <c r="Q687" s="330">
        <v>0</v>
      </c>
      <c r="R687" s="330">
        <v>0</v>
      </c>
      <c r="S687" s="330">
        <v>0</v>
      </c>
      <c r="T687" s="330">
        <v>0</v>
      </c>
      <c r="U687" s="331">
        <v>0</v>
      </c>
      <c r="V687" s="332">
        <v>0</v>
      </c>
      <c r="W687" s="333"/>
      <c r="X687" s="334">
        <v>0</v>
      </c>
      <c r="Y687" s="335">
        <v>0</v>
      </c>
      <c r="AA687" s="388"/>
    </row>
    <row r="688" spans="1:27" s="326" customFormat="1" hidden="1" outlineLevel="2" x14ac:dyDescent="0.3">
      <c r="E688" s="326" t="s">
        <v>1644</v>
      </c>
      <c r="F688" s="336"/>
      <c r="G688" s="327"/>
      <c r="H688" s="328"/>
      <c r="I688" s="329"/>
      <c r="J688" s="338">
        <v>0</v>
      </c>
      <c r="K688" s="330">
        <v>0</v>
      </c>
      <c r="L688" s="330">
        <v>0</v>
      </c>
      <c r="M688" s="330">
        <v>0</v>
      </c>
      <c r="N688" s="330">
        <v>0</v>
      </c>
      <c r="O688" s="330">
        <v>0</v>
      </c>
      <c r="P688" s="330">
        <v>0</v>
      </c>
      <c r="Q688" s="330">
        <v>0</v>
      </c>
      <c r="R688" s="330">
        <v>0</v>
      </c>
      <c r="S688" s="330">
        <v>0</v>
      </c>
      <c r="T688" s="330">
        <v>0</v>
      </c>
      <c r="U688" s="331">
        <v>0</v>
      </c>
      <c r="V688" s="332">
        <v>0</v>
      </c>
      <c r="W688" s="333"/>
      <c r="X688" s="334">
        <v>0</v>
      </c>
      <c r="Y688" s="335">
        <v>0</v>
      </c>
      <c r="AA688" s="388"/>
    </row>
    <row r="689" spans="1:27" hidden="1" collapsed="1" x14ac:dyDescent="0.3">
      <c r="A689" s="233"/>
      <c r="B689" s="234" t="s">
        <v>70</v>
      </c>
      <c r="D689" s="293" t="s">
        <v>1645</v>
      </c>
      <c r="E689" s="294"/>
      <c r="F689" s="295" t="s">
        <v>1646</v>
      </c>
      <c r="G689" s="296"/>
      <c r="H689" s="297"/>
      <c r="I689" s="298"/>
      <c r="J689" s="299">
        <v>66807.959000000003</v>
      </c>
      <c r="K689" s="300">
        <v>70204.304999999993</v>
      </c>
      <c r="L689" s="300">
        <v>24085.621000000003</v>
      </c>
      <c r="M689" s="300">
        <v>68796.070000000007</v>
      </c>
      <c r="N689" s="300">
        <v>66878.880000000005</v>
      </c>
      <c r="O689" s="300">
        <v>91654.910999999993</v>
      </c>
      <c r="P689" s="300">
        <v>96376.531000000003</v>
      </c>
      <c r="Q689" s="300">
        <v>-15292.220000000001</v>
      </c>
      <c r="R689" s="300">
        <v>88724.654999999999</v>
      </c>
      <c r="S689" s="300">
        <v>80832.97</v>
      </c>
      <c r="T689" s="300">
        <v>77830.866999999998</v>
      </c>
      <c r="U689" s="301">
        <v>58525.546000000002</v>
      </c>
      <c r="V689" s="302">
        <v>775426.09499999997</v>
      </c>
      <c r="W689" s="303"/>
      <c r="X689" s="304">
        <v>58525.546000000002</v>
      </c>
      <c r="Y689" s="305">
        <v>775426.09499999997</v>
      </c>
      <c r="AA689" s="388"/>
    </row>
    <row r="690" spans="1:27" hidden="1" outlineLevel="1" x14ac:dyDescent="0.3">
      <c r="E690" s="250" t="s">
        <v>1647</v>
      </c>
      <c r="F690" s="317">
        <v>4312001</v>
      </c>
      <c r="G690" s="318"/>
      <c r="H690" s="319"/>
      <c r="I690" s="320"/>
      <c r="J690" s="337">
        <v>4134.8069999999998</v>
      </c>
      <c r="K690" s="321">
        <v>6334.9380000000001</v>
      </c>
      <c r="L690" s="321">
        <v>6140.643</v>
      </c>
      <c r="M690" s="321">
        <v>7293.1589999999997</v>
      </c>
      <c r="N690" s="321">
        <v>8081.28</v>
      </c>
      <c r="O690" s="321">
        <v>8316.9860000000008</v>
      </c>
      <c r="P690" s="321">
        <v>8908.4369999999999</v>
      </c>
      <c r="Q690" s="321">
        <v>6401.9849999999997</v>
      </c>
      <c r="R690" s="321">
        <v>9001.2939999999999</v>
      </c>
      <c r="S690" s="321">
        <v>5755.2529999999997</v>
      </c>
      <c r="T690" s="321">
        <v>3027.828</v>
      </c>
      <c r="U690" s="322">
        <v>9217.0550000000003</v>
      </c>
      <c r="V690" s="323">
        <v>82613.664999999979</v>
      </c>
      <c r="W690" s="303"/>
      <c r="X690" s="324">
        <v>9217.0550000000003</v>
      </c>
      <c r="Y690" s="325">
        <v>82613.664999999979</v>
      </c>
      <c r="AA690" s="388"/>
    </row>
    <row r="691" spans="1:27" hidden="1" outlineLevel="1" x14ac:dyDescent="0.3">
      <c r="E691" s="250" t="s">
        <v>1648</v>
      </c>
      <c r="F691" s="317">
        <v>4312002</v>
      </c>
      <c r="G691" s="318"/>
      <c r="H691" s="319">
        <v>5101670101</v>
      </c>
      <c r="I691" s="320"/>
      <c r="J691" s="337">
        <v>-90.07</v>
      </c>
      <c r="K691" s="321">
        <v>0</v>
      </c>
      <c r="L691" s="321">
        <v>-117</v>
      </c>
      <c r="M691" s="321">
        <v>-173.20699999999999</v>
      </c>
      <c r="N691" s="321">
        <v>-61.94</v>
      </c>
      <c r="O691" s="321">
        <v>0</v>
      </c>
      <c r="P691" s="321">
        <v>0</v>
      </c>
      <c r="Q691" s="321">
        <v>-20</v>
      </c>
      <c r="R691" s="321">
        <v>766.73</v>
      </c>
      <c r="S691" s="321">
        <v>-507.16199999999998</v>
      </c>
      <c r="T691" s="321">
        <v>-565.13599999999997</v>
      </c>
      <c r="U691" s="322">
        <v>72.668000000000006</v>
      </c>
      <c r="V691" s="323">
        <v>-695.11699999999985</v>
      </c>
      <c r="W691" s="303"/>
      <c r="X691" s="324">
        <v>72.668000000000006</v>
      </c>
      <c r="Y691" s="325">
        <v>-695.11699999999985</v>
      </c>
      <c r="AA691" s="388"/>
    </row>
    <row r="692" spans="1:27" hidden="1" outlineLevel="1" x14ac:dyDescent="0.3">
      <c r="E692" s="250" t="s">
        <v>1649</v>
      </c>
      <c r="F692" s="317">
        <v>4312003</v>
      </c>
      <c r="G692" s="318"/>
      <c r="H692" s="319"/>
      <c r="I692" s="320"/>
      <c r="J692" s="337">
        <v>0</v>
      </c>
      <c r="K692" s="321">
        <v>0</v>
      </c>
      <c r="L692" s="321">
        <v>-35609.591</v>
      </c>
      <c r="M692" s="321">
        <v>0</v>
      </c>
      <c r="N692" s="321">
        <v>0</v>
      </c>
      <c r="O692" s="321">
        <v>9654.5879999999997</v>
      </c>
      <c r="P692" s="321">
        <v>0</v>
      </c>
      <c r="Q692" s="321">
        <v>0</v>
      </c>
      <c r="R692" s="321">
        <v>-4977.0200000000004</v>
      </c>
      <c r="S692" s="321">
        <v>0</v>
      </c>
      <c r="T692" s="321">
        <v>0</v>
      </c>
      <c r="U692" s="322">
        <v>-39476.125</v>
      </c>
      <c r="V692" s="323">
        <v>-70408.148000000001</v>
      </c>
      <c r="W692" s="303"/>
      <c r="X692" s="324">
        <v>-39476.125</v>
      </c>
      <c r="Y692" s="325">
        <v>-70408.148000000001</v>
      </c>
      <c r="AA692" s="388"/>
    </row>
    <row r="693" spans="1:27" hidden="1" outlineLevel="1" x14ac:dyDescent="0.3">
      <c r="E693" s="250" t="s">
        <v>1650</v>
      </c>
      <c r="F693" s="317">
        <v>4312004</v>
      </c>
      <c r="G693" s="318"/>
      <c r="H693" s="319"/>
      <c r="I693" s="320"/>
      <c r="J693" s="337">
        <v>62763.222000000002</v>
      </c>
      <c r="K693" s="321">
        <v>63869.366999999998</v>
      </c>
      <c r="L693" s="321">
        <v>53671.569000000003</v>
      </c>
      <c r="M693" s="321">
        <v>61676.118000000002</v>
      </c>
      <c r="N693" s="321">
        <v>58859.54</v>
      </c>
      <c r="O693" s="321">
        <v>73683.337</v>
      </c>
      <c r="P693" s="321">
        <v>87468.093999999997</v>
      </c>
      <c r="Q693" s="321">
        <v>-21674.205000000002</v>
      </c>
      <c r="R693" s="321">
        <v>83933.650999999998</v>
      </c>
      <c r="S693" s="321">
        <v>75584.879000000001</v>
      </c>
      <c r="T693" s="321">
        <v>75368.175000000003</v>
      </c>
      <c r="U693" s="322">
        <v>88711.948000000004</v>
      </c>
      <c r="V693" s="323">
        <v>763915.69499999995</v>
      </c>
      <c r="W693" s="303"/>
      <c r="X693" s="324">
        <v>88711.948000000004</v>
      </c>
      <c r="Y693" s="325">
        <v>763915.69499999995</v>
      </c>
      <c r="AA693" s="388"/>
    </row>
    <row r="694" spans="1:27" s="326" customFormat="1" hidden="1" outlineLevel="2" x14ac:dyDescent="0.3">
      <c r="E694" s="326" t="s">
        <v>1651</v>
      </c>
      <c r="F694" s="336"/>
      <c r="G694" s="327"/>
      <c r="H694" s="328"/>
      <c r="I694" s="329"/>
      <c r="J694" s="338">
        <v>0</v>
      </c>
      <c r="K694" s="330">
        <v>0</v>
      </c>
      <c r="L694" s="330">
        <v>0</v>
      </c>
      <c r="M694" s="330">
        <v>0</v>
      </c>
      <c r="N694" s="330">
        <v>0</v>
      </c>
      <c r="O694" s="330">
        <v>0</v>
      </c>
      <c r="P694" s="330">
        <v>0</v>
      </c>
      <c r="Q694" s="330">
        <v>0</v>
      </c>
      <c r="R694" s="330">
        <v>0</v>
      </c>
      <c r="S694" s="330">
        <v>0</v>
      </c>
      <c r="T694" s="330">
        <v>0</v>
      </c>
      <c r="U694" s="331">
        <v>0</v>
      </c>
      <c r="V694" s="332">
        <v>0</v>
      </c>
      <c r="W694" s="333"/>
      <c r="X694" s="334">
        <v>0</v>
      </c>
      <c r="Y694" s="335">
        <v>0</v>
      </c>
      <c r="AA694" s="388"/>
    </row>
    <row r="695" spans="1:27" s="326" customFormat="1" hidden="1" outlineLevel="2" x14ac:dyDescent="0.3">
      <c r="E695" s="326" t="s">
        <v>1652</v>
      </c>
      <c r="F695" s="336"/>
      <c r="G695" s="327"/>
      <c r="H695" s="328"/>
      <c r="I695" s="329"/>
      <c r="J695" s="338">
        <v>0</v>
      </c>
      <c r="K695" s="330">
        <v>0</v>
      </c>
      <c r="L695" s="330">
        <v>0</v>
      </c>
      <c r="M695" s="330">
        <v>0</v>
      </c>
      <c r="N695" s="330">
        <v>0</v>
      </c>
      <c r="O695" s="330">
        <v>0</v>
      </c>
      <c r="P695" s="330">
        <v>0</v>
      </c>
      <c r="Q695" s="330">
        <v>0</v>
      </c>
      <c r="R695" s="330">
        <v>0</v>
      </c>
      <c r="S695" s="330">
        <v>0</v>
      </c>
      <c r="T695" s="330">
        <v>0</v>
      </c>
      <c r="U695" s="331">
        <v>0</v>
      </c>
      <c r="V695" s="332">
        <v>0</v>
      </c>
      <c r="W695" s="333"/>
      <c r="X695" s="334">
        <v>0</v>
      </c>
      <c r="Y695" s="335">
        <v>0</v>
      </c>
      <c r="AA695" s="388"/>
    </row>
    <row r="696" spans="1:27" s="326" customFormat="1" hidden="1" outlineLevel="2" x14ac:dyDescent="0.3">
      <c r="E696" s="326" t="s">
        <v>1653</v>
      </c>
      <c r="F696" s="336"/>
      <c r="G696" s="327"/>
      <c r="H696" s="328"/>
      <c r="I696" s="329"/>
      <c r="J696" s="338">
        <v>0</v>
      </c>
      <c r="K696" s="330">
        <v>0</v>
      </c>
      <c r="L696" s="330">
        <v>0</v>
      </c>
      <c r="M696" s="330">
        <v>0</v>
      </c>
      <c r="N696" s="330">
        <v>0</v>
      </c>
      <c r="O696" s="330">
        <v>0</v>
      </c>
      <c r="P696" s="330">
        <v>0</v>
      </c>
      <c r="Q696" s="330">
        <v>0</v>
      </c>
      <c r="R696" s="330">
        <v>0</v>
      </c>
      <c r="S696" s="330">
        <v>0</v>
      </c>
      <c r="T696" s="330">
        <v>0</v>
      </c>
      <c r="U696" s="331">
        <v>0</v>
      </c>
      <c r="V696" s="332">
        <v>0</v>
      </c>
      <c r="W696" s="333"/>
      <c r="X696" s="334">
        <v>0</v>
      </c>
      <c r="Y696" s="335">
        <v>0</v>
      </c>
      <c r="AA696" s="388"/>
    </row>
    <row r="697" spans="1:27" hidden="1" collapsed="1" x14ac:dyDescent="0.3">
      <c r="D697" s="293" t="s">
        <v>1654</v>
      </c>
      <c r="E697" s="294"/>
      <c r="F697" s="295" t="s">
        <v>1655</v>
      </c>
      <c r="G697" s="296"/>
      <c r="H697" s="297"/>
      <c r="I697" s="298"/>
      <c r="J697" s="299">
        <v>-3.9090082282200456E-9</v>
      </c>
      <c r="K697" s="300">
        <v>2.1100277081131935E-10</v>
      </c>
      <c r="L697" s="300">
        <v>-6.8212102632969618E-11</v>
      </c>
      <c r="M697" s="300">
        <v>2.3283064365386963E-10</v>
      </c>
      <c r="N697" s="300">
        <v>-3.4915501601062715E-9</v>
      </c>
      <c r="O697" s="300">
        <v>3.536115400493145E-9</v>
      </c>
      <c r="P697" s="300">
        <v>-1.8189894035458565E-12</v>
      </c>
      <c r="Q697" s="300">
        <v>-3.7689460441470146E-9</v>
      </c>
      <c r="R697" s="300">
        <v>3.9945007301867008E-9</v>
      </c>
      <c r="S697" s="300">
        <v>4.2346073314547539E-9</v>
      </c>
      <c r="T697" s="300">
        <v>3.92901711165905E-9</v>
      </c>
      <c r="U697" s="301">
        <v>-8.440110832452774E-10</v>
      </c>
      <c r="V697" s="302">
        <v>4.0545273805037141E-9</v>
      </c>
      <c r="W697" s="303"/>
      <c r="X697" s="304">
        <v>-8.440110832452774E-10</v>
      </c>
      <c r="Y697" s="305">
        <v>4.0545273805037141E-9</v>
      </c>
      <c r="AA697" s="388"/>
    </row>
    <row r="698" spans="1:27" hidden="1" x14ac:dyDescent="0.3">
      <c r="A698" s="233"/>
      <c r="B698" s="234" t="s">
        <v>45</v>
      </c>
      <c r="E698" s="339" t="s">
        <v>1656</v>
      </c>
      <c r="F698" s="340" t="s">
        <v>1657</v>
      </c>
      <c r="G698" s="341"/>
      <c r="H698" s="342"/>
      <c r="I698" s="343"/>
      <c r="J698" s="344">
        <v>-3.7252902984619141E-9</v>
      </c>
      <c r="K698" s="345">
        <v>0</v>
      </c>
      <c r="L698" s="345">
        <v>0</v>
      </c>
      <c r="M698" s="345">
        <v>1.1641532182693481E-10</v>
      </c>
      <c r="N698" s="345">
        <v>-3.7252902984619141E-9</v>
      </c>
      <c r="O698" s="345">
        <v>3.7107383832335472E-9</v>
      </c>
      <c r="P698" s="345">
        <v>0</v>
      </c>
      <c r="Q698" s="345">
        <v>-3.7252902984619141E-9</v>
      </c>
      <c r="R698" s="345">
        <v>3.7252902984619141E-9</v>
      </c>
      <c r="S698" s="345">
        <v>3.7252902984619141E-9</v>
      </c>
      <c r="T698" s="345">
        <v>3.7252902984619141E-9</v>
      </c>
      <c r="U698" s="346">
        <v>2.3283064365386963E-10</v>
      </c>
      <c r="V698" s="347">
        <v>4.0599843487143517E-9</v>
      </c>
      <c r="W698" s="303"/>
      <c r="X698" s="348">
        <v>2.3283064365386963E-10</v>
      </c>
      <c r="Y698" s="349">
        <v>4.0599843487143517E-9</v>
      </c>
      <c r="AA698" s="388"/>
    </row>
    <row r="699" spans="1:27" hidden="1" outlineLevel="1" x14ac:dyDescent="0.3">
      <c r="E699" s="250" t="s">
        <v>1658</v>
      </c>
      <c r="F699" s="317">
        <v>8950004</v>
      </c>
      <c r="G699" s="318"/>
      <c r="H699" s="319"/>
      <c r="I699" s="320"/>
      <c r="J699" s="337">
        <v>-3.7252902984619141E-9</v>
      </c>
      <c r="K699" s="321">
        <v>0</v>
      </c>
      <c r="L699" s="321">
        <v>0</v>
      </c>
      <c r="M699" s="321">
        <v>0</v>
      </c>
      <c r="N699" s="321">
        <v>0</v>
      </c>
      <c r="O699" s="321">
        <v>0</v>
      </c>
      <c r="P699" s="321">
        <v>0</v>
      </c>
      <c r="Q699" s="321">
        <v>-3.7252902984619141E-9</v>
      </c>
      <c r="R699" s="321">
        <v>0</v>
      </c>
      <c r="S699" s="321">
        <v>0</v>
      </c>
      <c r="T699" s="321">
        <v>0</v>
      </c>
      <c r="U699" s="322">
        <v>0</v>
      </c>
      <c r="V699" s="323">
        <v>-7.4505805969238281E-9</v>
      </c>
      <c r="W699" s="303"/>
      <c r="X699" s="324">
        <v>0</v>
      </c>
      <c r="Y699" s="325">
        <v>-7.4505805969238281E-9</v>
      </c>
      <c r="AA699" s="388"/>
    </row>
    <row r="700" spans="1:27" hidden="1" outlineLevel="1" x14ac:dyDescent="0.3">
      <c r="E700" s="250" t="s">
        <v>1659</v>
      </c>
      <c r="F700" s="317">
        <v>8950005</v>
      </c>
      <c r="G700" s="318"/>
      <c r="H700" s="319"/>
      <c r="I700" s="320"/>
      <c r="J700" s="337">
        <v>0</v>
      </c>
      <c r="K700" s="321">
        <v>0</v>
      </c>
      <c r="L700" s="321">
        <v>0</v>
      </c>
      <c r="M700" s="321">
        <v>0</v>
      </c>
      <c r="N700" s="321">
        <v>-3.7252902984619141E-9</v>
      </c>
      <c r="O700" s="321">
        <v>3.7252902984619141E-9</v>
      </c>
      <c r="P700" s="321">
        <v>0</v>
      </c>
      <c r="Q700" s="321">
        <v>0</v>
      </c>
      <c r="R700" s="321">
        <v>3.7252902984619141E-9</v>
      </c>
      <c r="S700" s="321">
        <v>3.7252902984619141E-9</v>
      </c>
      <c r="T700" s="321">
        <v>3.7252902984619141E-9</v>
      </c>
      <c r="U700" s="322">
        <v>0</v>
      </c>
      <c r="V700" s="323">
        <v>1.1175870895385742E-8</v>
      </c>
      <c r="W700" s="303"/>
      <c r="X700" s="324">
        <v>0</v>
      </c>
      <c r="Y700" s="325">
        <v>1.1175870895385742E-8</v>
      </c>
      <c r="AA700" s="388"/>
    </row>
    <row r="701" spans="1:27" hidden="1" outlineLevel="1" x14ac:dyDescent="0.3">
      <c r="E701" s="250" t="s">
        <v>1660</v>
      </c>
      <c r="F701" s="317">
        <v>8950006</v>
      </c>
      <c r="G701" s="318"/>
      <c r="H701" s="319"/>
      <c r="I701" s="320"/>
      <c r="J701" s="337">
        <v>0</v>
      </c>
      <c r="K701" s="321">
        <v>0</v>
      </c>
      <c r="L701" s="321">
        <v>0</v>
      </c>
      <c r="M701" s="321">
        <v>1.1641532182693481E-10</v>
      </c>
      <c r="N701" s="321">
        <v>0</v>
      </c>
      <c r="O701" s="321">
        <v>-1.4551915228366852E-11</v>
      </c>
      <c r="P701" s="321">
        <v>0</v>
      </c>
      <c r="Q701" s="321">
        <v>0</v>
      </c>
      <c r="R701" s="321">
        <v>0</v>
      </c>
      <c r="S701" s="321">
        <v>0</v>
      </c>
      <c r="T701" s="321">
        <v>0</v>
      </c>
      <c r="U701" s="322">
        <v>2.3283064365386963E-10</v>
      </c>
      <c r="V701" s="323">
        <v>3.3469405025243759E-10</v>
      </c>
      <c r="W701" s="303"/>
      <c r="X701" s="324">
        <v>2.3283064365386963E-10</v>
      </c>
      <c r="Y701" s="325">
        <v>3.3469405025243759E-10</v>
      </c>
      <c r="AA701" s="388"/>
    </row>
    <row r="702" spans="1:27" hidden="1" outlineLevel="1" x14ac:dyDescent="0.3">
      <c r="E702" s="250" t="s">
        <v>1661</v>
      </c>
      <c r="F702" s="317">
        <v>8950012</v>
      </c>
      <c r="G702" s="318"/>
      <c r="H702" s="319"/>
      <c r="I702" s="320"/>
      <c r="J702" s="337">
        <v>0</v>
      </c>
      <c r="K702" s="321">
        <v>0</v>
      </c>
      <c r="L702" s="321">
        <v>0</v>
      </c>
      <c r="M702" s="321">
        <v>0</v>
      </c>
      <c r="N702" s="321">
        <v>0</v>
      </c>
      <c r="O702" s="321">
        <v>0</v>
      </c>
      <c r="P702" s="321">
        <v>0</v>
      </c>
      <c r="Q702" s="321">
        <v>0</v>
      </c>
      <c r="R702" s="321">
        <v>0</v>
      </c>
      <c r="S702" s="321">
        <v>0</v>
      </c>
      <c r="T702" s="321">
        <v>0</v>
      </c>
      <c r="U702" s="322">
        <v>0</v>
      </c>
      <c r="V702" s="323">
        <v>0</v>
      </c>
      <c r="W702" s="303"/>
      <c r="X702" s="324">
        <v>0</v>
      </c>
      <c r="Y702" s="325">
        <v>0</v>
      </c>
      <c r="AA702" s="388"/>
    </row>
    <row r="703" spans="1:27" hidden="1" outlineLevel="1" x14ac:dyDescent="0.3">
      <c r="E703" s="250" t="s">
        <v>1662</v>
      </c>
      <c r="F703" s="317">
        <v>8950013</v>
      </c>
      <c r="G703" s="318"/>
      <c r="H703" s="319"/>
      <c r="I703" s="320"/>
      <c r="J703" s="337">
        <v>0</v>
      </c>
      <c r="K703" s="321">
        <v>0</v>
      </c>
      <c r="L703" s="321">
        <v>0</v>
      </c>
      <c r="M703" s="321">
        <v>0</v>
      </c>
      <c r="N703" s="321">
        <v>0</v>
      </c>
      <c r="O703" s="321">
        <v>0</v>
      </c>
      <c r="P703" s="321">
        <v>0</v>
      </c>
      <c r="Q703" s="321">
        <v>0</v>
      </c>
      <c r="R703" s="321">
        <v>0</v>
      </c>
      <c r="S703" s="321">
        <v>0</v>
      </c>
      <c r="T703" s="321">
        <v>0</v>
      </c>
      <c r="U703" s="322">
        <v>0</v>
      </c>
      <c r="V703" s="323">
        <v>0</v>
      </c>
      <c r="W703" s="303"/>
      <c r="X703" s="324">
        <v>0</v>
      </c>
      <c r="Y703" s="325">
        <v>0</v>
      </c>
      <c r="AA703" s="388"/>
    </row>
    <row r="704" spans="1:27" hidden="1" outlineLevel="1" x14ac:dyDescent="0.3">
      <c r="E704" s="250" t="s">
        <v>1663</v>
      </c>
      <c r="F704" s="317">
        <v>8950017</v>
      </c>
      <c r="G704" s="318"/>
      <c r="H704" s="319"/>
      <c r="I704" s="320"/>
      <c r="J704" s="337">
        <v>0</v>
      </c>
      <c r="K704" s="321">
        <v>0</v>
      </c>
      <c r="L704" s="321">
        <v>0</v>
      </c>
      <c r="M704" s="321">
        <v>0</v>
      </c>
      <c r="N704" s="321">
        <v>0</v>
      </c>
      <c r="O704" s="321">
        <v>0</v>
      </c>
      <c r="P704" s="321">
        <v>0</v>
      </c>
      <c r="Q704" s="321">
        <v>0</v>
      </c>
      <c r="R704" s="321">
        <v>0</v>
      </c>
      <c r="S704" s="321">
        <v>0</v>
      </c>
      <c r="T704" s="321">
        <v>0</v>
      </c>
      <c r="U704" s="322">
        <v>0</v>
      </c>
      <c r="V704" s="323">
        <v>0</v>
      </c>
      <c r="W704" s="303"/>
      <c r="X704" s="324">
        <v>0</v>
      </c>
      <c r="Y704" s="325">
        <v>0</v>
      </c>
      <c r="AA704" s="388"/>
    </row>
    <row r="705" spans="1:27" s="326" customFormat="1" hidden="1" outlineLevel="2" x14ac:dyDescent="0.3">
      <c r="E705" s="326" t="s">
        <v>1664</v>
      </c>
      <c r="F705" s="336"/>
      <c r="G705" s="327"/>
      <c r="H705" s="328"/>
      <c r="I705" s="329"/>
      <c r="J705" s="338">
        <v>0</v>
      </c>
      <c r="K705" s="330">
        <v>0</v>
      </c>
      <c r="L705" s="330">
        <v>0</v>
      </c>
      <c r="M705" s="330">
        <v>0</v>
      </c>
      <c r="N705" s="330">
        <v>0</v>
      </c>
      <c r="O705" s="330">
        <v>0</v>
      </c>
      <c r="P705" s="330">
        <v>0</v>
      </c>
      <c r="Q705" s="330">
        <v>0</v>
      </c>
      <c r="R705" s="330">
        <v>0</v>
      </c>
      <c r="S705" s="330">
        <v>0</v>
      </c>
      <c r="T705" s="330">
        <v>0</v>
      </c>
      <c r="U705" s="331">
        <v>0</v>
      </c>
      <c r="V705" s="332">
        <v>0</v>
      </c>
      <c r="W705" s="333"/>
      <c r="X705" s="334">
        <v>0</v>
      </c>
      <c r="Y705" s="335">
        <v>0</v>
      </c>
      <c r="AA705" s="388"/>
    </row>
    <row r="706" spans="1:27" s="326" customFormat="1" hidden="1" outlineLevel="2" x14ac:dyDescent="0.3">
      <c r="E706" s="326" t="s">
        <v>1665</v>
      </c>
      <c r="F706" s="336"/>
      <c r="G706" s="327"/>
      <c r="H706" s="328"/>
      <c r="I706" s="329"/>
      <c r="J706" s="338">
        <v>0</v>
      </c>
      <c r="K706" s="330">
        <v>0</v>
      </c>
      <c r="L706" s="330">
        <v>0</v>
      </c>
      <c r="M706" s="330">
        <v>0</v>
      </c>
      <c r="N706" s="330">
        <v>0</v>
      </c>
      <c r="O706" s="330">
        <v>0</v>
      </c>
      <c r="P706" s="330">
        <v>0</v>
      </c>
      <c r="Q706" s="330">
        <v>0</v>
      </c>
      <c r="R706" s="330">
        <v>0</v>
      </c>
      <c r="S706" s="330">
        <v>0</v>
      </c>
      <c r="T706" s="330">
        <v>0</v>
      </c>
      <c r="U706" s="331">
        <v>0</v>
      </c>
      <c r="V706" s="332">
        <v>0</v>
      </c>
      <c r="W706" s="333"/>
      <c r="X706" s="334">
        <v>0</v>
      </c>
      <c r="Y706" s="335">
        <v>0</v>
      </c>
      <c r="AA706" s="388"/>
    </row>
    <row r="707" spans="1:27" s="326" customFormat="1" hidden="1" outlineLevel="2" x14ac:dyDescent="0.3">
      <c r="E707" s="326" t="s">
        <v>1666</v>
      </c>
      <c r="F707" s="336"/>
      <c r="G707" s="327"/>
      <c r="H707" s="328"/>
      <c r="I707" s="329"/>
      <c r="J707" s="338">
        <v>0</v>
      </c>
      <c r="K707" s="330">
        <v>0</v>
      </c>
      <c r="L707" s="330">
        <v>0</v>
      </c>
      <c r="M707" s="330">
        <v>0</v>
      </c>
      <c r="N707" s="330">
        <v>0</v>
      </c>
      <c r="O707" s="330">
        <v>0</v>
      </c>
      <c r="P707" s="330">
        <v>0</v>
      </c>
      <c r="Q707" s="330">
        <v>0</v>
      </c>
      <c r="R707" s="330">
        <v>0</v>
      </c>
      <c r="S707" s="330">
        <v>0</v>
      </c>
      <c r="T707" s="330">
        <v>0</v>
      </c>
      <c r="U707" s="331">
        <v>0</v>
      </c>
      <c r="V707" s="332">
        <v>0</v>
      </c>
      <c r="W707" s="333"/>
      <c r="X707" s="334">
        <v>0</v>
      </c>
      <c r="Y707" s="335">
        <v>0</v>
      </c>
      <c r="AA707" s="388"/>
    </row>
    <row r="708" spans="1:27" hidden="1" collapsed="1" x14ac:dyDescent="0.3">
      <c r="E708" s="339" t="s">
        <v>1667</v>
      </c>
      <c r="F708" s="340" t="s">
        <v>1668</v>
      </c>
      <c r="G708" s="341"/>
      <c r="H708" s="342"/>
      <c r="I708" s="343"/>
      <c r="J708" s="344">
        <v>-1.1823431123048067E-10</v>
      </c>
      <c r="K708" s="345">
        <v>1.7462298274040222E-10</v>
      </c>
      <c r="L708" s="345">
        <v>8.8220986071974039E-11</v>
      </c>
      <c r="M708" s="345">
        <v>1.1641532182693481E-10</v>
      </c>
      <c r="N708" s="345">
        <v>1.1732481652870774E-10</v>
      </c>
      <c r="O708" s="345">
        <v>-3.4924596548080444E-10</v>
      </c>
      <c r="P708" s="345">
        <v>-1.8189894035458565E-12</v>
      </c>
      <c r="Q708" s="345">
        <v>-5.8207660913467407E-11</v>
      </c>
      <c r="R708" s="345">
        <v>1.1641532182693481E-10</v>
      </c>
      <c r="S708" s="345">
        <v>5.2386894822120667E-10</v>
      </c>
      <c r="T708" s="345">
        <v>-1.1641532182693481E-10</v>
      </c>
      <c r="U708" s="346">
        <v>-3.4924596548080444E-10</v>
      </c>
      <c r="V708" s="347">
        <v>1.4370016288012266E-10</v>
      </c>
      <c r="W708" s="303"/>
      <c r="X708" s="348">
        <v>-3.4924596548080444E-10</v>
      </c>
      <c r="Y708" s="349">
        <v>1.4370016288012266E-10</v>
      </c>
      <c r="AA708" s="388"/>
    </row>
    <row r="709" spans="1:27" hidden="1" outlineLevel="1" x14ac:dyDescent="0.3">
      <c r="A709" s="233"/>
      <c r="B709" s="234" t="s">
        <v>49</v>
      </c>
      <c r="E709" s="250" t="s">
        <v>1669</v>
      </c>
      <c r="F709" s="317">
        <v>8900000</v>
      </c>
      <c r="G709" s="318"/>
      <c r="H709" s="319"/>
      <c r="I709" s="320"/>
      <c r="J709" s="337">
        <v>0</v>
      </c>
      <c r="K709" s="321">
        <v>-5.8207660913467407E-11</v>
      </c>
      <c r="L709" s="321">
        <v>-2.9103830456733704E-11</v>
      </c>
      <c r="M709" s="321">
        <v>0</v>
      </c>
      <c r="N709" s="321">
        <v>0</v>
      </c>
      <c r="O709" s="321">
        <v>0</v>
      </c>
      <c r="P709" s="321">
        <v>0</v>
      </c>
      <c r="Q709" s="321">
        <v>-5.8207660913467407E-11</v>
      </c>
      <c r="R709" s="321">
        <v>0</v>
      </c>
      <c r="S709" s="321">
        <v>0</v>
      </c>
      <c r="T709" s="321">
        <v>-5.8207660913467407E-11</v>
      </c>
      <c r="U709" s="322">
        <v>0</v>
      </c>
      <c r="V709" s="323">
        <v>-2.0372681319713593E-10</v>
      </c>
      <c r="W709" s="303"/>
      <c r="X709" s="324">
        <v>0</v>
      </c>
      <c r="Y709" s="325">
        <v>-2.0372681319713593E-10</v>
      </c>
      <c r="AA709" s="388"/>
    </row>
    <row r="710" spans="1:27" hidden="1" outlineLevel="1" x14ac:dyDescent="0.3">
      <c r="A710" s="233"/>
      <c r="B710" s="234" t="s">
        <v>49</v>
      </c>
      <c r="E710" s="250" t="s">
        <v>1670</v>
      </c>
      <c r="F710" s="317">
        <v>8900001</v>
      </c>
      <c r="G710" s="318"/>
      <c r="H710" s="319"/>
      <c r="I710" s="320"/>
      <c r="J710" s="337">
        <v>-1.1641532182693481E-10</v>
      </c>
      <c r="K710" s="321">
        <v>0</v>
      </c>
      <c r="L710" s="321">
        <v>0</v>
      </c>
      <c r="M710" s="321">
        <v>0</v>
      </c>
      <c r="N710" s="321">
        <v>1.1641532182693481E-10</v>
      </c>
      <c r="O710" s="321">
        <v>0</v>
      </c>
      <c r="P710" s="321">
        <v>0</v>
      </c>
      <c r="Q710" s="321">
        <v>1.1641532182693481E-10</v>
      </c>
      <c r="R710" s="321">
        <v>-1.1641532182693481E-10</v>
      </c>
      <c r="S710" s="321">
        <v>1.1641532182693481E-10</v>
      </c>
      <c r="T710" s="321">
        <v>-1.1641532182693481E-10</v>
      </c>
      <c r="U710" s="322">
        <v>0</v>
      </c>
      <c r="V710" s="323">
        <v>0</v>
      </c>
      <c r="W710" s="303"/>
      <c r="X710" s="324">
        <v>0</v>
      </c>
      <c r="Y710" s="325">
        <v>0</v>
      </c>
      <c r="AA710" s="388"/>
    </row>
    <row r="711" spans="1:27" hidden="1" outlineLevel="1" x14ac:dyDescent="0.3">
      <c r="A711" s="233"/>
      <c r="B711" s="234" t="s">
        <v>49</v>
      </c>
      <c r="E711" s="250" t="s">
        <v>1671</v>
      </c>
      <c r="F711" s="317">
        <v>8900002</v>
      </c>
      <c r="G711" s="318"/>
      <c r="H711" s="319"/>
      <c r="I711" s="320"/>
      <c r="J711" s="337">
        <v>0</v>
      </c>
      <c r="K711" s="321">
        <v>1.1641532182693481E-10</v>
      </c>
      <c r="L711" s="321">
        <v>0</v>
      </c>
      <c r="M711" s="321">
        <v>0</v>
      </c>
      <c r="N711" s="321">
        <v>0</v>
      </c>
      <c r="O711" s="321">
        <v>0</v>
      </c>
      <c r="P711" s="321">
        <v>0</v>
      </c>
      <c r="Q711" s="321">
        <v>-1.1641532182693481E-10</v>
      </c>
      <c r="R711" s="321">
        <v>0</v>
      </c>
      <c r="S711" s="321">
        <v>-5.8207660913467407E-11</v>
      </c>
      <c r="T711" s="321">
        <v>5.8207660913467407E-11</v>
      </c>
      <c r="U711" s="322">
        <v>0</v>
      </c>
      <c r="V711" s="323">
        <v>0</v>
      </c>
      <c r="W711" s="303"/>
      <c r="X711" s="324">
        <v>0</v>
      </c>
      <c r="Y711" s="325">
        <v>0</v>
      </c>
      <c r="AA711" s="388"/>
    </row>
    <row r="712" spans="1:27" hidden="1" outlineLevel="1" x14ac:dyDescent="0.3">
      <c r="A712" s="233"/>
      <c r="B712" s="234" t="s">
        <v>49</v>
      </c>
      <c r="E712" s="250" t="s">
        <v>1672</v>
      </c>
      <c r="F712" s="317">
        <v>8900003</v>
      </c>
      <c r="G712" s="318"/>
      <c r="H712" s="319"/>
      <c r="I712" s="320"/>
      <c r="J712" s="337">
        <v>0</v>
      </c>
      <c r="K712" s="321">
        <v>0</v>
      </c>
      <c r="L712" s="321">
        <v>0</v>
      </c>
      <c r="M712" s="321">
        <v>2.3283064365386963E-10</v>
      </c>
      <c r="N712" s="321">
        <v>0</v>
      </c>
      <c r="O712" s="321">
        <v>-1.1641532182693481E-10</v>
      </c>
      <c r="P712" s="321">
        <v>0</v>
      </c>
      <c r="Q712" s="321">
        <v>0</v>
      </c>
      <c r="R712" s="321">
        <v>0</v>
      </c>
      <c r="S712" s="321">
        <v>0</v>
      </c>
      <c r="T712" s="321">
        <v>2.3283064365386963E-10</v>
      </c>
      <c r="U712" s="322">
        <v>0</v>
      </c>
      <c r="V712" s="323">
        <v>3.4924596548080444E-10</v>
      </c>
      <c r="W712" s="303"/>
      <c r="X712" s="324">
        <v>0</v>
      </c>
      <c r="Y712" s="325">
        <v>3.4924596548080444E-10</v>
      </c>
      <c r="AA712" s="388"/>
    </row>
    <row r="713" spans="1:27" hidden="1" outlineLevel="1" x14ac:dyDescent="0.3">
      <c r="A713" s="233"/>
      <c r="B713" s="234" t="s">
        <v>47</v>
      </c>
      <c r="E713" s="250" t="s">
        <v>1673</v>
      </c>
      <c r="F713" s="317">
        <v>8900004</v>
      </c>
      <c r="G713" s="318"/>
      <c r="H713" s="319"/>
      <c r="I713" s="320"/>
      <c r="J713" s="337">
        <v>0</v>
      </c>
      <c r="K713" s="321">
        <v>1.1641532182693481E-10</v>
      </c>
      <c r="L713" s="321">
        <v>1.1641532182693481E-10</v>
      </c>
      <c r="M713" s="321">
        <v>-1.1641532182693481E-10</v>
      </c>
      <c r="N713" s="321">
        <v>0</v>
      </c>
      <c r="O713" s="321">
        <v>0</v>
      </c>
      <c r="P713" s="321">
        <v>0</v>
      </c>
      <c r="Q713" s="321">
        <v>0</v>
      </c>
      <c r="R713" s="321">
        <v>0</v>
      </c>
      <c r="S713" s="321">
        <v>0</v>
      </c>
      <c r="T713" s="321">
        <v>0</v>
      </c>
      <c r="U713" s="322">
        <v>1.1641532182693481E-10</v>
      </c>
      <c r="V713" s="323">
        <v>2.3283064365386963E-10</v>
      </c>
      <c r="W713" s="303"/>
      <c r="X713" s="324">
        <v>1.1641532182693481E-10</v>
      </c>
      <c r="Y713" s="325">
        <v>2.3283064365386963E-10</v>
      </c>
      <c r="AA713" s="388"/>
    </row>
    <row r="714" spans="1:27" hidden="1" outlineLevel="1" x14ac:dyDescent="0.3">
      <c r="A714" s="233"/>
      <c r="B714" s="234" t="s">
        <v>47</v>
      </c>
      <c r="E714" s="250" t="s">
        <v>1674</v>
      </c>
      <c r="F714" s="317">
        <v>8900005</v>
      </c>
      <c r="G714" s="318"/>
      <c r="H714" s="319"/>
      <c r="I714" s="320"/>
      <c r="J714" s="337">
        <v>-1.8189894035458565E-12</v>
      </c>
      <c r="K714" s="321">
        <v>0</v>
      </c>
      <c r="L714" s="321">
        <v>9.0949470177292824E-13</v>
      </c>
      <c r="M714" s="321">
        <v>0</v>
      </c>
      <c r="N714" s="321">
        <v>9.0949470177292824E-13</v>
      </c>
      <c r="O714" s="321">
        <v>0</v>
      </c>
      <c r="P714" s="321">
        <v>-1.8189894035458565E-12</v>
      </c>
      <c r="Q714" s="321">
        <v>0</v>
      </c>
      <c r="R714" s="321">
        <v>0</v>
      </c>
      <c r="S714" s="321">
        <v>0</v>
      </c>
      <c r="T714" s="321">
        <v>0</v>
      </c>
      <c r="U714" s="322">
        <v>0</v>
      </c>
      <c r="V714" s="323">
        <v>-1.8189894035458565E-12</v>
      </c>
      <c r="W714" s="303"/>
      <c r="X714" s="324">
        <v>0</v>
      </c>
      <c r="Y714" s="325">
        <v>-1.8189894035458565E-12</v>
      </c>
      <c r="AA714" s="388"/>
    </row>
    <row r="715" spans="1:27" hidden="1" outlineLevel="1" x14ac:dyDescent="0.3">
      <c r="A715" s="233"/>
      <c r="B715" s="234" t="s">
        <v>49</v>
      </c>
      <c r="E715" s="250" t="s">
        <v>1675</v>
      </c>
      <c r="F715" s="317">
        <v>8900006</v>
      </c>
      <c r="G715" s="318"/>
      <c r="H715" s="319"/>
      <c r="I715" s="320"/>
      <c r="J715" s="337">
        <v>0</v>
      </c>
      <c r="K715" s="321">
        <v>0</v>
      </c>
      <c r="L715" s="321">
        <v>0</v>
      </c>
      <c r="M715" s="321">
        <v>0</v>
      </c>
      <c r="N715" s="321">
        <v>0</v>
      </c>
      <c r="O715" s="321">
        <v>-2.3283064365386963E-10</v>
      </c>
      <c r="P715" s="321">
        <v>0</v>
      </c>
      <c r="Q715" s="321">
        <v>0</v>
      </c>
      <c r="R715" s="321">
        <v>2.3283064365386963E-10</v>
      </c>
      <c r="S715" s="321">
        <v>4.6566128730773926E-10</v>
      </c>
      <c r="T715" s="321">
        <v>-2.3283064365386963E-10</v>
      </c>
      <c r="U715" s="322">
        <v>-4.6566128730773926E-10</v>
      </c>
      <c r="V715" s="323">
        <v>-2.3283064365386963E-10</v>
      </c>
      <c r="W715" s="303"/>
      <c r="X715" s="324">
        <v>-4.6566128730773926E-10</v>
      </c>
      <c r="Y715" s="325">
        <v>-2.3283064365386963E-10</v>
      </c>
      <c r="AA715" s="388"/>
    </row>
    <row r="716" spans="1:27" s="361" customFormat="1" hidden="1" outlineLevel="2" x14ac:dyDescent="0.3">
      <c r="E716" s="326" t="s">
        <v>1676</v>
      </c>
      <c r="F716" s="351"/>
      <c r="G716" s="352"/>
      <c r="H716" s="353"/>
      <c r="I716" s="354"/>
      <c r="J716" s="362">
        <v>0</v>
      </c>
      <c r="K716" s="355">
        <v>0</v>
      </c>
      <c r="L716" s="355">
        <v>0</v>
      </c>
      <c r="M716" s="355">
        <v>0</v>
      </c>
      <c r="N716" s="355">
        <v>0</v>
      </c>
      <c r="O716" s="355">
        <v>0</v>
      </c>
      <c r="P716" s="355">
        <v>0</v>
      </c>
      <c r="Q716" s="355">
        <v>0</v>
      </c>
      <c r="R716" s="355">
        <v>0</v>
      </c>
      <c r="S716" s="355">
        <v>0</v>
      </c>
      <c r="T716" s="355">
        <v>0</v>
      </c>
      <c r="U716" s="356">
        <v>0</v>
      </c>
      <c r="V716" s="357">
        <v>0</v>
      </c>
      <c r="W716" s="358"/>
      <c r="X716" s="359">
        <v>0</v>
      </c>
      <c r="Y716" s="360">
        <v>0</v>
      </c>
      <c r="AA716" s="388"/>
    </row>
    <row r="717" spans="1:27" s="361" customFormat="1" hidden="1" outlineLevel="2" x14ac:dyDescent="0.3">
      <c r="E717" s="326" t="s">
        <v>1677</v>
      </c>
      <c r="F717" s="351"/>
      <c r="G717" s="352"/>
      <c r="H717" s="353"/>
      <c r="I717" s="354"/>
      <c r="J717" s="362">
        <v>0</v>
      </c>
      <c r="K717" s="355">
        <v>0</v>
      </c>
      <c r="L717" s="355">
        <v>0</v>
      </c>
      <c r="M717" s="355">
        <v>0</v>
      </c>
      <c r="N717" s="355">
        <v>0</v>
      </c>
      <c r="O717" s="355">
        <v>0</v>
      </c>
      <c r="P717" s="355">
        <v>0</v>
      </c>
      <c r="Q717" s="355">
        <v>0</v>
      </c>
      <c r="R717" s="355">
        <v>0</v>
      </c>
      <c r="S717" s="355">
        <v>0</v>
      </c>
      <c r="T717" s="355">
        <v>0</v>
      </c>
      <c r="U717" s="356">
        <v>0</v>
      </c>
      <c r="V717" s="357">
        <v>0</v>
      </c>
      <c r="W717" s="358"/>
      <c r="X717" s="359">
        <v>0</v>
      </c>
      <c r="Y717" s="360">
        <v>0</v>
      </c>
      <c r="AA717" s="388"/>
    </row>
    <row r="718" spans="1:27" s="361" customFormat="1" hidden="1" outlineLevel="2" x14ac:dyDescent="0.3">
      <c r="E718" s="326" t="s">
        <v>1678</v>
      </c>
      <c r="F718" s="351"/>
      <c r="G718" s="352"/>
      <c r="H718" s="353"/>
      <c r="I718" s="354"/>
      <c r="J718" s="362">
        <v>0</v>
      </c>
      <c r="K718" s="355">
        <v>0</v>
      </c>
      <c r="L718" s="355">
        <v>0</v>
      </c>
      <c r="M718" s="355">
        <v>0</v>
      </c>
      <c r="N718" s="355">
        <v>0</v>
      </c>
      <c r="O718" s="355">
        <v>0</v>
      </c>
      <c r="P718" s="355">
        <v>0</v>
      </c>
      <c r="Q718" s="355">
        <v>0</v>
      </c>
      <c r="R718" s="355">
        <v>0</v>
      </c>
      <c r="S718" s="355">
        <v>0</v>
      </c>
      <c r="T718" s="355">
        <v>0</v>
      </c>
      <c r="U718" s="356">
        <v>0</v>
      </c>
      <c r="V718" s="357">
        <v>0</v>
      </c>
      <c r="W718" s="358"/>
      <c r="X718" s="359">
        <v>0</v>
      </c>
      <c r="Y718" s="360">
        <v>0</v>
      </c>
      <c r="AA718" s="388"/>
    </row>
    <row r="719" spans="1:27" hidden="1" collapsed="1" x14ac:dyDescent="0.3">
      <c r="E719" s="339" t="s">
        <v>1679</v>
      </c>
      <c r="F719" s="340" t="s">
        <v>1680</v>
      </c>
      <c r="G719" s="341"/>
      <c r="H719" s="342"/>
      <c r="I719" s="343"/>
      <c r="J719" s="344">
        <v>-6.5483618527650833E-11</v>
      </c>
      <c r="K719" s="345">
        <v>3.637978807091713E-11</v>
      </c>
      <c r="L719" s="345">
        <v>-1.5643308870494366E-10</v>
      </c>
      <c r="M719" s="345">
        <v>0</v>
      </c>
      <c r="N719" s="345">
        <v>1.1641532182693481E-10</v>
      </c>
      <c r="O719" s="345">
        <v>1.7462298274040222E-10</v>
      </c>
      <c r="P719" s="345">
        <v>0</v>
      </c>
      <c r="Q719" s="345">
        <v>1.4551915228366852E-11</v>
      </c>
      <c r="R719" s="345">
        <v>1.5279510989785194E-10</v>
      </c>
      <c r="S719" s="345">
        <v>-1.4551915228366852E-11</v>
      </c>
      <c r="T719" s="345">
        <v>3.2014213502407074E-10</v>
      </c>
      <c r="U719" s="346">
        <v>-7.2759576141834259E-10</v>
      </c>
      <c r="V719" s="347">
        <v>-1.4915713109076023E-10</v>
      </c>
      <c r="W719" s="303"/>
      <c r="X719" s="348">
        <v>-7.2759576141834259E-10</v>
      </c>
      <c r="Y719" s="349">
        <v>-1.4915713109076023E-10</v>
      </c>
      <c r="AA719" s="388"/>
    </row>
    <row r="720" spans="1:27" hidden="1" outlineLevel="1" x14ac:dyDescent="0.3">
      <c r="A720" s="233"/>
      <c r="B720" s="234" t="s">
        <v>48</v>
      </c>
      <c r="E720" s="250" t="s">
        <v>1681</v>
      </c>
      <c r="F720" s="317">
        <v>8950000</v>
      </c>
      <c r="G720" s="318"/>
      <c r="H720" s="319"/>
      <c r="I720" s="320"/>
      <c r="J720" s="337">
        <v>7.2759576141834259E-12</v>
      </c>
      <c r="K720" s="321">
        <v>5.0931703299283981E-11</v>
      </c>
      <c r="L720" s="321">
        <v>-1.4188117347657681E-10</v>
      </c>
      <c r="M720" s="321">
        <v>0</v>
      </c>
      <c r="N720" s="321">
        <v>0</v>
      </c>
      <c r="O720" s="321">
        <v>5.8207660913467407E-11</v>
      </c>
      <c r="P720" s="321">
        <v>-1.1641532182693481E-10</v>
      </c>
      <c r="Q720" s="321">
        <v>1.3096723705530167E-10</v>
      </c>
      <c r="R720" s="321">
        <v>3.637978807091713E-11</v>
      </c>
      <c r="S720" s="321">
        <v>-1.4551915228366852E-11</v>
      </c>
      <c r="T720" s="321">
        <v>-2.9103830456733704E-11</v>
      </c>
      <c r="U720" s="322">
        <v>-2.6193447411060333E-10</v>
      </c>
      <c r="V720" s="323">
        <v>-2.801243681460619E-10</v>
      </c>
      <c r="W720" s="303"/>
      <c r="X720" s="324">
        <v>-2.6193447411060333E-10</v>
      </c>
      <c r="Y720" s="325">
        <v>-2.801243681460619E-10</v>
      </c>
      <c r="AA720" s="388"/>
    </row>
    <row r="721" spans="1:27" hidden="1" outlineLevel="1" x14ac:dyDescent="0.3">
      <c r="A721" s="233"/>
      <c r="B721" s="234" t="s">
        <v>48</v>
      </c>
      <c r="E721" s="250" t="s">
        <v>1682</v>
      </c>
      <c r="F721" s="317">
        <v>8950001</v>
      </c>
      <c r="G721" s="318"/>
      <c r="H721" s="319"/>
      <c r="I721" s="320"/>
      <c r="J721" s="337">
        <v>-5.8207660913467407E-11</v>
      </c>
      <c r="K721" s="321">
        <v>0</v>
      </c>
      <c r="L721" s="321">
        <v>0</v>
      </c>
      <c r="M721" s="321">
        <v>0</v>
      </c>
      <c r="N721" s="321">
        <v>0</v>
      </c>
      <c r="O721" s="321">
        <v>0</v>
      </c>
      <c r="P721" s="321">
        <v>0</v>
      </c>
      <c r="Q721" s="321">
        <v>0</v>
      </c>
      <c r="R721" s="321">
        <v>1.1641532182693481E-10</v>
      </c>
      <c r="S721" s="321">
        <v>0</v>
      </c>
      <c r="T721" s="321">
        <v>1.1641532182693481E-10</v>
      </c>
      <c r="U721" s="322">
        <v>0</v>
      </c>
      <c r="V721" s="323">
        <v>1.7462298274040222E-10</v>
      </c>
      <c r="W721" s="303"/>
      <c r="X721" s="324">
        <v>0</v>
      </c>
      <c r="Y721" s="325">
        <v>1.7462298274040222E-10</v>
      </c>
      <c r="AA721" s="388"/>
    </row>
    <row r="722" spans="1:27" hidden="1" outlineLevel="1" x14ac:dyDescent="0.3">
      <c r="A722" s="233"/>
      <c r="B722" s="234" t="s">
        <v>48</v>
      </c>
      <c r="E722" s="250" t="s">
        <v>1683</v>
      </c>
      <c r="F722" s="317">
        <v>8950002</v>
      </c>
      <c r="G722" s="318"/>
      <c r="H722" s="319"/>
      <c r="I722" s="320"/>
      <c r="J722" s="337">
        <v>0</v>
      </c>
      <c r="K722" s="321">
        <v>0</v>
      </c>
      <c r="L722" s="321">
        <v>0</v>
      </c>
      <c r="M722" s="321">
        <v>0</v>
      </c>
      <c r="N722" s="321">
        <v>1.1641532182693481E-10</v>
      </c>
      <c r="O722" s="321">
        <v>1.1641532182693481E-10</v>
      </c>
      <c r="P722" s="321">
        <v>1.1641532182693481E-10</v>
      </c>
      <c r="Q722" s="321">
        <v>-1.1641532182693481E-10</v>
      </c>
      <c r="R722" s="321">
        <v>0</v>
      </c>
      <c r="S722" s="321">
        <v>0</v>
      </c>
      <c r="T722" s="321">
        <v>2.3283064365386963E-10</v>
      </c>
      <c r="U722" s="322">
        <v>-4.6566128730773926E-10</v>
      </c>
      <c r="V722" s="323">
        <v>0</v>
      </c>
      <c r="W722" s="303"/>
      <c r="X722" s="324">
        <v>-4.6566128730773926E-10</v>
      </c>
      <c r="Y722" s="325">
        <v>0</v>
      </c>
      <c r="AA722" s="388"/>
    </row>
    <row r="723" spans="1:27" hidden="1" outlineLevel="1" x14ac:dyDescent="0.3">
      <c r="A723" s="233"/>
      <c r="B723" s="234" t="s">
        <v>48</v>
      </c>
      <c r="E723" s="250" t="s">
        <v>1684</v>
      </c>
      <c r="F723" s="317">
        <v>8950003</v>
      </c>
      <c r="G723" s="318"/>
      <c r="H723" s="319"/>
      <c r="I723" s="320"/>
      <c r="J723" s="337">
        <v>-1.4551915228366852E-11</v>
      </c>
      <c r="K723" s="321">
        <v>-1.4551915228366852E-11</v>
      </c>
      <c r="L723" s="321">
        <v>-1.4551915228366852E-11</v>
      </c>
      <c r="M723" s="321">
        <v>0</v>
      </c>
      <c r="N723" s="321">
        <v>0</v>
      </c>
      <c r="O723" s="321">
        <v>0</v>
      </c>
      <c r="P723" s="321">
        <v>0</v>
      </c>
      <c r="Q723" s="321">
        <v>0</v>
      </c>
      <c r="R723" s="321">
        <v>0</v>
      </c>
      <c r="S723" s="321">
        <v>0</v>
      </c>
      <c r="T723" s="321">
        <v>0</v>
      </c>
      <c r="U723" s="322">
        <v>0</v>
      </c>
      <c r="V723" s="323">
        <v>-4.3655745685100555E-11</v>
      </c>
      <c r="W723" s="303"/>
      <c r="X723" s="324">
        <v>0</v>
      </c>
      <c r="Y723" s="325">
        <v>-4.3655745685100555E-11</v>
      </c>
      <c r="AA723" s="388"/>
    </row>
    <row r="724" spans="1:27" hidden="1" outlineLevel="1" x14ac:dyDescent="0.3">
      <c r="A724" s="233"/>
      <c r="B724" s="234" t="s">
        <v>44</v>
      </c>
      <c r="E724" s="250" t="s">
        <v>1685</v>
      </c>
      <c r="F724" s="317">
        <v>8950007</v>
      </c>
      <c r="G724" s="318"/>
      <c r="H724" s="319"/>
      <c r="I724" s="320"/>
      <c r="J724" s="337">
        <v>0</v>
      </c>
      <c r="K724" s="321">
        <v>0</v>
      </c>
      <c r="L724" s="321">
        <v>0</v>
      </c>
      <c r="M724" s="321">
        <v>0</v>
      </c>
      <c r="N724" s="321">
        <v>0</v>
      </c>
      <c r="O724" s="321">
        <v>0</v>
      </c>
      <c r="P724" s="321">
        <v>0</v>
      </c>
      <c r="Q724" s="321">
        <v>0</v>
      </c>
      <c r="R724" s="321">
        <v>0</v>
      </c>
      <c r="S724" s="321">
        <v>0</v>
      </c>
      <c r="T724" s="321">
        <v>0</v>
      </c>
      <c r="U724" s="322">
        <v>0</v>
      </c>
      <c r="V724" s="323">
        <v>0</v>
      </c>
      <c r="W724" s="303"/>
      <c r="X724" s="324">
        <v>0</v>
      </c>
      <c r="Y724" s="325">
        <v>0</v>
      </c>
      <c r="AA724" s="388"/>
    </row>
    <row r="725" spans="1:27" hidden="1" outlineLevel="1" x14ac:dyDescent="0.3">
      <c r="A725" s="233"/>
      <c r="B725" s="234" t="s">
        <v>44</v>
      </c>
      <c r="E725" s="250" t="s">
        <v>1686</v>
      </c>
      <c r="F725" s="317">
        <v>8950008</v>
      </c>
      <c r="G725" s="318"/>
      <c r="H725" s="319"/>
      <c r="I725" s="320"/>
      <c r="J725" s="337">
        <v>0</v>
      </c>
      <c r="K725" s="321">
        <v>0</v>
      </c>
      <c r="L725" s="321">
        <v>0</v>
      </c>
      <c r="M725" s="321">
        <v>0</v>
      </c>
      <c r="N725" s="321">
        <v>0</v>
      </c>
      <c r="O725" s="321">
        <v>0</v>
      </c>
      <c r="P725" s="321">
        <v>0</v>
      </c>
      <c r="Q725" s="321">
        <v>0</v>
      </c>
      <c r="R725" s="321">
        <v>0</v>
      </c>
      <c r="S725" s="321">
        <v>0</v>
      </c>
      <c r="T725" s="321">
        <v>0</v>
      </c>
      <c r="U725" s="322">
        <v>0</v>
      </c>
      <c r="V725" s="323">
        <v>0</v>
      </c>
      <c r="W725" s="303"/>
      <c r="X725" s="324">
        <v>0</v>
      </c>
      <c r="Y725" s="325">
        <v>0</v>
      </c>
      <c r="AA725" s="388"/>
    </row>
    <row r="726" spans="1:27" hidden="1" outlineLevel="1" x14ac:dyDescent="0.3">
      <c r="A726" s="233"/>
      <c r="B726" s="234" t="s">
        <v>48</v>
      </c>
      <c r="E726" s="250" t="s">
        <v>1687</v>
      </c>
      <c r="F726" s="317">
        <v>8950009</v>
      </c>
      <c r="G726" s="318"/>
      <c r="H726" s="319"/>
      <c r="I726" s="320"/>
      <c r="J726" s="337">
        <v>0</v>
      </c>
      <c r="K726" s="321">
        <v>0</v>
      </c>
      <c r="L726" s="321">
        <v>0</v>
      </c>
      <c r="M726" s="321">
        <v>0</v>
      </c>
      <c r="N726" s="321">
        <v>0</v>
      </c>
      <c r="O726" s="321">
        <v>0</v>
      </c>
      <c r="P726" s="321">
        <v>0</v>
      </c>
      <c r="Q726" s="321">
        <v>0</v>
      </c>
      <c r="R726" s="321">
        <v>0</v>
      </c>
      <c r="S726" s="321">
        <v>0</v>
      </c>
      <c r="T726" s="321">
        <v>0</v>
      </c>
      <c r="U726" s="322">
        <v>0</v>
      </c>
      <c r="V726" s="323">
        <v>0</v>
      </c>
      <c r="W726" s="303"/>
      <c r="X726" s="324">
        <v>0</v>
      </c>
      <c r="Y726" s="325">
        <v>0</v>
      </c>
      <c r="AA726" s="388"/>
    </row>
    <row r="727" spans="1:27" hidden="1" outlineLevel="1" x14ac:dyDescent="0.3">
      <c r="A727" s="233"/>
      <c r="B727" s="234" t="s">
        <v>44</v>
      </c>
      <c r="E727" s="250" t="s">
        <v>1688</v>
      </c>
      <c r="F727" s="317">
        <v>8950010</v>
      </c>
      <c r="G727" s="318"/>
      <c r="H727" s="319"/>
      <c r="I727" s="320"/>
      <c r="J727" s="337">
        <v>0</v>
      </c>
      <c r="K727" s="321">
        <v>0</v>
      </c>
      <c r="L727" s="321">
        <v>0</v>
      </c>
      <c r="M727" s="321">
        <v>0</v>
      </c>
      <c r="N727" s="321">
        <v>0</v>
      </c>
      <c r="O727" s="321">
        <v>0</v>
      </c>
      <c r="P727" s="321">
        <v>0</v>
      </c>
      <c r="Q727" s="321">
        <v>0</v>
      </c>
      <c r="R727" s="321">
        <v>0</v>
      </c>
      <c r="S727" s="321">
        <v>0</v>
      </c>
      <c r="T727" s="321">
        <v>0</v>
      </c>
      <c r="U727" s="322">
        <v>0</v>
      </c>
      <c r="V727" s="323">
        <v>0</v>
      </c>
      <c r="W727" s="303"/>
      <c r="X727" s="324">
        <v>0</v>
      </c>
      <c r="Y727" s="325">
        <v>0</v>
      </c>
      <c r="AA727" s="388"/>
    </row>
    <row r="728" spans="1:27" hidden="1" outlineLevel="1" x14ac:dyDescent="0.3">
      <c r="A728" s="233"/>
      <c r="B728" s="234" t="s">
        <v>44</v>
      </c>
      <c r="E728" s="250" t="s">
        <v>1689</v>
      </c>
      <c r="F728" s="317">
        <v>8950011</v>
      </c>
      <c r="G728" s="318"/>
      <c r="H728" s="319"/>
      <c r="I728" s="320"/>
      <c r="J728" s="337">
        <v>0</v>
      </c>
      <c r="K728" s="321">
        <v>0</v>
      </c>
      <c r="L728" s="321">
        <v>0</v>
      </c>
      <c r="M728" s="321">
        <v>0</v>
      </c>
      <c r="N728" s="321">
        <v>0</v>
      </c>
      <c r="O728" s="321">
        <v>0</v>
      </c>
      <c r="P728" s="321">
        <v>0</v>
      </c>
      <c r="Q728" s="321">
        <v>0</v>
      </c>
      <c r="R728" s="321">
        <v>0</v>
      </c>
      <c r="S728" s="321">
        <v>0</v>
      </c>
      <c r="T728" s="321">
        <v>0</v>
      </c>
      <c r="U728" s="322">
        <v>0</v>
      </c>
      <c r="V728" s="323">
        <v>0</v>
      </c>
      <c r="W728" s="303"/>
      <c r="X728" s="324">
        <v>0</v>
      </c>
      <c r="Y728" s="325">
        <v>0</v>
      </c>
      <c r="AA728" s="388"/>
    </row>
    <row r="729" spans="1:27" hidden="1" outlineLevel="1" x14ac:dyDescent="0.3">
      <c r="A729" s="233"/>
      <c r="B729" s="234" t="s">
        <v>44</v>
      </c>
      <c r="E729" s="250" t="s">
        <v>1690</v>
      </c>
      <c r="F729" s="317">
        <v>8950014</v>
      </c>
      <c r="G729" s="318"/>
      <c r="H729" s="319"/>
      <c r="I729" s="320"/>
      <c r="J729" s="337">
        <v>0</v>
      </c>
      <c r="K729" s="321">
        <v>0</v>
      </c>
      <c r="L729" s="321">
        <v>0</v>
      </c>
      <c r="M729" s="321">
        <v>0</v>
      </c>
      <c r="N729" s="321">
        <v>0</v>
      </c>
      <c r="O729" s="321">
        <v>0</v>
      </c>
      <c r="P729" s="321">
        <v>0</v>
      </c>
      <c r="Q729" s="321">
        <v>0</v>
      </c>
      <c r="R729" s="321">
        <v>0</v>
      </c>
      <c r="S729" s="321">
        <v>0</v>
      </c>
      <c r="T729" s="321">
        <v>0</v>
      </c>
      <c r="U729" s="322">
        <v>0</v>
      </c>
      <c r="V729" s="323">
        <v>0</v>
      </c>
      <c r="W729" s="303"/>
      <c r="X729" s="324">
        <v>0</v>
      </c>
      <c r="Y729" s="325">
        <v>0</v>
      </c>
      <c r="AA729" s="388"/>
    </row>
    <row r="730" spans="1:27" hidden="1" outlineLevel="1" x14ac:dyDescent="0.3">
      <c r="A730" s="233"/>
      <c r="B730" s="234" t="s">
        <v>44</v>
      </c>
      <c r="E730" s="250" t="s">
        <v>1691</v>
      </c>
      <c r="F730" s="317">
        <v>8950015</v>
      </c>
      <c r="G730" s="318"/>
      <c r="H730" s="319"/>
      <c r="I730" s="320"/>
      <c r="J730" s="337">
        <v>0</v>
      </c>
      <c r="K730" s="321">
        <v>0</v>
      </c>
      <c r="L730" s="321">
        <v>0</v>
      </c>
      <c r="M730" s="321">
        <v>0</v>
      </c>
      <c r="N730" s="321">
        <v>0</v>
      </c>
      <c r="O730" s="321">
        <v>0</v>
      </c>
      <c r="P730" s="321">
        <v>0</v>
      </c>
      <c r="Q730" s="321">
        <v>0</v>
      </c>
      <c r="R730" s="321">
        <v>0</v>
      </c>
      <c r="S730" s="321">
        <v>0</v>
      </c>
      <c r="T730" s="321">
        <v>0</v>
      </c>
      <c r="U730" s="322">
        <v>0</v>
      </c>
      <c r="V730" s="323">
        <v>0</v>
      </c>
      <c r="W730" s="303"/>
      <c r="X730" s="324">
        <v>0</v>
      </c>
      <c r="Y730" s="325">
        <v>0</v>
      </c>
      <c r="AA730" s="388"/>
    </row>
    <row r="731" spans="1:27" hidden="1" outlineLevel="1" x14ac:dyDescent="0.3">
      <c r="A731" s="233"/>
      <c r="B731" s="234" t="s">
        <v>44</v>
      </c>
      <c r="E731" s="250" t="s">
        <v>1692</v>
      </c>
      <c r="F731" s="317">
        <v>8950016</v>
      </c>
      <c r="G731" s="318"/>
      <c r="H731" s="319"/>
      <c r="I731" s="320"/>
      <c r="J731" s="337">
        <v>0</v>
      </c>
      <c r="K731" s="321">
        <v>0</v>
      </c>
      <c r="L731" s="321">
        <v>0</v>
      </c>
      <c r="M731" s="321">
        <v>0</v>
      </c>
      <c r="N731" s="321">
        <v>0</v>
      </c>
      <c r="O731" s="321">
        <v>0</v>
      </c>
      <c r="P731" s="321">
        <v>0</v>
      </c>
      <c r="Q731" s="321">
        <v>0</v>
      </c>
      <c r="R731" s="321">
        <v>0</v>
      </c>
      <c r="S731" s="321">
        <v>0</v>
      </c>
      <c r="T731" s="321">
        <v>0</v>
      </c>
      <c r="U731" s="322">
        <v>0</v>
      </c>
      <c r="V731" s="323">
        <v>0</v>
      </c>
      <c r="W731" s="303"/>
      <c r="X731" s="324">
        <v>0</v>
      </c>
      <c r="Y731" s="325">
        <v>0</v>
      </c>
      <c r="AA731" s="388"/>
    </row>
    <row r="732" spans="1:27" hidden="1" outlineLevel="1" x14ac:dyDescent="0.3">
      <c r="A732" s="233"/>
      <c r="B732" s="234" t="s">
        <v>44</v>
      </c>
      <c r="E732" s="250" t="s">
        <v>1693</v>
      </c>
      <c r="F732" s="317">
        <v>8950018</v>
      </c>
      <c r="G732" s="318"/>
      <c r="H732" s="319"/>
      <c r="I732" s="320"/>
      <c r="J732" s="337">
        <v>0</v>
      </c>
      <c r="K732" s="321">
        <v>0</v>
      </c>
      <c r="L732" s="321">
        <v>0</v>
      </c>
      <c r="M732" s="321">
        <v>0</v>
      </c>
      <c r="N732" s="321">
        <v>0</v>
      </c>
      <c r="O732" s="321">
        <v>0</v>
      </c>
      <c r="P732" s="321">
        <v>0</v>
      </c>
      <c r="Q732" s="321">
        <v>0</v>
      </c>
      <c r="R732" s="321">
        <v>0</v>
      </c>
      <c r="S732" s="321">
        <v>0</v>
      </c>
      <c r="T732" s="321">
        <v>0</v>
      </c>
      <c r="U732" s="322">
        <v>0</v>
      </c>
      <c r="V732" s="323">
        <v>0</v>
      </c>
      <c r="W732" s="303"/>
      <c r="X732" s="324">
        <v>0</v>
      </c>
      <c r="Y732" s="325">
        <v>0</v>
      </c>
      <c r="AA732" s="388"/>
    </row>
    <row r="733" spans="1:27" hidden="1" outlineLevel="1" x14ac:dyDescent="0.3">
      <c r="A733" s="233"/>
      <c r="B733" s="234" t="s">
        <v>44</v>
      </c>
      <c r="E733" s="250" t="s">
        <v>1694</v>
      </c>
      <c r="F733" s="317">
        <v>8950019</v>
      </c>
      <c r="G733" s="318"/>
      <c r="H733" s="319"/>
      <c r="I733" s="320"/>
      <c r="J733" s="337">
        <v>0</v>
      </c>
      <c r="K733" s="321">
        <v>0</v>
      </c>
      <c r="L733" s="321">
        <v>0</v>
      </c>
      <c r="M733" s="321">
        <v>0</v>
      </c>
      <c r="N733" s="321">
        <v>0</v>
      </c>
      <c r="O733" s="321">
        <v>0</v>
      </c>
      <c r="P733" s="321">
        <v>0</v>
      </c>
      <c r="Q733" s="321">
        <v>0</v>
      </c>
      <c r="R733" s="321">
        <v>0</v>
      </c>
      <c r="S733" s="321">
        <v>0</v>
      </c>
      <c r="T733" s="321">
        <v>0</v>
      </c>
      <c r="U733" s="322">
        <v>0</v>
      </c>
      <c r="V733" s="323">
        <v>0</v>
      </c>
      <c r="W733" s="303"/>
      <c r="X733" s="324">
        <v>0</v>
      </c>
      <c r="Y733" s="325">
        <v>0</v>
      </c>
      <c r="AA733" s="388"/>
    </row>
    <row r="734" spans="1:27" hidden="1" outlineLevel="1" x14ac:dyDescent="0.3">
      <c r="A734" s="233"/>
      <c r="B734" s="234" t="s">
        <v>44</v>
      </c>
      <c r="E734" s="250" t="s">
        <v>1695</v>
      </c>
      <c r="F734" s="317">
        <v>8950020</v>
      </c>
      <c r="G734" s="318"/>
      <c r="H734" s="319"/>
      <c r="I734" s="320"/>
      <c r="J734" s="337">
        <v>0</v>
      </c>
      <c r="K734" s="321">
        <v>0</v>
      </c>
      <c r="L734" s="321">
        <v>0</v>
      </c>
      <c r="M734" s="321">
        <v>0</v>
      </c>
      <c r="N734" s="321">
        <v>0</v>
      </c>
      <c r="O734" s="321">
        <v>0</v>
      </c>
      <c r="P734" s="321">
        <v>0</v>
      </c>
      <c r="Q734" s="321">
        <v>0</v>
      </c>
      <c r="R734" s="321">
        <v>0</v>
      </c>
      <c r="S734" s="321">
        <v>0</v>
      </c>
      <c r="T734" s="321">
        <v>0</v>
      </c>
      <c r="U734" s="322">
        <v>0</v>
      </c>
      <c r="V734" s="323">
        <v>0</v>
      </c>
      <c r="W734" s="303"/>
      <c r="X734" s="324">
        <v>0</v>
      </c>
      <c r="Y734" s="325">
        <v>0</v>
      </c>
      <c r="AA734" s="388"/>
    </row>
    <row r="735" spans="1:27" hidden="1" outlineLevel="1" x14ac:dyDescent="0.3">
      <c r="A735" s="233"/>
      <c r="B735" s="234" t="s">
        <v>44</v>
      </c>
      <c r="E735" s="250" t="s">
        <v>1696</v>
      </c>
      <c r="F735" s="317">
        <v>8950021</v>
      </c>
      <c r="G735" s="318"/>
      <c r="H735" s="319"/>
      <c r="I735" s="320"/>
      <c r="J735" s="337">
        <v>0</v>
      </c>
      <c r="K735" s="321">
        <v>0</v>
      </c>
      <c r="L735" s="321">
        <v>0</v>
      </c>
      <c r="M735" s="321">
        <v>0</v>
      </c>
      <c r="N735" s="321">
        <v>0</v>
      </c>
      <c r="O735" s="321">
        <v>0</v>
      </c>
      <c r="P735" s="321">
        <v>0</v>
      </c>
      <c r="Q735" s="321">
        <v>0</v>
      </c>
      <c r="R735" s="321">
        <v>0</v>
      </c>
      <c r="S735" s="321">
        <v>0</v>
      </c>
      <c r="T735" s="321">
        <v>0</v>
      </c>
      <c r="U735" s="322">
        <v>0</v>
      </c>
      <c r="V735" s="323">
        <v>0</v>
      </c>
      <c r="W735" s="303"/>
      <c r="X735" s="324">
        <v>0</v>
      </c>
      <c r="Y735" s="325">
        <v>0</v>
      </c>
      <c r="AA735" s="388"/>
    </row>
    <row r="736" spans="1:27" s="350" customFormat="1" hidden="1" outlineLevel="2" x14ac:dyDescent="0.3">
      <c r="A736" s="233"/>
      <c r="B736" s="234" t="s">
        <v>44</v>
      </c>
      <c r="E736" s="350" t="s">
        <v>1697</v>
      </c>
      <c r="F736" s="306">
        <v>8950022</v>
      </c>
      <c r="G736" s="307"/>
      <c r="H736" s="308"/>
      <c r="I736" s="309"/>
      <c r="J736" s="310">
        <v>0</v>
      </c>
      <c r="K736" s="311">
        <v>0</v>
      </c>
      <c r="L736" s="311">
        <v>0</v>
      </c>
      <c r="M736" s="311">
        <v>0</v>
      </c>
      <c r="N736" s="311">
        <v>0</v>
      </c>
      <c r="O736" s="311">
        <v>0</v>
      </c>
      <c r="P736" s="311">
        <v>0</v>
      </c>
      <c r="Q736" s="311">
        <v>0</v>
      </c>
      <c r="R736" s="311">
        <v>0</v>
      </c>
      <c r="S736" s="311">
        <v>0</v>
      </c>
      <c r="T736" s="311">
        <v>0</v>
      </c>
      <c r="U736" s="312">
        <v>0</v>
      </c>
      <c r="V736" s="313">
        <v>0</v>
      </c>
      <c r="W736" s="314"/>
      <c r="X736" s="315">
        <v>0</v>
      </c>
      <c r="Y736" s="316">
        <v>0</v>
      </c>
      <c r="AA736" s="388"/>
    </row>
    <row r="737" spans="1:27" s="361" customFormat="1" hidden="1" outlineLevel="2" x14ac:dyDescent="0.3">
      <c r="E737" s="326" t="s">
        <v>1698</v>
      </c>
      <c r="F737" s="351"/>
      <c r="G737" s="352"/>
      <c r="H737" s="353"/>
      <c r="I737" s="354"/>
      <c r="J737" s="362">
        <v>0</v>
      </c>
      <c r="K737" s="355">
        <v>0</v>
      </c>
      <c r="L737" s="355">
        <v>0</v>
      </c>
      <c r="M737" s="355">
        <v>0</v>
      </c>
      <c r="N737" s="355">
        <v>0</v>
      </c>
      <c r="O737" s="355">
        <v>0</v>
      </c>
      <c r="P737" s="355">
        <v>0</v>
      </c>
      <c r="Q737" s="355">
        <v>0</v>
      </c>
      <c r="R737" s="355">
        <v>0</v>
      </c>
      <c r="S737" s="355">
        <v>0</v>
      </c>
      <c r="T737" s="355">
        <v>0</v>
      </c>
      <c r="U737" s="356">
        <v>0</v>
      </c>
      <c r="V737" s="357">
        <v>0</v>
      </c>
      <c r="W737" s="358"/>
      <c r="X737" s="359">
        <v>0</v>
      </c>
      <c r="Y737" s="360">
        <v>0</v>
      </c>
      <c r="AA737" s="388"/>
    </row>
    <row r="738" spans="1:27" s="361" customFormat="1" hidden="1" outlineLevel="2" x14ac:dyDescent="0.3">
      <c r="E738" s="326" t="s">
        <v>1699</v>
      </c>
      <c r="F738" s="351"/>
      <c r="G738" s="352"/>
      <c r="H738" s="353"/>
      <c r="I738" s="354"/>
      <c r="J738" s="362">
        <v>0</v>
      </c>
      <c r="K738" s="355">
        <v>0</v>
      </c>
      <c r="L738" s="355">
        <v>0</v>
      </c>
      <c r="M738" s="355">
        <v>0</v>
      </c>
      <c r="N738" s="355">
        <v>0</v>
      </c>
      <c r="O738" s="355">
        <v>0</v>
      </c>
      <c r="P738" s="355">
        <v>0</v>
      </c>
      <c r="Q738" s="355">
        <v>0</v>
      </c>
      <c r="R738" s="355">
        <v>0</v>
      </c>
      <c r="S738" s="355">
        <v>0</v>
      </c>
      <c r="T738" s="355">
        <v>0</v>
      </c>
      <c r="U738" s="356">
        <v>0</v>
      </c>
      <c r="V738" s="357">
        <v>0</v>
      </c>
      <c r="W738" s="358"/>
      <c r="X738" s="359">
        <v>0</v>
      </c>
      <c r="Y738" s="360">
        <v>0</v>
      </c>
      <c r="AA738" s="388"/>
    </row>
    <row r="739" spans="1:27" s="361" customFormat="1" hidden="1" outlineLevel="2" x14ac:dyDescent="0.3">
      <c r="E739" s="326" t="s">
        <v>1700</v>
      </c>
      <c r="F739" s="351"/>
      <c r="G739" s="352"/>
      <c r="H739" s="353"/>
      <c r="I739" s="354"/>
      <c r="J739" s="362">
        <v>0</v>
      </c>
      <c r="K739" s="355">
        <v>0</v>
      </c>
      <c r="L739" s="355">
        <v>0</v>
      </c>
      <c r="M739" s="355">
        <v>0</v>
      </c>
      <c r="N739" s="355">
        <v>0</v>
      </c>
      <c r="O739" s="355">
        <v>0</v>
      </c>
      <c r="P739" s="355">
        <v>0</v>
      </c>
      <c r="Q739" s="355">
        <v>0</v>
      </c>
      <c r="R739" s="355">
        <v>0</v>
      </c>
      <c r="S739" s="355">
        <v>0</v>
      </c>
      <c r="T739" s="355">
        <v>0</v>
      </c>
      <c r="U739" s="356">
        <v>0</v>
      </c>
      <c r="V739" s="357">
        <v>0</v>
      </c>
      <c r="W739" s="358"/>
      <c r="X739" s="359">
        <v>0</v>
      </c>
      <c r="Y739" s="360">
        <v>0</v>
      </c>
      <c r="AA739" s="388"/>
    </row>
    <row r="740" spans="1:27" hidden="1" collapsed="1" x14ac:dyDescent="0.3">
      <c r="A740" s="233"/>
      <c r="B740" s="234" t="s">
        <v>43</v>
      </c>
      <c r="D740" s="293" t="s">
        <v>1701</v>
      </c>
      <c r="E740" s="294"/>
      <c r="F740" s="295"/>
      <c r="G740" s="296"/>
      <c r="H740" s="297"/>
      <c r="I740" s="298"/>
      <c r="J740" s="299">
        <v>0</v>
      </c>
      <c r="K740" s="300">
        <v>0</v>
      </c>
      <c r="L740" s="300">
        <v>0</v>
      </c>
      <c r="M740" s="300">
        <v>0</v>
      </c>
      <c r="N740" s="300">
        <v>0</v>
      </c>
      <c r="O740" s="300">
        <v>0</v>
      </c>
      <c r="P740" s="300">
        <v>0</v>
      </c>
      <c r="Q740" s="300">
        <v>0</v>
      </c>
      <c r="R740" s="300">
        <v>0</v>
      </c>
      <c r="S740" s="300">
        <v>0</v>
      </c>
      <c r="T740" s="300">
        <v>0</v>
      </c>
      <c r="U740" s="301">
        <v>0</v>
      </c>
      <c r="V740" s="302">
        <v>0</v>
      </c>
      <c r="W740" s="303"/>
      <c r="X740" s="304">
        <v>0</v>
      </c>
      <c r="Y740" s="305">
        <v>0</v>
      </c>
      <c r="AA740" s="388"/>
    </row>
    <row r="741" spans="1:27" hidden="1" outlineLevel="1" x14ac:dyDescent="0.3">
      <c r="E741" s="250" t="s">
        <v>1702</v>
      </c>
      <c r="F741" s="317">
        <v>8951000</v>
      </c>
      <c r="G741" s="318"/>
      <c r="H741" s="319"/>
      <c r="I741" s="320"/>
      <c r="J741" s="337">
        <v>0</v>
      </c>
      <c r="K741" s="321">
        <v>0</v>
      </c>
      <c r="L741" s="321">
        <v>0</v>
      </c>
      <c r="M741" s="321">
        <v>0</v>
      </c>
      <c r="N741" s="321">
        <v>0</v>
      </c>
      <c r="O741" s="321">
        <v>0</v>
      </c>
      <c r="P741" s="321">
        <v>0</v>
      </c>
      <c r="Q741" s="321">
        <v>0</v>
      </c>
      <c r="R741" s="321">
        <v>0</v>
      </c>
      <c r="S741" s="321">
        <v>0</v>
      </c>
      <c r="T741" s="321">
        <v>0</v>
      </c>
      <c r="U741" s="322">
        <v>0</v>
      </c>
      <c r="V741" s="323">
        <v>0</v>
      </c>
      <c r="W741" s="303"/>
      <c r="X741" s="324">
        <v>0</v>
      </c>
      <c r="Y741" s="325">
        <v>0</v>
      </c>
      <c r="AA741" s="388"/>
    </row>
    <row r="742" spans="1:27" hidden="1" outlineLevel="1" x14ac:dyDescent="0.3">
      <c r="E742" s="250" t="s">
        <v>1703</v>
      </c>
      <c r="F742" s="317">
        <v>8951001</v>
      </c>
      <c r="G742" s="318"/>
      <c r="H742" s="319"/>
      <c r="I742" s="320"/>
      <c r="J742" s="337">
        <v>0</v>
      </c>
      <c r="K742" s="321">
        <v>0</v>
      </c>
      <c r="L742" s="321">
        <v>0</v>
      </c>
      <c r="M742" s="321">
        <v>0</v>
      </c>
      <c r="N742" s="321">
        <v>0</v>
      </c>
      <c r="O742" s="321">
        <v>0</v>
      </c>
      <c r="P742" s="321">
        <v>0</v>
      </c>
      <c r="Q742" s="321">
        <v>0</v>
      </c>
      <c r="R742" s="321">
        <v>0</v>
      </c>
      <c r="S742" s="321">
        <v>0</v>
      </c>
      <c r="T742" s="321">
        <v>0</v>
      </c>
      <c r="U742" s="322">
        <v>0</v>
      </c>
      <c r="V742" s="323">
        <v>0</v>
      </c>
      <c r="W742" s="303"/>
      <c r="X742" s="324">
        <v>0</v>
      </c>
      <c r="Y742" s="325">
        <v>0</v>
      </c>
      <c r="AA742" s="388"/>
    </row>
    <row r="743" spans="1:27" hidden="1" outlineLevel="1" x14ac:dyDescent="0.3">
      <c r="E743" s="250" t="s">
        <v>1704</v>
      </c>
      <c r="F743" s="317">
        <v>8951002</v>
      </c>
      <c r="G743" s="318"/>
      <c r="H743" s="319"/>
      <c r="I743" s="320"/>
      <c r="J743" s="337">
        <v>0</v>
      </c>
      <c r="K743" s="321">
        <v>0</v>
      </c>
      <c r="L743" s="321">
        <v>0</v>
      </c>
      <c r="M743" s="321">
        <v>0</v>
      </c>
      <c r="N743" s="321">
        <v>0</v>
      </c>
      <c r="O743" s="321">
        <v>0</v>
      </c>
      <c r="P743" s="321">
        <v>0</v>
      </c>
      <c r="Q743" s="321">
        <v>0</v>
      </c>
      <c r="R743" s="321">
        <v>0</v>
      </c>
      <c r="S743" s="321">
        <v>0</v>
      </c>
      <c r="T743" s="321">
        <v>0</v>
      </c>
      <c r="U743" s="322">
        <v>0</v>
      </c>
      <c r="V743" s="323">
        <v>0</v>
      </c>
      <c r="W743" s="303"/>
      <c r="X743" s="324">
        <v>0</v>
      </c>
      <c r="Y743" s="325">
        <v>0</v>
      </c>
      <c r="AA743" s="388"/>
    </row>
    <row r="744" spans="1:27" hidden="1" outlineLevel="1" x14ac:dyDescent="0.3">
      <c r="E744" s="250" t="s">
        <v>1705</v>
      </c>
      <c r="F744" s="317">
        <v>8951003</v>
      </c>
      <c r="G744" s="318"/>
      <c r="H744" s="319"/>
      <c r="I744" s="320"/>
      <c r="J744" s="337">
        <v>0</v>
      </c>
      <c r="K744" s="321">
        <v>0</v>
      </c>
      <c r="L744" s="321">
        <v>0</v>
      </c>
      <c r="M744" s="321">
        <v>0</v>
      </c>
      <c r="N744" s="321">
        <v>0</v>
      </c>
      <c r="O744" s="321">
        <v>0</v>
      </c>
      <c r="P744" s="321">
        <v>0</v>
      </c>
      <c r="Q744" s="321">
        <v>0</v>
      </c>
      <c r="R744" s="321">
        <v>0</v>
      </c>
      <c r="S744" s="321">
        <v>0</v>
      </c>
      <c r="T744" s="321">
        <v>0</v>
      </c>
      <c r="U744" s="322">
        <v>0</v>
      </c>
      <c r="V744" s="323">
        <v>0</v>
      </c>
      <c r="W744" s="303"/>
      <c r="X744" s="324">
        <v>0</v>
      </c>
      <c r="Y744" s="325">
        <v>0</v>
      </c>
      <c r="AA744" s="388"/>
    </row>
    <row r="745" spans="1:27" s="361" customFormat="1" hidden="1" outlineLevel="2" x14ac:dyDescent="0.3">
      <c r="E745" s="326" t="s">
        <v>1706</v>
      </c>
      <c r="F745" s="351"/>
      <c r="G745" s="352"/>
      <c r="H745" s="353"/>
      <c r="I745" s="354"/>
      <c r="J745" s="362">
        <v>0</v>
      </c>
      <c r="K745" s="355">
        <v>0</v>
      </c>
      <c r="L745" s="355">
        <v>0</v>
      </c>
      <c r="M745" s="355">
        <v>0</v>
      </c>
      <c r="N745" s="355">
        <v>0</v>
      </c>
      <c r="O745" s="355">
        <v>0</v>
      </c>
      <c r="P745" s="355">
        <v>0</v>
      </c>
      <c r="Q745" s="355">
        <v>0</v>
      </c>
      <c r="R745" s="355">
        <v>0</v>
      </c>
      <c r="S745" s="355">
        <v>0</v>
      </c>
      <c r="T745" s="355">
        <v>0</v>
      </c>
      <c r="U745" s="356">
        <v>0</v>
      </c>
      <c r="V745" s="357">
        <v>0</v>
      </c>
      <c r="W745" s="358"/>
      <c r="X745" s="359">
        <v>0</v>
      </c>
      <c r="Y745" s="360">
        <v>0</v>
      </c>
      <c r="AA745" s="388"/>
    </row>
    <row r="746" spans="1:27" s="361" customFormat="1" hidden="1" outlineLevel="2" x14ac:dyDescent="0.3">
      <c r="E746" s="326" t="s">
        <v>1707</v>
      </c>
      <c r="F746" s="351"/>
      <c r="G746" s="352"/>
      <c r="H746" s="353"/>
      <c r="I746" s="354"/>
      <c r="J746" s="362">
        <v>0</v>
      </c>
      <c r="K746" s="355">
        <v>0</v>
      </c>
      <c r="L746" s="355">
        <v>0</v>
      </c>
      <c r="M746" s="355">
        <v>0</v>
      </c>
      <c r="N746" s="355">
        <v>0</v>
      </c>
      <c r="O746" s="355">
        <v>0</v>
      </c>
      <c r="P746" s="355">
        <v>0</v>
      </c>
      <c r="Q746" s="355">
        <v>0</v>
      </c>
      <c r="R746" s="355">
        <v>0</v>
      </c>
      <c r="S746" s="355">
        <v>0</v>
      </c>
      <c r="T746" s="355">
        <v>0</v>
      </c>
      <c r="U746" s="356">
        <v>0</v>
      </c>
      <c r="V746" s="357">
        <v>0</v>
      </c>
      <c r="W746" s="358"/>
      <c r="X746" s="359">
        <v>0</v>
      </c>
      <c r="Y746" s="360">
        <v>0</v>
      </c>
      <c r="AA746" s="388"/>
    </row>
    <row r="747" spans="1:27" s="361" customFormat="1" hidden="1" outlineLevel="2" x14ac:dyDescent="0.3">
      <c r="E747" s="326" t="s">
        <v>1708</v>
      </c>
      <c r="F747" s="351"/>
      <c r="G747" s="352"/>
      <c r="H747" s="353"/>
      <c r="I747" s="354"/>
      <c r="J747" s="362">
        <v>0</v>
      </c>
      <c r="K747" s="355">
        <v>0</v>
      </c>
      <c r="L747" s="355">
        <v>0</v>
      </c>
      <c r="M747" s="355">
        <v>0</v>
      </c>
      <c r="N747" s="355">
        <v>0</v>
      </c>
      <c r="O747" s="355">
        <v>0</v>
      </c>
      <c r="P747" s="355">
        <v>0</v>
      </c>
      <c r="Q747" s="355">
        <v>0</v>
      </c>
      <c r="R747" s="355">
        <v>0</v>
      </c>
      <c r="S747" s="355">
        <v>0</v>
      </c>
      <c r="T747" s="355">
        <v>0</v>
      </c>
      <c r="U747" s="356">
        <v>0</v>
      </c>
      <c r="V747" s="357">
        <v>0</v>
      </c>
      <c r="W747" s="358"/>
      <c r="X747" s="359">
        <v>0</v>
      </c>
      <c r="Y747" s="360">
        <v>0</v>
      </c>
      <c r="AA747" s="388"/>
    </row>
    <row r="748" spans="1:27" hidden="1" collapsed="1" x14ac:dyDescent="0.3">
      <c r="A748" s="233"/>
      <c r="B748" s="234" t="s">
        <v>70</v>
      </c>
      <c r="D748" s="293" t="s">
        <v>1709</v>
      </c>
      <c r="E748" s="294"/>
      <c r="F748" s="295" t="s">
        <v>1710</v>
      </c>
      <c r="G748" s="296"/>
      <c r="H748" s="297"/>
      <c r="I748" s="298"/>
      <c r="J748" s="299">
        <v>0</v>
      </c>
      <c r="K748" s="300">
        <v>0</v>
      </c>
      <c r="L748" s="300">
        <v>0</v>
      </c>
      <c r="M748" s="300">
        <v>0</v>
      </c>
      <c r="N748" s="300">
        <v>-1.8189894035458565E-12</v>
      </c>
      <c r="O748" s="300">
        <v>1.8189894035458565E-12</v>
      </c>
      <c r="P748" s="300">
        <v>0</v>
      </c>
      <c r="Q748" s="300">
        <v>0</v>
      </c>
      <c r="R748" s="300">
        <v>1.8189894035458565E-12</v>
      </c>
      <c r="S748" s="300">
        <v>-1.8189894035458565E-12</v>
      </c>
      <c r="T748" s="300">
        <v>0</v>
      </c>
      <c r="U748" s="301">
        <v>0</v>
      </c>
      <c r="V748" s="302">
        <v>0</v>
      </c>
      <c r="W748" s="303"/>
      <c r="X748" s="304">
        <v>0</v>
      </c>
      <c r="Y748" s="305">
        <v>0</v>
      </c>
      <c r="AA748" s="388"/>
    </row>
    <row r="749" spans="1:27" s="250" customFormat="1" hidden="1" outlineLevel="1" x14ac:dyDescent="0.3">
      <c r="E749" s="250" t="s">
        <v>1711</v>
      </c>
      <c r="F749" s="306">
        <v>4308500</v>
      </c>
      <c r="G749" s="307"/>
      <c r="H749" s="308"/>
      <c r="I749" s="309"/>
      <c r="J749" s="310">
        <v>1375975.747</v>
      </c>
      <c r="K749" s="311">
        <v>-427569.29200000002</v>
      </c>
      <c r="L749" s="311">
        <v>1131757.676</v>
      </c>
      <c r="M749" s="311">
        <v>180362.82199999999</v>
      </c>
      <c r="N749" s="311">
        <v>-63843.927000000003</v>
      </c>
      <c r="O749" s="311">
        <v>1531785.273</v>
      </c>
      <c r="P749" s="311">
        <v>892796.20600000001</v>
      </c>
      <c r="Q749" s="311">
        <v>485624.74300000002</v>
      </c>
      <c r="R749" s="311">
        <v>-907402.33900000004</v>
      </c>
      <c r="S749" s="311">
        <v>216085.13</v>
      </c>
      <c r="T749" s="311">
        <v>2560378.7880000002</v>
      </c>
      <c r="U749" s="312">
        <v>-14668020.532</v>
      </c>
      <c r="V749" s="313">
        <v>-7692069.7050000001</v>
      </c>
      <c r="W749" s="314"/>
      <c r="X749" s="315">
        <v>-14668020.532</v>
      </c>
      <c r="Y749" s="316">
        <v>-7692069.7050000001</v>
      </c>
      <c r="AA749" s="388"/>
    </row>
    <row r="750" spans="1:27" s="250" customFormat="1" hidden="1" outlineLevel="1" x14ac:dyDescent="0.3">
      <c r="E750" s="250" t="s">
        <v>1712</v>
      </c>
      <c r="F750" s="306">
        <v>4309880</v>
      </c>
      <c r="G750" s="307"/>
      <c r="H750" s="308"/>
      <c r="I750" s="309"/>
      <c r="J750" s="310">
        <v>-1375975.747</v>
      </c>
      <c r="K750" s="311">
        <v>427569.29200000002</v>
      </c>
      <c r="L750" s="311">
        <v>-1131757.676</v>
      </c>
      <c r="M750" s="311">
        <v>-180362.82199999999</v>
      </c>
      <c r="N750" s="311">
        <v>63843.927000000003</v>
      </c>
      <c r="O750" s="311">
        <v>-1531785.273</v>
      </c>
      <c r="P750" s="311">
        <v>-892796.20600000001</v>
      </c>
      <c r="Q750" s="311">
        <v>-485624.74300000002</v>
      </c>
      <c r="R750" s="311">
        <v>907402.33900000004</v>
      </c>
      <c r="S750" s="311">
        <v>-216085.13</v>
      </c>
      <c r="T750" s="311">
        <v>-2560378.7880000002</v>
      </c>
      <c r="U750" s="312">
        <v>14668020.532</v>
      </c>
      <c r="V750" s="313">
        <v>7692069.7050000001</v>
      </c>
      <c r="W750" s="314"/>
      <c r="X750" s="315">
        <v>14668020.532</v>
      </c>
      <c r="Y750" s="316">
        <v>7692069.7050000001</v>
      </c>
      <c r="AA750" s="388"/>
    </row>
    <row r="751" spans="1:27" s="250" customFormat="1" hidden="1" outlineLevel="1" x14ac:dyDescent="0.3">
      <c r="E751" s="250" t="s">
        <v>1713</v>
      </c>
      <c r="F751" s="306">
        <v>4309507</v>
      </c>
      <c r="G751" s="307"/>
      <c r="H751" s="308"/>
      <c r="I751" s="309"/>
      <c r="J751" s="310">
        <v>0</v>
      </c>
      <c r="K751" s="311">
        <v>0</v>
      </c>
      <c r="L751" s="311">
        <v>0</v>
      </c>
      <c r="M751" s="311">
        <v>0</v>
      </c>
      <c r="N751" s="311">
        <v>0</v>
      </c>
      <c r="O751" s="311">
        <v>0</v>
      </c>
      <c r="P751" s="311">
        <v>0</v>
      </c>
      <c r="Q751" s="311">
        <v>0</v>
      </c>
      <c r="R751" s="311">
        <v>0</v>
      </c>
      <c r="S751" s="311">
        <v>0</v>
      </c>
      <c r="T751" s="311">
        <v>0</v>
      </c>
      <c r="U751" s="312">
        <v>0</v>
      </c>
      <c r="V751" s="313">
        <v>0</v>
      </c>
      <c r="W751" s="314"/>
      <c r="X751" s="315">
        <v>0</v>
      </c>
      <c r="Y751" s="316">
        <v>0</v>
      </c>
      <c r="AA751" s="388"/>
    </row>
    <row r="752" spans="1:27" s="250" customFormat="1" hidden="1" outlineLevel="1" x14ac:dyDescent="0.3">
      <c r="E752" s="250" t="s">
        <v>1714</v>
      </c>
      <c r="F752" s="306">
        <v>4901000</v>
      </c>
      <c r="G752" s="307"/>
      <c r="H752" s="308"/>
      <c r="I752" s="309"/>
      <c r="J752" s="310">
        <v>0</v>
      </c>
      <c r="K752" s="311">
        <v>0</v>
      </c>
      <c r="L752" s="311">
        <v>0</v>
      </c>
      <c r="M752" s="311">
        <v>0</v>
      </c>
      <c r="N752" s="311">
        <v>0</v>
      </c>
      <c r="O752" s="311">
        <v>0</v>
      </c>
      <c r="P752" s="311">
        <v>0</v>
      </c>
      <c r="Q752" s="311">
        <v>0</v>
      </c>
      <c r="R752" s="311">
        <v>0</v>
      </c>
      <c r="S752" s="311">
        <v>0</v>
      </c>
      <c r="T752" s="311">
        <v>0</v>
      </c>
      <c r="U752" s="312">
        <v>0</v>
      </c>
      <c r="V752" s="313">
        <v>0</v>
      </c>
      <c r="W752" s="314"/>
      <c r="X752" s="315">
        <v>0</v>
      </c>
      <c r="Y752" s="316">
        <v>0</v>
      </c>
      <c r="AA752" s="388"/>
    </row>
    <row r="753" spans="4:27" s="250" customFormat="1" hidden="1" outlineLevel="1" x14ac:dyDescent="0.3">
      <c r="E753" s="250" t="s">
        <v>1715</v>
      </c>
      <c r="F753" s="306">
        <v>4901001</v>
      </c>
      <c r="G753" s="307"/>
      <c r="H753" s="308"/>
      <c r="I753" s="309"/>
      <c r="J753" s="310">
        <v>0</v>
      </c>
      <c r="K753" s="311">
        <v>0</v>
      </c>
      <c r="L753" s="311">
        <v>0</v>
      </c>
      <c r="M753" s="311">
        <v>0</v>
      </c>
      <c r="N753" s="311">
        <v>0</v>
      </c>
      <c r="O753" s="311">
        <v>0</v>
      </c>
      <c r="P753" s="311">
        <v>0</v>
      </c>
      <c r="Q753" s="311">
        <v>0</v>
      </c>
      <c r="R753" s="311">
        <v>0</v>
      </c>
      <c r="S753" s="311">
        <v>0</v>
      </c>
      <c r="T753" s="311">
        <v>0</v>
      </c>
      <c r="U753" s="312">
        <v>0</v>
      </c>
      <c r="V753" s="313">
        <v>0</v>
      </c>
      <c r="W753" s="314"/>
      <c r="X753" s="315">
        <v>0</v>
      </c>
      <c r="Y753" s="316">
        <v>0</v>
      </c>
      <c r="AA753" s="388"/>
    </row>
    <row r="754" spans="4:27" s="250" customFormat="1" hidden="1" outlineLevel="1" x14ac:dyDescent="0.3">
      <c r="E754" s="250" t="s">
        <v>1716</v>
      </c>
      <c r="F754" s="306">
        <v>4901003</v>
      </c>
      <c r="G754" s="307"/>
      <c r="H754" s="308"/>
      <c r="I754" s="309"/>
      <c r="J754" s="310">
        <v>0</v>
      </c>
      <c r="K754" s="311">
        <v>0</v>
      </c>
      <c r="L754" s="311">
        <v>0</v>
      </c>
      <c r="M754" s="311">
        <v>0</v>
      </c>
      <c r="N754" s="311">
        <v>-1.8189894035458565E-12</v>
      </c>
      <c r="O754" s="311">
        <v>1.8189894035458565E-12</v>
      </c>
      <c r="P754" s="311">
        <v>0</v>
      </c>
      <c r="Q754" s="311">
        <v>0</v>
      </c>
      <c r="R754" s="311">
        <v>1.8189894035458565E-12</v>
      </c>
      <c r="S754" s="311">
        <v>-1.8189894035458565E-12</v>
      </c>
      <c r="T754" s="311">
        <v>0</v>
      </c>
      <c r="U754" s="312">
        <v>0</v>
      </c>
      <c r="V754" s="313">
        <v>0</v>
      </c>
      <c r="W754" s="314"/>
      <c r="X754" s="315">
        <v>0</v>
      </c>
      <c r="Y754" s="316">
        <v>0</v>
      </c>
      <c r="AA754" s="388"/>
    </row>
    <row r="755" spans="4:27" s="250" customFormat="1" hidden="1" outlineLevel="1" x14ac:dyDescent="0.3">
      <c r="E755" s="250" t="s">
        <v>1717</v>
      </c>
      <c r="F755" s="306">
        <v>4901004</v>
      </c>
      <c r="G755" s="307"/>
      <c r="H755" s="308"/>
      <c r="I755" s="309"/>
      <c r="J755" s="310">
        <v>0</v>
      </c>
      <c r="K755" s="311">
        <v>0</v>
      </c>
      <c r="L755" s="311">
        <v>0</v>
      </c>
      <c r="M755" s="311">
        <v>0</v>
      </c>
      <c r="N755" s="311">
        <v>0</v>
      </c>
      <c r="O755" s="311">
        <v>0</v>
      </c>
      <c r="P755" s="311">
        <v>0</v>
      </c>
      <c r="Q755" s="311">
        <v>0</v>
      </c>
      <c r="R755" s="311">
        <v>0</v>
      </c>
      <c r="S755" s="311">
        <v>0</v>
      </c>
      <c r="T755" s="311">
        <v>0</v>
      </c>
      <c r="U755" s="312">
        <v>0</v>
      </c>
      <c r="V755" s="313">
        <v>0</v>
      </c>
      <c r="W755" s="314"/>
      <c r="X755" s="315">
        <v>0</v>
      </c>
      <c r="Y755" s="316">
        <v>0</v>
      </c>
      <c r="AA755" s="388"/>
    </row>
    <row r="756" spans="4:27" s="250" customFormat="1" hidden="1" outlineLevel="1" x14ac:dyDescent="0.3">
      <c r="E756" s="250" t="s">
        <v>1718</v>
      </c>
      <c r="F756" s="306">
        <v>4901099</v>
      </c>
      <c r="G756" s="307"/>
      <c r="H756" s="308"/>
      <c r="I756" s="309"/>
      <c r="J756" s="310">
        <v>0</v>
      </c>
      <c r="K756" s="311">
        <v>0</v>
      </c>
      <c r="L756" s="311">
        <v>0</v>
      </c>
      <c r="M756" s="311">
        <v>0</v>
      </c>
      <c r="N756" s="311">
        <v>0</v>
      </c>
      <c r="O756" s="311">
        <v>0</v>
      </c>
      <c r="P756" s="311">
        <v>0</v>
      </c>
      <c r="Q756" s="311">
        <v>0</v>
      </c>
      <c r="R756" s="311">
        <v>0</v>
      </c>
      <c r="S756" s="311">
        <v>0</v>
      </c>
      <c r="T756" s="311">
        <v>0</v>
      </c>
      <c r="U756" s="312">
        <v>0</v>
      </c>
      <c r="V756" s="313">
        <v>0</v>
      </c>
      <c r="W756" s="314"/>
      <c r="X756" s="315">
        <v>0</v>
      </c>
      <c r="Y756" s="316">
        <v>0</v>
      </c>
      <c r="AA756" s="388"/>
    </row>
    <row r="757" spans="4:27" s="250" customFormat="1" hidden="1" outlineLevel="1" x14ac:dyDescent="0.3">
      <c r="E757" s="250" t="s">
        <v>1719</v>
      </c>
      <c r="F757" s="306">
        <v>4902000</v>
      </c>
      <c r="G757" s="307"/>
      <c r="H757" s="308"/>
      <c r="I757" s="309"/>
      <c r="J757" s="310">
        <v>0</v>
      </c>
      <c r="K757" s="311">
        <v>0</v>
      </c>
      <c r="L757" s="311">
        <v>0</v>
      </c>
      <c r="M757" s="311">
        <v>0</v>
      </c>
      <c r="N757" s="311">
        <v>0</v>
      </c>
      <c r="O757" s="311">
        <v>0</v>
      </c>
      <c r="P757" s="311">
        <v>0</v>
      </c>
      <c r="Q757" s="311">
        <v>0</v>
      </c>
      <c r="R757" s="311">
        <v>0</v>
      </c>
      <c r="S757" s="311">
        <v>0</v>
      </c>
      <c r="T757" s="311">
        <v>0</v>
      </c>
      <c r="U757" s="312">
        <v>0</v>
      </c>
      <c r="V757" s="313">
        <v>0</v>
      </c>
      <c r="W757" s="314"/>
      <c r="X757" s="315">
        <v>0</v>
      </c>
      <c r="Y757" s="316">
        <v>0</v>
      </c>
      <c r="AA757" s="388"/>
    </row>
    <row r="758" spans="4:27" s="250" customFormat="1" hidden="1" outlineLevel="1" x14ac:dyDescent="0.3">
      <c r="E758" s="250" t="s">
        <v>1720</v>
      </c>
      <c r="F758" s="306">
        <v>4902001</v>
      </c>
      <c r="G758" s="307"/>
      <c r="H758" s="308"/>
      <c r="I758" s="309"/>
      <c r="J758" s="310">
        <v>0</v>
      </c>
      <c r="K758" s="311">
        <v>0</v>
      </c>
      <c r="L758" s="311">
        <v>0</v>
      </c>
      <c r="M758" s="311">
        <v>0</v>
      </c>
      <c r="N758" s="311">
        <v>0</v>
      </c>
      <c r="O758" s="311">
        <v>0</v>
      </c>
      <c r="P758" s="311">
        <v>0</v>
      </c>
      <c r="Q758" s="311">
        <v>0</v>
      </c>
      <c r="R758" s="311">
        <v>0</v>
      </c>
      <c r="S758" s="311">
        <v>0</v>
      </c>
      <c r="T758" s="311">
        <v>0</v>
      </c>
      <c r="U758" s="312">
        <v>0</v>
      </c>
      <c r="V758" s="313">
        <v>0</v>
      </c>
      <c r="W758" s="314"/>
      <c r="X758" s="315">
        <v>0</v>
      </c>
      <c r="Y758" s="316">
        <v>0</v>
      </c>
      <c r="AA758" s="388"/>
    </row>
    <row r="759" spans="4:27" s="250" customFormat="1" hidden="1" outlineLevel="1" x14ac:dyDescent="0.3">
      <c r="E759" s="250" t="s">
        <v>1721</v>
      </c>
      <c r="F759" s="306">
        <v>4902003</v>
      </c>
      <c r="G759" s="307"/>
      <c r="H759" s="308"/>
      <c r="I759" s="309"/>
      <c r="J759" s="310">
        <v>0</v>
      </c>
      <c r="K759" s="311">
        <v>0</v>
      </c>
      <c r="L759" s="311">
        <v>0</v>
      </c>
      <c r="M759" s="311">
        <v>0</v>
      </c>
      <c r="N759" s="311">
        <v>0</v>
      </c>
      <c r="O759" s="311">
        <v>0</v>
      </c>
      <c r="P759" s="311">
        <v>0</v>
      </c>
      <c r="Q759" s="311">
        <v>0</v>
      </c>
      <c r="R759" s="311">
        <v>0</v>
      </c>
      <c r="S759" s="311">
        <v>0</v>
      </c>
      <c r="T759" s="311">
        <v>0</v>
      </c>
      <c r="U759" s="312">
        <v>0</v>
      </c>
      <c r="V759" s="313">
        <v>0</v>
      </c>
      <c r="W759" s="314"/>
      <c r="X759" s="315">
        <v>0</v>
      </c>
      <c r="Y759" s="316">
        <v>0</v>
      </c>
      <c r="AA759" s="388"/>
    </row>
    <row r="760" spans="4:27" s="250" customFormat="1" hidden="1" outlineLevel="1" x14ac:dyDescent="0.3">
      <c r="E760" s="250" t="s">
        <v>1722</v>
      </c>
      <c r="F760" s="306">
        <v>4902004</v>
      </c>
      <c r="G760" s="307"/>
      <c r="H760" s="308"/>
      <c r="I760" s="309"/>
      <c r="J760" s="310">
        <v>0</v>
      </c>
      <c r="K760" s="311">
        <v>0</v>
      </c>
      <c r="L760" s="311">
        <v>0</v>
      </c>
      <c r="M760" s="311">
        <v>0</v>
      </c>
      <c r="N760" s="311">
        <v>0</v>
      </c>
      <c r="O760" s="311">
        <v>0</v>
      </c>
      <c r="P760" s="311">
        <v>0</v>
      </c>
      <c r="Q760" s="311">
        <v>0</v>
      </c>
      <c r="R760" s="311">
        <v>0</v>
      </c>
      <c r="S760" s="311">
        <v>0</v>
      </c>
      <c r="T760" s="311">
        <v>0</v>
      </c>
      <c r="U760" s="312">
        <v>0</v>
      </c>
      <c r="V760" s="313">
        <v>0</v>
      </c>
      <c r="W760" s="314"/>
      <c r="X760" s="315">
        <v>0</v>
      </c>
      <c r="Y760" s="316">
        <v>0</v>
      </c>
      <c r="AA760" s="388"/>
    </row>
    <row r="761" spans="4:27" s="250" customFormat="1" hidden="1" outlineLevel="1" x14ac:dyDescent="0.3">
      <c r="E761" s="250" t="s">
        <v>1723</v>
      </c>
      <c r="F761" s="306">
        <v>4313001</v>
      </c>
      <c r="G761" s="307"/>
      <c r="H761" s="308"/>
      <c r="I761" s="309"/>
      <c r="J761" s="310">
        <v>0</v>
      </c>
      <c r="K761" s="311">
        <v>0</v>
      </c>
      <c r="L761" s="311">
        <v>0</v>
      </c>
      <c r="M761" s="311">
        <v>0</v>
      </c>
      <c r="N761" s="311">
        <v>0</v>
      </c>
      <c r="O761" s="311">
        <v>0</v>
      </c>
      <c r="P761" s="311">
        <v>0</v>
      </c>
      <c r="Q761" s="311">
        <v>0</v>
      </c>
      <c r="R761" s="311">
        <v>0</v>
      </c>
      <c r="S761" s="311">
        <v>0</v>
      </c>
      <c r="T761" s="311">
        <v>0</v>
      </c>
      <c r="U761" s="312">
        <v>0</v>
      </c>
      <c r="V761" s="313">
        <v>0</v>
      </c>
      <c r="W761" s="314"/>
      <c r="X761" s="315">
        <v>0</v>
      </c>
      <c r="Y761" s="316">
        <v>0</v>
      </c>
      <c r="AA761" s="388"/>
    </row>
    <row r="762" spans="4:27" hidden="1" collapsed="1" x14ac:dyDescent="0.3">
      <c r="D762" s="293" t="s">
        <v>1724</v>
      </c>
      <c r="E762" s="294"/>
      <c r="F762" s="295"/>
      <c r="G762" s="296"/>
      <c r="H762" s="297"/>
      <c r="I762" s="298"/>
      <c r="J762" s="299">
        <v>0</v>
      </c>
      <c r="K762" s="300">
        <v>0</v>
      </c>
      <c r="L762" s="300">
        <v>0</v>
      </c>
      <c r="M762" s="300">
        <v>0</v>
      </c>
      <c r="N762" s="300">
        <v>0</v>
      </c>
      <c r="O762" s="300">
        <v>0</v>
      </c>
      <c r="P762" s="300">
        <v>0</v>
      </c>
      <c r="Q762" s="300">
        <v>0</v>
      </c>
      <c r="R762" s="300">
        <v>0</v>
      </c>
      <c r="S762" s="300">
        <v>0</v>
      </c>
      <c r="T762" s="300">
        <v>0</v>
      </c>
      <c r="U762" s="301">
        <v>0</v>
      </c>
      <c r="V762" s="302">
        <v>0</v>
      </c>
      <c r="W762" s="303"/>
      <c r="X762" s="304">
        <v>0</v>
      </c>
      <c r="Y762" s="305">
        <v>0</v>
      </c>
      <c r="AA762" s="388"/>
    </row>
    <row r="763" spans="4:27" s="326" customFormat="1" hidden="1" outlineLevel="2" x14ac:dyDescent="0.3">
      <c r="E763" s="326" t="s">
        <v>1725</v>
      </c>
      <c r="F763" s="351"/>
      <c r="G763" s="352"/>
      <c r="H763" s="353"/>
      <c r="I763" s="354"/>
      <c r="J763" s="362">
        <v>0</v>
      </c>
      <c r="K763" s="355">
        <v>0</v>
      </c>
      <c r="L763" s="355">
        <v>0</v>
      </c>
      <c r="M763" s="355">
        <v>0</v>
      </c>
      <c r="N763" s="355">
        <v>0</v>
      </c>
      <c r="O763" s="355">
        <v>0</v>
      </c>
      <c r="P763" s="355">
        <v>0</v>
      </c>
      <c r="Q763" s="355">
        <v>0</v>
      </c>
      <c r="R763" s="355">
        <v>0</v>
      </c>
      <c r="S763" s="355">
        <v>0</v>
      </c>
      <c r="T763" s="355">
        <v>0</v>
      </c>
      <c r="U763" s="356">
        <v>0</v>
      </c>
      <c r="V763" s="357">
        <v>0</v>
      </c>
      <c r="W763" s="358"/>
      <c r="X763" s="359">
        <v>0</v>
      </c>
      <c r="Y763" s="360">
        <v>0</v>
      </c>
      <c r="AA763" s="388"/>
    </row>
    <row r="764" spans="4:27" s="326" customFormat="1" hidden="1" outlineLevel="2" x14ac:dyDescent="0.3">
      <c r="E764" s="326" t="s">
        <v>1726</v>
      </c>
      <c r="F764" s="351"/>
      <c r="G764" s="352"/>
      <c r="H764" s="353"/>
      <c r="I764" s="354"/>
      <c r="J764" s="362">
        <v>0</v>
      </c>
      <c r="K764" s="355">
        <v>0</v>
      </c>
      <c r="L764" s="355">
        <v>0</v>
      </c>
      <c r="M764" s="355">
        <v>0</v>
      </c>
      <c r="N764" s="355">
        <v>0</v>
      </c>
      <c r="O764" s="355">
        <v>0</v>
      </c>
      <c r="P764" s="355">
        <v>0</v>
      </c>
      <c r="Q764" s="355">
        <v>0</v>
      </c>
      <c r="R764" s="355">
        <v>0</v>
      </c>
      <c r="S764" s="355">
        <v>0</v>
      </c>
      <c r="T764" s="355">
        <v>0</v>
      </c>
      <c r="U764" s="356">
        <v>0</v>
      </c>
      <c r="V764" s="357">
        <v>0</v>
      </c>
      <c r="W764" s="358"/>
      <c r="X764" s="359">
        <v>0</v>
      </c>
      <c r="Y764" s="360">
        <v>0</v>
      </c>
      <c r="AA764" s="388"/>
    </row>
    <row r="765" spans="4:27" s="326" customFormat="1" hidden="1" outlineLevel="2" x14ac:dyDescent="0.3">
      <c r="E765" s="326" t="s">
        <v>1727</v>
      </c>
      <c r="F765" s="351"/>
      <c r="G765" s="352"/>
      <c r="H765" s="353"/>
      <c r="I765" s="354"/>
      <c r="J765" s="362">
        <v>0</v>
      </c>
      <c r="K765" s="355">
        <v>0</v>
      </c>
      <c r="L765" s="355">
        <v>0</v>
      </c>
      <c r="M765" s="355">
        <v>0</v>
      </c>
      <c r="N765" s="355">
        <v>0</v>
      </c>
      <c r="O765" s="355">
        <v>0</v>
      </c>
      <c r="P765" s="355">
        <v>0</v>
      </c>
      <c r="Q765" s="355">
        <v>0</v>
      </c>
      <c r="R765" s="355">
        <v>0</v>
      </c>
      <c r="S765" s="355">
        <v>0</v>
      </c>
      <c r="T765" s="355">
        <v>0</v>
      </c>
      <c r="U765" s="356">
        <v>0</v>
      </c>
      <c r="V765" s="357">
        <v>0</v>
      </c>
      <c r="W765" s="358"/>
      <c r="X765" s="359">
        <v>0</v>
      </c>
      <c r="Y765" s="360">
        <v>0</v>
      </c>
      <c r="AA765" s="388"/>
    </row>
    <row r="766" spans="4:27" hidden="1" collapsed="1" x14ac:dyDescent="0.3">
      <c r="D766" s="293" t="s">
        <v>1728</v>
      </c>
      <c r="E766" s="294"/>
      <c r="F766" s="295"/>
      <c r="G766" s="296"/>
      <c r="H766" s="297"/>
      <c r="I766" s="298"/>
      <c r="J766" s="299">
        <v>0</v>
      </c>
      <c r="K766" s="300">
        <v>0</v>
      </c>
      <c r="L766" s="300">
        <v>0</v>
      </c>
      <c r="M766" s="300">
        <v>0</v>
      </c>
      <c r="N766" s="300">
        <v>0</v>
      </c>
      <c r="O766" s="300">
        <v>0</v>
      </c>
      <c r="P766" s="300">
        <v>0</v>
      </c>
      <c r="Q766" s="300">
        <v>0</v>
      </c>
      <c r="R766" s="300">
        <v>0</v>
      </c>
      <c r="S766" s="300">
        <v>0</v>
      </c>
      <c r="T766" s="300">
        <v>0</v>
      </c>
      <c r="U766" s="301">
        <v>0</v>
      </c>
      <c r="V766" s="302">
        <v>0</v>
      </c>
      <c r="W766" s="303"/>
      <c r="X766" s="304">
        <v>0</v>
      </c>
      <c r="Y766" s="305">
        <v>0</v>
      </c>
      <c r="AA766" s="388"/>
    </row>
    <row r="767" spans="4:27" s="326" customFormat="1" hidden="1" outlineLevel="2" x14ac:dyDescent="0.3">
      <c r="E767" s="326" t="s">
        <v>1729</v>
      </c>
      <c r="F767" s="336"/>
      <c r="G767" s="327"/>
      <c r="H767" s="328"/>
      <c r="I767" s="329"/>
      <c r="J767" s="338">
        <v>0</v>
      </c>
      <c r="K767" s="330">
        <v>0</v>
      </c>
      <c r="L767" s="330">
        <v>0</v>
      </c>
      <c r="M767" s="330">
        <v>0</v>
      </c>
      <c r="N767" s="330">
        <v>0</v>
      </c>
      <c r="O767" s="330">
        <v>0</v>
      </c>
      <c r="P767" s="330">
        <v>0</v>
      </c>
      <c r="Q767" s="330">
        <v>0</v>
      </c>
      <c r="R767" s="330">
        <v>0</v>
      </c>
      <c r="S767" s="330">
        <v>0</v>
      </c>
      <c r="T767" s="330">
        <v>0</v>
      </c>
      <c r="U767" s="331">
        <v>0</v>
      </c>
      <c r="V767" s="332">
        <v>0</v>
      </c>
      <c r="W767" s="333"/>
      <c r="X767" s="334">
        <v>0</v>
      </c>
      <c r="Y767" s="335">
        <v>0</v>
      </c>
      <c r="AA767" s="388"/>
    </row>
    <row r="768" spans="4:27" s="326" customFormat="1" hidden="1" outlineLevel="2" x14ac:dyDescent="0.3">
      <c r="E768" s="326" t="s">
        <v>1730</v>
      </c>
      <c r="F768" s="336"/>
      <c r="G768" s="327"/>
      <c r="H768" s="328"/>
      <c r="I768" s="329"/>
      <c r="J768" s="338">
        <v>0</v>
      </c>
      <c r="K768" s="330">
        <v>0</v>
      </c>
      <c r="L768" s="330">
        <v>0</v>
      </c>
      <c r="M768" s="330">
        <v>0</v>
      </c>
      <c r="N768" s="330">
        <v>0</v>
      </c>
      <c r="O768" s="330">
        <v>0</v>
      </c>
      <c r="P768" s="330">
        <v>0</v>
      </c>
      <c r="Q768" s="330">
        <v>0</v>
      </c>
      <c r="R768" s="330">
        <v>0</v>
      </c>
      <c r="S768" s="330">
        <v>0</v>
      </c>
      <c r="T768" s="330">
        <v>0</v>
      </c>
      <c r="U768" s="331">
        <v>0</v>
      </c>
      <c r="V768" s="332">
        <v>0</v>
      </c>
      <c r="W768" s="333"/>
      <c r="X768" s="334">
        <v>0</v>
      </c>
      <c r="Y768" s="335">
        <v>0</v>
      </c>
      <c r="AA768" s="388"/>
    </row>
    <row r="769" spans="1:27" s="326" customFormat="1" hidden="1" outlineLevel="2" x14ac:dyDescent="0.3">
      <c r="E769" s="326" t="s">
        <v>1731</v>
      </c>
      <c r="F769" s="336"/>
      <c r="G769" s="327"/>
      <c r="H769" s="328"/>
      <c r="I769" s="329"/>
      <c r="J769" s="338">
        <v>0</v>
      </c>
      <c r="K769" s="330">
        <v>0</v>
      </c>
      <c r="L769" s="330">
        <v>0</v>
      </c>
      <c r="M769" s="330">
        <v>0</v>
      </c>
      <c r="N769" s="330">
        <v>0</v>
      </c>
      <c r="O769" s="330">
        <v>0</v>
      </c>
      <c r="P769" s="330">
        <v>0</v>
      </c>
      <c r="Q769" s="330">
        <v>0</v>
      </c>
      <c r="R769" s="330">
        <v>0</v>
      </c>
      <c r="S769" s="330">
        <v>0</v>
      </c>
      <c r="T769" s="330">
        <v>0</v>
      </c>
      <c r="U769" s="331">
        <v>0</v>
      </c>
      <c r="V769" s="332">
        <v>0</v>
      </c>
      <c r="W769" s="333"/>
      <c r="X769" s="334">
        <v>0</v>
      </c>
      <c r="Y769" s="335">
        <v>0</v>
      </c>
      <c r="AA769" s="388"/>
    </row>
    <row r="770" spans="1:27" hidden="1" collapsed="1" x14ac:dyDescent="0.3">
      <c r="D770" s="293" t="s">
        <v>1732</v>
      </c>
      <c r="E770" s="294"/>
      <c r="F770" s="295"/>
      <c r="G770" s="296"/>
      <c r="H770" s="297"/>
      <c r="I770" s="298"/>
      <c r="J770" s="299">
        <v>0</v>
      </c>
      <c r="K770" s="300">
        <v>0</v>
      </c>
      <c r="L770" s="300">
        <v>0</v>
      </c>
      <c r="M770" s="300">
        <v>0</v>
      </c>
      <c r="N770" s="300">
        <v>0</v>
      </c>
      <c r="O770" s="300">
        <v>0</v>
      </c>
      <c r="P770" s="300">
        <v>0</v>
      </c>
      <c r="Q770" s="300">
        <v>0</v>
      </c>
      <c r="R770" s="300">
        <v>0</v>
      </c>
      <c r="S770" s="300">
        <v>0</v>
      </c>
      <c r="T770" s="300">
        <v>0</v>
      </c>
      <c r="U770" s="301">
        <v>0</v>
      </c>
      <c r="V770" s="302">
        <v>0</v>
      </c>
      <c r="W770" s="303"/>
      <c r="X770" s="304">
        <v>0</v>
      </c>
      <c r="Y770" s="305">
        <v>0</v>
      </c>
      <c r="AA770" s="388"/>
    </row>
    <row r="771" spans="1:27" s="326" customFormat="1" hidden="1" outlineLevel="2" x14ac:dyDescent="0.3">
      <c r="E771" s="326" t="s">
        <v>1733</v>
      </c>
      <c r="F771" s="336"/>
      <c r="G771" s="327"/>
      <c r="H771" s="328"/>
      <c r="I771" s="329"/>
      <c r="J771" s="338">
        <v>0</v>
      </c>
      <c r="K771" s="330">
        <v>0</v>
      </c>
      <c r="L771" s="330">
        <v>0</v>
      </c>
      <c r="M771" s="330">
        <v>0</v>
      </c>
      <c r="N771" s="330">
        <v>0</v>
      </c>
      <c r="O771" s="330">
        <v>0</v>
      </c>
      <c r="P771" s="330">
        <v>0</v>
      </c>
      <c r="Q771" s="330">
        <v>0</v>
      </c>
      <c r="R771" s="330">
        <v>0</v>
      </c>
      <c r="S771" s="330">
        <v>0</v>
      </c>
      <c r="T771" s="330">
        <v>0</v>
      </c>
      <c r="U771" s="331">
        <v>0</v>
      </c>
      <c r="V771" s="332">
        <v>0</v>
      </c>
      <c r="W771" s="333"/>
      <c r="X771" s="334">
        <v>0</v>
      </c>
      <c r="Y771" s="335">
        <v>0</v>
      </c>
      <c r="AA771" s="388"/>
    </row>
    <row r="772" spans="1:27" s="326" customFormat="1" hidden="1" outlineLevel="2" x14ac:dyDescent="0.3">
      <c r="E772" s="326" t="s">
        <v>1734</v>
      </c>
      <c r="F772" s="336"/>
      <c r="G772" s="327"/>
      <c r="H772" s="328"/>
      <c r="I772" s="329"/>
      <c r="J772" s="338">
        <v>0</v>
      </c>
      <c r="K772" s="330">
        <v>0</v>
      </c>
      <c r="L772" s="330">
        <v>0</v>
      </c>
      <c r="M772" s="330">
        <v>0</v>
      </c>
      <c r="N772" s="330">
        <v>0</v>
      </c>
      <c r="O772" s="330">
        <v>0</v>
      </c>
      <c r="P772" s="330">
        <v>0</v>
      </c>
      <c r="Q772" s="330">
        <v>0</v>
      </c>
      <c r="R772" s="330">
        <v>0</v>
      </c>
      <c r="S772" s="330">
        <v>0</v>
      </c>
      <c r="T772" s="330">
        <v>0</v>
      </c>
      <c r="U772" s="331">
        <v>0</v>
      </c>
      <c r="V772" s="332">
        <v>0</v>
      </c>
      <c r="W772" s="333"/>
      <c r="X772" s="334">
        <v>0</v>
      </c>
      <c r="Y772" s="335">
        <v>0</v>
      </c>
      <c r="AA772" s="388"/>
    </row>
    <row r="773" spans="1:27" s="326" customFormat="1" hidden="1" outlineLevel="2" x14ac:dyDescent="0.3">
      <c r="E773" s="326" t="s">
        <v>1735</v>
      </c>
      <c r="F773" s="336"/>
      <c r="G773" s="327"/>
      <c r="H773" s="328"/>
      <c r="I773" s="329"/>
      <c r="J773" s="338">
        <v>0</v>
      </c>
      <c r="K773" s="330">
        <v>0</v>
      </c>
      <c r="L773" s="330">
        <v>0</v>
      </c>
      <c r="M773" s="330">
        <v>0</v>
      </c>
      <c r="N773" s="330">
        <v>0</v>
      </c>
      <c r="O773" s="330">
        <v>0</v>
      </c>
      <c r="P773" s="330">
        <v>0</v>
      </c>
      <c r="Q773" s="330">
        <v>0</v>
      </c>
      <c r="R773" s="330">
        <v>0</v>
      </c>
      <c r="S773" s="330">
        <v>0</v>
      </c>
      <c r="T773" s="330">
        <v>0</v>
      </c>
      <c r="U773" s="331">
        <v>0</v>
      </c>
      <c r="V773" s="332">
        <v>0</v>
      </c>
      <c r="W773" s="333"/>
      <c r="X773" s="334">
        <v>0</v>
      </c>
      <c r="Y773" s="335">
        <v>0</v>
      </c>
      <c r="AA773" s="388"/>
    </row>
    <row r="774" spans="1:27" s="2" customFormat="1" ht="16.5" customHeight="1" collapsed="1" x14ac:dyDescent="0.3">
      <c r="A774" s="248" t="s">
        <v>50</v>
      </c>
      <c r="B774" s="248"/>
      <c r="C774" s="267" t="s">
        <v>1736</v>
      </c>
      <c r="D774" s="267"/>
      <c r="E774" s="268"/>
      <c r="F774" s="269"/>
      <c r="G774" s="270"/>
      <c r="H774" s="271"/>
      <c r="I774" s="272"/>
      <c r="J774" s="273">
        <v>11102134.829000026</v>
      </c>
      <c r="K774" s="274">
        <v>4853291.0960000455</v>
      </c>
      <c r="L774" s="274">
        <v>31966566.772000074</v>
      </c>
      <c r="M774" s="274">
        <v>27775939.751000047</v>
      </c>
      <c r="N774" s="274">
        <v>33774966.452000529</v>
      </c>
      <c r="O774" s="274">
        <v>25602437.041999996</v>
      </c>
      <c r="P774" s="274">
        <v>30346617.000999957</v>
      </c>
      <c r="Q774" s="274">
        <v>35221917.112999797</v>
      </c>
      <c r="R774" s="274">
        <v>35476358.012000203</v>
      </c>
      <c r="S774" s="274">
        <v>33117011.47600013</v>
      </c>
      <c r="T774" s="274">
        <v>28657217.580999911</v>
      </c>
      <c r="U774" s="275">
        <v>-7621906.5120000243</v>
      </c>
      <c r="V774" s="276">
        <v>290272550.61300039</v>
      </c>
      <c r="W774" s="277"/>
      <c r="X774" s="278">
        <v>-7621906.5120000243</v>
      </c>
      <c r="Y774" s="279">
        <v>290272550.61300039</v>
      </c>
      <c r="AA774" s="388"/>
    </row>
    <row r="775" spans="1:27" ht="16.5" customHeight="1" collapsed="1" x14ac:dyDescent="0.3">
      <c r="A775" s="248" t="s">
        <v>72</v>
      </c>
      <c r="B775" s="248"/>
      <c r="C775" s="280" t="s">
        <v>1737</v>
      </c>
      <c r="D775" s="281"/>
      <c r="E775" s="282"/>
      <c r="F775" s="283"/>
      <c r="G775" s="284"/>
      <c r="H775" s="285"/>
      <c r="I775" s="286"/>
      <c r="J775" s="287">
        <v>3548732.5149999997</v>
      </c>
      <c r="K775" s="288">
        <v>2095639.5019999999</v>
      </c>
      <c r="L775" s="288">
        <v>3562727.2620000001</v>
      </c>
      <c r="M775" s="288">
        <v>1063821.088</v>
      </c>
      <c r="N775" s="288">
        <v>5994121.9960000003</v>
      </c>
      <c r="O775" s="288">
        <v>3781922.3729999992</v>
      </c>
      <c r="P775" s="288">
        <v>693805.84700000007</v>
      </c>
      <c r="Q775" s="288">
        <v>2294498.0949999997</v>
      </c>
      <c r="R775" s="288">
        <v>6773150.6159999995</v>
      </c>
      <c r="S775" s="288">
        <v>1223106.9560000002</v>
      </c>
      <c r="T775" s="288">
        <v>1682755.1070000001</v>
      </c>
      <c r="U775" s="289">
        <v>3100997.3189999992</v>
      </c>
      <c r="V775" s="290">
        <v>35815278.675999992</v>
      </c>
      <c r="W775" s="277"/>
      <c r="X775" s="291">
        <v>3100997.3189999992</v>
      </c>
      <c r="Y775" s="292">
        <v>35815278.675999992</v>
      </c>
      <c r="AA775" s="388"/>
    </row>
    <row r="776" spans="1:27" hidden="1" collapsed="1" x14ac:dyDescent="0.3">
      <c r="A776" s="233"/>
      <c r="B776" s="234" t="s">
        <v>51</v>
      </c>
      <c r="D776" s="293" t="s">
        <v>1738</v>
      </c>
      <c r="E776" s="294"/>
      <c r="F776" s="295" t="s">
        <v>1739</v>
      </c>
      <c r="G776" s="296"/>
      <c r="H776" s="297"/>
      <c r="I776" s="298"/>
      <c r="J776" s="299">
        <v>1804387.59</v>
      </c>
      <c r="K776" s="300">
        <v>21025.359</v>
      </c>
      <c r="L776" s="300">
        <v>113483.49500000001</v>
      </c>
      <c r="M776" s="300">
        <v>14342.116</v>
      </c>
      <c r="N776" s="300">
        <v>32910.327000000005</v>
      </c>
      <c r="O776" s="300">
        <v>61765.407999999996</v>
      </c>
      <c r="P776" s="300">
        <v>26495.8</v>
      </c>
      <c r="Q776" s="300">
        <v>13689.78</v>
      </c>
      <c r="R776" s="300">
        <v>3620611.1970000002</v>
      </c>
      <c r="S776" s="300">
        <v>28721</v>
      </c>
      <c r="T776" s="300">
        <v>3294.4760000000001</v>
      </c>
      <c r="U776" s="301">
        <v>9006.4380000000001</v>
      </c>
      <c r="V776" s="302">
        <v>5749732.9860000005</v>
      </c>
      <c r="W776" s="303"/>
      <c r="X776" s="304">
        <v>9006.4380000000001</v>
      </c>
      <c r="Y776" s="305">
        <v>5749732.9860000005</v>
      </c>
      <c r="AA776" s="388"/>
    </row>
    <row r="777" spans="1:27" hidden="1" outlineLevel="1" x14ac:dyDescent="0.3">
      <c r="E777" s="250" t="s">
        <v>1740</v>
      </c>
      <c r="F777" s="317">
        <v>4403082</v>
      </c>
      <c r="G777" s="318"/>
      <c r="H777" s="319">
        <v>7101010101</v>
      </c>
      <c r="I777" s="320"/>
      <c r="J777" s="337">
        <v>0</v>
      </c>
      <c r="K777" s="321">
        <v>0</v>
      </c>
      <c r="L777" s="321">
        <v>0</v>
      </c>
      <c r="M777" s="321">
        <v>0</v>
      </c>
      <c r="N777" s="321">
        <v>0</v>
      </c>
      <c r="O777" s="321">
        <v>0</v>
      </c>
      <c r="P777" s="321">
        <v>0</v>
      </c>
      <c r="Q777" s="321">
        <v>0</v>
      </c>
      <c r="R777" s="321">
        <v>3220205.091</v>
      </c>
      <c r="S777" s="321">
        <v>0</v>
      </c>
      <c r="T777" s="321">
        <v>0</v>
      </c>
      <c r="U777" s="322">
        <v>0</v>
      </c>
      <c r="V777" s="323">
        <v>3220205.091</v>
      </c>
      <c r="W777" s="303"/>
      <c r="X777" s="324">
        <v>0</v>
      </c>
      <c r="Y777" s="325">
        <v>3220205.091</v>
      </c>
      <c r="AA777" s="388"/>
    </row>
    <row r="778" spans="1:27" hidden="1" outlineLevel="1" x14ac:dyDescent="0.3">
      <c r="E778" s="250" t="s">
        <v>1741</v>
      </c>
      <c r="F778" s="317">
        <v>4403083</v>
      </c>
      <c r="G778" s="318"/>
      <c r="H778" s="319"/>
      <c r="I778" s="320"/>
      <c r="J778" s="337">
        <v>1799999</v>
      </c>
      <c r="K778" s="321">
        <v>0</v>
      </c>
      <c r="L778" s="321">
        <v>0</v>
      </c>
      <c r="M778" s="321">
        <v>0</v>
      </c>
      <c r="N778" s="321">
        <v>0</v>
      </c>
      <c r="O778" s="321">
        <v>0</v>
      </c>
      <c r="P778" s="321">
        <v>0</v>
      </c>
      <c r="Q778" s="321">
        <v>0</v>
      </c>
      <c r="R778" s="321">
        <v>302948.00400000002</v>
      </c>
      <c r="S778" s="321">
        <v>0</v>
      </c>
      <c r="T778" s="321">
        <v>0</v>
      </c>
      <c r="U778" s="322">
        <v>0</v>
      </c>
      <c r="V778" s="323">
        <v>2102947.0040000002</v>
      </c>
      <c r="W778" s="303"/>
      <c r="X778" s="324">
        <v>0</v>
      </c>
      <c r="Y778" s="325">
        <v>2102947.0040000002</v>
      </c>
      <c r="AA778" s="388"/>
    </row>
    <row r="779" spans="1:27" hidden="1" outlineLevel="1" x14ac:dyDescent="0.3">
      <c r="E779" s="250" t="s">
        <v>1742</v>
      </c>
      <c r="F779" s="317">
        <v>4403092</v>
      </c>
      <c r="G779" s="318"/>
      <c r="H779" s="319"/>
      <c r="I779" s="320"/>
      <c r="J779" s="337">
        <v>0</v>
      </c>
      <c r="K779" s="321">
        <v>0</v>
      </c>
      <c r="L779" s="321">
        <v>0</v>
      </c>
      <c r="M779" s="321">
        <v>0</v>
      </c>
      <c r="N779" s="321">
        <v>0</v>
      </c>
      <c r="O779" s="321">
        <v>0</v>
      </c>
      <c r="P779" s="321">
        <v>0</v>
      </c>
      <c r="Q779" s="321">
        <v>0</v>
      </c>
      <c r="R779" s="321">
        <v>0</v>
      </c>
      <c r="S779" s="321">
        <v>0</v>
      </c>
      <c r="T779" s="321">
        <v>0</v>
      </c>
      <c r="U779" s="322">
        <v>0</v>
      </c>
      <c r="V779" s="323">
        <v>0</v>
      </c>
      <c r="W779" s="303"/>
      <c r="X779" s="324">
        <v>0</v>
      </c>
      <c r="Y779" s="325">
        <v>0</v>
      </c>
      <c r="AA779" s="388"/>
    </row>
    <row r="780" spans="1:27" hidden="1" outlineLevel="1" x14ac:dyDescent="0.3">
      <c r="A780" s="326"/>
      <c r="B780" s="326"/>
      <c r="E780" s="250" t="s">
        <v>1743</v>
      </c>
      <c r="F780" s="317">
        <v>4403084</v>
      </c>
      <c r="G780" s="318"/>
      <c r="H780" s="319"/>
      <c r="I780" s="320"/>
      <c r="J780" s="337">
        <v>0</v>
      </c>
      <c r="K780" s="321">
        <v>0</v>
      </c>
      <c r="L780" s="321">
        <v>0</v>
      </c>
      <c r="M780" s="321">
        <v>0</v>
      </c>
      <c r="N780" s="321">
        <v>0</v>
      </c>
      <c r="O780" s="321">
        <v>0</v>
      </c>
      <c r="P780" s="321">
        <v>0</v>
      </c>
      <c r="Q780" s="321">
        <v>0</v>
      </c>
      <c r="R780" s="321">
        <v>0</v>
      </c>
      <c r="S780" s="321">
        <v>0</v>
      </c>
      <c r="T780" s="321">
        <v>0</v>
      </c>
      <c r="U780" s="322">
        <v>0</v>
      </c>
      <c r="V780" s="323">
        <v>0</v>
      </c>
      <c r="W780" s="303"/>
      <c r="X780" s="324">
        <v>0</v>
      </c>
      <c r="Y780" s="325">
        <v>0</v>
      </c>
      <c r="AA780" s="388"/>
    </row>
    <row r="781" spans="1:27" hidden="1" outlineLevel="1" x14ac:dyDescent="0.3">
      <c r="A781" s="326"/>
      <c r="B781" s="326"/>
      <c r="E781" s="250" t="s">
        <v>1744</v>
      </c>
      <c r="F781" s="317">
        <v>4403089</v>
      </c>
      <c r="G781" s="318"/>
      <c r="H781" s="319"/>
      <c r="I781" s="320"/>
      <c r="J781" s="337">
        <v>6.2690000000000001</v>
      </c>
      <c r="K781" s="321">
        <v>158.69300000000001</v>
      </c>
      <c r="L781" s="321">
        <v>51992.600000000006</v>
      </c>
      <c r="M781" s="321">
        <v>6.016</v>
      </c>
      <c r="N781" s="321">
        <v>11392.2</v>
      </c>
      <c r="O781" s="321">
        <v>0</v>
      </c>
      <c r="P781" s="321">
        <v>0</v>
      </c>
      <c r="Q781" s="321">
        <v>0</v>
      </c>
      <c r="R781" s="321">
        <v>15048</v>
      </c>
      <c r="S781" s="321">
        <v>0</v>
      </c>
      <c r="T781" s="321">
        <v>5.4109999999999996</v>
      </c>
      <c r="U781" s="322">
        <v>14.367000000000001</v>
      </c>
      <c r="V781" s="323">
        <v>78623.555999999997</v>
      </c>
      <c r="W781" s="303"/>
      <c r="X781" s="324">
        <v>14.367000000000001</v>
      </c>
      <c r="Y781" s="325">
        <v>78623.555999999997</v>
      </c>
      <c r="AA781" s="388"/>
    </row>
    <row r="782" spans="1:27" hidden="1" outlineLevel="1" x14ac:dyDescent="0.3">
      <c r="E782" s="250" t="s">
        <v>1745</v>
      </c>
      <c r="F782" s="317">
        <v>4403085</v>
      </c>
      <c r="G782" s="318"/>
      <c r="H782" s="319"/>
      <c r="I782" s="320"/>
      <c r="J782" s="337">
        <v>0</v>
      </c>
      <c r="K782" s="321">
        <v>0</v>
      </c>
      <c r="L782" s="321">
        <v>0</v>
      </c>
      <c r="M782" s="321">
        <v>0</v>
      </c>
      <c r="N782" s="321">
        <v>0</v>
      </c>
      <c r="O782" s="321">
        <v>43389</v>
      </c>
      <c r="P782" s="321">
        <v>0</v>
      </c>
      <c r="Q782" s="321">
        <v>0</v>
      </c>
      <c r="R782" s="321">
        <v>0</v>
      </c>
      <c r="S782" s="321">
        <v>0</v>
      </c>
      <c r="T782" s="321">
        <v>0</v>
      </c>
      <c r="U782" s="322">
        <v>0</v>
      </c>
      <c r="V782" s="323">
        <v>43389</v>
      </c>
      <c r="W782" s="303"/>
      <c r="X782" s="324">
        <v>0</v>
      </c>
      <c r="Y782" s="325">
        <v>43389</v>
      </c>
      <c r="AA782" s="388"/>
    </row>
    <row r="783" spans="1:27" hidden="1" outlineLevel="1" x14ac:dyDescent="0.3">
      <c r="E783" s="250" t="s">
        <v>1746</v>
      </c>
      <c r="F783" s="317">
        <v>4403088</v>
      </c>
      <c r="G783" s="318"/>
      <c r="H783" s="319"/>
      <c r="I783" s="320"/>
      <c r="J783" s="337">
        <v>0</v>
      </c>
      <c r="K783" s="321">
        <v>34.1</v>
      </c>
      <c r="L783" s="321">
        <v>194.3</v>
      </c>
      <c r="M783" s="321">
        <v>0</v>
      </c>
      <c r="N783" s="321">
        <v>12</v>
      </c>
      <c r="O783" s="321">
        <v>0</v>
      </c>
      <c r="P783" s="321">
        <v>0</v>
      </c>
      <c r="Q783" s="321">
        <v>0</v>
      </c>
      <c r="R783" s="321">
        <v>312</v>
      </c>
      <c r="S783" s="321">
        <v>0</v>
      </c>
      <c r="T783" s="321">
        <v>0</v>
      </c>
      <c r="U783" s="322">
        <v>0</v>
      </c>
      <c r="V783" s="323">
        <v>552.4</v>
      </c>
      <c r="W783" s="303"/>
      <c r="X783" s="324">
        <v>0</v>
      </c>
      <c r="Y783" s="325">
        <v>552.4</v>
      </c>
      <c r="AA783" s="388"/>
    </row>
    <row r="784" spans="1:27" hidden="1" outlineLevel="1" x14ac:dyDescent="0.3">
      <c r="E784" s="250" t="s">
        <v>1747</v>
      </c>
      <c r="F784" s="317">
        <v>4403093</v>
      </c>
      <c r="G784" s="318"/>
      <c r="H784" s="319"/>
      <c r="I784" s="320"/>
      <c r="J784" s="337">
        <v>0</v>
      </c>
      <c r="K784" s="321">
        <v>0</v>
      </c>
      <c r="L784" s="321">
        <v>0</v>
      </c>
      <c r="M784" s="321">
        <v>0</v>
      </c>
      <c r="N784" s="321">
        <v>0</v>
      </c>
      <c r="O784" s="321">
        <v>0</v>
      </c>
      <c r="P784" s="321">
        <v>0</v>
      </c>
      <c r="Q784" s="321">
        <v>0</v>
      </c>
      <c r="R784" s="321">
        <v>0</v>
      </c>
      <c r="S784" s="321">
        <v>0</v>
      </c>
      <c r="T784" s="321">
        <v>0</v>
      </c>
      <c r="U784" s="322">
        <v>0</v>
      </c>
      <c r="V784" s="323">
        <v>0</v>
      </c>
      <c r="W784" s="303"/>
      <c r="X784" s="324">
        <v>0</v>
      </c>
      <c r="Y784" s="325">
        <v>0</v>
      </c>
      <c r="AA784" s="388"/>
    </row>
    <row r="785" spans="1:27" hidden="1" outlineLevel="1" x14ac:dyDescent="0.3">
      <c r="E785" s="250" t="s">
        <v>1748</v>
      </c>
      <c r="F785" s="317">
        <v>4403087</v>
      </c>
      <c r="G785" s="318"/>
      <c r="H785" s="319"/>
      <c r="I785" s="320"/>
      <c r="J785" s="337">
        <v>4382.3209999999999</v>
      </c>
      <c r="K785" s="321">
        <v>20832.565999999999</v>
      </c>
      <c r="L785" s="321">
        <v>61296.595000000001</v>
      </c>
      <c r="M785" s="321">
        <v>14336.1</v>
      </c>
      <c r="N785" s="321">
        <v>21506.127</v>
      </c>
      <c r="O785" s="321">
        <v>18376.407999999999</v>
      </c>
      <c r="P785" s="321">
        <v>26495.8</v>
      </c>
      <c r="Q785" s="321">
        <v>13689.78</v>
      </c>
      <c r="R785" s="321">
        <v>82098.101999999999</v>
      </c>
      <c r="S785" s="321">
        <v>28721</v>
      </c>
      <c r="T785" s="321">
        <v>3289.0650000000001</v>
      </c>
      <c r="U785" s="322">
        <v>8992.0709999999999</v>
      </c>
      <c r="V785" s="323">
        <v>304015.935</v>
      </c>
      <c r="W785" s="303"/>
      <c r="X785" s="324">
        <v>8992.0709999999999</v>
      </c>
      <c r="Y785" s="325">
        <v>304015.935</v>
      </c>
      <c r="AA785" s="388"/>
    </row>
    <row r="786" spans="1:27" hidden="1" outlineLevel="1" x14ac:dyDescent="0.3">
      <c r="E786" s="250" t="s">
        <v>1749</v>
      </c>
      <c r="F786" s="317">
        <v>4403090</v>
      </c>
      <c r="G786" s="318"/>
      <c r="H786" s="319"/>
      <c r="I786" s="320"/>
      <c r="J786" s="337">
        <v>0</v>
      </c>
      <c r="K786" s="321">
        <v>0</v>
      </c>
      <c r="L786" s="321">
        <v>0</v>
      </c>
      <c r="M786" s="321">
        <v>0</v>
      </c>
      <c r="N786" s="321">
        <v>0</v>
      </c>
      <c r="O786" s="321">
        <v>0</v>
      </c>
      <c r="P786" s="321">
        <v>0</v>
      </c>
      <c r="Q786" s="321">
        <v>0</v>
      </c>
      <c r="R786" s="321">
        <v>0</v>
      </c>
      <c r="S786" s="321">
        <v>0</v>
      </c>
      <c r="T786" s="321">
        <v>0</v>
      </c>
      <c r="U786" s="322">
        <v>0</v>
      </c>
      <c r="V786" s="323">
        <v>0</v>
      </c>
      <c r="W786" s="303"/>
      <c r="X786" s="324">
        <v>0</v>
      </c>
      <c r="Y786" s="325">
        <v>0</v>
      </c>
      <c r="AA786" s="388"/>
    </row>
    <row r="787" spans="1:27" hidden="1" outlineLevel="1" x14ac:dyDescent="0.3">
      <c r="E787" s="250" t="s">
        <v>1750</v>
      </c>
      <c r="F787" s="317">
        <v>4403094</v>
      </c>
      <c r="G787" s="318"/>
      <c r="H787" s="319"/>
      <c r="I787" s="320"/>
      <c r="J787" s="337">
        <v>0</v>
      </c>
      <c r="K787" s="321">
        <v>0</v>
      </c>
      <c r="L787" s="321">
        <v>0</v>
      </c>
      <c r="M787" s="321">
        <v>0</v>
      </c>
      <c r="N787" s="321">
        <v>0</v>
      </c>
      <c r="O787" s="321">
        <v>0</v>
      </c>
      <c r="P787" s="321">
        <v>0</v>
      </c>
      <c r="Q787" s="321">
        <v>0</v>
      </c>
      <c r="R787" s="321">
        <v>0</v>
      </c>
      <c r="S787" s="321">
        <v>0</v>
      </c>
      <c r="T787" s="321">
        <v>0</v>
      </c>
      <c r="U787" s="322">
        <v>0</v>
      </c>
      <c r="V787" s="323">
        <v>0</v>
      </c>
      <c r="W787" s="303"/>
      <c r="X787" s="324">
        <v>0</v>
      </c>
      <c r="Y787" s="325">
        <v>0</v>
      </c>
      <c r="AA787" s="388"/>
    </row>
    <row r="788" spans="1:27" hidden="1" outlineLevel="1" x14ac:dyDescent="0.3">
      <c r="E788" s="250" t="s">
        <v>1751</v>
      </c>
      <c r="F788" s="317">
        <v>4403086</v>
      </c>
      <c r="G788" s="318"/>
      <c r="H788" s="319"/>
      <c r="I788" s="320"/>
      <c r="J788" s="337">
        <v>0</v>
      </c>
      <c r="K788" s="321">
        <v>0</v>
      </c>
      <c r="L788" s="321">
        <v>0</v>
      </c>
      <c r="M788" s="321">
        <v>0</v>
      </c>
      <c r="N788" s="321">
        <v>0</v>
      </c>
      <c r="O788" s="321">
        <v>0</v>
      </c>
      <c r="P788" s="321">
        <v>0</v>
      </c>
      <c r="Q788" s="321">
        <v>0</v>
      </c>
      <c r="R788" s="321">
        <v>0</v>
      </c>
      <c r="S788" s="321">
        <v>0</v>
      </c>
      <c r="T788" s="321">
        <v>0</v>
      </c>
      <c r="U788" s="322">
        <v>0</v>
      </c>
      <c r="V788" s="323">
        <v>0</v>
      </c>
      <c r="W788" s="303"/>
      <c r="X788" s="324">
        <v>0</v>
      </c>
      <c r="Y788" s="325">
        <v>0</v>
      </c>
      <c r="AA788" s="388"/>
    </row>
    <row r="789" spans="1:27" hidden="1" outlineLevel="1" x14ac:dyDescent="0.3">
      <c r="E789" s="250" t="s">
        <v>1752</v>
      </c>
      <c r="F789" s="317">
        <v>4403091</v>
      </c>
      <c r="G789" s="318"/>
      <c r="H789" s="319"/>
      <c r="I789" s="320"/>
      <c r="J789" s="337">
        <v>0</v>
      </c>
      <c r="K789" s="321">
        <v>0</v>
      </c>
      <c r="L789" s="321">
        <v>0</v>
      </c>
      <c r="M789" s="321">
        <v>0</v>
      </c>
      <c r="N789" s="321">
        <v>0</v>
      </c>
      <c r="O789" s="321">
        <v>0</v>
      </c>
      <c r="P789" s="321">
        <v>0</v>
      </c>
      <c r="Q789" s="321">
        <v>0</v>
      </c>
      <c r="R789" s="321">
        <v>0</v>
      </c>
      <c r="S789" s="321">
        <v>0</v>
      </c>
      <c r="T789" s="321">
        <v>0</v>
      </c>
      <c r="U789" s="322">
        <v>0</v>
      </c>
      <c r="V789" s="323">
        <v>0</v>
      </c>
      <c r="W789" s="303"/>
      <c r="X789" s="324">
        <v>0</v>
      </c>
      <c r="Y789" s="325">
        <v>0</v>
      </c>
      <c r="AA789" s="388"/>
    </row>
    <row r="790" spans="1:27" hidden="1" outlineLevel="1" x14ac:dyDescent="0.3">
      <c r="E790" s="250" t="s">
        <v>1753</v>
      </c>
      <c r="F790" s="317">
        <v>4403099</v>
      </c>
      <c r="G790" s="318"/>
      <c r="H790" s="319"/>
      <c r="I790" s="320"/>
      <c r="J790" s="337">
        <v>0</v>
      </c>
      <c r="K790" s="321">
        <v>0</v>
      </c>
      <c r="L790" s="321">
        <v>0</v>
      </c>
      <c r="M790" s="321">
        <v>0</v>
      </c>
      <c r="N790" s="321">
        <v>0</v>
      </c>
      <c r="O790" s="321">
        <v>0</v>
      </c>
      <c r="P790" s="321">
        <v>0</v>
      </c>
      <c r="Q790" s="321">
        <v>0</v>
      </c>
      <c r="R790" s="321">
        <v>0</v>
      </c>
      <c r="S790" s="321">
        <v>0</v>
      </c>
      <c r="T790" s="321">
        <v>0</v>
      </c>
      <c r="U790" s="322">
        <v>0</v>
      </c>
      <c r="V790" s="323">
        <v>0</v>
      </c>
      <c r="W790" s="303"/>
      <c r="X790" s="324">
        <v>0</v>
      </c>
      <c r="Y790" s="325">
        <v>0</v>
      </c>
      <c r="AA790" s="388"/>
    </row>
    <row r="791" spans="1:27" s="361" customFormat="1" hidden="1" outlineLevel="2" x14ac:dyDescent="0.3">
      <c r="E791" s="326" t="s">
        <v>1754</v>
      </c>
      <c r="F791" s="351"/>
      <c r="G791" s="352"/>
      <c r="H791" s="353"/>
      <c r="I791" s="354"/>
      <c r="J791" s="362">
        <v>0</v>
      </c>
      <c r="K791" s="355">
        <v>0</v>
      </c>
      <c r="L791" s="355">
        <v>0</v>
      </c>
      <c r="M791" s="355">
        <v>0</v>
      </c>
      <c r="N791" s="355">
        <v>0</v>
      </c>
      <c r="O791" s="355">
        <v>0</v>
      </c>
      <c r="P791" s="355">
        <v>0</v>
      </c>
      <c r="Q791" s="355">
        <v>0</v>
      </c>
      <c r="R791" s="355">
        <v>0</v>
      </c>
      <c r="S791" s="355">
        <v>0</v>
      </c>
      <c r="T791" s="355">
        <v>0</v>
      </c>
      <c r="U791" s="356">
        <v>0</v>
      </c>
      <c r="V791" s="357">
        <v>0</v>
      </c>
      <c r="W791" s="358"/>
      <c r="X791" s="359">
        <v>0</v>
      </c>
      <c r="Y791" s="360">
        <v>0</v>
      </c>
      <c r="AA791" s="388"/>
    </row>
    <row r="792" spans="1:27" s="361" customFormat="1" hidden="1" outlineLevel="2" x14ac:dyDescent="0.3">
      <c r="E792" s="326" t="s">
        <v>1754</v>
      </c>
      <c r="F792" s="351"/>
      <c r="G792" s="352"/>
      <c r="H792" s="353"/>
      <c r="I792" s="354"/>
      <c r="J792" s="362">
        <v>0</v>
      </c>
      <c r="K792" s="355">
        <v>0</v>
      </c>
      <c r="L792" s="355">
        <v>0</v>
      </c>
      <c r="M792" s="355">
        <v>0</v>
      </c>
      <c r="N792" s="355">
        <v>0</v>
      </c>
      <c r="O792" s="355">
        <v>0</v>
      </c>
      <c r="P792" s="355">
        <v>0</v>
      </c>
      <c r="Q792" s="355">
        <v>0</v>
      </c>
      <c r="R792" s="355">
        <v>0</v>
      </c>
      <c r="S792" s="355">
        <v>0</v>
      </c>
      <c r="T792" s="355">
        <v>0</v>
      </c>
      <c r="U792" s="356">
        <v>0</v>
      </c>
      <c r="V792" s="357">
        <v>0</v>
      </c>
      <c r="W792" s="358"/>
      <c r="X792" s="359">
        <v>0</v>
      </c>
      <c r="Y792" s="360">
        <v>0</v>
      </c>
      <c r="AA792" s="388"/>
    </row>
    <row r="793" spans="1:27" s="361" customFormat="1" hidden="1" outlineLevel="2" x14ac:dyDescent="0.3">
      <c r="E793" s="326" t="s">
        <v>1755</v>
      </c>
      <c r="F793" s="351"/>
      <c r="G793" s="352"/>
      <c r="H793" s="353"/>
      <c r="I793" s="354"/>
      <c r="J793" s="362">
        <v>0</v>
      </c>
      <c r="K793" s="355">
        <v>0</v>
      </c>
      <c r="L793" s="355">
        <v>0</v>
      </c>
      <c r="M793" s="355">
        <v>0</v>
      </c>
      <c r="N793" s="355">
        <v>0</v>
      </c>
      <c r="O793" s="355">
        <v>0</v>
      </c>
      <c r="P793" s="355">
        <v>0</v>
      </c>
      <c r="Q793" s="355">
        <v>0</v>
      </c>
      <c r="R793" s="355">
        <v>0</v>
      </c>
      <c r="S793" s="355">
        <v>0</v>
      </c>
      <c r="T793" s="355">
        <v>0</v>
      </c>
      <c r="U793" s="356">
        <v>0</v>
      </c>
      <c r="V793" s="357">
        <v>0</v>
      </c>
      <c r="W793" s="358"/>
      <c r="X793" s="359">
        <v>0</v>
      </c>
      <c r="Y793" s="360">
        <v>0</v>
      </c>
      <c r="AA793" s="388"/>
    </row>
    <row r="794" spans="1:27" hidden="1" collapsed="1" x14ac:dyDescent="0.3">
      <c r="A794" s="233"/>
      <c r="B794" s="234" t="s">
        <v>52</v>
      </c>
      <c r="D794" s="293" t="s">
        <v>1756</v>
      </c>
      <c r="E794" s="294"/>
      <c r="F794" s="295" t="s">
        <v>1757</v>
      </c>
      <c r="G794" s="296"/>
      <c r="H794" s="297"/>
      <c r="I794" s="298"/>
      <c r="J794" s="299">
        <v>20000</v>
      </c>
      <c r="K794" s="300">
        <v>9190.9089999999997</v>
      </c>
      <c r="L794" s="300">
        <v>43000</v>
      </c>
      <c r="M794" s="300">
        <v>49181.817999999999</v>
      </c>
      <c r="N794" s="300">
        <v>41450</v>
      </c>
      <c r="O794" s="300">
        <v>29900</v>
      </c>
      <c r="P794" s="300">
        <v>29063.635999999999</v>
      </c>
      <c r="Q794" s="300">
        <v>37536.362999999998</v>
      </c>
      <c r="R794" s="300">
        <v>500</v>
      </c>
      <c r="S794" s="300">
        <v>40000</v>
      </c>
      <c r="T794" s="300">
        <v>116200</v>
      </c>
      <c r="U794" s="301">
        <v>5000</v>
      </c>
      <c r="V794" s="302">
        <v>421022.72600000002</v>
      </c>
      <c r="W794" s="303"/>
      <c r="X794" s="304">
        <v>5000</v>
      </c>
      <c r="Y794" s="305">
        <v>421022.72600000002</v>
      </c>
      <c r="AA794" s="388"/>
    </row>
    <row r="795" spans="1:27" hidden="1" outlineLevel="1" x14ac:dyDescent="0.3">
      <c r="E795" s="250" t="s">
        <v>1758</v>
      </c>
      <c r="F795" s="317">
        <v>4403589</v>
      </c>
      <c r="G795" s="318"/>
      <c r="H795" s="319">
        <v>7101050101</v>
      </c>
      <c r="I795" s="320"/>
      <c r="J795" s="337">
        <v>20000</v>
      </c>
      <c r="K795" s="321">
        <v>9190.9089999999997</v>
      </c>
      <c r="L795" s="321">
        <v>43000</v>
      </c>
      <c r="M795" s="321">
        <v>49181.817999999999</v>
      </c>
      <c r="N795" s="321">
        <v>41450</v>
      </c>
      <c r="O795" s="321">
        <v>29900</v>
      </c>
      <c r="P795" s="321">
        <v>29063.635999999999</v>
      </c>
      <c r="Q795" s="321">
        <v>37536.362999999998</v>
      </c>
      <c r="R795" s="321">
        <v>500</v>
      </c>
      <c r="S795" s="321">
        <v>40000</v>
      </c>
      <c r="T795" s="321">
        <v>116200</v>
      </c>
      <c r="U795" s="322">
        <v>5000</v>
      </c>
      <c r="V795" s="323">
        <v>421022.72600000002</v>
      </c>
      <c r="W795" s="303"/>
      <c r="X795" s="324">
        <v>5000</v>
      </c>
      <c r="Y795" s="325">
        <v>421022.72600000002</v>
      </c>
      <c r="AA795" s="388"/>
    </row>
    <row r="796" spans="1:27" hidden="1" outlineLevel="1" x14ac:dyDescent="0.3">
      <c r="E796" s="250" t="s">
        <v>1759</v>
      </c>
      <c r="F796" s="317">
        <v>4403594</v>
      </c>
      <c r="G796" s="318"/>
      <c r="H796" s="319"/>
      <c r="I796" s="320"/>
      <c r="J796" s="337">
        <v>0</v>
      </c>
      <c r="K796" s="321">
        <v>0</v>
      </c>
      <c r="L796" s="321">
        <v>0</v>
      </c>
      <c r="M796" s="321">
        <v>0</v>
      </c>
      <c r="N796" s="321">
        <v>0</v>
      </c>
      <c r="O796" s="321">
        <v>0</v>
      </c>
      <c r="P796" s="321">
        <v>0</v>
      </c>
      <c r="Q796" s="321">
        <v>0</v>
      </c>
      <c r="R796" s="321">
        <v>0</v>
      </c>
      <c r="S796" s="321">
        <v>0</v>
      </c>
      <c r="T796" s="321">
        <v>0</v>
      </c>
      <c r="U796" s="322">
        <v>0</v>
      </c>
      <c r="V796" s="323">
        <v>0</v>
      </c>
      <c r="W796" s="303"/>
      <c r="X796" s="324">
        <v>0</v>
      </c>
      <c r="Y796" s="325">
        <v>0</v>
      </c>
      <c r="AA796" s="388"/>
    </row>
    <row r="797" spans="1:27" hidden="1" outlineLevel="1" x14ac:dyDescent="0.3">
      <c r="E797" s="250" t="s">
        <v>1760</v>
      </c>
      <c r="F797" s="317">
        <v>4403588</v>
      </c>
      <c r="G797" s="318"/>
      <c r="H797" s="319"/>
      <c r="I797" s="320"/>
      <c r="J797" s="337">
        <v>0</v>
      </c>
      <c r="K797" s="321">
        <v>0</v>
      </c>
      <c r="L797" s="321">
        <v>0</v>
      </c>
      <c r="M797" s="321">
        <v>0</v>
      </c>
      <c r="N797" s="321">
        <v>0</v>
      </c>
      <c r="O797" s="321">
        <v>0</v>
      </c>
      <c r="P797" s="321">
        <v>0</v>
      </c>
      <c r="Q797" s="321">
        <v>0</v>
      </c>
      <c r="R797" s="321">
        <v>0</v>
      </c>
      <c r="S797" s="321">
        <v>0</v>
      </c>
      <c r="T797" s="321">
        <v>0</v>
      </c>
      <c r="U797" s="322">
        <v>0</v>
      </c>
      <c r="V797" s="323">
        <v>0</v>
      </c>
      <c r="W797" s="303"/>
      <c r="X797" s="324">
        <v>0</v>
      </c>
      <c r="Y797" s="325">
        <v>0</v>
      </c>
      <c r="AA797" s="388"/>
    </row>
    <row r="798" spans="1:27" hidden="1" outlineLevel="1" x14ac:dyDescent="0.3">
      <c r="E798" s="250" t="s">
        <v>1761</v>
      </c>
      <c r="F798" s="317">
        <v>4403584</v>
      </c>
      <c r="G798" s="318"/>
      <c r="H798" s="319"/>
      <c r="I798" s="320"/>
      <c r="J798" s="337">
        <v>0</v>
      </c>
      <c r="K798" s="321">
        <v>0</v>
      </c>
      <c r="L798" s="321">
        <v>0</v>
      </c>
      <c r="M798" s="321">
        <v>0</v>
      </c>
      <c r="N798" s="321">
        <v>0</v>
      </c>
      <c r="O798" s="321">
        <v>0</v>
      </c>
      <c r="P798" s="321">
        <v>0</v>
      </c>
      <c r="Q798" s="321">
        <v>0</v>
      </c>
      <c r="R798" s="321">
        <v>0</v>
      </c>
      <c r="S798" s="321">
        <v>0</v>
      </c>
      <c r="T798" s="321">
        <v>0</v>
      </c>
      <c r="U798" s="322">
        <v>0</v>
      </c>
      <c r="V798" s="323">
        <v>0</v>
      </c>
      <c r="W798" s="303"/>
      <c r="X798" s="324">
        <v>0</v>
      </c>
      <c r="Y798" s="325">
        <v>0</v>
      </c>
      <c r="AA798" s="388"/>
    </row>
    <row r="799" spans="1:27" hidden="1" outlineLevel="1" x14ac:dyDescent="0.3">
      <c r="E799" s="250" t="s">
        <v>1762</v>
      </c>
      <c r="F799" s="317">
        <v>4403583</v>
      </c>
      <c r="G799" s="318"/>
      <c r="H799" s="319"/>
      <c r="I799" s="320"/>
      <c r="J799" s="337">
        <v>0</v>
      </c>
      <c r="K799" s="321">
        <v>0</v>
      </c>
      <c r="L799" s="321">
        <v>0</v>
      </c>
      <c r="M799" s="321">
        <v>0</v>
      </c>
      <c r="N799" s="321">
        <v>0</v>
      </c>
      <c r="O799" s="321">
        <v>0</v>
      </c>
      <c r="P799" s="321">
        <v>0</v>
      </c>
      <c r="Q799" s="321">
        <v>0</v>
      </c>
      <c r="R799" s="321">
        <v>0</v>
      </c>
      <c r="S799" s="321">
        <v>0</v>
      </c>
      <c r="T799" s="321">
        <v>0</v>
      </c>
      <c r="U799" s="322">
        <v>0</v>
      </c>
      <c r="V799" s="323">
        <v>0</v>
      </c>
      <c r="W799" s="303"/>
      <c r="X799" s="324">
        <v>0</v>
      </c>
      <c r="Y799" s="325">
        <v>0</v>
      </c>
      <c r="AA799" s="388"/>
    </row>
    <row r="800" spans="1:27" hidden="1" outlineLevel="1" x14ac:dyDescent="0.3">
      <c r="E800" s="250" t="s">
        <v>1763</v>
      </c>
      <c r="F800" s="317">
        <v>4403590</v>
      </c>
      <c r="G800" s="318"/>
      <c r="H800" s="319"/>
      <c r="I800" s="320"/>
      <c r="J800" s="337">
        <v>0</v>
      </c>
      <c r="K800" s="321">
        <v>0</v>
      </c>
      <c r="L800" s="321">
        <v>0</v>
      </c>
      <c r="M800" s="321">
        <v>0</v>
      </c>
      <c r="N800" s="321">
        <v>0</v>
      </c>
      <c r="O800" s="321">
        <v>0</v>
      </c>
      <c r="P800" s="321">
        <v>0</v>
      </c>
      <c r="Q800" s="321">
        <v>0</v>
      </c>
      <c r="R800" s="321">
        <v>0</v>
      </c>
      <c r="S800" s="321">
        <v>0</v>
      </c>
      <c r="T800" s="321">
        <v>0</v>
      </c>
      <c r="U800" s="322">
        <v>0</v>
      </c>
      <c r="V800" s="323">
        <v>0</v>
      </c>
      <c r="W800" s="303"/>
      <c r="X800" s="324">
        <v>0</v>
      </c>
      <c r="Y800" s="325">
        <v>0</v>
      </c>
      <c r="AA800" s="388"/>
    </row>
    <row r="801" spans="1:27" hidden="1" outlineLevel="1" x14ac:dyDescent="0.3">
      <c r="E801" s="250" t="s">
        <v>1764</v>
      </c>
      <c r="F801" s="317">
        <v>4403592</v>
      </c>
      <c r="G801" s="318"/>
      <c r="H801" s="319"/>
      <c r="I801" s="320"/>
      <c r="J801" s="337">
        <v>0</v>
      </c>
      <c r="K801" s="321">
        <v>0</v>
      </c>
      <c r="L801" s="321">
        <v>0</v>
      </c>
      <c r="M801" s="321">
        <v>0</v>
      </c>
      <c r="N801" s="321">
        <v>0</v>
      </c>
      <c r="O801" s="321">
        <v>0</v>
      </c>
      <c r="P801" s="321">
        <v>0</v>
      </c>
      <c r="Q801" s="321">
        <v>0</v>
      </c>
      <c r="R801" s="321">
        <v>0</v>
      </c>
      <c r="S801" s="321">
        <v>0</v>
      </c>
      <c r="T801" s="321">
        <v>0</v>
      </c>
      <c r="U801" s="322">
        <v>0</v>
      </c>
      <c r="V801" s="323">
        <v>0</v>
      </c>
      <c r="W801" s="303"/>
      <c r="X801" s="324">
        <v>0</v>
      </c>
      <c r="Y801" s="325">
        <v>0</v>
      </c>
      <c r="AA801" s="388"/>
    </row>
    <row r="802" spans="1:27" hidden="1" outlineLevel="1" x14ac:dyDescent="0.3">
      <c r="E802" s="250" t="s">
        <v>1765</v>
      </c>
      <c r="F802" s="317">
        <v>4403593</v>
      </c>
      <c r="G802" s="318"/>
      <c r="H802" s="319"/>
      <c r="I802" s="320"/>
      <c r="J802" s="337">
        <v>0</v>
      </c>
      <c r="K802" s="321">
        <v>0</v>
      </c>
      <c r="L802" s="321">
        <v>0</v>
      </c>
      <c r="M802" s="321">
        <v>0</v>
      </c>
      <c r="N802" s="321">
        <v>0</v>
      </c>
      <c r="O802" s="321">
        <v>0</v>
      </c>
      <c r="P802" s="321">
        <v>0</v>
      </c>
      <c r="Q802" s="321">
        <v>0</v>
      </c>
      <c r="R802" s="321">
        <v>0</v>
      </c>
      <c r="S802" s="321">
        <v>0</v>
      </c>
      <c r="T802" s="321">
        <v>0</v>
      </c>
      <c r="U802" s="322">
        <v>0</v>
      </c>
      <c r="V802" s="323">
        <v>0</v>
      </c>
      <c r="W802" s="303"/>
      <c r="X802" s="324">
        <v>0</v>
      </c>
      <c r="Y802" s="325">
        <v>0</v>
      </c>
      <c r="AA802" s="388"/>
    </row>
    <row r="803" spans="1:27" hidden="1" outlineLevel="1" x14ac:dyDescent="0.3">
      <c r="E803" s="250" t="s">
        <v>1766</v>
      </c>
      <c r="F803" s="317">
        <v>4403582</v>
      </c>
      <c r="G803" s="318"/>
      <c r="H803" s="319"/>
      <c r="I803" s="320"/>
      <c r="J803" s="337">
        <v>0</v>
      </c>
      <c r="K803" s="321">
        <v>0</v>
      </c>
      <c r="L803" s="321">
        <v>0</v>
      </c>
      <c r="M803" s="321">
        <v>0</v>
      </c>
      <c r="N803" s="321">
        <v>0</v>
      </c>
      <c r="O803" s="321">
        <v>0</v>
      </c>
      <c r="P803" s="321">
        <v>0</v>
      </c>
      <c r="Q803" s="321">
        <v>0</v>
      </c>
      <c r="R803" s="321">
        <v>0</v>
      </c>
      <c r="S803" s="321">
        <v>0</v>
      </c>
      <c r="T803" s="321">
        <v>0</v>
      </c>
      <c r="U803" s="322">
        <v>0</v>
      </c>
      <c r="V803" s="323">
        <v>0</v>
      </c>
      <c r="W803" s="303"/>
      <c r="X803" s="324">
        <v>0</v>
      </c>
      <c r="Y803" s="325">
        <v>0</v>
      </c>
      <c r="AA803" s="388"/>
    </row>
    <row r="804" spans="1:27" hidden="1" outlineLevel="1" x14ac:dyDescent="0.3">
      <c r="E804" s="250" t="s">
        <v>1767</v>
      </c>
      <c r="F804" s="317">
        <v>4403585</v>
      </c>
      <c r="G804" s="318"/>
      <c r="H804" s="319"/>
      <c r="I804" s="320"/>
      <c r="J804" s="337">
        <v>0</v>
      </c>
      <c r="K804" s="321">
        <v>0</v>
      </c>
      <c r="L804" s="321">
        <v>0</v>
      </c>
      <c r="M804" s="321">
        <v>0</v>
      </c>
      <c r="N804" s="321">
        <v>0</v>
      </c>
      <c r="O804" s="321">
        <v>0</v>
      </c>
      <c r="P804" s="321">
        <v>0</v>
      </c>
      <c r="Q804" s="321">
        <v>0</v>
      </c>
      <c r="R804" s="321">
        <v>0</v>
      </c>
      <c r="S804" s="321">
        <v>0</v>
      </c>
      <c r="T804" s="321">
        <v>0</v>
      </c>
      <c r="U804" s="322">
        <v>0</v>
      </c>
      <c r="V804" s="323">
        <v>0</v>
      </c>
      <c r="W804" s="303"/>
      <c r="X804" s="324">
        <v>0</v>
      </c>
      <c r="Y804" s="325">
        <v>0</v>
      </c>
      <c r="AA804" s="388"/>
    </row>
    <row r="805" spans="1:27" hidden="1" outlineLevel="1" x14ac:dyDescent="0.3">
      <c r="E805" s="250" t="s">
        <v>1768</v>
      </c>
      <c r="F805" s="317">
        <v>4403586</v>
      </c>
      <c r="G805" s="318"/>
      <c r="H805" s="319"/>
      <c r="I805" s="320"/>
      <c r="J805" s="337">
        <v>0</v>
      </c>
      <c r="K805" s="321">
        <v>0</v>
      </c>
      <c r="L805" s="321">
        <v>0</v>
      </c>
      <c r="M805" s="321">
        <v>0</v>
      </c>
      <c r="N805" s="321">
        <v>0</v>
      </c>
      <c r="O805" s="321">
        <v>0</v>
      </c>
      <c r="P805" s="321">
        <v>0</v>
      </c>
      <c r="Q805" s="321">
        <v>0</v>
      </c>
      <c r="R805" s="321">
        <v>0</v>
      </c>
      <c r="S805" s="321">
        <v>0</v>
      </c>
      <c r="T805" s="321">
        <v>0</v>
      </c>
      <c r="U805" s="322">
        <v>0</v>
      </c>
      <c r="V805" s="323">
        <v>0</v>
      </c>
      <c r="W805" s="303"/>
      <c r="X805" s="324">
        <v>0</v>
      </c>
      <c r="Y805" s="325">
        <v>0</v>
      </c>
      <c r="AA805" s="388"/>
    </row>
    <row r="806" spans="1:27" hidden="1" outlineLevel="1" x14ac:dyDescent="0.3">
      <c r="E806" s="250" t="s">
        <v>1769</v>
      </c>
      <c r="F806" s="317">
        <v>4403587</v>
      </c>
      <c r="G806" s="318"/>
      <c r="H806" s="319"/>
      <c r="I806" s="320"/>
      <c r="J806" s="337">
        <v>0</v>
      </c>
      <c r="K806" s="321">
        <v>0</v>
      </c>
      <c r="L806" s="321">
        <v>0</v>
      </c>
      <c r="M806" s="321">
        <v>0</v>
      </c>
      <c r="N806" s="321">
        <v>0</v>
      </c>
      <c r="O806" s="321">
        <v>0</v>
      </c>
      <c r="P806" s="321">
        <v>0</v>
      </c>
      <c r="Q806" s="321">
        <v>0</v>
      </c>
      <c r="R806" s="321">
        <v>0</v>
      </c>
      <c r="S806" s="321">
        <v>0</v>
      </c>
      <c r="T806" s="321">
        <v>0</v>
      </c>
      <c r="U806" s="322">
        <v>0</v>
      </c>
      <c r="V806" s="323">
        <v>0</v>
      </c>
      <c r="W806" s="303"/>
      <c r="X806" s="324">
        <v>0</v>
      </c>
      <c r="Y806" s="325">
        <v>0</v>
      </c>
      <c r="AA806" s="388"/>
    </row>
    <row r="807" spans="1:27" hidden="1" outlineLevel="1" x14ac:dyDescent="0.3">
      <c r="E807" s="250" t="s">
        <v>1770</v>
      </c>
      <c r="F807" s="317">
        <v>4403591</v>
      </c>
      <c r="G807" s="318"/>
      <c r="H807" s="319"/>
      <c r="I807" s="320"/>
      <c r="J807" s="337">
        <v>0</v>
      </c>
      <c r="K807" s="321">
        <v>0</v>
      </c>
      <c r="L807" s="321">
        <v>0</v>
      </c>
      <c r="M807" s="321">
        <v>0</v>
      </c>
      <c r="N807" s="321">
        <v>0</v>
      </c>
      <c r="O807" s="321">
        <v>0</v>
      </c>
      <c r="P807" s="321">
        <v>0</v>
      </c>
      <c r="Q807" s="321">
        <v>0</v>
      </c>
      <c r="R807" s="321">
        <v>0</v>
      </c>
      <c r="S807" s="321">
        <v>0</v>
      </c>
      <c r="T807" s="321">
        <v>0</v>
      </c>
      <c r="U807" s="322">
        <v>0</v>
      </c>
      <c r="V807" s="323">
        <v>0</v>
      </c>
      <c r="W807" s="303"/>
      <c r="X807" s="324">
        <v>0</v>
      </c>
      <c r="Y807" s="325">
        <v>0</v>
      </c>
      <c r="AA807" s="388"/>
    </row>
    <row r="808" spans="1:27" s="250" customFormat="1" hidden="1" outlineLevel="2" x14ac:dyDescent="0.3">
      <c r="E808" s="250" t="s">
        <v>1771</v>
      </c>
      <c r="F808" s="306">
        <v>4405515</v>
      </c>
      <c r="G808" s="307"/>
      <c r="H808" s="308"/>
      <c r="I808" s="309"/>
      <c r="J808" s="310">
        <v>0</v>
      </c>
      <c r="K808" s="311">
        <v>0</v>
      </c>
      <c r="L808" s="311">
        <v>0</v>
      </c>
      <c r="M808" s="311">
        <v>0</v>
      </c>
      <c r="N808" s="311">
        <v>0</v>
      </c>
      <c r="O808" s="311">
        <v>0</v>
      </c>
      <c r="P808" s="311">
        <v>0</v>
      </c>
      <c r="Q808" s="311">
        <v>0</v>
      </c>
      <c r="R808" s="311">
        <v>0</v>
      </c>
      <c r="S808" s="311">
        <v>0</v>
      </c>
      <c r="T808" s="311">
        <v>0</v>
      </c>
      <c r="U808" s="312">
        <v>0</v>
      </c>
      <c r="V808" s="313">
        <v>0</v>
      </c>
      <c r="W808" s="314"/>
      <c r="X808" s="315">
        <v>0</v>
      </c>
      <c r="Y808" s="316">
        <v>0</v>
      </c>
      <c r="AA808" s="388"/>
    </row>
    <row r="809" spans="1:27" s="250" customFormat="1" hidden="1" outlineLevel="2" x14ac:dyDescent="0.3">
      <c r="E809" s="250" t="s">
        <v>1772</v>
      </c>
      <c r="F809" s="306">
        <v>4405517</v>
      </c>
      <c r="G809" s="307"/>
      <c r="H809" s="308"/>
      <c r="I809" s="309"/>
      <c r="J809" s="310">
        <v>0</v>
      </c>
      <c r="K809" s="311">
        <v>0</v>
      </c>
      <c r="L809" s="311">
        <v>0</v>
      </c>
      <c r="M809" s="311">
        <v>0</v>
      </c>
      <c r="N809" s="311">
        <v>0</v>
      </c>
      <c r="O809" s="311">
        <v>0</v>
      </c>
      <c r="P809" s="311">
        <v>0</v>
      </c>
      <c r="Q809" s="311">
        <v>0</v>
      </c>
      <c r="R809" s="311">
        <v>0</v>
      </c>
      <c r="S809" s="311">
        <v>0</v>
      </c>
      <c r="T809" s="311">
        <v>0</v>
      </c>
      <c r="U809" s="312">
        <v>0</v>
      </c>
      <c r="V809" s="313">
        <v>0</v>
      </c>
      <c r="W809" s="314"/>
      <c r="X809" s="315">
        <v>0</v>
      </c>
      <c r="Y809" s="316">
        <v>0</v>
      </c>
      <c r="AA809" s="388"/>
    </row>
    <row r="810" spans="1:27" s="326" customFormat="1" hidden="1" outlineLevel="2" x14ac:dyDescent="0.3">
      <c r="E810" s="326" t="s">
        <v>1773</v>
      </c>
      <c r="F810" s="336"/>
      <c r="G810" s="327"/>
      <c r="H810" s="328"/>
      <c r="I810" s="329"/>
      <c r="J810" s="338">
        <v>0</v>
      </c>
      <c r="K810" s="330">
        <v>0</v>
      </c>
      <c r="L810" s="330">
        <v>0</v>
      </c>
      <c r="M810" s="330">
        <v>0</v>
      </c>
      <c r="N810" s="330">
        <v>0</v>
      </c>
      <c r="O810" s="330">
        <v>0</v>
      </c>
      <c r="P810" s="330">
        <v>0</v>
      </c>
      <c r="Q810" s="330">
        <v>0</v>
      </c>
      <c r="R810" s="330">
        <v>0</v>
      </c>
      <c r="S810" s="330">
        <v>0</v>
      </c>
      <c r="T810" s="330">
        <v>0</v>
      </c>
      <c r="U810" s="331">
        <v>0</v>
      </c>
      <c r="V810" s="332">
        <v>0</v>
      </c>
      <c r="W810" s="333"/>
      <c r="X810" s="334">
        <v>0</v>
      </c>
      <c r="Y810" s="335">
        <v>0</v>
      </c>
      <c r="AA810" s="388"/>
    </row>
    <row r="811" spans="1:27" s="326" customFormat="1" hidden="1" outlineLevel="2" x14ac:dyDescent="0.3">
      <c r="E811" s="326" t="s">
        <v>1774</v>
      </c>
      <c r="F811" s="336"/>
      <c r="G811" s="327"/>
      <c r="H811" s="328"/>
      <c r="I811" s="329"/>
      <c r="J811" s="338">
        <v>0</v>
      </c>
      <c r="K811" s="330">
        <v>0</v>
      </c>
      <c r="L811" s="330">
        <v>0</v>
      </c>
      <c r="M811" s="330">
        <v>0</v>
      </c>
      <c r="N811" s="330">
        <v>0</v>
      </c>
      <c r="O811" s="330">
        <v>0</v>
      </c>
      <c r="P811" s="330">
        <v>0</v>
      </c>
      <c r="Q811" s="330">
        <v>0</v>
      </c>
      <c r="R811" s="330">
        <v>0</v>
      </c>
      <c r="S811" s="330">
        <v>0</v>
      </c>
      <c r="T811" s="330">
        <v>0</v>
      </c>
      <c r="U811" s="331">
        <v>0</v>
      </c>
      <c r="V811" s="332">
        <v>0</v>
      </c>
      <c r="W811" s="333"/>
      <c r="X811" s="334">
        <v>0</v>
      </c>
      <c r="Y811" s="335">
        <v>0</v>
      </c>
      <c r="AA811" s="388"/>
    </row>
    <row r="812" spans="1:27" s="326" customFormat="1" hidden="1" outlineLevel="2" x14ac:dyDescent="0.3">
      <c r="E812" s="326" t="s">
        <v>1775</v>
      </c>
      <c r="F812" s="336"/>
      <c r="G812" s="327"/>
      <c r="H812" s="328"/>
      <c r="I812" s="329"/>
      <c r="J812" s="338">
        <v>0</v>
      </c>
      <c r="K812" s="330">
        <v>0</v>
      </c>
      <c r="L812" s="330">
        <v>0</v>
      </c>
      <c r="M812" s="330">
        <v>0</v>
      </c>
      <c r="N812" s="330">
        <v>0</v>
      </c>
      <c r="O812" s="330">
        <v>0</v>
      </c>
      <c r="P812" s="330">
        <v>0</v>
      </c>
      <c r="Q812" s="330">
        <v>0</v>
      </c>
      <c r="R812" s="330">
        <v>0</v>
      </c>
      <c r="S812" s="330">
        <v>0</v>
      </c>
      <c r="T812" s="330">
        <v>0</v>
      </c>
      <c r="U812" s="331">
        <v>0</v>
      </c>
      <c r="V812" s="332">
        <v>0</v>
      </c>
      <c r="W812" s="333"/>
      <c r="X812" s="334">
        <v>0</v>
      </c>
      <c r="Y812" s="335">
        <v>0</v>
      </c>
      <c r="AA812" s="388"/>
    </row>
    <row r="813" spans="1:27" hidden="1" collapsed="1" x14ac:dyDescent="0.3">
      <c r="A813" s="233"/>
      <c r="B813" s="234" t="s">
        <v>73</v>
      </c>
      <c r="D813" s="293" t="s">
        <v>1776</v>
      </c>
      <c r="E813" s="294"/>
      <c r="F813" s="295" t="s">
        <v>1777</v>
      </c>
      <c r="G813" s="296"/>
      <c r="H813" s="297"/>
      <c r="I813" s="298"/>
      <c r="J813" s="299">
        <v>0</v>
      </c>
      <c r="K813" s="300">
        <v>0</v>
      </c>
      <c r="L813" s="300">
        <v>0</v>
      </c>
      <c r="M813" s="300">
        <v>0</v>
      </c>
      <c r="N813" s="300">
        <v>0</v>
      </c>
      <c r="O813" s="300">
        <v>0</v>
      </c>
      <c r="P813" s="300">
        <v>0</v>
      </c>
      <c r="Q813" s="300">
        <v>0</v>
      </c>
      <c r="R813" s="300">
        <v>0</v>
      </c>
      <c r="S813" s="300">
        <v>0</v>
      </c>
      <c r="T813" s="300">
        <v>0</v>
      </c>
      <c r="U813" s="301">
        <v>0</v>
      </c>
      <c r="V813" s="302">
        <v>0</v>
      </c>
      <c r="W813" s="303"/>
      <c r="X813" s="304">
        <v>0</v>
      </c>
      <c r="Y813" s="305">
        <v>0</v>
      </c>
      <c r="AA813" s="388"/>
    </row>
    <row r="814" spans="1:27" hidden="1" outlineLevel="1" x14ac:dyDescent="0.3">
      <c r="E814" s="250" t="s">
        <v>1778</v>
      </c>
      <c r="F814" s="317">
        <v>4403595</v>
      </c>
      <c r="G814" s="318"/>
      <c r="H814" s="319"/>
      <c r="I814" s="320"/>
      <c r="J814" s="337">
        <v>0</v>
      </c>
      <c r="K814" s="321">
        <v>0</v>
      </c>
      <c r="L814" s="321">
        <v>0</v>
      </c>
      <c r="M814" s="321">
        <v>0</v>
      </c>
      <c r="N814" s="321">
        <v>0</v>
      </c>
      <c r="O814" s="321">
        <v>0</v>
      </c>
      <c r="P814" s="321">
        <v>0</v>
      </c>
      <c r="Q814" s="321">
        <v>0</v>
      </c>
      <c r="R814" s="321">
        <v>0</v>
      </c>
      <c r="S814" s="321">
        <v>0</v>
      </c>
      <c r="T814" s="321">
        <v>0</v>
      </c>
      <c r="U814" s="322">
        <v>0</v>
      </c>
      <c r="V814" s="323">
        <v>0</v>
      </c>
      <c r="W814" s="303"/>
      <c r="X814" s="324">
        <v>0</v>
      </c>
      <c r="Y814" s="325">
        <v>0</v>
      </c>
      <c r="AA814" s="388"/>
    </row>
    <row r="815" spans="1:27" hidden="1" outlineLevel="1" x14ac:dyDescent="0.3">
      <c r="E815" s="250" t="s">
        <v>1779</v>
      </c>
      <c r="F815" s="317">
        <v>4403596</v>
      </c>
      <c r="G815" s="318"/>
      <c r="H815" s="319"/>
      <c r="I815" s="320"/>
      <c r="J815" s="337">
        <v>0</v>
      </c>
      <c r="K815" s="321">
        <v>0</v>
      </c>
      <c r="L815" s="321">
        <v>0</v>
      </c>
      <c r="M815" s="321">
        <v>0</v>
      </c>
      <c r="N815" s="321">
        <v>0</v>
      </c>
      <c r="O815" s="321">
        <v>0</v>
      </c>
      <c r="P815" s="321">
        <v>0</v>
      </c>
      <c r="Q815" s="321">
        <v>0</v>
      </c>
      <c r="R815" s="321">
        <v>0</v>
      </c>
      <c r="S815" s="321">
        <v>0</v>
      </c>
      <c r="T815" s="321">
        <v>0</v>
      </c>
      <c r="U815" s="322">
        <v>0</v>
      </c>
      <c r="V815" s="323">
        <v>0</v>
      </c>
      <c r="W815" s="303"/>
      <c r="X815" s="324">
        <v>0</v>
      </c>
      <c r="Y815" s="325">
        <v>0</v>
      </c>
      <c r="AA815" s="388"/>
    </row>
    <row r="816" spans="1:27" hidden="1" outlineLevel="1" x14ac:dyDescent="0.3">
      <c r="E816" s="250" t="s">
        <v>1780</v>
      </c>
      <c r="F816" s="317">
        <v>4403597</v>
      </c>
      <c r="G816" s="318"/>
      <c r="H816" s="319"/>
      <c r="I816" s="320"/>
      <c r="J816" s="337">
        <v>0</v>
      </c>
      <c r="K816" s="321">
        <v>0</v>
      </c>
      <c r="L816" s="321">
        <v>0</v>
      </c>
      <c r="M816" s="321">
        <v>0</v>
      </c>
      <c r="N816" s="321">
        <v>0</v>
      </c>
      <c r="O816" s="321">
        <v>0</v>
      </c>
      <c r="P816" s="321">
        <v>0</v>
      </c>
      <c r="Q816" s="321">
        <v>0</v>
      </c>
      <c r="R816" s="321">
        <v>0</v>
      </c>
      <c r="S816" s="321">
        <v>0</v>
      </c>
      <c r="T816" s="321">
        <v>0</v>
      </c>
      <c r="U816" s="322">
        <v>0</v>
      </c>
      <c r="V816" s="323">
        <v>0</v>
      </c>
      <c r="W816" s="303"/>
      <c r="X816" s="324">
        <v>0</v>
      </c>
      <c r="Y816" s="325">
        <v>0</v>
      </c>
      <c r="AA816" s="388"/>
    </row>
    <row r="817" spans="4:27" hidden="1" outlineLevel="1" x14ac:dyDescent="0.3">
      <c r="E817" s="250" t="s">
        <v>1781</v>
      </c>
      <c r="F817" s="317">
        <v>4403598</v>
      </c>
      <c r="G817" s="318"/>
      <c r="H817" s="319"/>
      <c r="I817" s="320"/>
      <c r="J817" s="337">
        <v>0</v>
      </c>
      <c r="K817" s="321">
        <v>0</v>
      </c>
      <c r="L817" s="321">
        <v>0</v>
      </c>
      <c r="M817" s="321">
        <v>0</v>
      </c>
      <c r="N817" s="321">
        <v>0</v>
      </c>
      <c r="O817" s="321">
        <v>0</v>
      </c>
      <c r="P817" s="321">
        <v>0</v>
      </c>
      <c r="Q817" s="321">
        <v>0</v>
      </c>
      <c r="R817" s="321">
        <v>0</v>
      </c>
      <c r="S817" s="321">
        <v>0</v>
      </c>
      <c r="T817" s="321">
        <v>0</v>
      </c>
      <c r="U817" s="322">
        <v>0</v>
      </c>
      <c r="V817" s="323">
        <v>0</v>
      </c>
      <c r="W817" s="303"/>
      <c r="X817" s="324">
        <v>0</v>
      </c>
      <c r="Y817" s="325">
        <v>0</v>
      </c>
      <c r="AA817" s="388"/>
    </row>
    <row r="818" spans="4:27" hidden="1" outlineLevel="1" x14ac:dyDescent="0.3">
      <c r="E818" s="250" t="s">
        <v>1782</v>
      </c>
      <c r="F818" s="317">
        <v>4403599</v>
      </c>
      <c r="G818" s="318"/>
      <c r="H818" s="319"/>
      <c r="I818" s="320"/>
      <c r="J818" s="337">
        <v>0</v>
      </c>
      <c r="K818" s="321">
        <v>0</v>
      </c>
      <c r="L818" s="321">
        <v>0</v>
      </c>
      <c r="M818" s="321">
        <v>0</v>
      </c>
      <c r="N818" s="321">
        <v>0</v>
      </c>
      <c r="O818" s="321">
        <v>0</v>
      </c>
      <c r="P818" s="321">
        <v>0</v>
      </c>
      <c r="Q818" s="321">
        <v>0</v>
      </c>
      <c r="R818" s="321">
        <v>0</v>
      </c>
      <c r="S818" s="321">
        <v>0</v>
      </c>
      <c r="T818" s="321">
        <v>0</v>
      </c>
      <c r="U818" s="322">
        <v>0</v>
      </c>
      <c r="V818" s="323">
        <v>0</v>
      </c>
      <c r="W818" s="303"/>
      <c r="X818" s="324">
        <v>0</v>
      </c>
      <c r="Y818" s="325">
        <v>0</v>
      </c>
      <c r="AA818" s="388"/>
    </row>
    <row r="819" spans="4:27" s="326" customFormat="1" hidden="1" outlineLevel="2" x14ac:dyDescent="0.3">
      <c r="E819" s="326" t="s">
        <v>1783</v>
      </c>
      <c r="F819" s="336"/>
      <c r="G819" s="327"/>
      <c r="H819" s="328"/>
      <c r="I819" s="329"/>
      <c r="J819" s="338">
        <v>0</v>
      </c>
      <c r="K819" s="330">
        <v>0</v>
      </c>
      <c r="L819" s="330">
        <v>0</v>
      </c>
      <c r="M819" s="330">
        <v>0</v>
      </c>
      <c r="N819" s="330">
        <v>0</v>
      </c>
      <c r="O819" s="330">
        <v>0</v>
      </c>
      <c r="P819" s="330">
        <v>0</v>
      </c>
      <c r="Q819" s="330">
        <v>0</v>
      </c>
      <c r="R819" s="330">
        <v>0</v>
      </c>
      <c r="S819" s="330">
        <v>0</v>
      </c>
      <c r="T819" s="330">
        <v>0</v>
      </c>
      <c r="U819" s="331">
        <v>0</v>
      </c>
      <c r="V819" s="332">
        <v>0</v>
      </c>
      <c r="W819" s="333"/>
      <c r="X819" s="334">
        <v>0</v>
      </c>
      <c r="Y819" s="335">
        <v>0</v>
      </c>
      <c r="AA819" s="388"/>
    </row>
    <row r="820" spans="4:27" s="326" customFormat="1" hidden="1" outlineLevel="2" x14ac:dyDescent="0.3">
      <c r="E820" s="326" t="s">
        <v>1784</v>
      </c>
      <c r="F820" s="336"/>
      <c r="G820" s="327"/>
      <c r="H820" s="328"/>
      <c r="I820" s="329"/>
      <c r="J820" s="338">
        <v>0</v>
      </c>
      <c r="K820" s="330">
        <v>0</v>
      </c>
      <c r="L820" s="330">
        <v>0</v>
      </c>
      <c r="M820" s="330">
        <v>0</v>
      </c>
      <c r="N820" s="330">
        <v>0</v>
      </c>
      <c r="O820" s="330">
        <v>0</v>
      </c>
      <c r="P820" s="330">
        <v>0</v>
      </c>
      <c r="Q820" s="330">
        <v>0</v>
      </c>
      <c r="R820" s="330">
        <v>0</v>
      </c>
      <c r="S820" s="330">
        <v>0</v>
      </c>
      <c r="T820" s="330">
        <v>0</v>
      </c>
      <c r="U820" s="331">
        <v>0</v>
      </c>
      <c r="V820" s="332">
        <v>0</v>
      </c>
      <c r="W820" s="333"/>
      <c r="X820" s="334">
        <v>0</v>
      </c>
      <c r="Y820" s="335">
        <v>0</v>
      </c>
      <c r="AA820" s="388"/>
    </row>
    <row r="821" spans="4:27" s="326" customFormat="1" hidden="1" outlineLevel="2" x14ac:dyDescent="0.3">
      <c r="E821" s="326" t="s">
        <v>1785</v>
      </c>
      <c r="F821" s="336"/>
      <c r="G821" s="327"/>
      <c r="H821" s="328"/>
      <c r="I821" s="329"/>
      <c r="J821" s="338">
        <v>0</v>
      </c>
      <c r="K821" s="330">
        <v>0</v>
      </c>
      <c r="L821" s="330">
        <v>0</v>
      </c>
      <c r="M821" s="330">
        <v>0</v>
      </c>
      <c r="N821" s="330">
        <v>0</v>
      </c>
      <c r="O821" s="330">
        <v>0</v>
      </c>
      <c r="P821" s="330">
        <v>0</v>
      </c>
      <c r="Q821" s="330">
        <v>0</v>
      </c>
      <c r="R821" s="330">
        <v>0</v>
      </c>
      <c r="S821" s="330">
        <v>0</v>
      </c>
      <c r="T821" s="330">
        <v>0</v>
      </c>
      <c r="U821" s="331">
        <v>0</v>
      </c>
      <c r="V821" s="332">
        <v>0</v>
      </c>
      <c r="W821" s="333"/>
      <c r="X821" s="334">
        <v>0</v>
      </c>
      <c r="Y821" s="335">
        <v>0</v>
      </c>
      <c r="AA821" s="388"/>
    </row>
    <row r="822" spans="4:27" hidden="1" collapsed="1" x14ac:dyDescent="0.3">
      <c r="D822" s="293" t="s">
        <v>1786</v>
      </c>
      <c r="E822" s="294"/>
      <c r="F822" s="295" t="s">
        <v>1787</v>
      </c>
      <c r="G822" s="296"/>
      <c r="H822" s="297"/>
      <c r="I822" s="298"/>
      <c r="J822" s="299">
        <v>0</v>
      </c>
      <c r="K822" s="300">
        <v>0</v>
      </c>
      <c r="L822" s="300">
        <v>0</v>
      </c>
      <c r="M822" s="300">
        <v>0</v>
      </c>
      <c r="N822" s="300">
        <v>0</v>
      </c>
      <c r="O822" s="300">
        <v>0</v>
      </c>
      <c r="P822" s="300">
        <v>0</v>
      </c>
      <c r="Q822" s="300">
        <v>0</v>
      </c>
      <c r="R822" s="300">
        <v>0</v>
      </c>
      <c r="S822" s="300">
        <v>0</v>
      </c>
      <c r="T822" s="300">
        <v>0</v>
      </c>
      <c r="U822" s="301">
        <v>0</v>
      </c>
      <c r="V822" s="302">
        <v>0</v>
      </c>
      <c r="W822" s="303"/>
      <c r="X822" s="304">
        <v>0</v>
      </c>
      <c r="Y822" s="305">
        <v>0</v>
      </c>
      <c r="AA822" s="388"/>
    </row>
    <row r="823" spans="4:27" hidden="1" outlineLevel="1" x14ac:dyDescent="0.3">
      <c r="E823" s="250" t="s">
        <v>1788</v>
      </c>
      <c r="F823" s="317">
        <v>4403068</v>
      </c>
      <c r="G823" s="318"/>
      <c r="H823" s="319"/>
      <c r="I823" s="320"/>
      <c r="J823" s="337">
        <v>0</v>
      </c>
      <c r="K823" s="321">
        <v>0</v>
      </c>
      <c r="L823" s="321">
        <v>0</v>
      </c>
      <c r="M823" s="321">
        <v>0</v>
      </c>
      <c r="N823" s="321">
        <v>0</v>
      </c>
      <c r="O823" s="321">
        <v>0</v>
      </c>
      <c r="P823" s="321">
        <v>0</v>
      </c>
      <c r="Q823" s="321">
        <v>0</v>
      </c>
      <c r="R823" s="321">
        <v>0</v>
      </c>
      <c r="S823" s="321">
        <v>0</v>
      </c>
      <c r="T823" s="321">
        <v>0</v>
      </c>
      <c r="U823" s="322">
        <v>0</v>
      </c>
      <c r="V823" s="323">
        <v>0</v>
      </c>
      <c r="W823" s="303"/>
      <c r="X823" s="324">
        <v>0</v>
      </c>
      <c r="Y823" s="325">
        <v>0</v>
      </c>
      <c r="AA823" s="388"/>
    </row>
    <row r="824" spans="4:27" hidden="1" outlineLevel="1" x14ac:dyDescent="0.3">
      <c r="E824" s="250" t="s">
        <v>1789</v>
      </c>
      <c r="F824" s="317">
        <v>4403069</v>
      </c>
      <c r="G824" s="318"/>
      <c r="H824" s="319"/>
      <c r="I824" s="320"/>
      <c r="J824" s="337">
        <v>0</v>
      </c>
      <c r="K824" s="321">
        <v>0</v>
      </c>
      <c r="L824" s="321">
        <v>0</v>
      </c>
      <c r="M824" s="321">
        <v>0</v>
      </c>
      <c r="N824" s="321">
        <v>0</v>
      </c>
      <c r="O824" s="321">
        <v>0</v>
      </c>
      <c r="P824" s="321">
        <v>0</v>
      </c>
      <c r="Q824" s="321">
        <v>0</v>
      </c>
      <c r="R824" s="321">
        <v>0</v>
      </c>
      <c r="S824" s="321">
        <v>0</v>
      </c>
      <c r="T824" s="321">
        <v>0</v>
      </c>
      <c r="U824" s="322">
        <v>0</v>
      </c>
      <c r="V824" s="323">
        <v>0</v>
      </c>
      <c r="W824" s="303"/>
      <c r="X824" s="324">
        <v>0</v>
      </c>
      <c r="Y824" s="325">
        <v>0</v>
      </c>
      <c r="AA824" s="388"/>
    </row>
    <row r="825" spans="4:27" hidden="1" outlineLevel="1" x14ac:dyDescent="0.3">
      <c r="E825" s="250" t="s">
        <v>1790</v>
      </c>
      <c r="F825" s="317">
        <v>4403070</v>
      </c>
      <c r="G825" s="318"/>
      <c r="H825" s="319"/>
      <c r="I825" s="320"/>
      <c r="J825" s="337">
        <v>0</v>
      </c>
      <c r="K825" s="321">
        <v>0</v>
      </c>
      <c r="L825" s="321">
        <v>0</v>
      </c>
      <c r="M825" s="321">
        <v>0</v>
      </c>
      <c r="N825" s="321">
        <v>0</v>
      </c>
      <c r="O825" s="321">
        <v>0</v>
      </c>
      <c r="P825" s="321">
        <v>0</v>
      </c>
      <c r="Q825" s="321">
        <v>0</v>
      </c>
      <c r="R825" s="321">
        <v>0</v>
      </c>
      <c r="S825" s="321">
        <v>0</v>
      </c>
      <c r="T825" s="321">
        <v>0</v>
      </c>
      <c r="U825" s="322">
        <v>0</v>
      </c>
      <c r="V825" s="323">
        <v>0</v>
      </c>
      <c r="W825" s="303"/>
      <c r="X825" s="324">
        <v>0</v>
      </c>
      <c r="Y825" s="325">
        <v>0</v>
      </c>
      <c r="AA825" s="388"/>
    </row>
    <row r="826" spans="4:27" hidden="1" outlineLevel="1" x14ac:dyDescent="0.3">
      <c r="E826" s="250" t="s">
        <v>1791</v>
      </c>
      <c r="F826" s="317">
        <v>4403071</v>
      </c>
      <c r="G826" s="318"/>
      <c r="H826" s="319"/>
      <c r="I826" s="320"/>
      <c r="J826" s="337">
        <v>0</v>
      </c>
      <c r="K826" s="321">
        <v>0</v>
      </c>
      <c r="L826" s="321">
        <v>0</v>
      </c>
      <c r="M826" s="321">
        <v>0</v>
      </c>
      <c r="N826" s="321">
        <v>0</v>
      </c>
      <c r="O826" s="321">
        <v>0</v>
      </c>
      <c r="P826" s="321">
        <v>0</v>
      </c>
      <c r="Q826" s="321">
        <v>0</v>
      </c>
      <c r="R826" s="321">
        <v>0</v>
      </c>
      <c r="S826" s="321">
        <v>0</v>
      </c>
      <c r="T826" s="321">
        <v>0</v>
      </c>
      <c r="U826" s="322">
        <v>0</v>
      </c>
      <c r="V826" s="323">
        <v>0</v>
      </c>
      <c r="W826" s="303"/>
      <c r="X826" s="324">
        <v>0</v>
      </c>
      <c r="Y826" s="325">
        <v>0</v>
      </c>
      <c r="AA826" s="388"/>
    </row>
    <row r="827" spans="4:27" hidden="1" outlineLevel="1" x14ac:dyDescent="0.3">
      <c r="E827" s="250" t="s">
        <v>1792</v>
      </c>
      <c r="F827" s="317">
        <v>4403072</v>
      </c>
      <c r="G827" s="318"/>
      <c r="H827" s="319"/>
      <c r="I827" s="320"/>
      <c r="J827" s="337">
        <v>0</v>
      </c>
      <c r="K827" s="321">
        <v>0</v>
      </c>
      <c r="L827" s="321">
        <v>0</v>
      </c>
      <c r="M827" s="321">
        <v>0</v>
      </c>
      <c r="N827" s="321">
        <v>0</v>
      </c>
      <c r="O827" s="321">
        <v>0</v>
      </c>
      <c r="P827" s="321">
        <v>0</v>
      </c>
      <c r="Q827" s="321">
        <v>0</v>
      </c>
      <c r="R827" s="321">
        <v>0</v>
      </c>
      <c r="S827" s="321">
        <v>0</v>
      </c>
      <c r="T827" s="321">
        <v>0</v>
      </c>
      <c r="U827" s="322">
        <v>0</v>
      </c>
      <c r="V827" s="323">
        <v>0</v>
      </c>
      <c r="W827" s="303"/>
      <c r="X827" s="324">
        <v>0</v>
      </c>
      <c r="Y827" s="325">
        <v>0</v>
      </c>
      <c r="AA827" s="388"/>
    </row>
    <row r="828" spans="4:27" hidden="1" outlineLevel="1" x14ac:dyDescent="0.3">
      <c r="E828" s="250" t="s">
        <v>1793</v>
      </c>
      <c r="F828" s="317">
        <v>4403073</v>
      </c>
      <c r="G828" s="318"/>
      <c r="H828" s="319"/>
      <c r="I828" s="320"/>
      <c r="J828" s="337">
        <v>0</v>
      </c>
      <c r="K828" s="321">
        <v>0</v>
      </c>
      <c r="L828" s="321">
        <v>0</v>
      </c>
      <c r="M828" s="321">
        <v>0</v>
      </c>
      <c r="N828" s="321">
        <v>0</v>
      </c>
      <c r="O828" s="321">
        <v>0</v>
      </c>
      <c r="P828" s="321">
        <v>0</v>
      </c>
      <c r="Q828" s="321">
        <v>0</v>
      </c>
      <c r="R828" s="321">
        <v>0</v>
      </c>
      <c r="S828" s="321">
        <v>0</v>
      </c>
      <c r="T828" s="321">
        <v>0</v>
      </c>
      <c r="U828" s="322">
        <v>0</v>
      </c>
      <c r="V828" s="323">
        <v>0</v>
      </c>
      <c r="W828" s="303"/>
      <c r="X828" s="324">
        <v>0</v>
      </c>
      <c r="Y828" s="325">
        <v>0</v>
      </c>
      <c r="AA828" s="388"/>
    </row>
    <row r="829" spans="4:27" hidden="1" outlineLevel="1" x14ac:dyDescent="0.3">
      <c r="E829" s="250" t="s">
        <v>1794</v>
      </c>
      <c r="F829" s="317">
        <v>4403074</v>
      </c>
      <c r="G829" s="318"/>
      <c r="H829" s="319"/>
      <c r="I829" s="320"/>
      <c r="J829" s="337">
        <v>0</v>
      </c>
      <c r="K829" s="321">
        <v>0</v>
      </c>
      <c r="L829" s="321">
        <v>0</v>
      </c>
      <c r="M829" s="321">
        <v>0</v>
      </c>
      <c r="N829" s="321">
        <v>0</v>
      </c>
      <c r="O829" s="321">
        <v>0</v>
      </c>
      <c r="P829" s="321">
        <v>0</v>
      </c>
      <c r="Q829" s="321">
        <v>0</v>
      </c>
      <c r="R829" s="321">
        <v>0</v>
      </c>
      <c r="S829" s="321">
        <v>0</v>
      </c>
      <c r="T829" s="321">
        <v>0</v>
      </c>
      <c r="U829" s="322">
        <v>0</v>
      </c>
      <c r="V829" s="323">
        <v>0</v>
      </c>
      <c r="W829" s="303"/>
      <c r="X829" s="324">
        <v>0</v>
      </c>
      <c r="Y829" s="325">
        <v>0</v>
      </c>
      <c r="AA829" s="388"/>
    </row>
    <row r="830" spans="4:27" hidden="1" outlineLevel="1" x14ac:dyDescent="0.3">
      <c r="E830" s="250" t="s">
        <v>1795</v>
      </c>
      <c r="F830" s="317">
        <v>4403075</v>
      </c>
      <c r="G830" s="318"/>
      <c r="H830" s="319"/>
      <c r="I830" s="320"/>
      <c r="J830" s="337">
        <v>0</v>
      </c>
      <c r="K830" s="321">
        <v>0</v>
      </c>
      <c r="L830" s="321">
        <v>0</v>
      </c>
      <c r="M830" s="321">
        <v>0</v>
      </c>
      <c r="N830" s="321">
        <v>0</v>
      </c>
      <c r="O830" s="321">
        <v>0</v>
      </c>
      <c r="P830" s="321">
        <v>0</v>
      </c>
      <c r="Q830" s="321">
        <v>0</v>
      </c>
      <c r="R830" s="321">
        <v>0</v>
      </c>
      <c r="S830" s="321">
        <v>0</v>
      </c>
      <c r="T830" s="321">
        <v>0</v>
      </c>
      <c r="U830" s="322">
        <v>0</v>
      </c>
      <c r="V830" s="323">
        <v>0</v>
      </c>
      <c r="W830" s="303"/>
      <c r="X830" s="324">
        <v>0</v>
      </c>
      <c r="Y830" s="325">
        <v>0</v>
      </c>
      <c r="AA830" s="388"/>
    </row>
    <row r="831" spans="4:27" hidden="1" outlineLevel="1" x14ac:dyDescent="0.3">
      <c r="E831" s="250" t="s">
        <v>1796</v>
      </c>
      <c r="F831" s="317">
        <v>4403076</v>
      </c>
      <c r="G831" s="318"/>
      <c r="H831" s="319"/>
      <c r="I831" s="320"/>
      <c r="J831" s="337">
        <v>0</v>
      </c>
      <c r="K831" s="321">
        <v>0</v>
      </c>
      <c r="L831" s="321">
        <v>0</v>
      </c>
      <c r="M831" s="321">
        <v>0</v>
      </c>
      <c r="N831" s="321">
        <v>0</v>
      </c>
      <c r="O831" s="321">
        <v>0</v>
      </c>
      <c r="P831" s="321">
        <v>0</v>
      </c>
      <c r="Q831" s="321">
        <v>0</v>
      </c>
      <c r="R831" s="321">
        <v>0</v>
      </c>
      <c r="S831" s="321">
        <v>0</v>
      </c>
      <c r="T831" s="321">
        <v>0</v>
      </c>
      <c r="U831" s="322">
        <v>0</v>
      </c>
      <c r="V831" s="323">
        <v>0</v>
      </c>
      <c r="W831" s="303"/>
      <c r="X831" s="324">
        <v>0</v>
      </c>
      <c r="Y831" s="325">
        <v>0</v>
      </c>
      <c r="AA831" s="388"/>
    </row>
    <row r="832" spans="4:27" hidden="1" outlineLevel="1" x14ac:dyDescent="0.3">
      <c r="E832" s="250" t="s">
        <v>1797</v>
      </c>
      <c r="F832" s="317">
        <v>4403077</v>
      </c>
      <c r="G832" s="318"/>
      <c r="H832" s="319"/>
      <c r="I832" s="320"/>
      <c r="J832" s="337">
        <v>0</v>
      </c>
      <c r="K832" s="321">
        <v>0</v>
      </c>
      <c r="L832" s="321">
        <v>0</v>
      </c>
      <c r="M832" s="321">
        <v>0</v>
      </c>
      <c r="N832" s="321">
        <v>0</v>
      </c>
      <c r="O832" s="321">
        <v>0</v>
      </c>
      <c r="P832" s="321">
        <v>0</v>
      </c>
      <c r="Q832" s="321">
        <v>0</v>
      </c>
      <c r="R832" s="321">
        <v>0</v>
      </c>
      <c r="S832" s="321">
        <v>0</v>
      </c>
      <c r="T832" s="321">
        <v>0</v>
      </c>
      <c r="U832" s="322">
        <v>0</v>
      </c>
      <c r="V832" s="323">
        <v>0</v>
      </c>
      <c r="W832" s="303"/>
      <c r="X832" s="324">
        <v>0</v>
      </c>
      <c r="Y832" s="325">
        <v>0</v>
      </c>
      <c r="AA832" s="388"/>
    </row>
    <row r="833" spans="4:27" hidden="1" outlineLevel="1" x14ac:dyDescent="0.3">
      <c r="E833" s="250" t="s">
        <v>1798</v>
      </c>
      <c r="F833" s="317">
        <v>4403078</v>
      </c>
      <c r="G833" s="318"/>
      <c r="H833" s="319"/>
      <c r="I833" s="320"/>
      <c r="J833" s="337">
        <v>0</v>
      </c>
      <c r="K833" s="321">
        <v>0</v>
      </c>
      <c r="L833" s="321">
        <v>0</v>
      </c>
      <c r="M833" s="321">
        <v>0</v>
      </c>
      <c r="N833" s="321">
        <v>0</v>
      </c>
      <c r="O833" s="321">
        <v>0</v>
      </c>
      <c r="P833" s="321">
        <v>0</v>
      </c>
      <c r="Q833" s="321">
        <v>0</v>
      </c>
      <c r="R833" s="321">
        <v>0</v>
      </c>
      <c r="S833" s="321">
        <v>0</v>
      </c>
      <c r="T833" s="321">
        <v>0</v>
      </c>
      <c r="U833" s="322">
        <v>0</v>
      </c>
      <c r="V833" s="323">
        <v>0</v>
      </c>
      <c r="W833" s="303"/>
      <c r="X833" s="324">
        <v>0</v>
      </c>
      <c r="Y833" s="325">
        <v>0</v>
      </c>
      <c r="AA833" s="388"/>
    </row>
    <row r="834" spans="4:27" hidden="1" outlineLevel="1" x14ac:dyDescent="0.3">
      <c r="E834" s="250" t="s">
        <v>1799</v>
      </c>
      <c r="F834" s="317">
        <v>4403079</v>
      </c>
      <c r="G834" s="318"/>
      <c r="H834" s="319"/>
      <c r="I834" s="320"/>
      <c r="J834" s="337">
        <v>0</v>
      </c>
      <c r="K834" s="321">
        <v>0</v>
      </c>
      <c r="L834" s="321">
        <v>0</v>
      </c>
      <c r="M834" s="321">
        <v>0</v>
      </c>
      <c r="N834" s="321">
        <v>0</v>
      </c>
      <c r="O834" s="321">
        <v>0</v>
      </c>
      <c r="P834" s="321">
        <v>0</v>
      </c>
      <c r="Q834" s="321">
        <v>0</v>
      </c>
      <c r="R834" s="321">
        <v>0</v>
      </c>
      <c r="S834" s="321">
        <v>0</v>
      </c>
      <c r="T834" s="321">
        <v>0</v>
      </c>
      <c r="U834" s="322">
        <v>0</v>
      </c>
      <c r="V834" s="323">
        <v>0</v>
      </c>
      <c r="W834" s="303"/>
      <c r="X834" s="324">
        <v>0</v>
      </c>
      <c r="Y834" s="325">
        <v>0</v>
      </c>
      <c r="AA834" s="388"/>
    </row>
    <row r="835" spans="4:27" hidden="1" outlineLevel="1" x14ac:dyDescent="0.3">
      <c r="E835" s="250" t="s">
        <v>1800</v>
      </c>
      <c r="F835" s="317">
        <v>4403081</v>
      </c>
      <c r="G835" s="318"/>
      <c r="H835" s="319"/>
      <c r="I835" s="320"/>
      <c r="J835" s="337">
        <v>0</v>
      </c>
      <c r="K835" s="321">
        <v>0</v>
      </c>
      <c r="L835" s="321">
        <v>0</v>
      </c>
      <c r="M835" s="321">
        <v>0</v>
      </c>
      <c r="N835" s="321">
        <v>0</v>
      </c>
      <c r="O835" s="321">
        <v>0</v>
      </c>
      <c r="P835" s="321">
        <v>0</v>
      </c>
      <c r="Q835" s="321">
        <v>0</v>
      </c>
      <c r="R835" s="321">
        <v>0</v>
      </c>
      <c r="S835" s="321">
        <v>0</v>
      </c>
      <c r="T835" s="321">
        <v>0</v>
      </c>
      <c r="U835" s="322">
        <v>0</v>
      </c>
      <c r="V835" s="323">
        <v>0</v>
      </c>
      <c r="W835" s="303"/>
      <c r="X835" s="324">
        <v>0</v>
      </c>
      <c r="Y835" s="325">
        <v>0</v>
      </c>
      <c r="AA835" s="388"/>
    </row>
    <row r="836" spans="4:27" s="361" customFormat="1" hidden="1" outlineLevel="2" x14ac:dyDescent="0.3">
      <c r="E836" s="326" t="s">
        <v>1801</v>
      </c>
      <c r="F836" s="351"/>
      <c r="G836" s="352"/>
      <c r="H836" s="353"/>
      <c r="I836" s="354"/>
      <c r="J836" s="362">
        <v>0</v>
      </c>
      <c r="K836" s="355">
        <v>0</v>
      </c>
      <c r="L836" s="355">
        <v>0</v>
      </c>
      <c r="M836" s="355">
        <v>0</v>
      </c>
      <c r="N836" s="355">
        <v>0</v>
      </c>
      <c r="O836" s="355">
        <v>0</v>
      </c>
      <c r="P836" s="355">
        <v>0</v>
      </c>
      <c r="Q836" s="355">
        <v>0</v>
      </c>
      <c r="R836" s="355">
        <v>0</v>
      </c>
      <c r="S836" s="355">
        <v>0</v>
      </c>
      <c r="T836" s="355">
        <v>0</v>
      </c>
      <c r="U836" s="356">
        <v>0</v>
      </c>
      <c r="V836" s="357">
        <v>0</v>
      </c>
      <c r="W836" s="358"/>
      <c r="X836" s="359">
        <v>0</v>
      </c>
      <c r="Y836" s="360">
        <v>0</v>
      </c>
      <c r="AA836" s="388"/>
    </row>
    <row r="837" spans="4:27" s="361" customFormat="1" hidden="1" outlineLevel="2" x14ac:dyDescent="0.3">
      <c r="E837" s="326" t="s">
        <v>1801</v>
      </c>
      <c r="F837" s="351"/>
      <c r="G837" s="352"/>
      <c r="H837" s="353"/>
      <c r="I837" s="354"/>
      <c r="J837" s="362">
        <v>0</v>
      </c>
      <c r="K837" s="355">
        <v>0</v>
      </c>
      <c r="L837" s="355">
        <v>0</v>
      </c>
      <c r="M837" s="355">
        <v>0</v>
      </c>
      <c r="N837" s="355">
        <v>0</v>
      </c>
      <c r="O837" s="355">
        <v>0</v>
      </c>
      <c r="P837" s="355">
        <v>0</v>
      </c>
      <c r="Q837" s="355">
        <v>0</v>
      </c>
      <c r="R837" s="355">
        <v>0</v>
      </c>
      <c r="S837" s="355">
        <v>0</v>
      </c>
      <c r="T837" s="355">
        <v>0</v>
      </c>
      <c r="U837" s="356">
        <v>0</v>
      </c>
      <c r="V837" s="357">
        <v>0</v>
      </c>
      <c r="W837" s="358"/>
      <c r="X837" s="359">
        <v>0</v>
      </c>
      <c r="Y837" s="360">
        <v>0</v>
      </c>
      <c r="AA837" s="388"/>
    </row>
    <row r="838" spans="4:27" s="361" customFormat="1" hidden="1" outlineLevel="2" x14ac:dyDescent="0.3">
      <c r="E838" s="326" t="s">
        <v>1802</v>
      </c>
      <c r="F838" s="351"/>
      <c r="G838" s="352"/>
      <c r="H838" s="353"/>
      <c r="I838" s="354"/>
      <c r="J838" s="362">
        <v>0</v>
      </c>
      <c r="K838" s="355">
        <v>0</v>
      </c>
      <c r="L838" s="355">
        <v>0</v>
      </c>
      <c r="M838" s="355">
        <v>0</v>
      </c>
      <c r="N838" s="355">
        <v>0</v>
      </c>
      <c r="O838" s="355">
        <v>0</v>
      </c>
      <c r="P838" s="355">
        <v>0</v>
      </c>
      <c r="Q838" s="355">
        <v>0</v>
      </c>
      <c r="R838" s="355">
        <v>0</v>
      </c>
      <c r="S838" s="355">
        <v>0</v>
      </c>
      <c r="T838" s="355">
        <v>0</v>
      </c>
      <c r="U838" s="356">
        <v>0</v>
      </c>
      <c r="V838" s="357">
        <v>0</v>
      </c>
      <c r="W838" s="358"/>
      <c r="X838" s="359">
        <v>0</v>
      </c>
      <c r="Y838" s="360">
        <v>0</v>
      </c>
      <c r="AA838" s="388"/>
    </row>
    <row r="839" spans="4:27" hidden="1" collapsed="1" x14ac:dyDescent="0.3">
      <c r="D839" s="293" t="s">
        <v>1803</v>
      </c>
      <c r="E839" s="294"/>
      <c r="F839" s="295" t="s">
        <v>1804</v>
      </c>
      <c r="G839" s="296"/>
      <c r="H839" s="297"/>
      <c r="I839" s="298"/>
      <c r="J839" s="299">
        <v>0</v>
      </c>
      <c r="K839" s="300">
        <v>0</v>
      </c>
      <c r="L839" s="300">
        <v>0</v>
      </c>
      <c r="M839" s="300">
        <v>0</v>
      </c>
      <c r="N839" s="300">
        <v>0</v>
      </c>
      <c r="O839" s="300">
        <v>0</v>
      </c>
      <c r="P839" s="300">
        <v>0</v>
      </c>
      <c r="Q839" s="300">
        <v>0</v>
      </c>
      <c r="R839" s="300">
        <v>0</v>
      </c>
      <c r="S839" s="300">
        <v>0</v>
      </c>
      <c r="T839" s="300">
        <v>0</v>
      </c>
      <c r="U839" s="301">
        <v>0</v>
      </c>
      <c r="V839" s="302">
        <v>0</v>
      </c>
      <c r="W839" s="303"/>
      <c r="X839" s="304">
        <v>0</v>
      </c>
      <c r="Y839" s="305">
        <v>0</v>
      </c>
      <c r="AA839" s="388"/>
    </row>
    <row r="840" spans="4:27" s="250" customFormat="1" hidden="1" outlineLevel="1" x14ac:dyDescent="0.3">
      <c r="E840" s="250" t="s">
        <v>1805</v>
      </c>
      <c r="F840" s="306">
        <v>4403581</v>
      </c>
      <c r="G840" s="307"/>
      <c r="H840" s="308"/>
      <c r="I840" s="309"/>
      <c r="J840" s="310">
        <v>0</v>
      </c>
      <c r="K840" s="311">
        <v>0</v>
      </c>
      <c r="L840" s="311">
        <v>0</v>
      </c>
      <c r="M840" s="311">
        <v>0</v>
      </c>
      <c r="N840" s="311">
        <v>0</v>
      </c>
      <c r="O840" s="311">
        <v>0</v>
      </c>
      <c r="P840" s="311">
        <v>0</v>
      </c>
      <c r="Q840" s="311">
        <v>0</v>
      </c>
      <c r="R840" s="311">
        <v>0</v>
      </c>
      <c r="S840" s="311">
        <v>0</v>
      </c>
      <c r="T840" s="311">
        <v>0</v>
      </c>
      <c r="U840" s="312">
        <v>0</v>
      </c>
      <c r="V840" s="313">
        <v>0</v>
      </c>
      <c r="W840" s="314"/>
      <c r="X840" s="315">
        <v>0</v>
      </c>
      <c r="Y840" s="316">
        <v>0</v>
      </c>
      <c r="AA840" s="388"/>
    </row>
    <row r="841" spans="4:27" s="250" customFormat="1" hidden="1" outlineLevel="1" x14ac:dyDescent="0.3">
      <c r="E841" s="250" t="s">
        <v>1806</v>
      </c>
      <c r="F841" s="306">
        <v>4403579</v>
      </c>
      <c r="G841" s="307"/>
      <c r="H841" s="308"/>
      <c r="I841" s="309"/>
      <c r="J841" s="310">
        <v>0</v>
      </c>
      <c r="K841" s="311">
        <v>0</v>
      </c>
      <c r="L841" s="311">
        <v>0</v>
      </c>
      <c r="M841" s="311">
        <v>0</v>
      </c>
      <c r="N841" s="311">
        <v>0</v>
      </c>
      <c r="O841" s="311">
        <v>0</v>
      </c>
      <c r="P841" s="311">
        <v>0</v>
      </c>
      <c r="Q841" s="311">
        <v>0</v>
      </c>
      <c r="R841" s="311">
        <v>0</v>
      </c>
      <c r="S841" s="311">
        <v>0</v>
      </c>
      <c r="T841" s="311">
        <v>0</v>
      </c>
      <c r="U841" s="312">
        <v>0</v>
      </c>
      <c r="V841" s="313">
        <v>0</v>
      </c>
      <c r="W841" s="314"/>
      <c r="X841" s="315">
        <v>0</v>
      </c>
      <c r="Y841" s="316">
        <v>0</v>
      </c>
      <c r="AA841" s="388"/>
    </row>
    <row r="842" spans="4:27" s="250" customFormat="1" hidden="1" outlineLevel="1" x14ac:dyDescent="0.3">
      <c r="E842" s="250" t="s">
        <v>1807</v>
      </c>
      <c r="F842" s="306">
        <v>4403578</v>
      </c>
      <c r="G842" s="307"/>
      <c r="H842" s="308"/>
      <c r="I842" s="309"/>
      <c r="J842" s="310">
        <v>0</v>
      </c>
      <c r="K842" s="311">
        <v>0</v>
      </c>
      <c r="L842" s="311">
        <v>0</v>
      </c>
      <c r="M842" s="311">
        <v>0</v>
      </c>
      <c r="N842" s="311">
        <v>0</v>
      </c>
      <c r="O842" s="311">
        <v>0</v>
      </c>
      <c r="P842" s="311">
        <v>0</v>
      </c>
      <c r="Q842" s="311">
        <v>0</v>
      </c>
      <c r="R842" s="311">
        <v>0</v>
      </c>
      <c r="S842" s="311">
        <v>0</v>
      </c>
      <c r="T842" s="311">
        <v>0</v>
      </c>
      <c r="U842" s="312">
        <v>0</v>
      </c>
      <c r="V842" s="313">
        <v>0</v>
      </c>
      <c r="W842" s="314"/>
      <c r="X842" s="315">
        <v>0</v>
      </c>
      <c r="Y842" s="316">
        <v>0</v>
      </c>
      <c r="AA842" s="388"/>
    </row>
    <row r="843" spans="4:27" s="250" customFormat="1" hidden="1" outlineLevel="1" x14ac:dyDescent="0.3">
      <c r="E843" s="250" t="s">
        <v>1808</v>
      </c>
      <c r="F843" s="306">
        <v>4403577</v>
      </c>
      <c r="G843" s="307"/>
      <c r="H843" s="308"/>
      <c r="I843" s="309"/>
      <c r="J843" s="310">
        <v>0</v>
      </c>
      <c r="K843" s="311">
        <v>0</v>
      </c>
      <c r="L843" s="311">
        <v>0</v>
      </c>
      <c r="M843" s="311">
        <v>0</v>
      </c>
      <c r="N843" s="311">
        <v>0</v>
      </c>
      <c r="O843" s="311">
        <v>0</v>
      </c>
      <c r="P843" s="311">
        <v>0</v>
      </c>
      <c r="Q843" s="311">
        <v>0</v>
      </c>
      <c r="R843" s="311">
        <v>0</v>
      </c>
      <c r="S843" s="311">
        <v>0</v>
      </c>
      <c r="T843" s="311">
        <v>0</v>
      </c>
      <c r="U843" s="312">
        <v>0</v>
      </c>
      <c r="V843" s="313">
        <v>0</v>
      </c>
      <c r="W843" s="314"/>
      <c r="X843" s="315">
        <v>0</v>
      </c>
      <c r="Y843" s="316">
        <v>0</v>
      </c>
      <c r="AA843" s="388"/>
    </row>
    <row r="844" spans="4:27" s="250" customFormat="1" hidden="1" outlineLevel="1" x14ac:dyDescent="0.3">
      <c r="E844" s="250" t="s">
        <v>1809</v>
      </c>
      <c r="F844" s="306">
        <v>4403576</v>
      </c>
      <c r="G844" s="307"/>
      <c r="H844" s="308"/>
      <c r="I844" s="309"/>
      <c r="J844" s="310">
        <v>0</v>
      </c>
      <c r="K844" s="311">
        <v>0</v>
      </c>
      <c r="L844" s="311">
        <v>0</v>
      </c>
      <c r="M844" s="311">
        <v>0</v>
      </c>
      <c r="N844" s="311">
        <v>0</v>
      </c>
      <c r="O844" s="311">
        <v>0</v>
      </c>
      <c r="P844" s="311">
        <v>0</v>
      </c>
      <c r="Q844" s="311">
        <v>0</v>
      </c>
      <c r="R844" s="311">
        <v>0</v>
      </c>
      <c r="S844" s="311">
        <v>0</v>
      </c>
      <c r="T844" s="311">
        <v>0</v>
      </c>
      <c r="U844" s="312">
        <v>0</v>
      </c>
      <c r="V844" s="313">
        <v>0</v>
      </c>
      <c r="W844" s="314"/>
      <c r="X844" s="315">
        <v>0</v>
      </c>
      <c r="Y844" s="316">
        <v>0</v>
      </c>
      <c r="AA844" s="388"/>
    </row>
    <row r="845" spans="4:27" s="250" customFormat="1" hidden="1" outlineLevel="1" x14ac:dyDescent="0.3">
      <c r="E845" s="250" t="s">
        <v>1810</v>
      </c>
      <c r="F845" s="306">
        <v>4403575</v>
      </c>
      <c r="G845" s="307"/>
      <c r="H845" s="308"/>
      <c r="I845" s="309"/>
      <c r="J845" s="310">
        <v>0</v>
      </c>
      <c r="K845" s="311">
        <v>0</v>
      </c>
      <c r="L845" s="311">
        <v>0</v>
      </c>
      <c r="M845" s="311">
        <v>0</v>
      </c>
      <c r="N845" s="311">
        <v>0</v>
      </c>
      <c r="O845" s="311">
        <v>0</v>
      </c>
      <c r="P845" s="311">
        <v>0</v>
      </c>
      <c r="Q845" s="311">
        <v>0</v>
      </c>
      <c r="R845" s="311">
        <v>0</v>
      </c>
      <c r="S845" s="311">
        <v>0</v>
      </c>
      <c r="T845" s="311">
        <v>0</v>
      </c>
      <c r="U845" s="312">
        <v>0</v>
      </c>
      <c r="V845" s="313">
        <v>0</v>
      </c>
      <c r="W845" s="314"/>
      <c r="X845" s="315">
        <v>0</v>
      </c>
      <c r="Y845" s="316">
        <v>0</v>
      </c>
      <c r="AA845" s="388"/>
    </row>
    <row r="846" spans="4:27" s="250" customFormat="1" hidden="1" outlineLevel="1" x14ac:dyDescent="0.3">
      <c r="E846" s="250" t="s">
        <v>1811</v>
      </c>
      <c r="F846" s="306">
        <v>4403574</v>
      </c>
      <c r="G846" s="307"/>
      <c r="H846" s="308"/>
      <c r="I846" s="309"/>
      <c r="J846" s="310">
        <v>0</v>
      </c>
      <c r="K846" s="311">
        <v>0</v>
      </c>
      <c r="L846" s="311">
        <v>0</v>
      </c>
      <c r="M846" s="311">
        <v>0</v>
      </c>
      <c r="N846" s="311">
        <v>0</v>
      </c>
      <c r="O846" s="311">
        <v>0</v>
      </c>
      <c r="P846" s="311">
        <v>0</v>
      </c>
      <c r="Q846" s="311">
        <v>0</v>
      </c>
      <c r="R846" s="311">
        <v>0</v>
      </c>
      <c r="S846" s="311">
        <v>0</v>
      </c>
      <c r="T846" s="311">
        <v>0</v>
      </c>
      <c r="U846" s="312">
        <v>0</v>
      </c>
      <c r="V846" s="313">
        <v>0</v>
      </c>
      <c r="W846" s="314"/>
      <c r="X846" s="315">
        <v>0</v>
      </c>
      <c r="Y846" s="316">
        <v>0</v>
      </c>
      <c r="AA846" s="388"/>
    </row>
    <row r="847" spans="4:27" s="250" customFormat="1" hidden="1" outlineLevel="1" x14ac:dyDescent="0.3">
      <c r="E847" s="250" t="s">
        <v>1812</v>
      </c>
      <c r="F847" s="306">
        <v>4403573</v>
      </c>
      <c r="G847" s="307"/>
      <c r="H847" s="308"/>
      <c r="I847" s="309"/>
      <c r="J847" s="310">
        <v>0</v>
      </c>
      <c r="K847" s="311">
        <v>0</v>
      </c>
      <c r="L847" s="311">
        <v>0</v>
      </c>
      <c r="M847" s="311">
        <v>0</v>
      </c>
      <c r="N847" s="311">
        <v>0</v>
      </c>
      <c r="O847" s="311">
        <v>0</v>
      </c>
      <c r="P847" s="311">
        <v>0</v>
      </c>
      <c r="Q847" s="311">
        <v>0</v>
      </c>
      <c r="R847" s="311">
        <v>0</v>
      </c>
      <c r="S847" s="311">
        <v>0</v>
      </c>
      <c r="T847" s="311">
        <v>0</v>
      </c>
      <c r="U847" s="312">
        <v>0</v>
      </c>
      <c r="V847" s="313">
        <v>0</v>
      </c>
      <c r="W847" s="314"/>
      <c r="X847" s="315">
        <v>0</v>
      </c>
      <c r="Y847" s="316">
        <v>0</v>
      </c>
      <c r="AA847" s="388"/>
    </row>
    <row r="848" spans="4:27" s="250" customFormat="1" hidden="1" outlineLevel="1" x14ac:dyDescent="0.3">
      <c r="E848" s="250" t="s">
        <v>1813</v>
      </c>
      <c r="F848" s="306">
        <v>4403568</v>
      </c>
      <c r="G848" s="307"/>
      <c r="H848" s="308"/>
      <c r="I848" s="309"/>
      <c r="J848" s="310">
        <v>0</v>
      </c>
      <c r="K848" s="311">
        <v>0</v>
      </c>
      <c r="L848" s="311">
        <v>0</v>
      </c>
      <c r="M848" s="311">
        <v>0</v>
      </c>
      <c r="N848" s="311">
        <v>0</v>
      </c>
      <c r="O848" s="311">
        <v>0</v>
      </c>
      <c r="P848" s="311">
        <v>0</v>
      </c>
      <c r="Q848" s="311">
        <v>0</v>
      </c>
      <c r="R848" s="311">
        <v>0</v>
      </c>
      <c r="S848" s="311">
        <v>0</v>
      </c>
      <c r="T848" s="311">
        <v>0</v>
      </c>
      <c r="U848" s="312">
        <v>0</v>
      </c>
      <c r="V848" s="313">
        <v>0</v>
      </c>
      <c r="W848" s="314"/>
      <c r="X848" s="315">
        <v>0</v>
      </c>
      <c r="Y848" s="316">
        <v>0</v>
      </c>
      <c r="AA848" s="388"/>
    </row>
    <row r="849" spans="4:27" s="250" customFormat="1" hidden="1" outlineLevel="1" x14ac:dyDescent="0.3">
      <c r="E849" s="250" t="s">
        <v>1814</v>
      </c>
      <c r="F849" s="306">
        <v>4403569</v>
      </c>
      <c r="G849" s="307"/>
      <c r="H849" s="308"/>
      <c r="I849" s="309"/>
      <c r="J849" s="310">
        <v>0</v>
      </c>
      <c r="K849" s="311">
        <v>0</v>
      </c>
      <c r="L849" s="311">
        <v>0</v>
      </c>
      <c r="M849" s="311">
        <v>0</v>
      </c>
      <c r="N849" s="311">
        <v>0</v>
      </c>
      <c r="O849" s="311">
        <v>0</v>
      </c>
      <c r="P849" s="311">
        <v>0</v>
      </c>
      <c r="Q849" s="311">
        <v>0</v>
      </c>
      <c r="R849" s="311">
        <v>0</v>
      </c>
      <c r="S849" s="311">
        <v>0</v>
      </c>
      <c r="T849" s="311">
        <v>0</v>
      </c>
      <c r="U849" s="312">
        <v>0</v>
      </c>
      <c r="V849" s="313">
        <v>0</v>
      </c>
      <c r="W849" s="314"/>
      <c r="X849" s="315">
        <v>0</v>
      </c>
      <c r="Y849" s="316">
        <v>0</v>
      </c>
      <c r="AA849" s="388"/>
    </row>
    <row r="850" spans="4:27" s="350" customFormat="1" hidden="1" outlineLevel="2" x14ac:dyDescent="0.3">
      <c r="E850" s="350" t="s">
        <v>1815</v>
      </c>
      <c r="F850" s="306">
        <v>4405516</v>
      </c>
      <c r="G850" s="307"/>
      <c r="H850" s="308"/>
      <c r="I850" s="309"/>
      <c r="J850" s="310">
        <v>0</v>
      </c>
      <c r="K850" s="311">
        <v>0</v>
      </c>
      <c r="L850" s="311">
        <v>0</v>
      </c>
      <c r="M850" s="311">
        <v>0</v>
      </c>
      <c r="N850" s="311">
        <v>0</v>
      </c>
      <c r="O850" s="311">
        <v>0</v>
      </c>
      <c r="P850" s="311">
        <v>0</v>
      </c>
      <c r="Q850" s="311">
        <v>0</v>
      </c>
      <c r="R850" s="311">
        <v>0</v>
      </c>
      <c r="S850" s="311">
        <v>0</v>
      </c>
      <c r="T850" s="311">
        <v>0</v>
      </c>
      <c r="U850" s="312">
        <v>0</v>
      </c>
      <c r="V850" s="313">
        <v>0</v>
      </c>
      <c r="W850" s="314"/>
      <c r="X850" s="315">
        <v>0</v>
      </c>
      <c r="Y850" s="316">
        <v>0</v>
      </c>
      <c r="AA850" s="388"/>
    </row>
    <row r="851" spans="4:27" s="350" customFormat="1" hidden="1" outlineLevel="2" x14ac:dyDescent="0.3">
      <c r="E851" s="350" t="s">
        <v>1816</v>
      </c>
      <c r="F851" s="306">
        <v>4405518</v>
      </c>
      <c r="G851" s="307"/>
      <c r="H851" s="308"/>
      <c r="I851" s="309"/>
      <c r="J851" s="310">
        <v>0</v>
      </c>
      <c r="K851" s="311">
        <v>0</v>
      </c>
      <c r="L851" s="311">
        <v>0</v>
      </c>
      <c r="M851" s="311">
        <v>0</v>
      </c>
      <c r="N851" s="311">
        <v>0</v>
      </c>
      <c r="O851" s="311">
        <v>0</v>
      </c>
      <c r="P851" s="311">
        <v>0</v>
      </c>
      <c r="Q851" s="311">
        <v>0</v>
      </c>
      <c r="R851" s="311">
        <v>0</v>
      </c>
      <c r="S851" s="311">
        <v>0</v>
      </c>
      <c r="T851" s="311">
        <v>0</v>
      </c>
      <c r="U851" s="312">
        <v>0</v>
      </c>
      <c r="V851" s="313">
        <v>0</v>
      </c>
      <c r="W851" s="314"/>
      <c r="X851" s="315">
        <v>0</v>
      </c>
      <c r="Y851" s="316">
        <v>0</v>
      </c>
      <c r="AA851" s="388"/>
    </row>
    <row r="852" spans="4:27" s="326" customFormat="1" hidden="1" outlineLevel="2" x14ac:dyDescent="0.3">
      <c r="E852" s="326" t="s">
        <v>1817</v>
      </c>
      <c r="F852" s="336"/>
      <c r="G852" s="327"/>
      <c r="H852" s="328"/>
      <c r="I852" s="329"/>
      <c r="J852" s="338">
        <v>0</v>
      </c>
      <c r="K852" s="330">
        <v>0</v>
      </c>
      <c r="L852" s="330">
        <v>0</v>
      </c>
      <c r="M852" s="330">
        <v>0</v>
      </c>
      <c r="N852" s="330">
        <v>0</v>
      </c>
      <c r="O852" s="330">
        <v>0</v>
      </c>
      <c r="P852" s="330">
        <v>0</v>
      </c>
      <c r="Q852" s="330">
        <v>0</v>
      </c>
      <c r="R852" s="330">
        <v>0</v>
      </c>
      <c r="S852" s="330">
        <v>0</v>
      </c>
      <c r="T852" s="330">
        <v>0</v>
      </c>
      <c r="U852" s="331">
        <v>0</v>
      </c>
      <c r="V852" s="332">
        <v>0</v>
      </c>
      <c r="W852" s="333"/>
      <c r="X852" s="334">
        <v>0</v>
      </c>
      <c r="Y852" s="335">
        <v>0</v>
      </c>
      <c r="AA852" s="388"/>
    </row>
    <row r="853" spans="4:27" s="326" customFormat="1" hidden="1" outlineLevel="2" x14ac:dyDescent="0.3">
      <c r="E853" s="326" t="s">
        <v>1818</v>
      </c>
      <c r="F853" s="336"/>
      <c r="G853" s="327"/>
      <c r="H853" s="328"/>
      <c r="I853" s="329"/>
      <c r="J853" s="338">
        <v>0</v>
      </c>
      <c r="K853" s="330">
        <v>0</v>
      </c>
      <c r="L853" s="330">
        <v>0</v>
      </c>
      <c r="M853" s="330">
        <v>0</v>
      </c>
      <c r="N853" s="330">
        <v>0</v>
      </c>
      <c r="O853" s="330">
        <v>0</v>
      </c>
      <c r="P853" s="330">
        <v>0</v>
      </c>
      <c r="Q853" s="330">
        <v>0</v>
      </c>
      <c r="R853" s="330">
        <v>0</v>
      </c>
      <c r="S853" s="330">
        <v>0</v>
      </c>
      <c r="T853" s="330">
        <v>0</v>
      </c>
      <c r="U853" s="331">
        <v>0</v>
      </c>
      <c r="V853" s="332">
        <v>0</v>
      </c>
      <c r="W853" s="333"/>
      <c r="X853" s="334">
        <v>0</v>
      </c>
      <c r="Y853" s="335">
        <v>0</v>
      </c>
      <c r="AA853" s="388"/>
    </row>
    <row r="854" spans="4:27" s="326" customFormat="1" hidden="1" outlineLevel="2" x14ac:dyDescent="0.3">
      <c r="E854" s="326" t="s">
        <v>1819</v>
      </c>
      <c r="F854" s="336"/>
      <c r="G854" s="327"/>
      <c r="H854" s="328"/>
      <c r="I854" s="329"/>
      <c r="J854" s="338">
        <v>0</v>
      </c>
      <c r="K854" s="330">
        <v>0</v>
      </c>
      <c r="L854" s="330">
        <v>0</v>
      </c>
      <c r="M854" s="330">
        <v>0</v>
      </c>
      <c r="N854" s="330">
        <v>0</v>
      </c>
      <c r="O854" s="330">
        <v>0</v>
      </c>
      <c r="P854" s="330">
        <v>0</v>
      </c>
      <c r="Q854" s="330">
        <v>0</v>
      </c>
      <c r="R854" s="330">
        <v>0</v>
      </c>
      <c r="S854" s="330">
        <v>0</v>
      </c>
      <c r="T854" s="330">
        <v>0</v>
      </c>
      <c r="U854" s="331">
        <v>0</v>
      </c>
      <c r="V854" s="332">
        <v>0</v>
      </c>
      <c r="W854" s="333"/>
      <c r="X854" s="334">
        <v>0</v>
      </c>
      <c r="Y854" s="335">
        <v>0</v>
      </c>
      <c r="AA854" s="388"/>
    </row>
    <row r="855" spans="4:27" hidden="1" collapsed="1" x14ac:dyDescent="0.3">
      <c r="D855" s="293" t="s">
        <v>1820</v>
      </c>
      <c r="E855" s="294"/>
      <c r="F855" s="295" t="s">
        <v>1821</v>
      </c>
      <c r="G855" s="296"/>
      <c r="H855" s="297"/>
      <c r="I855" s="298"/>
      <c r="J855" s="299">
        <v>0</v>
      </c>
      <c r="K855" s="300">
        <v>0</v>
      </c>
      <c r="L855" s="300">
        <v>0</v>
      </c>
      <c r="M855" s="300">
        <v>0</v>
      </c>
      <c r="N855" s="300">
        <v>0</v>
      </c>
      <c r="O855" s="300">
        <v>0</v>
      </c>
      <c r="P855" s="300">
        <v>0</v>
      </c>
      <c r="Q855" s="300">
        <v>0</v>
      </c>
      <c r="R855" s="300">
        <v>0</v>
      </c>
      <c r="S855" s="300">
        <v>0</v>
      </c>
      <c r="T855" s="300">
        <v>0</v>
      </c>
      <c r="U855" s="301">
        <v>0</v>
      </c>
      <c r="V855" s="302">
        <v>0</v>
      </c>
      <c r="W855" s="303"/>
      <c r="X855" s="304">
        <v>0</v>
      </c>
      <c r="Y855" s="305">
        <v>0</v>
      </c>
      <c r="AA855" s="388"/>
    </row>
    <row r="856" spans="4:27" hidden="1" outlineLevel="1" x14ac:dyDescent="0.3">
      <c r="E856" s="250" t="s">
        <v>1822</v>
      </c>
      <c r="F856" s="317">
        <v>4403572</v>
      </c>
      <c r="G856" s="318"/>
      <c r="H856" s="319"/>
      <c r="I856" s="320"/>
      <c r="J856" s="337">
        <v>0</v>
      </c>
      <c r="K856" s="321">
        <v>0</v>
      </c>
      <c r="L856" s="321">
        <v>0</v>
      </c>
      <c r="M856" s="321">
        <v>0</v>
      </c>
      <c r="N856" s="321">
        <v>0</v>
      </c>
      <c r="O856" s="321">
        <v>0</v>
      </c>
      <c r="P856" s="321">
        <v>0</v>
      </c>
      <c r="Q856" s="321">
        <v>0</v>
      </c>
      <c r="R856" s="321">
        <v>0</v>
      </c>
      <c r="S856" s="321">
        <v>0</v>
      </c>
      <c r="T856" s="321">
        <v>0</v>
      </c>
      <c r="U856" s="322">
        <v>0</v>
      </c>
      <c r="V856" s="323">
        <v>0</v>
      </c>
      <c r="W856" s="303"/>
      <c r="X856" s="324">
        <v>0</v>
      </c>
      <c r="Y856" s="325">
        <v>0</v>
      </c>
      <c r="AA856" s="388"/>
    </row>
    <row r="857" spans="4:27" hidden="1" outlineLevel="1" x14ac:dyDescent="0.3">
      <c r="E857" s="250" t="s">
        <v>1823</v>
      </c>
      <c r="F857" s="317">
        <v>4403571</v>
      </c>
      <c r="G857" s="318"/>
      <c r="H857" s="319"/>
      <c r="I857" s="320"/>
      <c r="J857" s="337">
        <v>0</v>
      </c>
      <c r="K857" s="321">
        <v>0</v>
      </c>
      <c r="L857" s="321">
        <v>0</v>
      </c>
      <c r="M857" s="321">
        <v>0</v>
      </c>
      <c r="N857" s="321">
        <v>0</v>
      </c>
      <c r="O857" s="321">
        <v>0</v>
      </c>
      <c r="P857" s="321">
        <v>0</v>
      </c>
      <c r="Q857" s="321">
        <v>0</v>
      </c>
      <c r="R857" s="321">
        <v>0</v>
      </c>
      <c r="S857" s="321">
        <v>0</v>
      </c>
      <c r="T857" s="321">
        <v>0</v>
      </c>
      <c r="U857" s="322">
        <v>0</v>
      </c>
      <c r="V857" s="323">
        <v>0</v>
      </c>
      <c r="W857" s="303"/>
      <c r="X857" s="324">
        <v>0</v>
      </c>
      <c r="Y857" s="325">
        <v>0</v>
      </c>
      <c r="AA857" s="388"/>
    </row>
    <row r="858" spans="4:27" hidden="1" outlineLevel="1" x14ac:dyDescent="0.3">
      <c r="E858" s="250" t="s">
        <v>1824</v>
      </c>
      <c r="F858" s="317">
        <v>4403570</v>
      </c>
      <c r="G858" s="318"/>
      <c r="H858" s="319"/>
      <c r="I858" s="320"/>
      <c r="J858" s="337">
        <v>0</v>
      </c>
      <c r="K858" s="321">
        <v>0</v>
      </c>
      <c r="L858" s="321">
        <v>0</v>
      </c>
      <c r="M858" s="321">
        <v>0</v>
      </c>
      <c r="N858" s="321">
        <v>0</v>
      </c>
      <c r="O858" s="321">
        <v>0</v>
      </c>
      <c r="P858" s="321">
        <v>0</v>
      </c>
      <c r="Q858" s="321">
        <v>0</v>
      </c>
      <c r="R858" s="321">
        <v>0</v>
      </c>
      <c r="S858" s="321">
        <v>0</v>
      </c>
      <c r="T858" s="321">
        <v>0</v>
      </c>
      <c r="U858" s="322">
        <v>0</v>
      </c>
      <c r="V858" s="323">
        <v>0</v>
      </c>
      <c r="W858" s="303"/>
      <c r="X858" s="324">
        <v>0</v>
      </c>
      <c r="Y858" s="325">
        <v>0</v>
      </c>
      <c r="AA858" s="388"/>
    </row>
    <row r="859" spans="4:27" s="326" customFormat="1" hidden="1" outlineLevel="2" x14ac:dyDescent="0.3">
      <c r="E859" s="326" t="s">
        <v>1825</v>
      </c>
      <c r="F859" s="336"/>
      <c r="G859" s="327"/>
      <c r="H859" s="328"/>
      <c r="I859" s="329"/>
      <c r="J859" s="338">
        <v>0</v>
      </c>
      <c r="K859" s="330">
        <v>0</v>
      </c>
      <c r="L859" s="330">
        <v>0</v>
      </c>
      <c r="M859" s="330">
        <v>0</v>
      </c>
      <c r="N859" s="330">
        <v>0</v>
      </c>
      <c r="O859" s="330">
        <v>0</v>
      </c>
      <c r="P859" s="330">
        <v>0</v>
      </c>
      <c r="Q859" s="330">
        <v>0</v>
      </c>
      <c r="R859" s="330">
        <v>0</v>
      </c>
      <c r="S859" s="330">
        <v>0</v>
      </c>
      <c r="T859" s="330">
        <v>0</v>
      </c>
      <c r="U859" s="331">
        <v>0</v>
      </c>
      <c r="V859" s="332">
        <v>0</v>
      </c>
      <c r="W859" s="333"/>
      <c r="X859" s="334">
        <v>0</v>
      </c>
      <c r="Y859" s="335">
        <v>0</v>
      </c>
      <c r="AA859" s="388"/>
    </row>
    <row r="860" spans="4:27" s="326" customFormat="1" hidden="1" outlineLevel="2" x14ac:dyDescent="0.3">
      <c r="E860" s="326" t="s">
        <v>1826</v>
      </c>
      <c r="F860" s="336"/>
      <c r="G860" s="327"/>
      <c r="H860" s="328"/>
      <c r="I860" s="329"/>
      <c r="J860" s="338">
        <v>0</v>
      </c>
      <c r="K860" s="330">
        <v>0</v>
      </c>
      <c r="L860" s="330">
        <v>0</v>
      </c>
      <c r="M860" s="330">
        <v>0</v>
      </c>
      <c r="N860" s="330">
        <v>0</v>
      </c>
      <c r="O860" s="330">
        <v>0</v>
      </c>
      <c r="P860" s="330">
        <v>0</v>
      </c>
      <c r="Q860" s="330">
        <v>0</v>
      </c>
      <c r="R860" s="330">
        <v>0</v>
      </c>
      <c r="S860" s="330">
        <v>0</v>
      </c>
      <c r="T860" s="330">
        <v>0</v>
      </c>
      <c r="U860" s="331">
        <v>0</v>
      </c>
      <c r="V860" s="332">
        <v>0</v>
      </c>
      <c r="W860" s="333"/>
      <c r="X860" s="334">
        <v>0</v>
      </c>
      <c r="Y860" s="335">
        <v>0</v>
      </c>
      <c r="AA860" s="388"/>
    </row>
    <row r="861" spans="4:27" s="326" customFormat="1" hidden="1" outlineLevel="2" x14ac:dyDescent="0.3">
      <c r="E861" s="326" t="s">
        <v>1827</v>
      </c>
      <c r="F861" s="336"/>
      <c r="G861" s="327"/>
      <c r="H861" s="328"/>
      <c r="I861" s="329"/>
      <c r="J861" s="338">
        <v>0</v>
      </c>
      <c r="K861" s="330">
        <v>0</v>
      </c>
      <c r="L861" s="330">
        <v>0</v>
      </c>
      <c r="M861" s="330">
        <v>0</v>
      </c>
      <c r="N861" s="330">
        <v>0</v>
      </c>
      <c r="O861" s="330">
        <v>0</v>
      </c>
      <c r="P861" s="330">
        <v>0</v>
      </c>
      <c r="Q861" s="330">
        <v>0</v>
      </c>
      <c r="R861" s="330">
        <v>0</v>
      </c>
      <c r="S861" s="330">
        <v>0</v>
      </c>
      <c r="T861" s="330">
        <v>0</v>
      </c>
      <c r="U861" s="331">
        <v>0</v>
      </c>
      <c r="V861" s="332">
        <v>0</v>
      </c>
      <c r="W861" s="333"/>
      <c r="X861" s="334">
        <v>0</v>
      </c>
      <c r="Y861" s="335">
        <v>0</v>
      </c>
      <c r="AA861" s="388"/>
    </row>
    <row r="862" spans="4:27" hidden="1" collapsed="1" x14ac:dyDescent="0.3">
      <c r="D862" s="293" t="s">
        <v>1828</v>
      </c>
      <c r="E862" s="294"/>
      <c r="F862" s="295" t="s">
        <v>1829</v>
      </c>
      <c r="G862" s="296"/>
      <c r="H862" s="297"/>
      <c r="I862" s="298"/>
      <c r="J862" s="299">
        <v>0</v>
      </c>
      <c r="K862" s="300">
        <v>0</v>
      </c>
      <c r="L862" s="300">
        <v>0</v>
      </c>
      <c r="M862" s="300">
        <v>0</v>
      </c>
      <c r="N862" s="300">
        <v>0</v>
      </c>
      <c r="O862" s="300">
        <v>0</v>
      </c>
      <c r="P862" s="300">
        <v>0</v>
      </c>
      <c r="Q862" s="300">
        <v>0</v>
      </c>
      <c r="R862" s="300">
        <v>0</v>
      </c>
      <c r="S862" s="300">
        <v>0</v>
      </c>
      <c r="T862" s="300">
        <v>0</v>
      </c>
      <c r="U862" s="301">
        <v>0</v>
      </c>
      <c r="V862" s="302">
        <v>0</v>
      </c>
      <c r="W862" s="303"/>
      <c r="X862" s="304">
        <v>0</v>
      </c>
      <c r="Y862" s="305">
        <v>0</v>
      </c>
      <c r="AA862" s="388"/>
    </row>
    <row r="863" spans="4:27" hidden="1" outlineLevel="1" x14ac:dyDescent="0.3">
      <c r="E863" s="250" t="s">
        <v>1830</v>
      </c>
      <c r="F863" s="317">
        <v>4409000</v>
      </c>
      <c r="G863" s="318"/>
      <c r="H863" s="319"/>
      <c r="I863" s="320"/>
      <c r="J863" s="337">
        <v>0</v>
      </c>
      <c r="K863" s="321">
        <v>0</v>
      </c>
      <c r="L863" s="321">
        <v>0</v>
      </c>
      <c r="M863" s="321">
        <v>0</v>
      </c>
      <c r="N863" s="321">
        <v>0</v>
      </c>
      <c r="O863" s="321">
        <v>0</v>
      </c>
      <c r="P863" s="321">
        <v>0</v>
      </c>
      <c r="Q863" s="321">
        <v>0</v>
      </c>
      <c r="R863" s="321">
        <v>0</v>
      </c>
      <c r="S863" s="321">
        <v>0</v>
      </c>
      <c r="T863" s="321">
        <v>0</v>
      </c>
      <c r="U863" s="322">
        <v>0</v>
      </c>
      <c r="V863" s="323">
        <v>0</v>
      </c>
      <c r="W863" s="303"/>
      <c r="X863" s="324">
        <v>0</v>
      </c>
      <c r="Y863" s="325">
        <v>0</v>
      </c>
      <c r="AA863" s="388"/>
    </row>
    <row r="864" spans="4:27" s="361" customFormat="1" hidden="1" outlineLevel="2" x14ac:dyDescent="0.3">
      <c r="E864" s="326" t="s">
        <v>1831</v>
      </c>
      <c r="F864" s="351"/>
      <c r="G864" s="352"/>
      <c r="H864" s="353"/>
      <c r="I864" s="354"/>
      <c r="J864" s="362">
        <v>0</v>
      </c>
      <c r="K864" s="355">
        <v>0</v>
      </c>
      <c r="L864" s="355">
        <v>0</v>
      </c>
      <c r="M864" s="355">
        <v>0</v>
      </c>
      <c r="N864" s="355">
        <v>0</v>
      </c>
      <c r="O864" s="355">
        <v>0</v>
      </c>
      <c r="P864" s="355">
        <v>0</v>
      </c>
      <c r="Q864" s="355">
        <v>0</v>
      </c>
      <c r="R864" s="355">
        <v>0</v>
      </c>
      <c r="S864" s="355">
        <v>0</v>
      </c>
      <c r="T864" s="355">
        <v>0</v>
      </c>
      <c r="U864" s="356">
        <v>0</v>
      </c>
      <c r="V864" s="357">
        <v>0</v>
      </c>
      <c r="W864" s="358"/>
      <c r="X864" s="359">
        <v>0</v>
      </c>
      <c r="Y864" s="360">
        <v>0</v>
      </c>
      <c r="AA864" s="388"/>
    </row>
    <row r="865" spans="1:27" s="361" customFormat="1" hidden="1" outlineLevel="2" x14ac:dyDescent="0.3">
      <c r="E865" s="326" t="s">
        <v>1832</v>
      </c>
      <c r="F865" s="351"/>
      <c r="G865" s="352"/>
      <c r="H865" s="353"/>
      <c r="I865" s="354"/>
      <c r="J865" s="362">
        <v>0</v>
      </c>
      <c r="K865" s="355">
        <v>0</v>
      </c>
      <c r="L865" s="355">
        <v>0</v>
      </c>
      <c r="M865" s="355">
        <v>0</v>
      </c>
      <c r="N865" s="355">
        <v>0</v>
      </c>
      <c r="O865" s="355">
        <v>0</v>
      </c>
      <c r="P865" s="355">
        <v>0</v>
      </c>
      <c r="Q865" s="355">
        <v>0</v>
      </c>
      <c r="R865" s="355">
        <v>0</v>
      </c>
      <c r="S865" s="355">
        <v>0</v>
      </c>
      <c r="T865" s="355">
        <v>0</v>
      </c>
      <c r="U865" s="356">
        <v>0</v>
      </c>
      <c r="V865" s="357">
        <v>0</v>
      </c>
      <c r="W865" s="358"/>
      <c r="X865" s="359">
        <v>0</v>
      </c>
      <c r="Y865" s="360">
        <v>0</v>
      </c>
      <c r="AA865" s="388"/>
    </row>
    <row r="866" spans="1:27" s="361" customFormat="1" hidden="1" outlineLevel="2" x14ac:dyDescent="0.3">
      <c r="E866" s="326" t="s">
        <v>1833</v>
      </c>
      <c r="F866" s="351"/>
      <c r="G866" s="352"/>
      <c r="H866" s="353"/>
      <c r="I866" s="354"/>
      <c r="J866" s="362">
        <v>0</v>
      </c>
      <c r="K866" s="355">
        <v>0</v>
      </c>
      <c r="L866" s="355">
        <v>0</v>
      </c>
      <c r="M866" s="355">
        <v>0</v>
      </c>
      <c r="N866" s="355">
        <v>0</v>
      </c>
      <c r="O866" s="355">
        <v>0</v>
      </c>
      <c r="P866" s="355">
        <v>0</v>
      </c>
      <c r="Q866" s="355">
        <v>0</v>
      </c>
      <c r="R866" s="355">
        <v>0</v>
      </c>
      <c r="S866" s="355">
        <v>0</v>
      </c>
      <c r="T866" s="355">
        <v>0</v>
      </c>
      <c r="U866" s="356">
        <v>0</v>
      </c>
      <c r="V866" s="357">
        <v>0</v>
      </c>
      <c r="W866" s="358"/>
      <c r="X866" s="359">
        <v>0</v>
      </c>
      <c r="Y866" s="360">
        <v>0</v>
      </c>
      <c r="AA866" s="388"/>
    </row>
    <row r="867" spans="1:27" hidden="1" collapsed="1" x14ac:dyDescent="0.3">
      <c r="A867" s="233"/>
      <c r="B867" s="234" t="s">
        <v>73</v>
      </c>
      <c r="D867" s="293" t="s">
        <v>1834</v>
      </c>
      <c r="E867" s="294"/>
      <c r="F867" s="295" t="s">
        <v>1835</v>
      </c>
      <c r="G867" s="296"/>
      <c r="H867" s="297"/>
      <c r="I867" s="298"/>
      <c r="J867" s="299">
        <v>856995.76699999999</v>
      </c>
      <c r="K867" s="300">
        <v>1215572.054</v>
      </c>
      <c r="L867" s="300">
        <v>2162292.057</v>
      </c>
      <c r="M867" s="300">
        <v>-218682.18400000001</v>
      </c>
      <c r="N867" s="300">
        <v>1000475.808</v>
      </c>
      <c r="O867" s="300">
        <v>2378750.0599999996</v>
      </c>
      <c r="P867" s="300">
        <v>-499299.70399999991</v>
      </c>
      <c r="Q867" s="300">
        <v>1593787.4049999998</v>
      </c>
      <c r="R867" s="300">
        <v>2100063.7439999999</v>
      </c>
      <c r="S867" s="300">
        <v>-68757.292000000001</v>
      </c>
      <c r="T867" s="300">
        <v>465954.7</v>
      </c>
      <c r="U867" s="301">
        <v>674526.11300000013</v>
      </c>
      <c r="V867" s="302">
        <v>11661678.527999999</v>
      </c>
      <c r="W867" s="303"/>
      <c r="X867" s="304">
        <v>674526.11300000013</v>
      </c>
      <c r="Y867" s="305">
        <v>11661678.527999999</v>
      </c>
      <c r="AA867" s="388"/>
    </row>
    <row r="868" spans="1:27" hidden="1" outlineLevel="1" x14ac:dyDescent="0.3">
      <c r="E868" s="250" t="s">
        <v>1836</v>
      </c>
      <c r="F868" s="317">
        <v>4405501</v>
      </c>
      <c r="G868" s="318"/>
      <c r="H868" s="319">
        <v>7101350301</v>
      </c>
      <c r="I868" s="320"/>
      <c r="J868" s="337">
        <v>673326.28099999996</v>
      </c>
      <c r="K868" s="321">
        <v>258925.10699999999</v>
      </c>
      <c r="L868" s="321">
        <v>299021.03899999999</v>
      </c>
      <c r="M868" s="321">
        <v>199908.10100000002</v>
      </c>
      <c r="N868" s="321">
        <v>167261.76699999999</v>
      </c>
      <c r="O868" s="321">
        <v>253207.139</v>
      </c>
      <c r="P868" s="321">
        <v>154750.503</v>
      </c>
      <c r="Q868" s="321">
        <v>401290.53599999996</v>
      </c>
      <c r="R868" s="321">
        <v>111708.599</v>
      </c>
      <c r="S868" s="321">
        <v>46222.043000000005</v>
      </c>
      <c r="T868" s="321">
        <v>87005.145000000004</v>
      </c>
      <c r="U868" s="322">
        <v>28163.603999999996</v>
      </c>
      <c r="V868" s="323">
        <v>2680789.8639999996</v>
      </c>
      <c r="W868" s="303"/>
      <c r="X868" s="324">
        <v>28163.603999999996</v>
      </c>
      <c r="Y868" s="325">
        <v>2680789.8639999996</v>
      </c>
      <c r="AA868" s="388"/>
    </row>
    <row r="869" spans="1:27" hidden="1" outlineLevel="1" x14ac:dyDescent="0.3">
      <c r="E869" s="250" t="s">
        <v>1837</v>
      </c>
      <c r="F869" s="317">
        <v>4405502</v>
      </c>
      <c r="G869" s="318"/>
      <c r="H869" s="319">
        <v>7101350102</v>
      </c>
      <c r="I869" s="320"/>
      <c r="J869" s="337">
        <v>183669.486</v>
      </c>
      <c r="K869" s="321">
        <v>956646.94699999993</v>
      </c>
      <c r="L869" s="321">
        <v>1863271.0180000002</v>
      </c>
      <c r="M869" s="321">
        <v>-418590.28500000003</v>
      </c>
      <c r="N869" s="321">
        <v>833214.04099999997</v>
      </c>
      <c r="O869" s="321">
        <v>2125542.9209999996</v>
      </c>
      <c r="P869" s="321">
        <v>-654050.20699999994</v>
      </c>
      <c r="Q869" s="321">
        <v>1192496.8689999999</v>
      </c>
      <c r="R869" s="321">
        <v>1988355.1449999998</v>
      </c>
      <c r="S869" s="321">
        <v>-115132.163</v>
      </c>
      <c r="T869" s="321">
        <v>378949.55499999999</v>
      </c>
      <c r="U869" s="322">
        <v>646362.50900000008</v>
      </c>
      <c r="V869" s="323">
        <v>8980735.8359999992</v>
      </c>
      <c r="W869" s="303"/>
      <c r="X869" s="324">
        <v>646362.50900000008</v>
      </c>
      <c r="Y869" s="325">
        <v>8980735.8359999992</v>
      </c>
      <c r="AA869" s="388"/>
    </row>
    <row r="870" spans="1:27" hidden="1" outlineLevel="1" x14ac:dyDescent="0.3">
      <c r="E870" s="250" t="s">
        <v>1838</v>
      </c>
      <c r="F870" s="317">
        <v>4405503</v>
      </c>
      <c r="G870" s="318"/>
      <c r="H870" s="319"/>
      <c r="I870" s="320"/>
      <c r="J870" s="337">
        <v>0</v>
      </c>
      <c r="K870" s="321">
        <v>0</v>
      </c>
      <c r="L870" s="321">
        <v>0</v>
      </c>
      <c r="M870" s="321">
        <v>0</v>
      </c>
      <c r="N870" s="321">
        <v>0</v>
      </c>
      <c r="O870" s="321">
        <v>0</v>
      </c>
      <c r="P870" s="321">
        <v>0</v>
      </c>
      <c r="Q870" s="321">
        <v>0</v>
      </c>
      <c r="R870" s="321">
        <v>0</v>
      </c>
      <c r="S870" s="321">
        <v>0</v>
      </c>
      <c r="T870" s="321">
        <v>0</v>
      </c>
      <c r="U870" s="322">
        <v>0</v>
      </c>
      <c r="V870" s="323">
        <v>0</v>
      </c>
      <c r="W870" s="303"/>
      <c r="X870" s="324">
        <v>0</v>
      </c>
      <c r="Y870" s="325">
        <v>0</v>
      </c>
      <c r="AA870" s="388"/>
    </row>
    <row r="871" spans="1:27" hidden="1" outlineLevel="1" x14ac:dyDescent="0.3">
      <c r="E871" s="250" t="s">
        <v>1839</v>
      </c>
      <c r="F871" s="317">
        <v>4405504</v>
      </c>
      <c r="G871" s="318"/>
      <c r="H871" s="319"/>
      <c r="I871" s="320"/>
      <c r="J871" s="337">
        <v>0</v>
      </c>
      <c r="K871" s="321">
        <v>0</v>
      </c>
      <c r="L871" s="321">
        <v>0</v>
      </c>
      <c r="M871" s="321">
        <v>0</v>
      </c>
      <c r="N871" s="321">
        <v>0</v>
      </c>
      <c r="O871" s="321">
        <v>0</v>
      </c>
      <c r="P871" s="321">
        <v>0</v>
      </c>
      <c r="Q871" s="321">
        <v>0</v>
      </c>
      <c r="R871" s="321">
        <v>0</v>
      </c>
      <c r="S871" s="321">
        <v>0</v>
      </c>
      <c r="T871" s="321">
        <v>0</v>
      </c>
      <c r="U871" s="322">
        <v>0</v>
      </c>
      <c r="V871" s="323">
        <v>0</v>
      </c>
      <c r="W871" s="303"/>
      <c r="X871" s="324">
        <v>0</v>
      </c>
      <c r="Y871" s="325">
        <v>0</v>
      </c>
      <c r="AA871" s="388"/>
    </row>
    <row r="872" spans="1:27" hidden="1" outlineLevel="1" x14ac:dyDescent="0.3">
      <c r="E872" s="250" t="s">
        <v>1840</v>
      </c>
      <c r="F872" s="317">
        <v>4405505</v>
      </c>
      <c r="G872" s="318"/>
      <c r="H872" s="319"/>
      <c r="I872" s="320"/>
      <c r="J872" s="337">
        <v>0</v>
      </c>
      <c r="K872" s="321">
        <v>0</v>
      </c>
      <c r="L872" s="321">
        <v>0</v>
      </c>
      <c r="M872" s="321">
        <v>0</v>
      </c>
      <c r="N872" s="321">
        <v>0</v>
      </c>
      <c r="O872" s="321">
        <v>0</v>
      </c>
      <c r="P872" s="321">
        <v>0</v>
      </c>
      <c r="Q872" s="321">
        <v>0</v>
      </c>
      <c r="R872" s="321">
        <v>0</v>
      </c>
      <c r="S872" s="321">
        <v>0</v>
      </c>
      <c r="T872" s="321">
        <v>0</v>
      </c>
      <c r="U872" s="322">
        <v>0</v>
      </c>
      <c r="V872" s="323">
        <v>0</v>
      </c>
      <c r="W872" s="303"/>
      <c r="X872" s="324">
        <v>0</v>
      </c>
      <c r="Y872" s="325">
        <v>0</v>
      </c>
      <c r="AA872" s="388"/>
    </row>
    <row r="873" spans="1:27" hidden="1" outlineLevel="1" x14ac:dyDescent="0.3">
      <c r="E873" s="250" t="s">
        <v>1841</v>
      </c>
      <c r="F873" s="317">
        <v>4405506</v>
      </c>
      <c r="G873" s="318"/>
      <c r="H873" s="319">
        <v>7101350105</v>
      </c>
      <c r="I873" s="320"/>
      <c r="J873" s="337">
        <v>0</v>
      </c>
      <c r="K873" s="321">
        <v>0</v>
      </c>
      <c r="L873" s="321">
        <v>0</v>
      </c>
      <c r="M873" s="321">
        <v>0</v>
      </c>
      <c r="N873" s="321">
        <v>0</v>
      </c>
      <c r="O873" s="321">
        <v>0</v>
      </c>
      <c r="P873" s="321">
        <v>0</v>
      </c>
      <c r="Q873" s="321">
        <v>0</v>
      </c>
      <c r="R873" s="321">
        <v>0</v>
      </c>
      <c r="S873" s="321">
        <v>0</v>
      </c>
      <c r="T873" s="321">
        <v>0</v>
      </c>
      <c r="U873" s="322">
        <v>0</v>
      </c>
      <c r="V873" s="323">
        <v>0</v>
      </c>
      <c r="W873" s="303"/>
      <c r="X873" s="324">
        <v>0</v>
      </c>
      <c r="Y873" s="325">
        <v>0</v>
      </c>
      <c r="AA873" s="388"/>
    </row>
    <row r="874" spans="1:27" hidden="1" outlineLevel="1" x14ac:dyDescent="0.3">
      <c r="E874" s="250" t="s">
        <v>1842</v>
      </c>
      <c r="F874" s="317">
        <v>4405507</v>
      </c>
      <c r="G874" s="318"/>
      <c r="H874" s="319">
        <v>7101350101</v>
      </c>
      <c r="I874" s="320"/>
      <c r="J874" s="337">
        <v>0</v>
      </c>
      <c r="K874" s="321">
        <v>0</v>
      </c>
      <c r="L874" s="321">
        <v>0</v>
      </c>
      <c r="M874" s="321">
        <v>0</v>
      </c>
      <c r="N874" s="321">
        <v>0</v>
      </c>
      <c r="O874" s="321">
        <v>0</v>
      </c>
      <c r="P874" s="321">
        <v>0</v>
      </c>
      <c r="Q874" s="321">
        <v>0</v>
      </c>
      <c r="R874" s="321">
        <v>0</v>
      </c>
      <c r="S874" s="321">
        <v>152.828</v>
      </c>
      <c r="T874" s="321">
        <v>0</v>
      </c>
      <c r="U874" s="322">
        <v>0</v>
      </c>
      <c r="V874" s="323">
        <v>152.828</v>
      </c>
      <c r="W874" s="303"/>
      <c r="X874" s="324">
        <v>0</v>
      </c>
      <c r="Y874" s="325">
        <v>152.828</v>
      </c>
      <c r="AA874" s="388"/>
    </row>
    <row r="875" spans="1:27" s="326" customFormat="1" hidden="1" outlineLevel="2" x14ac:dyDescent="0.3">
      <c r="E875" s="250" t="s">
        <v>1843</v>
      </c>
      <c r="F875" s="306"/>
      <c r="G875" s="307"/>
      <c r="H875" s="308">
        <v>7101330101</v>
      </c>
      <c r="I875" s="309"/>
      <c r="J875" s="310">
        <v>0</v>
      </c>
      <c r="K875" s="311">
        <v>0</v>
      </c>
      <c r="L875" s="311">
        <v>0</v>
      </c>
      <c r="M875" s="311">
        <v>0</v>
      </c>
      <c r="N875" s="311">
        <v>0</v>
      </c>
      <c r="O875" s="311">
        <v>0</v>
      </c>
      <c r="P875" s="311">
        <v>0</v>
      </c>
      <c r="Q875" s="311">
        <v>0</v>
      </c>
      <c r="R875" s="311">
        <v>0</v>
      </c>
      <c r="S875" s="311">
        <v>0</v>
      </c>
      <c r="T875" s="311">
        <v>0</v>
      </c>
      <c r="U875" s="312">
        <v>0</v>
      </c>
      <c r="V875" s="313">
        <v>0</v>
      </c>
      <c r="W875" s="314"/>
      <c r="X875" s="315">
        <v>0</v>
      </c>
      <c r="Y875" s="316">
        <v>0</v>
      </c>
      <c r="AA875" s="388"/>
    </row>
    <row r="876" spans="1:27" s="326" customFormat="1" hidden="1" outlineLevel="2" x14ac:dyDescent="0.3">
      <c r="E876" s="350" t="s">
        <v>1844</v>
      </c>
      <c r="F876" s="306"/>
      <c r="G876" s="307"/>
      <c r="H876" s="308">
        <v>7101270000</v>
      </c>
      <c r="I876" s="309"/>
      <c r="J876" s="310">
        <v>0</v>
      </c>
      <c r="K876" s="311">
        <v>0</v>
      </c>
      <c r="L876" s="311">
        <v>0</v>
      </c>
      <c r="M876" s="311">
        <v>0</v>
      </c>
      <c r="N876" s="311">
        <v>0</v>
      </c>
      <c r="O876" s="311">
        <v>0</v>
      </c>
      <c r="P876" s="311">
        <v>0</v>
      </c>
      <c r="Q876" s="311">
        <v>0</v>
      </c>
      <c r="R876" s="311">
        <v>0</v>
      </c>
      <c r="S876" s="311">
        <v>0</v>
      </c>
      <c r="T876" s="311">
        <v>0</v>
      </c>
      <c r="U876" s="312">
        <v>0</v>
      </c>
      <c r="V876" s="313">
        <v>0</v>
      </c>
      <c r="W876" s="314"/>
      <c r="X876" s="315">
        <v>0</v>
      </c>
      <c r="Y876" s="316">
        <v>0</v>
      </c>
      <c r="AA876" s="388"/>
    </row>
    <row r="877" spans="1:27" s="350" customFormat="1" hidden="1" outlineLevel="2" x14ac:dyDescent="0.3">
      <c r="E877" s="350" t="s">
        <v>1845</v>
      </c>
      <c r="F877" s="306"/>
      <c r="G877" s="307"/>
      <c r="H877" s="308">
        <v>7101130101</v>
      </c>
      <c r="I877" s="309"/>
      <c r="J877" s="310">
        <v>0</v>
      </c>
      <c r="K877" s="311">
        <v>0</v>
      </c>
      <c r="L877" s="311">
        <v>0</v>
      </c>
      <c r="M877" s="311">
        <v>0</v>
      </c>
      <c r="N877" s="311">
        <v>0</v>
      </c>
      <c r="O877" s="311">
        <v>0</v>
      </c>
      <c r="P877" s="311">
        <v>0</v>
      </c>
      <c r="Q877" s="311">
        <v>0</v>
      </c>
      <c r="R877" s="311">
        <v>0</v>
      </c>
      <c r="S877" s="311">
        <v>0</v>
      </c>
      <c r="T877" s="311">
        <v>0</v>
      </c>
      <c r="U877" s="312">
        <v>0</v>
      </c>
      <c r="V877" s="313">
        <v>0</v>
      </c>
      <c r="W877" s="314"/>
      <c r="X877" s="315">
        <v>0</v>
      </c>
      <c r="Y877" s="316">
        <v>0</v>
      </c>
      <c r="AA877" s="314"/>
    </row>
    <row r="878" spans="1:27" hidden="1" collapsed="1" x14ac:dyDescent="0.3">
      <c r="A878" s="233"/>
      <c r="B878" s="234" t="s">
        <v>53</v>
      </c>
      <c r="D878" s="293" t="s">
        <v>1846</v>
      </c>
      <c r="E878" s="294"/>
      <c r="F878" s="295" t="s">
        <v>1847</v>
      </c>
      <c r="G878" s="296"/>
      <c r="H878" s="297"/>
      <c r="I878" s="298"/>
      <c r="J878" s="299">
        <v>867349.15799999982</v>
      </c>
      <c r="K878" s="300">
        <v>849851.18</v>
      </c>
      <c r="L878" s="300">
        <v>1243951.71</v>
      </c>
      <c r="M878" s="300">
        <v>1218979.338</v>
      </c>
      <c r="N878" s="300">
        <v>1020362.789</v>
      </c>
      <c r="O878" s="300">
        <v>1311506.9049999998</v>
      </c>
      <c r="P878" s="300">
        <v>1137546.115</v>
      </c>
      <c r="Q878" s="300">
        <v>649484.54700000002</v>
      </c>
      <c r="R878" s="300">
        <v>1051975.6749999998</v>
      </c>
      <c r="S878" s="300">
        <v>1223143.2480000001</v>
      </c>
      <c r="T878" s="300">
        <v>1097305.9310000001</v>
      </c>
      <c r="U878" s="301">
        <v>2412464.7679999992</v>
      </c>
      <c r="V878" s="302">
        <v>14083921.363999998</v>
      </c>
      <c r="W878" s="303"/>
      <c r="X878" s="304">
        <v>2412464.7679999992</v>
      </c>
      <c r="Y878" s="305">
        <v>14083921.363999998</v>
      </c>
      <c r="AA878" s="388"/>
    </row>
    <row r="879" spans="1:27" hidden="1" outlineLevel="1" x14ac:dyDescent="0.3">
      <c r="E879" s="250" t="s">
        <v>1848</v>
      </c>
      <c r="F879" s="317">
        <v>4409901</v>
      </c>
      <c r="G879" s="318"/>
      <c r="H879" s="319">
        <v>7101990101</v>
      </c>
      <c r="I879" s="320"/>
      <c r="J879" s="337">
        <v>3131.8</v>
      </c>
      <c r="K879" s="321">
        <v>2032.97</v>
      </c>
      <c r="L879" s="321">
        <v>2415.4690000000001</v>
      </c>
      <c r="M879" s="321">
        <v>2802.17</v>
      </c>
      <c r="N879" s="321">
        <v>3602.06</v>
      </c>
      <c r="O879" s="321">
        <v>2902.7510000000002</v>
      </c>
      <c r="P879" s="321">
        <v>3393.67</v>
      </c>
      <c r="Q879" s="321">
        <v>2506.5100000000002</v>
      </c>
      <c r="R879" s="321">
        <v>2306.9</v>
      </c>
      <c r="S879" s="321">
        <v>2757.37</v>
      </c>
      <c r="T879" s="321">
        <v>2192.65</v>
      </c>
      <c r="U879" s="322">
        <v>4612.46</v>
      </c>
      <c r="V879" s="323">
        <v>34656.780000000006</v>
      </c>
      <c r="W879" s="303"/>
      <c r="X879" s="324">
        <v>4612.46</v>
      </c>
      <c r="Y879" s="325">
        <v>34656.780000000006</v>
      </c>
      <c r="AA879" s="388"/>
    </row>
    <row r="880" spans="1:27" hidden="1" outlineLevel="1" x14ac:dyDescent="0.3">
      <c r="E880" s="250" t="s">
        <v>1849</v>
      </c>
      <c r="F880" s="317">
        <v>4409902</v>
      </c>
      <c r="G880" s="318"/>
      <c r="H880" s="319">
        <v>7101990103</v>
      </c>
      <c r="I880" s="320"/>
      <c r="J880" s="337">
        <v>144759.21400000001</v>
      </c>
      <c r="K880" s="321">
        <v>253129.087</v>
      </c>
      <c r="L880" s="321">
        <v>298817.03000000003</v>
      </c>
      <c r="M880" s="321">
        <v>426514.91</v>
      </c>
      <c r="N880" s="321">
        <v>246377.12599999999</v>
      </c>
      <c r="O880" s="321">
        <v>388233.592</v>
      </c>
      <c r="P880" s="321">
        <v>174483.79500000001</v>
      </c>
      <c r="Q880" s="321">
        <v>288369.82999999996</v>
      </c>
      <c r="R880" s="321">
        <v>227665.13500000001</v>
      </c>
      <c r="S880" s="321">
        <v>202927.49</v>
      </c>
      <c r="T880" s="321">
        <v>354916.31199999998</v>
      </c>
      <c r="U880" s="322">
        <v>738413.6</v>
      </c>
      <c r="V880" s="323">
        <v>3744607.1209999998</v>
      </c>
      <c r="W880" s="303"/>
      <c r="X880" s="324">
        <v>738413.6</v>
      </c>
      <c r="Y880" s="325">
        <v>3744607.1209999998</v>
      </c>
      <c r="AA880" s="388"/>
    </row>
    <row r="881" spans="1:27" hidden="1" outlineLevel="1" x14ac:dyDescent="0.3">
      <c r="E881" s="250" t="s">
        <v>1850</v>
      </c>
      <c r="F881" s="317">
        <v>4409903</v>
      </c>
      <c r="G881" s="318"/>
      <c r="H881" s="319">
        <v>7101990105</v>
      </c>
      <c r="I881" s="320"/>
      <c r="J881" s="337">
        <v>0</v>
      </c>
      <c r="K881" s="321">
        <v>39.43</v>
      </c>
      <c r="L881" s="321">
        <v>0</v>
      </c>
      <c r="M881" s="321">
        <v>0</v>
      </c>
      <c r="N881" s="321">
        <v>0</v>
      </c>
      <c r="O881" s="321">
        <v>0</v>
      </c>
      <c r="P881" s="321">
        <v>0</v>
      </c>
      <c r="Q881" s="321">
        <v>0</v>
      </c>
      <c r="R881" s="321">
        <v>0</v>
      </c>
      <c r="S881" s="321">
        <v>0</v>
      </c>
      <c r="T881" s="321">
        <v>-110.399</v>
      </c>
      <c r="U881" s="322">
        <v>3640.32</v>
      </c>
      <c r="V881" s="323">
        <v>3569.3510000000001</v>
      </c>
      <c r="W881" s="303"/>
      <c r="X881" s="324">
        <v>3640.32</v>
      </c>
      <c r="Y881" s="325">
        <v>3569.3510000000001</v>
      </c>
      <c r="AA881" s="388"/>
    </row>
    <row r="882" spans="1:27" hidden="1" outlineLevel="1" x14ac:dyDescent="0.3">
      <c r="E882" s="250" t="s">
        <v>1851</v>
      </c>
      <c r="F882" s="317">
        <v>4409904</v>
      </c>
      <c r="G882" s="318"/>
      <c r="H882" s="319"/>
      <c r="I882" s="320"/>
      <c r="J882" s="337">
        <v>0</v>
      </c>
      <c r="K882" s="321">
        <v>0</v>
      </c>
      <c r="L882" s="321">
        <v>0</v>
      </c>
      <c r="M882" s="321">
        <v>0</v>
      </c>
      <c r="N882" s="321">
        <v>0</v>
      </c>
      <c r="O882" s="321">
        <v>0</v>
      </c>
      <c r="P882" s="321">
        <v>0</v>
      </c>
      <c r="Q882" s="321">
        <v>0</v>
      </c>
      <c r="R882" s="321">
        <v>0</v>
      </c>
      <c r="S882" s="321">
        <v>0</v>
      </c>
      <c r="T882" s="321">
        <v>0</v>
      </c>
      <c r="U882" s="322">
        <v>0</v>
      </c>
      <c r="V882" s="323">
        <v>0</v>
      </c>
      <c r="W882" s="303"/>
      <c r="X882" s="324">
        <v>0</v>
      </c>
      <c r="Y882" s="325">
        <v>0</v>
      </c>
      <c r="AA882" s="388"/>
    </row>
    <row r="883" spans="1:27" hidden="1" outlineLevel="1" x14ac:dyDescent="0.3">
      <c r="E883" s="250" t="s">
        <v>1852</v>
      </c>
      <c r="F883" s="317">
        <v>4409905</v>
      </c>
      <c r="G883" s="318"/>
      <c r="H883" s="319">
        <v>7101990109</v>
      </c>
      <c r="I883" s="320"/>
      <c r="J883" s="337">
        <v>0</v>
      </c>
      <c r="K883" s="321">
        <v>0</v>
      </c>
      <c r="L883" s="321">
        <v>0</v>
      </c>
      <c r="M883" s="321">
        <v>0</v>
      </c>
      <c r="N883" s="321">
        <v>0</v>
      </c>
      <c r="O883" s="321">
        <v>0</v>
      </c>
      <c r="P883" s="321">
        <v>0</v>
      </c>
      <c r="Q883" s="321">
        <v>0</v>
      </c>
      <c r="R883" s="321">
        <v>0</v>
      </c>
      <c r="S883" s="321">
        <v>0</v>
      </c>
      <c r="T883" s="321">
        <v>0</v>
      </c>
      <c r="U883" s="322">
        <v>0</v>
      </c>
      <c r="V883" s="323">
        <v>0</v>
      </c>
      <c r="W883" s="303"/>
      <c r="X883" s="324">
        <v>0</v>
      </c>
      <c r="Y883" s="325">
        <v>0</v>
      </c>
      <c r="AA883" s="388"/>
    </row>
    <row r="884" spans="1:27" hidden="1" outlineLevel="1" x14ac:dyDescent="0.3">
      <c r="E884" s="250" t="s">
        <v>1853</v>
      </c>
      <c r="F884" s="317">
        <v>4409906</v>
      </c>
      <c r="G884" s="318"/>
      <c r="H884" s="319">
        <v>7101990111</v>
      </c>
      <c r="I884" s="320"/>
      <c r="J884" s="337">
        <v>250396.61900000001</v>
      </c>
      <c r="K884" s="321">
        <v>193222.57</v>
      </c>
      <c r="L884" s="321">
        <v>305729.02500000002</v>
      </c>
      <c r="M884" s="321">
        <v>341761.04599999997</v>
      </c>
      <c r="N884" s="321">
        <v>329075.02500000002</v>
      </c>
      <c r="O884" s="321">
        <v>216855.02900000001</v>
      </c>
      <c r="P884" s="321">
        <v>164534.72700000001</v>
      </c>
      <c r="Q884" s="321">
        <v>107153.413</v>
      </c>
      <c r="R884" s="321">
        <v>186859.769</v>
      </c>
      <c r="S884" s="321">
        <v>173513.17</v>
      </c>
      <c r="T884" s="321">
        <v>208927.853</v>
      </c>
      <c r="U884" s="322">
        <v>85921.790999999997</v>
      </c>
      <c r="V884" s="323">
        <v>2563950.0370000005</v>
      </c>
      <c r="W884" s="303"/>
      <c r="X884" s="324">
        <v>85921.790999999997</v>
      </c>
      <c r="Y884" s="325">
        <v>2563950.0370000005</v>
      </c>
      <c r="AA884" s="388"/>
    </row>
    <row r="885" spans="1:27" hidden="1" outlineLevel="1" x14ac:dyDescent="0.3">
      <c r="E885" s="250" t="s">
        <v>1854</v>
      </c>
      <c r="F885" s="317">
        <v>4409907</v>
      </c>
      <c r="G885" s="318"/>
      <c r="H885" s="319"/>
      <c r="I885" s="320"/>
      <c r="J885" s="337">
        <v>0</v>
      </c>
      <c r="K885" s="321">
        <v>0</v>
      </c>
      <c r="L885" s="321">
        <v>0</v>
      </c>
      <c r="M885" s="321">
        <v>0</v>
      </c>
      <c r="N885" s="321">
        <v>0</v>
      </c>
      <c r="O885" s="321">
        <v>0</v>
      </c>
      <c r="P885" s="321">
        <v>0</v>
      </c>
      <c r="Q885" s="321">
        <v>0</v>
      </c>
      <c r="R885" s="321">
        <v>0</v>
      </c>
      <c r="S885" s="321">
        <v>0</v>
      </c>
      <c r="T885" s="321">
        <v>0</v>
      </c>
      <c r="U885" s="322">
        <v>0</v>
      </c>
      <c r="V885" s="323">
        <v>0</v>
      </c>
      <c r="W885" s="303"/>
      <c r="X885" s="324">
        <v>0</v>
      </c>
      <c r="Y885" s="325">
        <v>0</v>
      </c>
      <c r="AA885" s="388"/>
    </row>
    <row r="886" spans="1:27" hidden="1" outlineLevel="1" x14ac:dyDescent="0.3">
      <c r="E886" s="250" t="s">
        <v>1855</v>
      </c>
      <c r="F886" s="317">
        <v>4409908</v>
      </c>
      <c r="G886" s="318"/>
      <c r="H886" s="319">
        <v>7101990199</v>
      </c>
      <c r="I886" s="320"/>
      <c r="J886" s="337">
        <v>214.54000000000002</v>
      </c>
      <c r="K886" s="321">
        <v>126.43</v>
      </c>
      <c r="L886" s="321">
        <v>0</v>
      </c>
      <c r="M886" s="321">
        <v>0</v>
      </c>
      <c r="N886" s="321">
        <v>0</v>
      </c>
      <c r="O886" s="321">
        <v>3.99</v>
      </c>
      <c r="P886" s="321">
        <v>0</v>
      </c>
      <c r="Q886" s="321">
        <v>0</v>
      </c>
      <c r="R886" s="321">
        <v>0</v>
      </c>
      <c r="S886" s="321">
        <v>0</v>
      </c>
      <c r="T886" s="321">
        <v>0</v>
      </c>
      <c r="U886" s="322">
        <v>0</v>
      </c>
      <c r="V886" s="323">
        <v>344.96000000000004</v>
      </c>
      <c r="W886" s="303"/>
      <c r="X886" s="324">
        <v>0</v>
      </c>
      <c r="Y886" s="325">
        <v>344.96000000000004</v>
      </c>
      <c r="AA886" s="388"/>
    </row>
    <row r="887" spans="1:27" hidden="1" outlineLevel="1" x14ac:dyDescent="0.3">
      <c r="E887" s="250" t="s">
        <v>1856</v>
      </c>
      <c r="F887" s="317">
        <v>4409999</v>
      </c>
      <c r="G887" s="318"/>
      <c r="H887" s="319"/>
      <c r="I887" s="320"/>
      <c r="J887" s="337">
        <v>468846.98499999987</v>
      </c>
      <c r="K887" s="321">
        <v>401300.69300000003</v>
      </c>
      <c r="L887" s="321">
        <v>636990.18599999987</v>
      </c>
      <c r="M887" s="321">
        <v>447901.21199999994</v>
      </c>
      <c r="N887" s="321">
        <v>441308.57799999998</v>
      </c>
      <c r="O887" s="321">
        <v>703511.54299999995</v>
      </c>
      <c r="P887" s="321">
        <v>795133.92299999995</v>
      </c>
      <c r="Q887" s="321">
        <v>251454.79399999999</v>
      </c>
      <c r="R887" s="321">
        <v>635143.87099999981</v>
      </c>
      <c r="S887" s="321">
        <v>843945.21799999999</v>
      </c>
      <c r="T887" s="321">
        <v>531379.51500000013</v>
      </c>
      <c r="U887" s="322">
        <v>1579876.5969999996</v>
      </c>
      <c r="V887" s="323">
        <v>7736793.1149999984</v>
      </c>
      <c r="W887" s="303"/>
      <c r="X887" s="324">
        <v>1579876.5969999996</v>
      </c>
      <c r="Y887" s="325">
        <v>7736793.1149999984</v>
      </c>
      <c r="AA887" s="388"/>
    </row>
    <row r="888" spans="1:27" s="361" customFormat="1" hidden="1" outlineLevel="2" x14ac:dyDescent="0.3">
      <c r="E888" s="326" t="s">
        <v>1857</v>
      </c>
      <c r="F888" s="351"/>
      <c r="G888" s="352"/>
      <c r="H888" s="353"/>
      <c r="I888" s="354"/>
      <c r="J888" s="362">
        <v>0</v>
      </c>
      <c r="K888" s="355">
        <v>0</v>
      </c>
      <c r="L888" s="355">
        <v>0</v>
      </c>
      <c r="M888" s="355">
        <v>0</v>
      </c>
      <c r="N888" s="355">
        <v>0</v>
      </c>
      <c r="O888" s="355">
        <v>0</v>
      </c>
      <c r="P888" s="355">
        <v>0</v>
      </c>
      <c r="Q888" s="355">
        <v>0</v>
      </c>
      <c r="R888" s="355">
        <v>0</v>
      </c>
      <c r="S888" s="355">
        <v>0</v>
      </c>
      <c r="T888" s="355">
        <v>0</v>
      </c>
      <c r="U888" s="356">
        <v>0</v>
      </c>
      <c r="V888" s="357">
        <v>0</v>
      </c>
      <c r="W888" s="358"/>
      <c r="X888" s="359">
        <v>0</v>
      </c>
      <c r="Y888" s="360">
        <v>0</v>
      </c>
      <c r="AA888" s="388"/>
    </row>
    <row r="889" spans="1:27" s="361" customFormat="1" hidden="1" outlineLevel="2" x14ac:dyDescent="0.3">
      <c r="E889" s="326" t="s">
        <v>1858</v>
      </c>
      <c r="F889" s="351"/>
      <c r="G889" s="352"/>
      <c r="H889" s="353"/>
      <c r="I889" s="354"/>
      <c r="J889" s="362">
        <v>0</v>
      </c>
      <c r="K889" s="355">
        <v>0</v>
      </c>
      <c r="L889" s="355">
        <v>0</v>
      </c>
      <c r="M889" s="355">
        <v>0</v>
      </c>
      <c r="N889" s="355">
        <v>0</v>
      </c>
      <c r="O889" s="355">
        <v>0</v>
      </c>
      <c r="P889" s="355">
        <v>0</v>
      </c>
      <c r="Q889" s="355">
        <v>0</v>
      </c>
      <c r="R889" s="355">
        <v>0</v>
      </c>
      <c r="S889" s="355">
        <v>0</v>
      </c>
      <c r="T889" s="355">
        <v>0</v>
      </c>
      <c r="U889" s="356">
        <v>0</v>
      </c>
      <c r="V889" s="357">
        <v>0</v>
      </c>
      <c r="W889" s="358"/>
      <c r="X889" s="359">
        <v>0</v>
      </c>
      <c r="Y889" s="360">
        <v>0</v>
      </c>
      <c r="AA889" s="388"/>
    </row>
    <row r="890" spans="1:27" s="361" customFormat="1" hidden="1" outlineLevel="2" x14ac:dyDescent="0.3">
      <c r="E890" s="326" t="s">
        <v>1859</v>
      </c>
      <c r="F890" s="351"/>
      <c r="G890" s="352"/>
      <c r="H890" s="353"/>
      <c r="I890" s="354"/>
      <c r="J890" s="362">
        <v>0</v>
      </c>
      <c r="K890" s="355">
        <v>0</v>
      </c>
      <c r="L890" s="355">
        <v>0</v>
      </c>
      <c r="M890" s="355">
        <v>0</v>
      </c>
      <c r="N890" s="355">
        <v>0</v>
      </c>
      <c r="O890" s="355">
        <v>0</v>
      </c>
      <c r="P890" s="355">
        <v>0</v>
      </c>
      <c r="Q890" s="355">
        <v>0</v>
      </c>
      <c r="R890" s="355">
        <v>0</v>
      </c>
      <c r="S890" s="355">
        <v>0</v>
      </c>
      <c r="T890" s="355">
        <v>0</v>
      </c>
      <c r="U890" s="356">
        <v>0</v>
      </c>
      <c r="V890" s="357">
        <v>0</v>
      </c>
      <c r="W890" s="358"/>
      <c r="X890" s="359">
        <v>0</v>
      </c>
      <c r="Y890" s="360">
        <v>0</v>
      </c>
      <c r="AA890" s="388"/>
    </row>
    <row r="891" spans="1:27" hidden="1" collapsed="1" x14ac:dyDescent="0.3">
      <c r="A891" s="233"/>
      <c r="B891" s="234" t="s">
        <v>73</v>
      </c>
      <c r="D891" s="293" t="s">
        <v>1860</v>
      </c>
      <c r="E891" s="294"/>
      <c r="F891" s="295" t="s">
        <v>1861</v>
      </c>
      <c r="G891" s="296"/>
      <c r="H891" s="297"/>
      <c r="I891" s="298"/>
      <c r="J891" s="299">
        <v>0</v>
      </c>
      <c r="K891" s="300">
        <v>0</v>
      </c>
      <c r="L891" s="300">
        <v>0</v>
      </c>
      <c r="M891" s="300">
        <v>0</v>
      </c>
      <c r="N891" s="300">
        <v>3898923.0720000002</v>
      </c>
      <c r="O891" s="300">
        <v>0</v>
      </c>
      <c r="P891" s="300">
        <v>0</v>
      </c>
      <c r="Q891" s="300">
        <v>0</v>
      </c>
      <c r="R891" s="300">
        <v>0</v>
      </c>
      <c r="S891" s="300">
        <v>0</v>
      </c>
      <c r="T891" s="300">
        <v>0</v>
      </c>
      <c r="U891" s="301">
        <v>0</v>
      </c>
      <c r="V891" s="302">
        <v>3898923.0720000002</v>
      </c>
      <c r="W891" s="303"/>
      <c r="X891" s="304">
        <v>0</v>
      </c>
      <c r="Y891" s="305">
        <v>3898923.0720000002</v>
      </c>
      <c r="AA891" s="388"/>
    </row>
    <row r="892" spans="1:27" hidden="1" outlineLevel="1" x14ac:dyDescent="0.3">
      <c r="E892" s="250" t="s">
        <v>1862</v>
      </c>
      <c r="F892" s="317">
        <v>4405509</v>
      </c>
      <c r="G892" s="318"/>
      <c r="H892" s="319">
        <v>7501210101</v>
      </c>
      <c r="I892" s="320"/>
      <c r="J892" s="337">
        <v>0</v>
      </c>
      <c r="K892" s="321">
        <v>0</v>
      </c>
      <c r="L892" s="321">
        <v>0</v>
      </c>
      <c r="M892" s="321">
        <v>0</v>
      </c>
      <c r="N892" s="321">
        <v>0</v>
      </c>
      <c r="O892" s="321">
        <v>0</v>
      </c>
      <c r="P892" s="321">
        <v>0</v>
      </c>
      <c r="Q892" s="321">
        <v>0</v>
      </c>
      <c r="R892" s="321">
        <v>0</v>
      </c>
      <c r="S892" s="321">
        <v>0</v>
      </c>
      <c r="T892" s="321">
        <v>0</v>
      </c>
      <c r="U892" s="322">
        <v>0</v>
      </c>
      <c r="V892" s="323">
        <v>0</v>
      </c>
      <c r="W892" s="303"/>
      <c r="X892" s="324">
        <v>0</v>
      </c>
      <c r="Y892" s="325">
        <v>0</v>
      </c>
      <c r="AA892" s="388"/>
    </row>
    <row r="893" spans="1:27" hidden="1" outlineLevel="1" x14ac:dyDescent="0.3">
      <c r="E893" s="250" t="s">
        <v>1863</v>
      </c>
      <c r="F893" s="317">
        <v>4405511</v>
      </c>
      <c r="G893" s="318"/>
      <c r="H893" s="319"/>
      <c r="I893" s="320"/>
      <c r="J893" s="337">
        <v>0</v>
      </c>
      <c r="K893" s="321">
        <v>0</v>
      </c>
      <c r="L893" s="321">
        <v>0</v>
      </c>
      <c r="M893" s="321">
        <v>0</v>
      </c>
      <c r="N893" s="321">
        <v>0</v>
      </c>
      <c r="O893" s="321">
        <v>0</v>
      </c>
      <c r="P893" s="321">
        <v>0</v>
      </c>
      <c r="Q893" s="321">
        <v>0</v>
      </c>
      <c r="R893" s="321">
        <v>0</v>
      </c>
      <c r="S893" s="321">
        <v>0</v>
      </c>
      <c r="T893" s="321">
        <v>0</v>
      </c>
      <c r="U893" s="322">
        <v>0</v>
      </c>
      <c r="V893" s="323">
        <v>0</v>
      </c>
      <c r="W893" s="303"/>
      <c r="X893" s="324">
        <v>0</v>
      </c>
      <c r="Y893" s="325">
        <v>0</v>
      </c>
      <c r="AA893" s="388"/>
    </row>
    <row r="894" spans="1:27" hidden="1" outlineLevel="1" x14ac:dyDescent="0.3">
      <c r="E894" s="250" t="s">
        <v>1864</v>
      </c>
      <c r="F894" s="317">
        <v>4405513</v>
      </c>
      <c r="G894" s="318"/>
      <c r="H894" s="319">
        <v>7501170000</v>
      </c>
      <c r="I894" s="320"/>
      <c r="J894" s="337">
        <v>0</v>
      </c>
      <c r="K894" s="321">
        <v>0</v>
      </c>
      <c r="L894" s="321">
        <v>0</v>
      </c>
      <c r="M894" s="321">
        <v>0</v>
      </c>
      <c r="N894" s="321">
        <v>3898923.0720000002</v>
      </c>
      <c r="O894" s="321">
        <v>0</v>
      </c>
      <c r="P894" s="321">
        <v>0</v>
      </c>
      <c r="Q894" s="321">
        <v>0</v>
      </c>
      <c r="R894" s="321">
        <v>0</v>
      </c>
      <c r="S894" s="321">
        <v>0</v>
      </c>
      <c r="T894" s="321">
        <v>0</v>
      </c>
      <c r="U894" s="322">
        <v>0</v>
      </c>
      <c r="V894" s="323">
        <v>3898923.0720000002</v>
      </c>
      <c r="W894" s="303"/>
      <c r="X894" s="324">
        <v>0</v>
      </c>
      <c r="Y894" s="325">
        <v>3898923.0720000002</v>
      </c>
      <c r="AA894" s="388"/>
    </row>
    <row r="895" spans="1:27" hidden="1" collapsed="1" x14ac:dyDescent="0.3">
      <c r="D895" s="293" t="s">
        <v>1865</v>
      </c>
      <c r="E895" s="294"/>
      <c r="F895" s="295" t="s">
        <v>1866</v>
      </c>
      <c r="G895" s="296"/>
      <c r="H895" s="297"/>
      <c r="I895" s="298"/>
      <c r="J895" s="299">
        <v>0</v>
      </c>
      <c r="K895" s="300">
        <v>0</v>
      </c>
      <c r="L895" s="300">
        <v>0</v>
      </c>
      <c r="M895" s="300">
        <v>0</v>
      </c>
      <c r="N895" s="300">
        <v>0</v>
      </c>
      <c r="O895" s="300">
        <v>0</v>
      </c>
      <c r="P895" s="300">
        <v>0</v>
      </c>
      <c r="Q895" s="300">
        <v>0</v>
      </c>
      <c r="R895" s="300">
        <v>0</v>
      </c>
      <c r="S895" s="300">
        <v>0</v>
      </c>
      <c r="T895" s="300">
        <v>0</v>
      </c>
      <c r="U895" s="301">
        <v>0</v>
      </c>
      <c r="V895" s="302">
        <v>0</v>
      </c>
      <c r="W895" s="303"/>
      <c r="X895" s="304">
        <v>0</v>
      </c>
      <c r="Y895" s="305">
        <v>0</v>
      </c>
      <c r="AA895" s="388"/>
    </row>
    <row r="896" spans="1:27" hidden="1" outlineLevel="1" x14ac:dyDescent="0.3">
      <c r="E896" s="250" t="s">
        <v>1867</v>
      </c>
      <c r="F896" s="317">
        <v>4405510</v>
      </c>
      <c r="G896" s="318"/>
      <c r="H896" s="319"/>
      <c r="I896" s="320"/>
      <c r="J896" s="337">
        <v>0</v>
      </c>
      <c r="K896" s="321">
        <v>0</v>
      </c>
      <c r="L896" s="321">
        <v>0</v>
      </c>
      <c r="M896" s="321">
        <v>0</v>
      </c>
      <c r="N896" s="321">
        <v>0</v>
      </c>
      <c r="O896" s="321">
        <v>0</v>
      </c>
      <c r="P896" s="321">
        <v>0</v>
      </c>
      <c r="Q896" s="321">
        <v>0</v>
      </c>
      <c r="R896" s="321">
        <v>0</v>
      </c>
      <c r="S896" s="321">
        <v>0</v>
      </c>
      <c r="T896" s="321">
        <v>0</v>
      </c>
      <c r="U896" s="322">
        <v>0</v>
      </c>
      <c r="V896" s="323">
        <v>0</v>
      </c>
      <c r="W896" s="303"/>
      <c r="X896" s="324">
        <v>0</v>
      </c>
      <c r="Y896" s="325">
        <v>0</v>
      </c>
      <c r="AA896" s="388"/>
    </row>
    <row r="897" spans="1:27" hidden="1" outlineLevel="1" x14ac:dyDescent="0.3">
      <c r="E897" s="250" t="s">
        <v>1868</v>
      </c>
      <c r="F897" s="317">
        <v>4405512</v>
      </c>
      <c r="G897" s="318"/>
      <c r="H897" s="319"/>
      <c r="I897" s="320"/>
      <c r="J897" s="337">
        <v>0</v>
      </c>
      <c r="K897" s="321">
        <v>0</v>
      </c>
      <c r="L897" s="321">
        <v>0</v>
      </c>
      <c r="M897" s="321">
        <v>0</v>
      </c>
      <c r="N897" s="321">
        <v>0</v>
      </c>
      <c r="O897" s="321">
        <v>0</v>
      </c>
      <c r="P897" s="321">
        <v>0</v>
      </c>
      <c r="Q897" s="321">
        <v>0</v>
      </c>
      <c r="R897" s="321">
        <v>0</v>
      </c>
      <c r="S897" s="321">
        <v>0</v>
      </c>
      <c r="T897" s="321">
        <v>0</v>
      </c>
      <c r="U897" s="322">
        <v>0</v>
      </c>
      <c r="V897" s="323">
        <v>0</v>
      </c>
      <c r="W897" s="303"/>
      <c r="X897" s="324">
        <v>0</v>
      </c>
      <c r="Y897" s="325">
        <v>0</v>
      </c>
      <c r="AA897" s="388"/>
    </row>
    <row r="898" spans="1:27" hidden="1" outlineLevel="1" x14ac:dyDescent="0.3">
      <c r="E898" s="250" t="s">
        <v>1869</v>
      </c>
      <c r="F898" s="317">
        <v>4405514</v>
      </c>
      <c r="G898" s="318"/>
      <c r="H898" s="319"/>
      <c r="I898" s="320"/>
      <c r="J898" s="337">
        <v>0</v>
      </c>
      <c r="K898" s="321">
        <v>0</v>
      </c>
      <c r="L898" s="321">
        <v>0</v>
      </c>
      <c r="M898" s="321">
        <v>0</v>
      </c>
      <c r="N898" s="321">
        <v>0</v>
      </c>
      <c r="O898" s="321">
        <v>0</v>
      </c>
      <c r="P898" s="321">
        <v>0</v>
      </c>
      <c r="Q898" s="321">
        <v>0</v>
      </c>
      <c r="R898" s="321">
        <v>0</v>
      </c>
      <c r="S898" s="321">
        <v>0</v>
      </c>
      <c r="T898" s="321">
        <v>0</v>
      </c>
      <c r="U898" s="322">
        <v>0</v>
      </c>
      <c r="V898" s="323">
        <v>0</v>
      </c>
      <c r="W898" s="303"/>
      <c r="X898" s="324">
        <v>0</v>
      </c>
      <c r="Y898" s="325">
        <v>0</v>
      </c>
      <c r="AA898" s="388"/>
    </row>
    <row r="899" spans="1:27" hidden="1" collapsed="1" x14ac:dyDescent="0.3">
      <c r="D899" s="293" t="s">
        <v>1870</v>
      </c>
      <c r="E899" s="294"/>
      <c r="F899" s="295"/>
      <c r="G899" s="296"/>
      <c r="H899" s="297"/>
      <c r="I899" s="298"/>
      <c r="J899" s="299">
        <v>0</v>
      </c>
      <c r="K899" s="300">
        <v>0</v>
      </c>
      <c r="L899" s="300">
        <v>0</v>
      </c>
      <c r="M899" s="300">
        <v>0</v>
      </c>
      <c r="N899" s="300">
        <v>0</v>
      </c>
      <c r="O899" s="300">
        <v>0</v>
      </c>
      <c r="P899" s="300">
        <v>0</v>
      </c>
      <c r="Q899" s="300">
        <v>0</v>
      </c>
      <c r="R899" s="300">
        <v>0</v>
      </c>
      <c r="S899" s="300">
        <v>0</v>
      </c>
      <c r="T899" s="300">
        <v>0</v>
      </c>
      <c r="U899" s="301">
        <v>0</v>
      </c>
      <c r="V899" s="302">
        <v>0</v>
      </c>
      <c r="W899" s="303"/>
      <c r="X899" s="304">
        <v>0</v>
      </c>
      <c r="Y899" s="305">
        <v>0</v>
      </c>
      <c r="AA899" s="388"/>
    </row>
    <row r="900" spans="1:27" s="326" customFormat="1" hidden="1" outlineLevel="2" x14ac:dyDescent="0.3">
      <c r="E900" s="326" t="s">
        <v>1871</v>
      </c>
      <c r="F900" s="336"/>
      <c r="G900" s="327"/>
      <c r="H900" s="328"/>
      <c r="I900" s="329"/>
      <c r="J900" s="338">
        <v>0</v>
      </c>
      <c r="K900" s="330">
        <v>0</v>
      </c>
      <c r="L900" s="330">
        <v>0</v>
      </c>
      <c r="M900" s="330">
        <v>0</v>
      </c>
      <c r="N900" s="330">
        <v>0</v>
      </c>
      <c r="O900" s="330">
        <v>0</v>
      </c>
      <c r="P900" s="330">
        <v>0</v>
      </c>
      <c r="Q900" s="330">
        <v>0</v>
      </c>
      <c r="R900" s="330">
        <v>0</v>
      </c>
      <c r="S900" s="330">
        <v>0</v>
      </c>
      <c r="T900" s="330">
        <v>0</v>
      </c>
      <c r="U900" s="331">
        <v>0</v>
      </c>
      <c r="V900" s="332">
        <v>0</v>
      </c>
      <c r="W900" s="333"/>
      <c r="X900" s="334">
        <v>0</v>
      </c>
      <c r="Y900" s="335">
        <v>0</v>
      </c>
      <c r="AA900" s="388"/>
    </row>
    <row r="901" spans="1:27" s="326" customFormat="1" hidden="1" outlineLevel="2" x14ac:dyDescent="0.3">
      <c r="E901" s="326" t="s">
        <v>1872</v>
      </c>
      <c r="F901" s="336"/>
      <c r="G901" s="327"/>
      <c r="H901" s="328"/>
      <c r="I901" s="329"/>
      <c r="J901" s="338">
        <v>0</v>
      </c>
      <c r="K901" s="330">
        <v>0</v>
      </c>
      <c r="L901" s="330">
        <v>0</v>
      </c>
      <c r="M901" s="330">
        <v>0</v>
      </c>
      <c r="N901" s="330">
        <v>0</v>
      </c>
      <c r="O901" s="330">
        <v>0</v>
      </c>
      <c r="P901" s="330">
        <v>0</v>
      </c>
      <c r="Q901" s="330">
        <v>0</v>
      </c>
      <c r="R901" s="330">
        <v>0</v>
      </c>
      <c r="S901" s="330">
        <v>0</v>
      </c>
      <c r="T901" s="330">
        <v>0</v>
      </c>
      <c r="U901" s="331">
        <v>0</v>
      </c>
      <c r="V901" s="332">
        <v>0</v>
      </c>
      <c r="W901" s="333"/>
      <c r="X901" s="334">
        <v>0</v>
      </c>
      <c r="Y901" s="335">
        <v>0</v>
      </c>
      <c r="AA901" s="388"/>
    </row>
    <row r="902" spans="1:27" s="326" customFormat="1" hidden="1" outlineLevel="2" x14ac:dyDescent="0.3">
      <c r="E902" s="326" t="s">
        <v>1873</v>
      </c>
      <c r="F902" s="336"/>
      <c r="G902" s="327"/>
      <c r="H902" s="328"/>
      <c r="I902" s="329"/>
      <c r="J902" s="338">
        <v>0</v>
      </c>
      <c r="K902" s="330">
        <v>0</v>
      </c>
      <c r="L902" s="330">
        <v>0</v>
      </c>
      <c r="M902" s="330">
        <v>0</v>
      </c>
      <c r="N902" s="330">
        <v>0</v>
      </c>
      <c r="O902" s="330">
        <v>0</v>
      </c>
      <c r="P902" s="330">
        <v>0</v>
      </c>
      <c r="Q902" s="330">
        <v>0</v>
      </c>
      <c r="R902" s="330">
        <v>0</v>
      </c>
      <c r="S902" s="330">
        <v>0</v>
      </c>
      <c r="T902" s="330">
        <v>0</v>
      </c>
      <c r="U902" s="331">
        <v>0</v>
      </c>
      <c r="V902" s="332">
        <v>0</v>
      </c>
      <c r="W902" s="333"/>
      <c r="X902" s="334">
        <v>0</v>
      </c>
      <c r="Y902" s="335">
        <v>0</v>
      </c>
      <c r="AA902" s="388"/>
    </row>
    <row r="903" spans="1:27" hidden="1" collapsed="1" x14ac:dyDescent="0.3">
      <c r="D903" s="293" t="s">
        <v>1874</v>
      </c>
      <c r="E903" s="294"/>
      <c r="F903" s="295"/>
      <c r="G903" s="296"/>
      <c r="H903" s="297"/>
      <c r="I903" s="298"/>
      <c r="J903" s="299">
        <v>0</v>
      </c>
      <c r="K903" s="300">
        <v>0</v>
      </c>
      <c r="L903" s="300">
        <v>0</v>
      </c>
      <c r="M903" s="300">
        <v>0</v>
      </c>
      <c r="N903" s="300">
        <v>0</v>
      </c>
      <c r="O903" s="300">
        <v>0</v>
      </c>
      <c r="P903" s="300">
        <v>0</v>
      </c>
      <c r="Q903" s="300">
        <v>0</v>
      </c>
      <c r="R903" s="300">
        <v>0</v>
      </c>
      <c r="S903" s="300">
        <v>0</v>
      </c>
      <c r="T903" s="300">
        <v>0</v>
      </c>
      <c r="U903" s="301">
        <v>0</v>
      </c>
      <c r="V903" s="302">
        <v>0</v>
      </c>
      <c r="W903" s="303"/>
      <c r="X903" s="304">
        <v>0</v>
      </c>
      <c r="Y903" s="305">
        <v>0</v>
      </c>
      <c r="AA903" s="388"/>
    </row>
    <row r="904" spans="1:27" s="326" customFormat="1" hidden="1" outlineLevel="2" x14ac:dyDescent="0.3">
      <c r="E904" s="326" t="s">
        <v>1871</v>
      </c>
      <c r="F904" s="336"/>
      <c r="G904" s="327"/>
      <c r="H904" s="328"/>
      <c r="I904" s="329"/>
      <c r="J904" s="338">
        <v>0</v>
      </c>
      <c r="K904" s="330">
        <v>0</v>
      </c>
      <c r="L904" s="330">
        <v>0</v>
      </c>
      <c r="M904" s="330">
        <v>0</v>
      </c>
      <c r="N904" s="330">
        <v>0</v>
      </c>
      <c r="O904" s="330">
        <v>0</v>
      </c>
      <c r="P904" s="330">
        <v>0</v>
      </c>
      <c r="Q904" s="330">
        <v>0</v>
      </c>
      <c r="R904" s="330">
        <v>0</v>
      </c>
      <c r="S904" s="330">
        <v>0</v>
      </c>
      <c r="T904" s="330">
        <v>0</v>
      </c>
      <c r="U904" s="331">
        <v>0</v>
      </c>
      <c r="V904" s="332">
        <v>0</v>
      </c>
      <c r="W904" s="333"/>
      <c r="X904" s="334">
        <v>0</v>
      </c>
      <c r="Y904" s="335">
        <v>0</v>
      </c>
      <c r="AA904" s="388"/>
    </row>
    <row r="905" spans="1:27" s="326" customFormat="1" hidden="1" outlineLevel="2" x14ac:dyDescent="0.3">
      <c r="E905" s="326" t="s">
        <v>1872</v>
      </c>
      <c r="F905" s="336"/>
      <c r="G905" s="327"/>
      <c r="H905" s="328"/>
      <c r="I905" s="329"/>
      <c r="J905" s="338">
        <v>0</v>
      </c>
      <c r="K905" s="330">
        <v>0</v>
      </c>
      <c r="L905" s="330">
        <v>0</v>
      </c>
      <c r="M905" s="330">
        <v>0</v>
      </c>
      <c r="N905" s="330">
        <v>0</v>
      </c>
      <c r="O905" s="330">
        <v>0</v>
      </c>
      <c r="P905" s="330">
        <v>0</v>
      </c>
      <c r="Q905" s="330">
        <v>0</v>
      </c>
      <c r="R905" s="330">
        <v>0</v>
      </c>
      <c r="S905" s="330">
        <v>0</v>
      </c>
      <c r="T905" s="330">
        <v>0</v>
      </c>
      <c r="U905" s="331">
        <v>0</v>
      </c>
      <c r="V905" s="332">
        <v>0</v>
      </c>
      <c r="W905" s="333"/>
      <c r="X905" s="334">
        <v>0</v>
      </c>
      <c r="Y905" s="335">
        <v>0</v>
      </c>
      <c r="AA905" s="388"/>
    </row>
    <row r="906" spans="1:27" s="326" customFormat="1" hidden="1" outlineLevel="2" x14ac:dyDescent="0.3">
      <c r="E906" s="326" t="s">
        <v>1873</v>
      </c>
      <c r="F906" s="336"/>
      <c r="G906" s="327"/>
      <c r="H906" s="328"/>
      <c r="I906" s="329"/>
      <c r="J906" s="338">
        <v>0</v>
      </c>
      <c r="K906" s="330">
        <v>0</v>
      </c>
      <c r="L906" s="330">
        <v>0</v>
      </c>
      <c r="M906" s="330">
        <v>0</v>
      </c>
      <c r="N906" s="330">
        <v>0</v>
      </c>
      <c r="O906" s="330">
        <v>0</v>
      </c>
      <c r="P906" s="330">
        <v>0</v>
      </c>
      <c r="Q906" s="330">
        <v>0</v>
      </c>
      <c r="R906" s="330">
        <v>0</v>
      </c>
      <c r="S906" s="330">
        <v>0</v>
      </c>
      <c r="T906" s="330">
        <v>0</v>
      </c>
      <c r="U906" s="331">
        <v>0</v>
      </c>
      <c r="V906" s="332">
        <v>0</v>
      </c>
      <c r="W906" s="333"/>
      <c r="X906" s="334">
        <v>0</v>
      </c>
      <c r="Y906" s="335">
        <v>0</v>
      </c>
      <c r="AA906" s="388"/>
    </row>
    <row r="907" spans="1:27" hidden="1" collapsed="1" x14ac:dyDescent="0.3">
      <c r="D907" s="293" t="s">
        <v>1875</v>
      </c>
      <c r="E907" s="294"/>
      <c r="F907" s="295"/>
      <c r="G907" s="296"/>
      <c r="H907" s="297"/>
      <c r="I907" s="298"/>
      <c r="J907" s="299">
        <v>0</v>
      </c>
      <c r="K907" s="300">
        <v>0</v>
      </c>
      <c r="L907" s="300">
        <v>0</v>
      </c>
      <c r="M907" s="300">
        <v>0</v>
      </c>
      <c r="N907" s="300">
        <v>0</v>
      </c>
      <c r="O907" s="300">
        <v>0</v>
      </c>
      <c r="P907" s="300">
        <v>0</v>
      </c>
      <c r="Q907" s="300">
        <v>0</v>
      </c>
      <c r="R907" s="300">
        <v>0</v>
      </c>
      <c r="S907" s="300">
        <v>0</v>
      </c>
      <c r="T907" s="300">
        <v>0</v>
      </c>
      <c r="U907" s="301">
        <v>0</v>
      </c>
      <c r="V907" s="302">
        <v>0</v>
      </c>
      <c r="W907" s="303"/>
      <c r="X907" s="304">
        <v>0</v>
      </c>
      <c r="Y907" s="305">
        <v>0</v>
      </c>
      <c r="AA907" s="388"/>
    </row>
    <row r="908" spans="1:27" s="326" customFormat="1" hidden="1" outlineLevel="2" x14ac:dyDescent="0.3">
      <c r="E908" s="326" t="s">
        <v>1871</v>
      </c>
      <c r="F908" s="336"/>
      <c r="G908" s="327"/>
      <c r="H908" s="328"/>
      <c r="I908" s="329"/>
      <c r="J908" s="338">
        <v>0</v>
      </c>
      <c r="K908" s="330">
        <v>0</v>
      </c>
      <c r="L908" s="330">
        <v>0</v>
      </c>
      <c r="M908" s="330">
        <v>0</v>
      </c>
      <c r="N908" s="330">
        <v>0</v>
      </c>
      <c r="O908" s="330">
        <v>0</v>
      </c>
      <c r="P908" s="330">
        <v>0</v>
      </c>
      <c r="Q908" s="330">
        <v>0</v>
      </c>
      <c r="R908" s="330">
        <v>0</v>
      </c>
      <c r="S908" s="330">
        <v>0</v>
      </c>
      <c r="T908" s="330">
        <v>0</v>
      </c>
      <c r="U908" s="331">
        <v>0</v>
      </c>
      <c r="V908" s="332">
        <v>0</v>
      </c>
      <c r="W908" s="333"/>
      <c r="X908" s="334">
        <v>0</v>
      </c>
      <c r="Y908" s="335">
        <v>0</v>
      </c>
      <c r="AA908" s="388"/>
    </row>
    <row r="909" spans="1:27" s="326" customFormat="1" hidden="1" outlineLevel="2" x14ac:dyDescent="0.3">
      <c r="E909" s="326" t="s">
        <v>1872</v>
      </c>
      <c r="F909" s="336"/>
      <c r="G909" s="327"/>
      <c r="H909" s="328"/>
      <c r="I909" s="329"/>
      <c r="J909" s="338">
        <v>0</v>
      </c>
      <c r="K909" s="330">
        <v>0</v>
      </c>
      <c r="L909" s="330">
        <v>0</v>
      </c>
      <c r="M909" s="330">
        <v>0</v>
      </c>
      <c r="N909" s="330">
        <v>0</v>
      </c>
      <c r="O909" s="330">
        <v>0</v>
      </c>
      <c r="P909" s="330">
        <v>0</v>
      </c>
      <c r="Q909" s="330">
        <v>0</v>
      </c>
      <c r="R909" s="330">
        <v>0</v>
      </c>
      <c r="S909" s="330">
        <v>0</v>
      </c>
      <c r="T909" s="330">
        <v>0</v>
      </c>
      <c r="U909" s="331">
        <v>0</v>
      </c>
      <c r="V909" s="332">
        <v>0</v>
      </c>
      <c r="W909" s="333"/>
      <c r="X909" s="334">
        <v>0</v>
      </c>
      <c r="Y909" s="335">
        <v>0</v>
      </c>
      <c r="AA909" s="388"/>
    </row>
    <row r="910" spans="1:27" s="326" customFormat="1" hidden="1" outlineLevel="2" x14ac:dyDescent="0.3">
      <c r="E910" s="326" t="s">
        <v>1873</v>
      </c>
      <c r="F910" s="336"/>
      <c r="G910" s="327"/>
      <c r="H910" s="328"/>
      <c r="I910" s="329"/>
      <c r="J910" s="338">
        <v>0</v>
      </c>
      <c r="K910" s="330">
        <v>0</v>
      </c>
      <c r="L910" s="330">
        <v>0</v>
      </c>
      <c r="M910" s="330">
        <v>0</v>
      </c>
      <c r="N910" s="330">
        <v>0</v>
      </c>
      <c r="O910" s="330">
        <v>0</v>
      </c>
      <c r="P910" s="330">
        <v>0</v>
      </c>
      <c r="Q910" s="330">
        <v>0</v>
      </c>
      <c r="R910" s="330">
        <v>0</v>
      </c>
      <c r="S910" s="330">
        <v>0</v>
      </c>
      <c r="T910" s="330">
        <v>0</v>
      </c>
      <c r="U910" s="331">
        <v>0</v>
      </c>
      <c r="V910" s="332">
        <v>0</v>
      </c>
      <c r="W910" s="333"/>
      <c r="X910" s="334">
        <v>0</v>
      </c>
      <c r="Y910" s="335">
        <v>0</v>
      </c>
      <c r="AA910" s="388"/>
    </row>
    <row r="911" spans="1:27" ht="16.5" customHeight="1" collapsed="1" x14ac:dyDescent="0.3">
      <c r="A911" s="248" t="s">
        <v>70</v>
      </c>
      <c r="B911" s="248"/>
      <c r="C911" s="280" t="s">
        <v>1876</v>
      </c>
      <c r="D911" s="281"/>
      <c r="E911" s="282"/>
      <c r="F911" s="283" t="s">
        <v>1877</v>
      </c>
      <c r="G911" s="284"/>
      <c r="H911" s="285"/>
      <c r="I911" s="286"/>
      <c r="J911" s="287">
        <v>2530463.983</v>
      </c>
      <c r="K911" s="288">
        <v>1961269.9860000003</v>
      </c>
      <c r="L911" s="288">
        <v>3916639.9159999997</v>
      </c>
      <c r="M911" s="288">
        <v>8361022.9029999999</v>
      </c>
      <c r="N911" s="288">
        <v>2322615.162</v>
      </c>
      <c r="O911" s="288">
        <v>15649417.657</v>
      </c>
      <c r="P911" s="288">
        <v>2256776.4019999998</v>
      </c>
      <c r="Q911" s="288">
        <v>1968665.4350000001</v>
      </c>
      <c r="R911" s="288">
        <v>24859384.199000001</v>
      </c>
      <c r="S911" s="288">
        <v>1484164.439</v>
      </c>
      <c r="T911" s="288">
        <v>1517540.6050000002</v>
      </c>
      <c r="U911" s="289">
        <v>116558703.17300002</v>
      </c>
      <c r="V911" s="290">
        <v>183386663.86000001</v>
      </c>
      <c r="W911" s="277"/>
      <c r="X911" s="291">
        <v>116558703.17300002</v>
      </c>
      <c r="Y911" s="292">
        <v>183386663.86000001</v>
      </c>
      <c r="AA911" s="388"/>
    </row>
    <row r="912" spans="1:27" hidden="1" collapsed="1" x14ac:dyDescent="0.3">
      <c r="A912" s="233"/>
      <c r="B912" s="234" t="s">
        <v>54</v>
      </c>
      <c r="D912" s="293" t="s">
        <v>1878</v>
      </c>
      <c r="E912" s="294"/>
      <c r="F912" s="295" t="s">
        <v>1879</v>
      </c>
      <c r="G912" s="296"/>
      <c r="H912" s="297"/>
      <c r="I912" s="298"/>
      <c r="J912" s="299">
        <v>736740.23900000006</v>
      </c>
      <c r="K912" s="300">
        <v>646254.58900000004</v>
      </c>
      <c r="L912" s="300">
        <v>797074.49</v>
      </c>
      <c r="M912" s="300">
        <v>1110441.42</v>
      </c>
      <c r="N912" s="300">
        <v>844920.42300000007</v>
      </c>
      <c r="O912" s="300">
        <v>723899.44699999993</v>
      </c>
      <c r="P912" s="300">
        <v>838185.50300000003</v>
      </c>
      <c r="Q912" s="300">
        <v>565023.147</v>
      </c>
      <c r="R912" s="300">
        <v>855834.42200000002</v>
      </c>
      <c r="S912" s="300">
        <v>726609.33400000003</v>
      </c>
      <c r="T912" s="300">
        <v>684333.37400000007</v>
      </c>
      <c r="U912" s="301">
        <v>1054147.416</v>
      </c>
      <c r="V912" s="302">
        <v>9583463.8040000014</v>
      </c>
      <c r="W912" s="303"/>
      <c r="X912" s="304">
        <v>1054147.416</v>
      </c>
      <c r="Y912" s="305">
        <v>9583463.8040000014</v>
      </c>
      <c r="AA912" s="388"/>
    </row>
    <row r="913" spans="5:27" hidden="1" outlineLevel="1" x14ac:dyDescent="0.3">
      <c r="E913" s="250" t="s">
        <v>1880</v>
      </c>
      <c r="F913" s="317">
        <v>4502501</v>
      </c>
      <c r="G913" s="318"/>
      <c r="H913" s="319"/>
      <c r="I913" s="320"/>
      <c r="J913" s="337">
        <v>0</v>
      </c>
      <c r="K913" s="321">
        <v>0</v>
      </c>
      <c r="L913" s="321">
        <v>0</v>
      </c>
      <c r="M913" s="321">
        <v>0</v>
      </c>
      <c r="N913" s="321">
        <v>0</v>
      </c>
      <c r="O913" s="321">
        <v>0</v>
      </c>
      <c r="P913" s="321">
        <v>0</v>
      </c>
      <c r="Q913" s="321">
        <v>0</v>
      </c>
      <c r="R913" s="321">
        <v>0</v>
      </c>
      <c r="S913" s="321">
        <v>0</v>
      </c>
      <c r="T913" s="321">
        <v>0</v>
      </c>
      <c r="U913" s="322">
        <v>0</v>
      </c>
      <c r="V913" s="323">
        <v>0</v>
      </c>
      <c r="W913" s="303"/>
      <c r="X913" s="324">
        <v>0</v>
      </c>
      <c r="Y913" s="325">
        <v>0</v>
      </c>
      <c r="AA913" s="388"/>
    </row>
    <row r="914" spans="5:27" hidden="1" outlineLevel="1" x14ac:dyDescent="0.3">
      <c r="E914" s="250" t="s">
        <v>1881</v>
      </c>
      <c r="F914" s="317">
        <v>4502502</v>
      </c>
      <c r="G914" s="318"/>
      <c r="H914" s="319">
        <v>7301010101</v>
      </c>
      <c r="I914" s="320"/>
      <c r="J914" s="337">
        <v>0</v>
      </c>
      <c r="K914" s="321">
        <v>0</v>
      </c>
      <c r="L914" s="321">
        <v>0</v>
      </c>
      <c r="M914" s="321">
        <v>0</v>
      </c>
      <c r="N914" s="321">
        <v>0</v>
      </c>
      <c r="O914" s="321">
        <v>0</v>
      </c>
      <c r="P914" s="321">
        <v>0</v>
      </c>
      <c r="Q914" s="321">
        <v>0</v>
      </c>
      <c r="R914" s="321">
        <v>0</v>
      </c>
      <c r="S914" s="321">
        <v>0</v>
      </c>
      <c r="T914" s="321">
        <v>0</v>
      </c>
      <c r="U914" s="322">
        <v>0</v>
      </c>
      <c r="V914" s="323">
        <v>0</v>
      </c>
      <c r="W914" s="303"/>
      <c r="X914" s="324">
        <v>0</v>
      </c>
      <c r="Y914" s="325">
        <v>0</v>
      </c>
      <c r="AA914" s="388"/>
    </row>
    <row r="915" spans="5:27" hidden="1" outlineLevel="1" x14ac:dyDescent="0.3">
      <c r="E915" s="250" t="s">
        <v>1882</v>
      </c>
      <c r="F915" s="317">
        <v>4502510</v>
      </c>
      <c r="G915" s="318"/>
      <c r="H915" s="319"/>
      <c r="I915" s="320"/>
      <c r="J915" s="337">
        <v>0</v>
      </c>
      <c r="K915" s="321">
        <v>7528.223</v>
      </c>
      <c r="L915" s="321">
        <v>2625.9789999999998</v>
      </c>
      <c r="M915" s="321">
        <v>2111.1950000000002</v>
      </c>
      <c r="N915" s="321">
        <v>0</v>
      </c>
      <c r="O915" s="321">
        <v>0</v>
      </c>
      <c r="P915" s="321">
        <v>0</v>
      </c>
      <c r="Q915" s="321">
        <v>5640.85</v>
      </c>
      <c r="R915" s="321">
        <v>75141.714999999997</v>
      </c>
      <c r="S915" s="321">
        <v>0</v>
      </c>
      <c r="T915" s="321">
        <v>2130.9140000000002</v>
      </c>
      <c r="U915" s="322">
        <v>32451.392</v>
      </c>
      <c r="V915" s="323">
        <v>127630.26800000001</v>
      </c>
      <c r="W915" s="303"/>
      <c r="X915" s="324">
        <v>32451.392</v>
      </c>
      <c r="Y915" s="325">
        <v>127630.26800000001</v>
      </c>
      <c r="AA915" s="388"/>
    </row>
    <row r="916" spans="5:27" hidden="1" outlineLevel="1" x14ac:dyDescent="0.3">
      <c r="E916" s="250" t="s">
        <v>1883</v>
      </c>
      <c r="F916" s="317">
        <v>4502503</v>
      </c>
      <c r="G916" s="318"/>
      <c r="H916" s="319"/>
      <c r="I916" s="320"/>
      <c r="J916" s="337">
        <v>0</v>
      </c>
      <c r="K916" s="321">
        <v>1</v>
      </c>
      <c r="L916" s="321">
        <v>0</v>
      </c>
      <c r="M916" s="321">
        <v>1</v>
      </c>
      <c r="N916" s="321">
        <v>0</v>
      </c>
      <c r="O916" s="321">
        <v>0</v>
      </c>
      <c r="P916" s="321">
        <v>0</v>
      </c>
      <c r="Q916" s="321">
        <v>1</v>
      </c>
      <c r="R916" s="321">
        <v>0</v>
      </c>
      <c r="S916" s="321">
        <v>0</v>
      </c>
      <c r="T916" s="321">
        <v>0</v>
      </c>
      <c r="U916" s="322">
        <v>0</v>
      </c>
      <c r="V916" s="323">
        <v>3</v>
      </c>
      <c r="W916" s="303"/>
      <c r="X916" s="324">
        <v>0</v>
      </c>
      <c r="Y916" s="325">
        <v>3</v>
      </c>
      <c r="AA916" s="388"/>
    </row>
    <row r="917" spans="5:27" hidden="1" outlineLevel="1" x14ac:dyDescent="0.3">
      <c r="E917" s="250" t="s">
        <v>1884</v>
      </c>
      <c r="F917" s="317">
        <v>4502508</v>
      </c>
      <c r="G917" s="318"/>
      <c r="H917" s="319"/>
      <c r="I917" s="320"/>
      <c r="J917" s="337">
        <v>425494.68099999998</v>
      </c>
      <c r="K917" s="321">
        <v>366980.54399999999</v>
      </c>
      <c r="L917" s="321">
        <v>486547.15700000001</v>
      </c>
      <c r="M917" s="321">
        <v>651610.96600000001</v>
      </c>
      <c r="N917" s="321">
        <v>451041.89</v>
      </c>
      <c r="O917" s="321">
        <v>388267.67099999997</v>
      </c>
      <c r="P917" s="321">
        <v>489460.75599999999</v>
      </c>
      <c r="Q917" s="321">
        <v>274553.99400000001</v>
      </c>
      <c r="R917" s="321">
        <v>403462.89900000003</v>
      </c>
      <c r="S917" s="321">
        <v>334519.071</v>
      </c>
      <c r="T917" s="321">
        <v>339365.99599999998</v>
      </c>
      <c r="U917" s="322">
        <v>393893.38699999999</v>
      </c>
      <c r="V917" s="323">
        <v>5005199.012000001</v>
      </c>
      <c r="W917" s="303"/>
      <c r="X917" s="324">
        <v>393893.38699999999</v>
      </c>
      <c r="Y917" s="325">
        <v>5005199.012000001</v>
      </c>
      <c r="AA917" s="388"/>
    </row>
    <row r="918" spans="5:27" hidden="1" outlineLevel="1" x14ac:dyDescent="0.3">
      <c r="E918" s="250" t="s">
        <v>1885</v>
      </c>
      <c r="F918" s="317">
        <v>4502504</v>
      </c>
      <c r="G918" s="318"/>
      <c r="H918" s="319"/>
      <c r="I918" s="320"/>
      <c r="J918" s="337">
        <v>0</v>
      </c>
      <c r="K918" s="321">
        <v>0</v>
      </c>
      <c r="L918" s="321">
        <v>0</v>
      </c>
      <c r="M918" s="321">
        <v>0</v>
      </c>
      <c r="N918" s="321">
        <v>0</v>
      </c>
      <c r="O918" s="321">
        <v>0</v>
      </c>
      <c r="P918" s="321">
        <v>0</v>
      </c>
      <c r="Q918" s="321">
        <v>0</v>
      </c>
      <c r="R918" s="321">
        <v>0</v>
      </c>
      <c r="S918" s="321">
        <v>0</v>
      </c>
      <c r="T918" s="321">
        <v>0</v>
      </c>
      <c r="U918" s="322">
        <v>1</v>
      </c>
      <c r="V918" s="323">
        <v>1</v>
      </c>
      <c r="W918" s="303"/>
      <c r="X918" s="324">
        <v>1</v>
      </c>
      <c r="Y918" s="325">
        <v>1</v>
      </c>
      <c r="AA918" s="388"/>
    </row>
    <row r="919" spans="5:27" hidden="1" outlineLevel="1" x14ac:dyDescent="0.3">
      <c r="E919" s="250" t="s">
        <v>1886</v>
      </c>
      <c r="F919" s="317">
        <v>4502507</v>
      </c>
      <c r="G919" s="318"/>
      <c r="H919" s="319"/>
      <c r="I919" s="320"/>
      <c r="J919" s="337">
        <v>1</v>
      </c>
      <c r="K919" s="321">
        <v>1</v>
      </c>
      <c r="L919" s="321">
        <v>2</v>
      </c>
      <c r="M919" s="321">
        <v>1</v>
      </c>
      <c r="N919" s="321">
        <v>1</v>
      </c>
      <c r="O919" s="321">
        <v>225.77199999999999</v>
      </c>
      <c r="P919" s="321">
        <v>96.668999999999997</v>
      </c>
      <c r="Q919" s="321">
        <v>2</v>
      </c>
      <c r="R919" s="321">
        <v>5</v>
      </c>
      <c r="S919" s="321">
        <v>54.692</v>
      </c>
      <c r="T919" s="321">
        <v>2.2999999999999998</v>
      </c>
      <c r="U919" s="322">
        <v>2539</v>
      </c>
      <c r="V919" s="323">
        <v>2931.433</v>
      </c>
      <c r="W919" s="303"/>
      <c r="X919" s="324">
        <v>2539</v>
      </c>
      <c r="Y919" s="325">
        <v>2931.433</v>
      </c>
      <c r="AA919" s="388"/>
    </row>
    <row r="920" spans="5:27" hidden="1" outlineLevel="1" x14ac:dyDescent="0.3">
      <c r="E920" s="250" t="s">
        <v>1887</v>
      </c>
      <c r="F920" s="317">
        <v>4502511</v>
      </c>
      <c r="G920" s="318"/>
      <c r="H920" s="319"/>
      <c r="I920" s="320"/>
      <c r="J920" s="337">
        <v>0</v>
      </c>
      <c r="K920" s="321">
        <v>0</v>
      </c>
      <c r="L920" s="321">
        <v>0</v>
      </c>
      <c r="M920" s="321">
        <v>0</v>
      </c>
      <c r="N920" s="321">
        <v>0</v>
      </c>
      <c r="O920" s="321">
        <v>0</v>
      </c>
      <c r="P920" s="321">
        <v>0</v>
      </c>
      <c r="Q920" s="321">
        <v>0</v>
      </c>
      <c r="R920" s="321">
        <v>0</v>
      </c>
      <c r="S920" s="321">
        <v>0</v>
      </c>
      <c r="T920" s="321">
        <v>0</v>
      </c>
      <c r="U920" s="322">
        <v>0</v>
      </c>
      <c r="V920" s="323">
        <v>0</v>
      </c>
      <c r="W920" s="303"/>
      <c r="X920" s="324">
        <v>0</v>
      </c>
      <c r="Y920" s="325">
        <v>0</v>
      </c>
      <c r="AA920" s="388"/>
    </row>
    <row r="921" spans="5:27" hidden="1" outlineLevel="1" x14ac:dyDescent="0.3">
      <c r="E921" s="250" t="s">
        <v>1888</v>
      </c>
      <c r="F921" s="317">
        <v>4502506</v>
      </c>
      <c r="G921" s="318"/>
      <c r="H921" s="319"/>
      <c r="I921" s="320"/>
      <c r="J921" s="337">
        <v>310442.09899999999</v>
      </c>
      <c r="K921" s="321">
        <v>270782.72899999999</v>
      </c>
      <c r="L921" s="321">
        <v>307582.87099999998</v>
      </c>
      <c r="M921" s="321">
        <v>446575.4</v>
      </c>
      <c r="N921" s="321">
        <v>393098.58599999995</v>
      </c>
      <c r="O921" s="321">
        <v>334033.38699999999</v>
      </c>
      <c r="P921" s="321">
        <v>347664.28099999996</v>
      </c>
      <c r="Q921" s="321">
        <v>282974.11900000001</v>
      </c>
      <c r="R921" s="321">
        <v>374228.62</v>
      </c>
      <c r="S921" s="321">
        <v>386349.44</v>
      </c>
      <c r="T921" s="321">
        <v>338130.65100000001</v>
      </c>
      <c r="U921" s="322">
        <v>607546.353</v>
      </c>
      <c r="V921" s="323">
        <v>4399408.5359999994</v>
      </c>
      <c r="W921" s="303"/>
      <c r="X921" s="324">
        <v>607546.353</v>
      </c>
      <c r="Y921" s="325">
        <v>4399408.5359999994</v>
      </c>
      <c r="AA921" s="388"/>
    </row>
    <row r="922" spans="5:27" hidden="1" outlineLevel="1" x14ac:dyDescent="0.3">
      <c r="E922" s="250" t="s">
        <v>1889</v>
      </c>
      <c r="F922" s="317">
        <v>4502509</v>
      </c>
      <c r="G922" s="318"/>
      <c r="H922" s="319"/>
      <c r="I922" s="320"/>
      <c r="J922" s="337">
        <v>802.45900000000006</v>
      </c>
      <c r="K922" s="321">
        <v>961.09299999999996</v>
      </c>
      <c r="L922" s="321">
        <v>316.483</v>
      </c>
      <c r="M922" s="321">
        <v>10141.859</v>
      </c>
      <c r="N922" s="321">
        <v>778.947</v>
      </c>
      <c r="O922" s="321">
        <v>615.56299999999999</v>
      </c>
      <c r="P922" s="321">
        <v>963.79700000000003</v>
      </c>
      <c r="Q922" s="321">
        <v>1851.184</v>
      </c>
      <c r="R922" s="321">
        <v>2996.1880000000001</v>
      </c>
      <c r="S922" s="321">
        <v>5686.1309999999994</v>
      </c>
      <c r="T922" s="321">
        <v>4162.6540000000005</v>
      </c>
      <c r="U922" s="322">
        <v>2740.7570000000001</v>
      </c>
      <c r="V922" s="323">
        <v>32017.115000000009</v>
      </c>
      <c r="W922" s="303"/>
      <c r="X922" s="324">
        <v>2740.7570000000001</v>
      </c>
      <c r="Y922" s="325">
        <v>32017.115000000009</v>
      </c>
      <c r="AA922" s="388"/>
    </row>
    <row r="923" spans="5:27" hidden="1" outlineLevel="1" x14ac:dyDescent="0.3">
      <c r="E923" s="250" t="s">
        <v>1890</v>
      </c>
      <c r="F923" s="317">
        <v>4502512</v>
      </c>
      <c r="G923" s="318"/>
      <c r="H923" s="319"/>
      <c r="I923" s="320"/>
      <c r="J923" s="337">
        <v>0</v>
      </c>
      <c r="K923" s="321">
        <v>0</v>
      </c>
      <c r="L923" s="321">
        <v>0</v>
      </c>
      <c r="M923" s="321">
        <v>0</v>
      </c>
      <c r="N923" s="321">
        <v>0</v>
      </c>
      <c r="O923" s="321">
        <v>757.05399999999997</v>
      </c>
      <c r="P923" s="321">
        <v>0</v>
      </c>
      <c r="Q923" s="321">
        <v>0</v>
      </c>
      <c r="R923" s="321">
        <v>0</v>
      </c>
      <c r="S923" s="321">
        <v>0</v>
      </c>
      <c r="T923" s="321">
        <v>0</v>
      </c>
      <c r="U923" s="322">
        <v>14975.527000000002</v>
      </c>
      <c r="V923" s="323">
        <v>15732.581000000002</v>
      </c>
      <c r="W923" s="303"/>
      <c r="X923" s="324">
        <v>14975.527000000002</v>
      </c>
      <c r="Y923" s="325">
        <v>15732.581000000002</v>
      </c>
      <c r="AA923" s="388"/>
    </row>
    <row r="924" spans="5:27" hidden="1" outlineLevel="1" x14ac:dyDescent="0.3">
      <c r="E924" s="250" t="s">
        <v>1891</v>
      </c>
      <c r="F924" s="317">
        <v>4502505</v>
      </c>
      <c r="G924" s="318"/>
      <c r="H924" s="319"/>
      <c r="I924" s="320"/>
      <c r="J924" s="337">
        <v>0</v>
      </c>
      <c r="K924" s="321">
        <v>0</v>
      </c>
      <c r="L924" s="321">
        <v>0</v>
      </c>
      <c r="M924" s="321">
        <v>0</v>
      </c>
      <c r="N924" s="321">
        <v>0</v>
      </c>
      <c r="O924" s="321">
        <v>0</v>
      </c>
      <c r="P924" s="321">
        <v>0</v>
      </c>
      <c r="Q924" s="321">
        <v>0</v>
      </c>
      <c r="R924" s="321">
        <v>0</v>
      </c>
      <c r="S924" s="321">
        <v>0</v>
      </c>
      <c r="T924" s="321">
        <v>43</v>
      </c>
      <c r="U924" s="322">
        <v>0</v>
      </c>
      <c r="V924" s="323">
        <v>43</v>
      </c>
      <c r="W924" s="303"/>
      <c r="X924" s="324">
        <v>0</v>
      </c>
      <c r="Y924" s="325">
        <v>43</v>
      </c>
      <c r="AA924" s="388"/>
    </row>
    <row r="925" spans="5:27" hidden="1" outlineLevel="1" x14ac:dyDescent="0.3">
      <c r="E925" s="250" t="s">
        <v>1892</v>
      </c>
      <c r="F925" s="317">
        <v>4502590</v>
      </c>
      <c r="G925" s="318"/>
      <c r="H925" s="319"/>
      <c r="I925" s="320"/>
      <c r="J925" s="337">
        <v>0</v>
      </c>
      <c r="K925" s="321">
        <v>0</v>
      </c>
      <c r="L925" s="321">
        <v>0</v>
      </c>
      <c r="M925" s="321">
        <v>0</v>
      </c>
      <c r="N925" s="321">
        <v>0</v>
      </c>
      <c r="O925" s="321">
        <v>0</v>
      </c>
      <c r="P925" s="321">
        <v>0</v>
      </c>
      <c r="Q925" s="321">
        <v>0</v>
      </c>
      <c r="R925" s="321">
        <v>0</v>
      </c>
      <c r="S925" s="321">
        <v>0</v>
      </c>
      <c r="T925" s="321">
        <v>497.85899999999998</v>
      </c>
      <c r="U925" s="322">
        <v>0</v>
      </c>
      <c r="V925" s="323">
        <v>497.85899999999998</v>
      </c>
      <c r="W925" s="303"/>
      <c r="X925" s="324">
        <v>0</v>
      </c>
      <c r="Y925" s="325">
        <v>497.85899999999998</v>
      </c>
      <c r="AA925" s="388"/>
    </row>
    <row r="926" spans="5:27" hidden="1" outlineLevel="1" x14ac:dyDescent="0.3">
      <c r="E926" s="250" t="s">
        <v>1893</v>
      </c>
      <c r="F926" s="317">
        <v>4502599</v>
      </c>
      <c r="G926" s="318"/>
      <c r="H926" s="319"/>
      <c r="I926" s="320"/>
      <c r="J926" s="337">
        <v>0</v>
      </c>
      <c r="K926" s="321">
        <v>0</v>
      </c>
      <c r="L926" s="321">
        <v>0</v>
      </c>
      <c r="M926" s="321">
        <v>0</v>
      </c>
      <c r="N926" s="321">
        <v>0</v>
      </c>
      <c r="O926" s="321">
        <v>0</v>
      </c>
      <c r="P926" s="321">
        <v>0</v>
      </c>
      <c r="Q926" s="321">
        <v>0</v>
      </c>
      <c r="R926" s="321">
        <v>0</v>
      </c>
      <c r="S926" s="321">
        <v>0</v>
      </c>
      <c r="T926" s="321">
        <v>0</v>
      </c>
      <c r="U926" s="322">
        <v>0</v>
      </c>
      <c r="V926" s="323">
        <v>0</v>
      </c>
      <c r="W926" s="303"/>
      <c r="X926" s="324">
        <v>0</v>
      </c>
      <c r="Y926" s="325">
        <v>0</v>
      </c>
      <c r="AA926" s="388"/>
    </row>
    <row r="927" spans="5:27" s="361" customFormat="1" hidden="1" outlineLevel="2" x14ac:dyDescent="0.3">
      <c r="E927" s="326" t="s">
        <v>1894</v>
      </c>
      <c r="F927" s="351"/>
      <c r="G927" s="352"/>
      <c r="H927" s="353"/>
      <c r="I927" s="354"/>
      <c r="J927" s="362">
        <v>0</v>
      </c>
      <c r="K927" s="355">
        <v>0</v>
      </c>
      <c r="L927" s="355">
        <v>0</v>
      </c>
      <c r="M927" s="355">
        <v>0</v>
      </c>
      <c r="N927" s="355">
        <v>0</v>
      </c>
      <c r="O927" s="355">
        <v>0</v>
      </c>
      <c r="P927" s="355">
        <v>0</v>
      </c>
      <c r="Q927" s="355">
        <v>0</v>
      </c>
      <c r="R927" s="355">
        <v>0</v>
      </c>
      <c r="S927" s="355">
        <v>0</v>
      </c>
      <c r="T927" s="355">
        <v>0</v>
      </c>
      <c r="U927" s="356">
        <v>0</v>
      </c>
      <c r="V927" s="357">
        <v>0</v>
      </c>
      <c r="W927" s="358"/>
      <c r="X927" s="359">
        <v>0</v>
      </c>
      <c r="Y927" s="360">
        <v>0</v>
      </c>
      <c r="AA927" s="388"/>
    </row>
    <row r="928" spans="5:27" s="361" customFormat="1" hidden="1" outlineLevel="2" x14ac:dyDescent="0.3">
      <c r="E928" s="326" t="s">
        <v>1894</v>
      </c>
      <c r="F928" s="351"/>
      <c r="G928" s="352"/>
      <c r="H928" s="353"/>
      <c r="I928" s="354"/>
      <c r="J928" s="362">
        <v>0</v>
      </c>
      <c r="K928" s="355">
        <v>0</v>
      </c>
      <c r="L928" s="355">
        <v>0</v>
      </c>
      <c r="M928" s="355">
        <v>0</v>
      </c>
      <c r="N928" s="355">
        <v>0</v>
      </c>
      <c r="O928" s="355">
        <v>0</v>
      </c>
      <c r="P928" s="355">
        <v>0</v>
      </c>
      <c r="Q928" s="355">
        <v>0</v>
      </c>
      <c r="R928" s="355">
        <v>0</v>
      </c>
      <c r="S928" s="355">
        <v>0</v>
      </c>
      <c r="T928" s="355">
        <v>0</v>
      </c>
      <c r="U928" s="356">
        <v>0</v>
      </c>
      <c r="V928" s="357">
        <v>0</v>
      </c>
      <c r="W928" s="358"/>
      <c r="X928" s="359">
        <v>0</v>
      </c>
      <c r="Y928" s="360">
        <v>0</v>
      </c>
      <c r="AA928" s="388"/>
    </row>
    <row r="929" spans="1:27" s="361" customFormat="1" hidden="1" outlineLevel="2" x14ac:dyDescent="0.3">
      <c r="E929" s="326" t="s">
        <v>1895</v>
      </c>
      <c r="F929" s="351"/>
      <c r="G929" s="352"/>
      <c r="H929" s="353"/>
      <c r="I929" s="354"/>
      <c r="J929" s="362">
        <v>0</v>
      </c>
      <c r="K929" s="355">
        <v>0</v>
      </c>
      <c r="L929" s="355">
        <v>0</v>
      </c>
      <c r="M929" s="355">
        <v>0</v>
      </c>
      <c r="N929" s="355">
        <v>0</v>
      </c>
      <c r="O929" s="355">
        <v>0</v>
      </c>
      <c r="P929" s="355">
        <v>0</v>
      </c>
      <c r="Q929" s="355">
        <v>0</v>
      </c>
      <c r="R929" s="355">
        <v>0</v>
      </c>
      <c r="S929" s="355">
        <v>0</v>
      </c>
      <c r="T929" s="355">
        <v>0</v>
      </c>
      <c r="U929" s="356">
        <v>0</v>
      </c>
      <c r="V929" s="357">
        <v>0</v>
      </c>
      <c r="W929" s="358"/>
      <c r="X929" s="359">
        <v>0</v>
      </c>
      <c r="Y929" s="360">
        <v>0</v>
      </c>
      <c r="AA929" s="388"/>
    </row>
    <row r="930" spans="1:27" hidden="1" collapsed="1" x14ac:dyDescent="0.3">
      <c r="A930" s="233"/>
      <c r="B930" s="234" t="s">
        <v>55</v>
      </c>
      <c r="D930" s="293" t="s">
        <v>1896</v>
      </c>
      <c r="E930" s="294"/>
      <c r="F930" s="295" t="s">
        <v>1897</v>
      </c>
      <c r="G930" s="296"/>
      <c r="H930" s="297"/>
      <c r="I930" s="298"/>
      <c r="J930" s="299">
        <v>1</v>
      </c>
      <c r="K930" s="300">
        <v>0</v>
      </c>
      <c r="L930" s="300">
        <v>1</v>
      </c>
      <c r="M930" s="300">
        <v>0</v>
      </c>
      <c r="N930" s="300">
        <v>1</v>
      </c>
      <c r="O930" s="300">
        <v>0</v>
      </c>
      <c r="P930" s="300">
        <v>10478.19</v>
      </c>
      <c r="Q930" s="300">
        <v>-10474.19</v>
      </c>
      <c r="R930" s="300">
        <v>0</v>
      </c>
      <c r="S930" s="300">
        <v>1</v>
      </c>
      <c r="T930" s="300">
        <v>0</v>
      </c>
      <c r="U930" s="301">
        <v>2</v>
      </c>
      <c r="V930" s="302">
        <v>10</v>
      </c>
      <c r="W930" s="303"/>
      <c r="X930" s="304">
        <v>2</v>
      </c>
      <c r="Y930" s="305">
        <v>10</v>
      </c>
      <c r="AA930" s="388"/>
    </row>
    <row r="931" spans="1:27" hidden="1" outlineLevel="1" x14ac:dyDescent="0.3">
      <c r="E931" s="250" t="s">
        <v>1898</v>
      </c>
      <c r="F931" s="317">
        <v>4503007</v>
      </c>
      <c r="G931" s="318"/>
      <c r="H931" s="319"/>
      <c r="I931" s="320"/>
      <c r="J931" s="337">
        <v>1</v>
      </c>
      <c r="K931" s="321">
        <v>0</v>
      </c>
      <c r="L931" s="321">
        <v>1</v>
      </c>
      <c r="M931" s="321">
        <v>0</v>
      </c>
      <c r="N931" s="321">
        <v>1</v>
      </c>
      <c r="O931" s="321">
        <v>0</v>
      </c>
      <c r="P931" s="321">
        <v>10478.19</v>
      </c>
      <c r="Q931" s="321">
        <v>-10474.19</v>
      </c>
      <c r="R931" s="321">
        <v>0</v>
      </c>
      <c r="S931" s="321">
        <v>1</v>
      </c>
      <c r="T931" s="321">
        <v>0</v>
      </c>
      <c r="U931" s="322">
        <v>2</v>
      </c>
      <c r="V931" s="323">
        <v>10</v>
      </c>
      <c r="W931" s="303"/>
      <c r="X931" s="324">
        <v>2</v>
      </c>
      <c r="Y931" s="325">
        <v>10</v>
      </c>
      <c r="AA931" s="388"/>
    </row>
    <row r="932" spans="1:27" hidden="1" outlineLevel="1" x14ac:dyDescent="0.3">
      <c r="E932" s="250" t="s">
        <v>1899</v>
      </c>
      <c r="F932" s="317">
        <v>4503010</v>
      </c>
      <c r="G932" s="318"/>
      <c r="H932" s="319"/>
      <c r="I932" s="320"/>
      <c r="J932" s="337">
        <v>0</v>
      </c>
      <c r="K932" s="321">
        <v>0</v>
      </c>
      <c r="L932" s="321">
        <v>0</v>
      </c>
      <c r="M932" s="321">
        <v>0</v>
      </c>
      <c r="N932" s="321">
        <v>0</v>
      </c>
      <c r="O932" s="321">
        <v>0</v>
      </c>
      <c r="P932" s="321">
        <v>0</v>
      </c>
      <c r="Q932" s="321">
        <v>0</v>
      </c>
      <c r="R932" s="321">
        <v>0</v>
      </c>
      <c r="S932" s="321">
        <v>0</v>
      </c>
      <c r="T932" s="321">
        <v>0</v>
      </c>
      <c r="U932" s="322">
        <v>0</v>
      </c>
      <c r="V932" s="323">
        <v>0</v>
      </c>
      <c r="W932" s="303"/>
      <c r="X932" s="324">
        <v>0</v>
      </c>
      <c r="Y932" s="325">
        <v>0</v>
      </c>
      <c r="AA932" s="388"/>
    </row>
    <row r="933" spans="1:27" hidden="1" outlineLevel="1" x14ac:dyDescent="0.3">
      <c r="E933" s="250" t="s">
        <v>1900</v>
      </c>
      <c r="F933" s="317">
        <v>4503006</v>
      </c>
      <c r="G933" s="318"/>
      <c r="H933" s="319"/>
      <c r="I933" s="320"/>
      <c r="J933" s="337">
        <v>0</v>
      </c>
      <c r="K933" s="321">
        <v>0</v>
      </c>
      <c r="L933" s="321">
        <v>0</v>
      </c>
      <c r="M933" s="321">
        <v>0</v>
      </c>
      <c r="N933" s="321">
        <v>0</v>
      </c>
      <c r="O933" s="321">
        <v>0</v>
      </c>
      <c r="P933" s="321">
        <v>0</v>
      </c>
      <c r="Q933" s="321">
        <v>0</v>
      </c>
      <c r="R933" s="321">
        <v>0</v>
      </c>
      <c r="S933" s="321">
        <v>0</v>
      </c>
      <c r="T933" s="321">
        <v>0</v>
      </c>
      <c r="U933" s="322">
        <v>0</v>
      </c>
      <c r="V933" s="323">
        <v>0</v>
      </c>
      <c r="W933" s="303"/>
      <c r="X933" s="324">
        <v>0</v>
      </c>
      <c r="Y933" s="325">
        <v>0</v>
      </c>
      <c r="AA933" s="388"/>
    </row>
    <row r="934" spans="1:27" hidden="1" outlineLevel="1" x14ac:dyDescent="0.3">
      <c r="E934" s="250" t="s">
        <v>1901</v>
      </c>
      <c r="F934" s="317">
        <v>4503002</v>
      </c>
      <c r="G934" s="318"/>
      <c r="H934" s="319"/>
      <c r="I934" s="320"/>
      <c r="J934" s="337">
        <v>0</v>
      </c>
      <c r="K934" s="321">
        <v>0</v>
      </c>
      <c r="L934" s="321">
        <v>0</v>
      </c>
      <c r="M934" s="321">
        <v>0</v>
      </c>
      <c r="N934" s="321">
        <v>0</v>
      </c>
      <c r="O934" s="321">
        <v>0</v>
      </c>
      <c r="P934" s="321">
        <v>0</v>
      </c>
      <c r="Q934" s="321">
        <v>0</v>
      </c>
      <c r="R934" s="321">
        <v>0</v>
      </c>
      <c r="S934" s="321">
        <v>0</v>
      </c>
      <c r="T934" s="321">
        <v>0</v>
      </c>
      <c r="U934" s="322">
        <v>0</v>
      </c>
      <c r="V934" s="323">
        <v>0</v>
      </c>
      <c r="W934" s="303"/>
      <c r="X934" s="324">
        <v>0</v>
      </c>
      <c r="Y934" s="325">
        <v>0</v>
      </c>
      <c r="AA934" s="388"/>
    </row>
    <row r="935" spans="1:27" hidden="1" outlineLevel="1" x14ac:dyDescent="0.3">
      <c r="E935" s="250" t="s">
        <v>1902</v>
      </c>
      <c r="F935" s="317">
        <v>4503001</v>
      </c>
      <c r="G935" s="318"/>
      <c r="H935" s="319"/>
      <c r="I935" s="320"/>
      <c r="J935" s="337">
        <v>0</v>
      </c>
      <c r="K935" s="321">
        <v>0</v>
      </c>
      <c r="L935" s="321">
        <v>0</v>
      </c>
      <c r="M935" s="321">
        <v>0</v>
      </c>
      <c r="N935" s="321">
        <v>0</v>
      </c>
      <c r="O935" s="321">
        <v>0</v>
      </c>
      <c r="P935" s="321">
        <v>0</v>
      </c>
      <c r="Q935" s="321">
        <v>0</v>
      </c>
      <c r="R935" s="321">
        <v>0</v>
      </c>
      <c r="S935" s="321">
        <v>0</v>
      </c>
      <c r="T935" s="321">
        <v>0</v>
      </c>
      <c r="U935" s="322">
        <v>0</v>
      </c>
      <c r="V935" s="323">
        <v>0</v>
      </c>
      <c r="W935" s="303"/>
      <c r="X935" s="324">
        <v>0</v>
      </c>
      <c r="Y935" s="325">
        <v>0</v>
      </c>
      <c r="AA935" s="388"/>
    </row>
    <row r="936" spans="1:27" hidden="1" outlineLevel="1" x14ac:dyDescent="0.3">
      <c r="E936" s="250" t="s">
        <v>1903</v>
      </c>
      <c r="F936" s="317">
        <v>4503008</v>
      </c>
      <c r="G936" s="318"/>
      <c r="H936" s="319">
        <v>7301050101</v>
      </c>
      <c r="I936" s="320"/>
      <c r="J936" s="337">
        <v>0</v>
      </c>
      <c r="K936" s="321">
        <v>0</v>
      </c>
      <c r="L936" s="321">
        <v>0</v>
      </c>
      <c r="M936" s="321">
        <v>0</v>
      </c>
      <c r="N936" s="321">
        <v>0</v>
      </c>
      <c r="O936" s="321">
        <v>0</v>
      </c>
      <c r="P936" s="321">
        <v>0</v>
      </c>
      <c r="Q936" s="321">
        <v>0</v>
      </c>
      <c r="R936" s="321">
        <v>0</v>
      </c>
      <c r="S936" s="321">
        <v>0</v>
      </c>
      <c r="T936" s="321">
        <v>0</v>
      </c>
      <c r="U936" s="322">
        <v>0</v>
      </c>
      <c r="V936" s="323">
        <v>0</v>
      </c>
      <c r="W936" s="303"/>
      <c r="X936" s="324">
        <v>0</v>
      </c>
      <c r="Y936" s="325">
        <v>0</v>
      </c>
      <c r="AA936" s="388"/>
    </row>
    <row r="937" spans="1:27" hidden="1" outlineLevel="1" x14ac:dyDescent="0.3">
      <c r="E937" s="250" t="s">
        <v>1904</v>
      </c>
      <c r="F937" s="317">
        <v>4503011</v>
      </c>
      <c r="G937" s="318"/>
      <c r="H937" s="319"/>
      <c r="I937" s="320"/>
      <c r="J937" s="337">
        <v>0</v>
      </c>
      <c r="K937" s="321">
        <v>0</v>
      </c>
      <c r="L937" s="321">
        <v>0</v>
      </c>
      <c r="M937" s="321">
        <v>0</v>
      </c>
      <c r="N937" s="321">
        <v>0</v>
      </c>
      <c r="O937" s="321">
        <v>0</v>
      </c>
      <c r="P937" s="321">
        <v>0</v>
      </c>
      <c r="Q937" s="321">
        <v>0</v>
      </c>
      <c r="R937" s="321">
        <v>0</v>
      </c>
      <c r="S937" s="321">
        <v>0</v>
      </c>
      <c r="T937" s="321">
        <v>0</v>
      </c>
      <c r="U937" s="322">
        <v>0</v>
      </c>
      <c r="V937" s="323">
        <v>0</v>
      </c>
      <c r="W937" s="303"/>
      <c r="X937" s="324">
        <v>0</v>
      </c>
      <c r="Y937" s="325">
        <v>0</v>
      </c>
      <c r="AA937" s="388"/>
    </row>
    <row r="938" spans="1:27" hidden="1" outlineLevel="1" x14ac:dyDescent="0.3">
      <c r="E938" s="250" t="s">
        <v>1905</v>
      </c>
      <c r="F938" s="317">
        <v>4503012</v>
      </c>
      <c r="G938" s="318"/>
      <c r="H938" s="319"/>
      <c r="I938" s="320"/>
      <c r="J938" s="337">
        <v>0</v>
      </c>
      <c r="K938" s="321">
        <v>0</v>
      </c>
      <c r="L938" s="321">
        <v>0</v>
      </c>
      <c r="M938" s="321">
        <v>0</v>
      </c>
      <c r="N938" s="321">
        <v>0</v>
      </c>
      <c r="O938" s="321">
        <v>0</v>
      </c>
      <c r="P938" s="321">
        <v>0</v>
      </c>
      <c r="Q938" s="321">
        <v>0</v>
      </c>
      <c r="R938" s="321">
        <v>0</v>
      </c>
      <c r="S938" s="321">
        <v>0</v>
      </c>
      <c r="T938" s="321">
        <v>0</v>
      </c>
      <c r="U938" s="322">
        <v>0</v>
      </c>
      <c r="V938" s="323">
        <v>0</v>
      </c>
      <c r="W938" s="303"/>
      <c r="X938" s="324">
        <v>0</v>
      </c>
      <c r="Y938" s="325">
        <v>0</v>
      </c>
      <c r="AA938" s="388"/>
    </row>
    <row r="939" spans="1:27" hidden="1" outlineLevel="1" x14ac:dyDescent="0.3">
      <c r="E939" s="250" t="s">
        <v>1906</v>
      </c>
      <c r="F939" s="317">
        <v>4503003</v>
      </c>
      <c r="G939" s="318"/>
      <c r="H939" s="319"/>
      <c r="I939" s="320"/>
      <c r="J939" s="337">
        <v>0</v>
      </c>
      <c r="K939" s="321">
        <v>0</v>
      </c>
      <c r="L939" s="321">
        <v>0</v>
      </c>
      <c r="M939" s="321">
        <v>0</v>
      </c>
      <c r="N939" s="321">
        <v>0</v>
      </c>
      <c r="O939" s="321">
        <v>0</v>
      </c>
      <c r="P939" s="321">
        <v>0</v>
      </c>
      <c r="Q939" s="321">
        <v>0</v>
      </c>
      <c r="R939" s="321">
        <v>0</v>
      </c>
      <c r="S939" s="321">
        <v>0</v>
      </c>
      <c r="T939" s="321">
        <v>0</v>
      </c>
      <c r="U939" s="322">
        <v>0</v>
      </c>
      <c r="V939" s="323">
        <v>0</v>
      </c>
      <c r="W939" s="303"/>
      <c r="X939" s="324">
        <v>0</v>
      </c>
      <c r="Y939" s="325">
        <v>0</v>
      </c>
      <c r="AA939" s="388"/>
    </row>
    <row r="940" spans="1:27" hidden="1" outlineLevel="1" x14ac:dyDescent="0.3">
      <c r="E940" s="250" t="s">
        <v>1907</v>
      </c>
      <c r="F940" s="317">
        <v>4503004</v>
      </c>
      <c r="G940" s="318"/>
      <c r="H940" s="319"/>
      <c r="I940" s="320"/>
      <c r="J940" s="337">
        <v>0</v>
      </c>
      <c r="K940" s="321">
        <v>0</v>
      </c>
      <c r="L940" s="321">
        <v>0</v>
      </c>
      <c r="M940" s="321">
        <v>0</v>
      </c>
      <c r="N940" s="321">
        <v>0</v>
      </c>
      <c r="O940" s="321">
        <v>0</v>
      </c>
      <c r="P940" s="321">
        <v>0</v>
      </c>
      <c r="Q940" s="321">
        <v>0</v>
      </c>
      <c r="R940" s="321">
        <v>0</v>
      </c>
      <c r="S940" s="321">
        <v>0</v>
      </c>
      <c r="T940" s="321">
        <v>0</v>
      </c>
      <c r="U940" s="322">
        <v>0</v>
      </c>
      <c r="V940" s="323">
        <v>0</v>
      </c>
      <c r="W940" s="303"/>
      <c r="X940" s="324">
        <v>0</v>
      </c>
      <c r="Y940" s="325">
        <v>0</v>
      </c>
      <c r="AA940" s="388"/>
    </row>
    <row r="941" spans="1:27" hidden="1" outlineLevel="1" x14ac:dyDescent="0.3">
      <c r="E941" s="250" t="s">
        <v>1908</v>
      </c>
      <c r="F941" s="317">
        <v>4503005</v>
      </c>
      <c r="G941" s="318"/>
      <c r="H941" s="319"/>
      <c r="I941" s="320"/>
      <c r="J941" s="337">
        <v>0</v>
      </c>
      <c r="K941" s="321">
        <v>0</v>
      </c>
      <c r="L941" s="321">
        <v>0</v>
      </c>
      <c r="M941" s="321">
        <v>0</v>
      </c>
      <c r="N941" s="321">
        <v>0</v>
      </c>
      <c r="O941" s="321">
        <v>0</v>
      </c>
      <c r="P941" s="321">
        <v>0</v>
      </c>
      <c r="Q941" s="321">
        <v>0</v>
      </c>
      <c r="R941" s="321">
        <v>0</v>
      </c>
      <c r="S941" s="321">
        <v>0</v>
      </c>
      <c r="T941" s="321">
        <v>0</v>
      </c>
      <c r="U941" s="322">
        <v>0</v>
      </c>
      <c r="V941" s="323">
        <v>0</v>
      </c>
      <c r="W941" s="303"/>
      <c r="X941" s="324">
        <v>0</v>
      </c>
      <c r="Y941" s="325">
        <v>0</v>
      </c>
      <c r="AA941" s="388"/>
    </row>
    <row r="942" spans="1:27" hidden="1" outlineLevel="1" x14ac:dyDescent="0.3">
      <c r="E942" s="250" t="s">
        <v>1909</v>
      </c>
      <c r="F942" s="317">
        <v>4503009</v>
      </c>
      <c r="G942" s="318"/>
      <c r="H942" s="319"/>
      <c r="I942" s="320"/>
      <c r="J942" s="337">
        <v>0</v>
      </c>
      <c r="K942" s="321">
        <v>0</v>
      </c>
      <c r="L942" s="321">
        <v>0</v>
      </c>
      <c r="M942" s="321">
        <v>0</v>
      </c>
      <c r="N942" s="321">
        <v>0</v>
      </c>
      <c r="O942" s="321">
        <v>0</v>
      </c>
      <c r="P942" s="321">
        <v>0</v>
      </c>
      <c r="Q942" s="321">
        <v>0</v>
      </c>
      <c r="R942" s="321">
        <v>0</v>
      </c>
      <c r="S942" s="321">
        <v>0</v>
      </c>
      <c r="T942" s="321">
        <v>0</v>
      </c>
      <c r="U942" s="322">
        <v>0</v>
      </c>
      <c r="V942" s="323">
        <v>0</v>
      </c>
      <c r="W942" s="303"/>
      <c r="X942" s="324">
        <v>0</v>
      </c>
      <c r="Y942" s="325">
        <v>0</v>
      </c>
      <c r="AA942" s="388"/>
    </row>
    <row r="943" spans="1:27" s="250" customFormat="1" hidden="1" outlineLevel="2" x14ac:dyDescent="0.3">
      <c r="E943" s="250" t="s">
        <v>1910</v>
      </c>
      <c r="F943" s="306">
        <v>4505606</v>
      </c>
      <c r="G943" s="307"/>
      <c r="H943" s="308"/>
      <c r="I943" s="309"/>
      <c r="J943" s="310">
        <v>0</v>
      </c>
      <c r="K943" s="311">
        <v>0</v>
      </c>
      <c r="L943" s="311">
        <v>0</v>
      </c>
      <c r="M943" s="311">
        <v>0</v>
      </c>
      <c r="N943" s="311">
        <v>0</v>
      </c>
      <c r="O943" s="311">
        <v>0</v>
      </c>
      <c r="P943" s="311">
        <v>0</v>
      </c>
      <c r="Q943" s="311">
        <v>0</v>
      </c>
      <c r="R943" s="311">
        <v>0</v>
      </c>
      <c r="S943" s="311">
        <v>0</v>
      </c>
      <c r="T943" s="311">
        <v>0</v>
      </c>
      <c r="U943" s="312">
        <v>0</v>
      </c>
      <c r="V943" s="313">
        <v>0</v>
      </c>
      <c r="W943" s="314"/>
      <c r="X943" s="315">
        <v>0</v>
      </c>
      <c r="Y943" s="316">
        <v>0</v>
      </c>
      <c r="AA943" s="388"/>
    </row>
    <row r="944" spans="1:27" s="250" customFormat="1" hidden="1" outlineLevel="2" x14ac:dyDescent="0.3">
      <c r="E944" s="250" t="s">
        <v>1911</v>
      </c>
      <c r="F944" s="306">
        <v>4505608</v>
      </c>
      <c r="G944" s="307"/>
      <c r="H944" s="308"/>
      <c r="I944" s="309"/>
      <c r="J944" s="310">
        <v>0</v>
      </c>
      <c r="K944" s="311">
        <v>0</v>
      </c>
      <c r="L944" s="311">
        <v>0</v>
      </c>
      <c r="M944" s="311">
        <v>0</v>
      </c>
      <c r="N944" s="311">
        <v>0</v>
      </c>
      <c r="O944" s="311">
        <v>0</v>
      </c>
      <c r="P944" s="311">
        <v>0</v>
      </c>
      <c r="Q944" s="311">
        <v>0</v>
      </c>
      <c r="R944" s="311">
        <v>0</v>
      </c>
      <c r="S944" s="311">
        <v>0</v>
      </c>
      <c r="T944" s="311">
        <v>0</v>
      </c>
      <c r="U944" s="312">
        <v>0</v>
      </c>
      <c r="V944" s="313">
        <v>0</v>
      </c>
      <c r="W944" s="314"/>
      <c r="X944" s="315">
        <v>0</v>
      </c>
      <c r="Y944" s="316">
        <v>0</v>
      </c>
      <c r="AA944" s="388"/>
    </row>
    <row r="945" spans="1:27" s="326" customFormat="1" hidden="1" outlineLevel="2" x14ac:dyDescent="0.3">
      <c r="E945" s="326" t="s">
        <v>1912</v>
      </c>
      <c r="F945" s="336"/>
      <c r="G945" s="327"/>
      <c r="H945" s="328"/>
      <c r="I945" s="329"/>
      <c r="J945" s="338">
        <v>0</v>
      </c>
      <c r="K945" s="330">
        <v>0</v>
      </c>
      <c r="L945" s="330">
        <v>0</v>
      </c>
      <c r="M945" s="330">
        <v>0</v>
      </c>
      <c r="N945" s="330">
        <v>0</v>
      </c>
      <c r="O945" s="330">
        <v>0</v>
      </c>
      <c r="P945" s="330">
        <v>0</v>
      </c>
      <c r="Q945" s="330">
        <v>0</v>
      </c>
      <c r="R945" s="330">
        <v>0</v>
      </c>
      <c r="S945" s="330">
        <v>0</v>
      </c>
      <c r="T945" s="330">
        <v>0</v>
      </c>
      <c r="U945" s="331">
        <v>0</v>
      </c>
      <c r="V945" s="332">
        <v>0</v>
      </c>
      <c r="W945" s="333"/>
      <c r="X945" s="334">
        <v>0</v>
      </c>
      <c r="Y945" s="335">
        <v>0</v>
      </c>
      <c r="AA945" s="388"/>
    </row>
    <row r="946" spans="1:27" s="326" customFormat="1" hidden="1" outlineLevel="2" x14ac:dyDescent="0.3">
      <c r="E946" s="326" t="s">
        <v>1913</v>
      </c>
      <c r="F946" s="336"/>
      <c r="G946" s="327"/>
      <c r="H946" s="328"/>
      <c r="I946" s="329"/>
      <c r="J946" s="338">
        <v>0</v>
      </c>
      <c r="K946" s="330">
        <v>0</v>
      </c>
      <c r="L946" s="330">
        <v>0</v>
      </c>
      <c r="M946" s="330">
        <v>0</v>
      </c>
      <c r="N946" s="330">
        <v>0</v>
      </c>
      <c r="O946" s="330">
        <v>0</v>
      </c>
      <c r="P946" s="330">
        <v>0</v>
      </c>
      <c r="Q946" s="330">
        <v>0</v>
      </c>
      <c r="R946" s="330">
        <v>0</v>
      </c>
      <c r="S946" s="330">
        <v>0</v>
      </c>
      <c r="T946" s="330">
        <v>0</v>
      </c>
      <c r="U946" s="331">
        <v>0</v>
      </c>
      <c r="V946" s="332">
        <v>0</v>
      </c>
      <c r="W946" s="333"/>
      <c r="X946" s="334">
        <v>0</v>
      </c>
      <c r="Y946" s="335">
        <v>0</v>
      </c>
      <c r="AA946" s="388"/>
    </row>
    <row r="947" spans="1:27" s="326" customFormat="1" hidden="1" outlineLevel="2" x14ac:dyDescent="0.3">
      <c r="E947" s="326" t="s">
        <v>1914</v>
      </c>
      <c r="F947" s="336"/>
      <c r="G947" s="327"/>
      <c r="H947" s="328"/>
      <c r="I947" s="329"/>
      <c r="J947" s="338">
        <v>0</v>
      </c>
      <c r="K947" s="330">
        <v>0</v>
      </c>
      <c r="L947" s="330">
        <v>0</v>
      </c>
      <c r="M947" s="330">
        <v>0</v>
      </c>
      <c r="N947" s="330">
        <v>0</v>
      </c>
      <c r="O947" s="330">
        <v>0</v>
      </c>
      <c r="P947" s="330">
        <v>0</v>
      </c>
      <c r="Q947" s="330">
        <v>0</v>
      </c>
      <c r="R947" s="330">
        <v>0</v>
      </c>
      <c r="S947" s="330">
        <v>0</v>
      </c>
      <c r="T947" s="330">
        <v>0</v>
      </c>
      <c r="U947" s="331">
        <v>0</v>
      </c>
      <c r="V947" s="332">
        <v>0</v>
      </c>
      <c r="W947" s="333"/>
      <c r="X947" s="334">
        <v>0</v>
      </c>
      <c r="Y947" s="335">
        <v>0</v>
      </c>
      <c r="AA947" s="388"/>
    </row>
    <row r="948" spans="1:27" hidden="1" collapsed="1" x14ac:dyDescent="0.3">
      <c r="A948" s="233"/>
      <c r="B948" s="234" t="s">
        <v>74</v>
      </c>
      <c r="D948" s="293" t="s">
        <v>1915</v>
      </c>
      <c r="E948" s="294"/>
      <c r="F948" s="295" t="s">
        <v>1916</v>
      </c>
      <c r="G948" s="296"/>
      <c r="H948" s="297"/>
      <c r="I948" s="298"/>
      <c r="J948" s="299">
        <v>0</v>
      </c>
      <c r="K948" s="300">
        <v>0</v>
      </c>
      <c r="L948" s="300">
        <v>0</v>
      </c>
      <c r="M948" s="300">
        <v>0</v>
      </c>
      <c r="N948" s="300">
        <v>0</v>
      </c>
      <c r="O948" s="300">
        <v>0</v>
      </c>
      <c r="P948" s="300">
        <v>0</v>
      </c>
      <c r="Q948" s="300">
        <v>0</v>
      </c>
      <c r="R948" s="300">
        <v>0</v>
      </c>
      <c r="S948" s="300">
        <v>0</v>
      </c>
      <c r="T948" s="300">
        <v>0</v>
      </c>
      <c r="U948" s="301">
        <v>0</v>
      </c>
      <c r="V948" s="302">
        <v>0</v>
      </c>
      <c r="W948" s="303"/>
      <c r="X948" s="304">
        <v>0</v>
      </c>
      <c r="Y948" s="305">
        <v>0</v>
      </c>
      <c r="AA948" s="388"/>
    </row>
    <row r="949" spans="1:27" hidden="1" outlineLevel="1" x14ac:dyDescent="0.3">
      <c r="E949" s="250" t="s">
        <v>1917</v>
      </c>
      <c r="F949" s="317">
        <v>4504581</v>
      </c>
      <c r="G949" s="318"/>
      <c r="H949" s="319"/>
      <c r="I949" s="320"/>
      <c r="J949" s="337">
        <v>0</v>
      </c>
      <c r="K949" s="321">
        <v>0</v>
      </c>
      <c r="L949" s="321">
        <v>0</v>
      </c>
      <c r="M949" s="321">
        <v>0</v>
      </c>
      <c r="N949" s="321">
        <v>0</v>
      </c>
      <c r="O949" s="321">
        <v>0</v>
      </c>
      <c r="P949" s="321">
        <v>0</v>
      </c>
      <c r="Q949" s="321">
        <v>0</v>
      </c>
      <c r="R949" s="321">
        <v>0</v>
      </c>
      <c r="S949" s="321">
        <v>0</v>
      </c>
      <c r="T949" s="321">
        <v>0</v>
      </c>
      <c r="U949" s="322">
        <v>0</v>
      </c>
      <c r="V949" s="323">
        <v>0</v>
      </c>
      <c r="W949" s="303"/>
      <c r="X949" s="324">
        <v>0</v>
      </c>
      <c r="Y949" s="325">
        <v>0</v>
      </c>
      <c r="AA949" s="388"/>
    </row>
    <row r="950" spans="1:27" hidden="1" outlineLevel="1" x14ac:dyDescent="0.3">
      <c r="E950" s="250" t="s">
        <v>1918</v>
      </c>
      <c r="F950" s="317">
        <v>4504582</v>
      </c>
      <c r="G950" s="318"/>
      <c r="H950" s="319"/>
      <c r="I950" s="320"/>
      <c r="J950" s="337">
        <v>0</v>
      </c>
      <c r="K950" s="321">
        <v>0</v>
      </c>
      <c r="L950" s="321">
        <v>0</v>
      </c>
      <c r="M950" s="321">
        <v>0</v>
      </c>
      <c r="N950" s="321">
        <v>0</v>
      </c>
      <c r="O950" s="321">
        <v>0</v>
      </c>
      <c r="P950" s="321">
        <v>0</v>
      </c>
      <c r="Q950" s="321">
        <v>0</v>
      </c>
      <c r="R950" s="321">
        <v>0</v>
      </c>
      <c r="S950" s="321">
        <v>0</v>
      </c>
      <c r="T950" s="321">
        <v>0</v>
      </c>
      <c r="U950" s="322">
        <v>0</v>
      </c>
      <c r="V950" s="323">
        <v>0</v>
      </c>
      <c r="W950" s="303"/>
      <c r="X950" s="324">
        <v>0</v>
      </c>
      <c r="Y950" s="325">
        <v>0</v>
      </c>
      <c r="AA950" s="388"/>
    </row>
    <row r="951" spans="1:27" hidden="1" outlineLevel="1" x14ac:dyDescent="0.3">
      <c r="E951" s="250" t="s">
        <v>1919</v>
      </c>
      <c r="F951" s="317">
        <v>4504580</v>
      </c>
      <c r="G951" s="318"/>
      <c r="H951" s="319"/>
      <c r="I951" s="320"/>
      <c r="J951" s="337">
        <v>0</v>
      </c>
      <c r="K951" s="321">
        <v>0</v>
      </c>
      <c r="L951" s="321">
        <v>0</v>
      </c>
      <c r="M951" s="321">
        <v>0</v>
      </c>
      <c r="N951" s="321">
        <v>0</v>
      </c>
      <c r="O951" s="321">
        <v>0</v>
      </c>
      <c r="P951" s="321">
        <v>0</v>
      </c>
      <c r="Q951" s="321">
        <v>0</v>
      </c>
      <c r="R951" s="321">
        <v>0</v>
      </c>
      <c r="S951" s="321">
        <v>0</v>
      </c>
      <c r="T951" s="321">
        <v>0</v>
      </c>
      <c r="U951" s="322">
        <v>0</v>
      </c>
      <c r="V951" s="323">
        <v>0</v>
      </c>
      <c r="W951" s="303"/>
      <c r="X951" s="324">
        <v>0</v>
      </c>
      <c r="Y951" s="325">
        <v>0</v>
      </c>
      <c r="AA951" s="388"/>
    </row>
    <row r="952" spans="1:27" hidden="1" outlineLevel="1" x14ac:dyDescent="0.3">
      <c r="E952" s="250" t="s">
        <v>1920</v>
      </c>
      <c r="F952" s="317">
        <v>4504583</v>
      </c>
      <c r="G952" s="318"/>
      <c r="H952" s="319"/>
      <c r="I952" s="320"/>
      <c r="J952" s="337">
        <v>0</v>
      </c>
      <c r="K952" s="321">
        <v>0</v>
      </c>
      <c r="L952" s="321">
        <v>0</v>
      </c>
      <c r="M952" s="321">
        <v>0</v>
      </c>
      <c r="N952" s="321">
        <v>0</v>
      </c>
      <c r="O952" s="321">
        <v>0</v>
      </c>
      <c r="P952" s="321">
        <v>0</v>
      </c>
      <c r="Q952" s="321">
        <v>0</v>
      </c>
      <c r="R952" s="321">
        <v>0</v>
      </c>
      <c r="S952" s="321">
        <v>0</v>
      </c>
      <c r="T952" s="321">
        <v>0</v>
      </c>
      <c r="U952" s="322">
        <v>0</v>
      </c>
      <c r="V952" s="323">
        <v>0</v>
      </c>
      <c r="W952" s="303"/>
      <c r="X952" s="324">
        <v>0</v>
      </c>
      <c r="Y952" s="325">
        <v>0</v>
      </c>
      <c r="AA952" s="388"/>
    </row>
    <row r="953" spans="1:27" hidden="1" outlineLevel="1" x14ac:dyDescent="0.3">
      <c r="E953" s="250" t="s">
        <v>1921</v>
      </c>
      <c r="F953" s="317">
        <v>4504584</v>
      </c>
      <c r="G953" s="318"/>
      <c r="H953" s="319"/>
      <c r="I953" s="320"/>
      <c r="J953" s="337">
        <v>0</v>
      </c>
      <c r="K953" s="321">
        <v>0</v>
      </c>
      <c r="L953" s="321">
        <v>0</v>
      </c>
      <c r="M953" s="321">
        <v>0</v>
      </c>
      <c r="N953" s="321">
        <v>0</v>
      </c>
      <c r="O953" s="321">
        <v>0</v>
      </c>
      <c r="P953" s="321">
        <v>0</v>
      </c>
      <c r="Q953" s="321">
        <v>0</v>
      </c>
      <c r="R953" s="321">
        <v>0</v>
      </c>
      <c r="S953" s="321">
        <v>0</v>
      </c>
      <c r="T953" s="321">
        <v>0</v>
      </c>
      <c r="U953" s="322">
        <v>0</v>
      </c>
      <c r="V953" s="323">
        <v>0</v>
      </c>
      <c r="W953" s="303"/>
      <c r="X953" s="324">
        <v>0</v>
      </c>
      <c r="Y953" s="325">
        <v>0</v>
      </c>
      <c r="AA953" s="388"/>
    </row>
    <row r="954" spans="1:27" s="326" customFormat="1" hidden="1" outlineLevel="2" x14ac:dyDescent="0.3">
      <c r="E954" s="326" t="s">
        <v>1922</v>
      </c>
      <c r="F954" s="336"/>
      <c r="G954" s="327"/>
      <c r="H954" s="328"/>
      <c r="I954" s="329"/>
      <c r="J954" s="338">
        <v>0</v>
      </c>
      <c r="K954" s="330">
        <v>0</v>
      </c>
      <c r="L954" s="330">
        <v>0</v>
      </c>
      <c r="M954" s="330">
        <v>0</v>
      </c>
      <c r="N954" s="330">
        <v>0</v>
      </c>
      <c r="O954" s="330">
        <v>0</v>
      </c>
      <c r="P954" s="330">
        <v>0</v>
      </c>
      <c r="Q954" s="330">
        <v>0</v>
      </c>
      <c r="R954" s="330">
        <v>0</v>
      </c>
      <c r="S954" s="330">
        <v>0</v>
      </c>
      <c r="T954" s="330">
        <v>0</v>
      </c>
      <c r="U954" s="331">
        <v>0</v>
      </c>
      <c r="V954" s="332">
        <v>0</v>
      </c>
      <c r="W954" s="333"/>
      <c r="X954" s="334">
        <v>0</v>
      </c>
      <c r="Y954" s="335">
        <v>0</v>
      </c>
      <c r="AA954" s="388"/>
    </row>
    <row r="955" spans="1:27" s="326" customFormat="1" hidden="1" outlineLevel="2" x14ac:dyDescent="0.3">
      <c r="E955" s="326" t="s">
        <v>1923</v>
      </c>
      <c r="F955" s="336"/>
      <c r="G955" s="327"/>
      <c r="H955" s="328"/>
      <c r="I955" s="329"/>
      <c r="J955" s="338">
        <v>0</v>
      </c>
      <c r="K955" s="330">
        <v>0</v>
      </c>
      <c r="L955" s="330">
        <v>0</v>
      </c>
      <c r="M955" s="330">
        <v>0</v>
      </c>
      <c r="N955" s="330">
        <v>0</v>
      </c>
      <c r="O955" s="330">
        <v>0</v>
      </c>
      <c r="P955" s="330">
        <v>0</v>
      </c>
      <c r="Q955" s="330">
        <v>0</v>
      </c>
      <c r="R955" s="330">
        <v>0</v>
      </c>
      <c r="S955" s="330">
        <v>0</v>
      </c>
      <c r="T955" s="330">
        <v>0</v>
      </c>
      <c r="U955" s="331">
        <v>0</v>
      </c>
      <c r="V955" s="332">
        <v>0</v>
      </c>
      <c r="W955" s="333"/>
      <c r="X955" s="334">
        <v>0</v>
      </c>
      <c r="Y955" s="335">
        <v>0</v>
      </c>
      <c r="AA955" s="388"/>
    </row>
    <row r="956" spans="1:27" s="326" customFormat="1" hidden="1" outlineLevel="2" x14ac:dyDescent="0.3">
      <c r="E956" s="326" t="s">
        <v>1924</v>
      </c>
      <c r="F956" s="336"/>
      <c r="G956" s="327"/>
      <c r="H956" s="328"/>
      <c r="I956" s="329"/>
      <c r="J956" s="338">
        <v>0</v>
      </c>
      <c r="K956" s="330">
        <v>0</v>
      </c>
      <c r="L956" s="330">
        <v>0</v>
      </c>
      <c r="M956" s="330">
        <v>0</v>
      </c>
      <c r="N956" s="330">
        <v>0</v>
      </c>
      <c r="O956" s="330">
        <v>0</v>
      </c>
      <c r="P956" s="330">
        <v>0</v>
      </c>
      <c r="Q956" s="330">
        <v>0</v>
      </c>
      <c r="R956" s="330">
        <v>0</v>
      </c>
      <c r="S956" s="330">
        <v>0</v>
      </c>
      <c r="T956" s="330">
        <v>0</v>
      </c>
      <c r="U956" s="331">
        <v>0</v>
      </c>
      <c r="V956" s="332">
        <v>0</v>
      </c>
      <c r="W956" s="333"/>
      <c r="X956" s="334">
        <v>0</v>
      </c>
      <c r="Y956" s="335">
        <v>0</v>
      </c>
      <c r="AA956" s="388"/>
    </row>
    <row r="957" spans="1:27" hidden="1" collapsed="1" x14ac:dyDescent="0.3">
      <c r="A957" s="233"/>
      <c r="B957" s="234" t="s">
        <v>74</v>
      </c>
      <c r="D957" s="293" t="s">
        <v>1925</v>
      </c>
      <c r="E957" s="294"/>
      <c r="F957" s="295" t="s">
        <v>1926</v>
      </c>
      <c r="G957" s="296"/>
      <c r="H957" s="297"/>
      <c r="I957" s="298"/>
      <c r="J957" s="299">
        <v>0</v>
      </c>
      <c r="K957" s="300">
        <v>0</v>
      </c>
      <c r="L957" s="300">
        <v>0</v>
      </c>
      <c r="M957" s="300">
        <v>0</v>
      </c>
      <c r="N957" s="300">
        <v>0</v>
      </c>
      <c r="O957" s="300">
        <v>0</v>
      </c>
      <c r="P957" s="300">
        <v>0</v>
      </c>
      <c r="Q957" s="300">
        <v>0</v>
      </c>
      <c r="R957" s="300">
        <v>0</v>
      </c>
      <c r="S957" s="300">
        <v>0</v>
      </c>
      <c r="T957" s="300">
        <v>0</v>
      </c>
      <c r="U957" s="301">
        <v>19082345.166999999</v>
      </c>
      <c r="V957" s="302">
        <v>19082345.166999999</v>
      </c>
      <c r="W957" s="303"/>
      <c r="X957" s="304">
        <v>19082345.166999999</v>
      </c>
      <c r="Y957" s="305">
        <v>19082345.166999999</v>
      </c>
      <c r="AA957" s="388"/>
    </row>
    <row r="958" spans="1:27" s="250" customFormat="1" hidden="1" outlineLevel="1" x14ac:dyDescent="0.3">
      <c r="E958" s="250" t="s">
        <v>1927</v>
      </c>
      <c r="F958" s="376">
        <v>4503068</v>
      </c>
      <c r="G958" s="377"/>
      <c r="H958" s="378">
        <v>7301030000</v>
      </c>
      <c r="I958" s="379"/>
      <c r="J958" s="391">
        <v>0</v>
      </c>
      <c r="K958" s="392">
        <v>0</v>
      </c>
      <c r="L958" s="392">
        <v>0</v>
      </c>
      <c r="M958" s="392">
        <v>0</v>
      </c>
      <c r="N958" s="392">
        <v>0</v>
      </c>
      <c r="O958" s="392">
        <v>0</v>
      </c>
      <c r="P958" s="392">
        <v>0</v>
      </c>
      <c r="Q958" s="392">
        <v>0</v>
      </c>
      <c r="R958" s="392">
        <v>0</v>
      </c>
      <c r="S958" s="392">
        <v>0</v>
      </c>
      <c r="T958" s="392">
        <v>0</v>
      </c>
      <c r="U958" s="393">
        <v>41180.752</v>
      </c>
      <c r="V958" s="394">
        <v>41180.752</v>
      </c>
      <c r="W958" s="395"/>
      <c r="X958" s="396">
        <v>41180.752</v>
      </c>
      <c r="Y958" s="397">
        <v>41180.752</v>
      </c>
      <c r="AA958" s="388"/>
    </row>
    <row r="959" spans="1:27" s="250" customFormat="1" hidden="1" outlineLevel="1" x14ac:dyDescent="0.3">
      <c r="E959" s="250" t="s">
        <v>1928</v>
      </c>
      <c r="F959" s="376">
        <v>4503069</v>
      </c>
      <c r="G959" s="377"/>
      <c r="H959" s="378"/>
      <c r="I959" s="379"/>
      <c r="J959" s="391">
        <v>0</v>
      </c>
      <c r="K959" s="392">
        <v>0</v>
      </c>
      <c r="L959" s="392">
        <v>0</v>
      </c>
      <c r="M959" s="392">
        <v>0</v>
      </c>
      <c r="N959" s="392">
        <v>0</v>
      </c>
      <c r="O959" s="392">
        <v>0</v>
      </c>
      <c r="P959" s="392">
        <v>0</v>
      </c>
      <c r="Q959" s="392">
        <v>0</v>
      </c>
      <c r="R959" s="392">
        <v>0</v>
      </c>
      <c r="S959" s="392">
        <v>0</v>
      </c>
      <c r="T959" s="392">
        <v>0</v>
      </c>
      <c r="U959" s="393">
        <v>38070.262000000002</v>
      </c>
      <c r="V959" s="394">
        <v>38070.262000000002</v>
      </c>
      <c r="W959" s="395"/>
      <c r="X959" s="396">
        <v>38070.262000000002</v>
      </c>
      <c r="Y959" s="397">
        <v>38070.262000000002</v>
      </c>
      <c r="AA959" s="388"/>
    </row>
    <row r="960" spans="1:27" s="250" customFormat="1" hidden="1" outlineLevel="1" x14ac:dyDescent="0.3">
      <c r="E960" s="250" t="s">
        <v>1929</v>
      </c>
      <c r="F960" s="376">
        <v>4503070</v>
      </c>
      <c r="G960" s="377"/>
      <c r="H960" s="378"/>
      <c r="I960" s="379"/>
      <c r="J960" s="391">
        <v>0</v>
      </c>
      <c r="K960" s="392">
        <v>0</v>
      </c>
      <c r="L960" s="392">
        <v>0</v>
      </c>
      <c r="M960" s="392">
        <v>0</v>
      </c>
      <c r="N960" s="392">
        <v>0</v>
      </c>
      <c r="O960" s="392">
        <v>0</v>
      </c>
      <c r="P960" s="392">
        <v>0</v>
      </c>
      <c r="Q960" s="392">
        <v>0</v>
      </c>
      <c r="R960" s="392">
        <v>0</v>
      </c>
      <c r="S960" s="392">
        <v>0</v>
      </c>
      <c r="T960" s="392">
        <v>0</v>
      </c>
      <c r="U960" s="393">
        <v>0</v>
      </c>
      <c r="V960" s="394">
        <v>0</v>
      </c>
      <c r="W960" s="395"/>
      <c r="X960" s="396">
        <v>0</v>
      </c>
      <c r="Y960" s="397">
        <v>0</v>
      </c>
      <c r="AA960" s="388"/>
    </row>
    <row r="961" spans="1:27" s="250" customFormat="1" hidden="1" outlineLevel="1" x14ac:dyDescent="0.3">
      <c r="E961" s="250" t="s">
        <v>1930</v>
      </c>
      <c r="F961" s="376">
        <v>4503071</v>
      </c>
      <c r="G961" s="377"/>
      <c r="H961" s="378"/>
      <c r="I961" s="379"/>
      <c r="J961" s="391">
        <v>0</v>
      </c>
      <c r="K961" s="392">
        <v>0</v>
      </c>
      <c r="L961" s="392">
        <v>0</v>
      </c>
      <c r="M961" s="392">
        <v>0</v>
      </c>
      <c r="N961" s="392">
        <v>0</v>
      </c>
      <c r="O961" s="392">
        <v>0</v>
      </c>
      <c r="P961" s="392">
        <v>0</v>
      </c>
      <c r="Q961" s="392">
        <v>0</v>
      </c>
      <c r="R961" s="392">
        <v>0</v>
      </c>
      <c r="S961" s="392">
        <v>0</v>
      </c>
      <c r="T961" s="392">
        <v>0</v>
      </c>
      <c r="U961" s="393">
        <v>0</v>
      </c>
      <c r="V961" s="394">
        <v>0</v>
      </c>
      <c r="W961" s="395"/>
      <c r="X961" s="396">
        <v>0</v>
      </c>
      <c r="Y961" s="397">
        <v>0</v>
      </c>
      <c r="AA961" s="388"/>
    </row>
    <row r="962" spans="1:27" s="250" customFormat="1" hidden="1" outlineLevel="1" x14ac:dyDescent="0.3">
      <c r="E962" s="250" t="s">
        <v>1931</v>
      </c>
      <c r="F962" s="376">
        <v>4503085</v>
      </c>
      <c r="G962" s="377"/>
      <c r="H962" s="378"/>
      <c r="I962" s="379"/>
      <c r="J962" s="391">
        <v>0</v>
      </c>
      <c r="K962" s="392">
        <v>0</v>
      </c>
      <c r="L962" s="392">
        <v>0</v>
      </c>
      <c r="M962" s="392">
        <v>0</v>
      </c>
      <c r="N962" s="392">
        <v>0</v>
      </c>
      <c r="O962" s="392">
        <v>0</v>
      </c>
      <c r="P962" s="392">
        <v>0</v>
      </c>
      <c r="Q962" s="392">
        <v>0</v>
      </c>
      <c r="R962" s="392">
        <v>0</v>
      </c>
      <c r="S962" s="392">
        <v>0</v>
      </c>
      <c r="T962" s="392">
        <v>0</v>
      </c>
      <c r="U962" s="393">
        <v>5353584.6140000001</v>
      </c>
      <c r="V962" s="394">
        <v>5353584.6140000001</v>
      </c>
      <c r="W962" s="395"/>
      <c r="X962" s="396">
        <v>5353584.6140000001</v>
      </c>
      <c r="Y962" s="397">
        <v>5353584.6140000001</v>
      </c>
      <c r="AA962" s="388"/>
    </row>
    <row r="963" spans="1:27" s="250" customFormat="1" hidden="1" outlineLevel="1" x14ac:dyDescent="0.3">
      <c r="E963" s="250" t="s">
        <v>1932</v>
      </c>
      <c r="F963" s="376">
        <v>4503090</v>
      </c>
      <c r="G963" s="377"/>
      <c r="H963" s="378"/>
      <c r="I963" s="379"/>
      <c r="J963" s="391">
        <v>0</v>
      </c>
      <c r="K963" s="392">
        <v>0</v>
      </c>
      <c r="L963" s="392">
        <v>0</v>
      </c>
      <c r="M963" s="392">
        <v>0</v>
      </c>
      <c r="N963" s="392">
        <v>0</v>
      </c>
      <c r="O963" s="392">
        <v>0</v>
      </c>
      <c r="P963" s="392">
        <v>0</v>
      </c>
      <c r="Q963" s="392">
        <v>0</v>
      </c>
      <c r="R963" s="392">
        <v>0</v>
      </c>
      <c r="S963" s="392">
        <v>0</v>
      </c>
      <c r="T963" s="392">
        <v>0</v>
      </c>
      <c r="U963" s="393">
        <v>0</v>
      </c>
      <c r="V963" s="394">
        <v>0</v>
      </c>
      <c r="W963" s="395"/>
      <c r="X963" s="396">
        <v>0</v>
      </c>
      <c r="Y963" s="397">
        <v>0</v>
      </c>
      <c r="AA963" s="388"/>
    </row>
    <row r="964" spans="1:27" s="250" customFormat="1" hidden="1" outlineLevel="1" x14ac:dyDescent="0.3">
      <c r="E964" s="250" t="s">
        <v>1933</v>
      </c>
      <c r="F964" s="376">
        <v>4503072</v>
      </c>
      <c r="G964" s="377"/>
      <c r="H964" s="378"/>
      <c r="I964" s="379"/>
      <c r="J964" s="391">
        <v>0</v>
      </c>
      <c r="K964" s="392">
        <v>0</v>
      </c>
      <c r="L964" s="392">
        <v>0</v>
      </c>
      <c r="M964" s="392">
        <v>0</v>
      </c>
      <c r="N964" s="392">
        <v>0</v>
      </c>
      <c r="O964" s="392">
        <v>0</v>
      </c>
      <c r="P964" s="392">
        <v>0</v>
      </c>
      <c r="Q964" s="392">
        <v>0</v>
      </c>
      <c r="R964" s="392">
        <v>0</v>
      </c>
      <c r="S964" s="392">
        <v>0</v>
      </c>
      <c r="T964" s="392">
        <v>0</v>
      </c>
      <c r="U964" s="393">
        <v>35379.444000000003</v>
      </c>
      <c r="V964" s="394">
        <v>35379.444000000003</v>
      </c>
      <c r="W964" s="395"/>
      <c r="X964" s="396">
        <v>35379.444000000003</v>
      </c>
      <c r="Y964" s="397">
        <v>35379.444000000003</v>
      </c>
      <c r="AA964" s="388"/>
    </row>
    <row r="965" spans="1:27" s="250" customFormat="1" hidden="1" outlineLevel="1" x14ac:dyDescent="0.3">
      <c r="E965" s="250" t="s">
        <v>1934</v>
      </c>
      <c r="F965" s="376">
        <v>4503073</v>
      </c>
      <c r="G965" s="377"/>
      <c r="H965" s="378"/>
      <c r="I965" s="379"/>
      <c r="J965" s="391">
        <v>0</v>
      </c>
      <c r="K965" s="392">
        <v>0</v>
      </c>
      <c r="L965" s="392">
        <v>0</v>
      </c>
      <c r="M965" s="392">
        <v>0</v>
      </c>
      <c r="N965" s="392">
        <v>0</v>
      </c>
      <c r="O965" s="392">
        <v>0</v>
      </c>
      <c r="P965" s="392">
        <v>0</v>
      </c>
      <c r="Q965" s="392">
        <v>0</v>
      </c>
      <c r="R965" s="392">
        <v>0</v>
      </c>
      <c r="S965" s="392">
        <v>0</v>
      </c>
      <c r="T965" s="392">
        <v>0</v>
      </c>
      <c r="U965" s="393">
        <v>6866.5569999999998</v>
      </c>
      <c r="V965" s="394">
        <v>6866.5569999999998</v>
      </c>
      <c r="W965" s="395"/>
      <c r="X965" s="396">
        <v>6866.5569999999998</v>
      </c>
      <c r="Y965" s="397">
        <v>6866.5569999999998</v>
      </c>
      <c r="AA965" s="388"/>
    </row>
    <row r="966" spans="1:27" s="250" customFormat="1" hidden="1" outlineLevel="1" x14ac:dyDescent="0.3">
      <c r="E966" s="250" t="s">
        <v>1935</v>
      </c>
      <c r="F966" s="376">
        <v>4503074</v>
      </c>
      <c r="G966" s="377"/>
      <c r="H966" s="378"/>
      <c r="I966" s="379"/>
      <c r="J966" s="391">
        <v>0</v>
      </c>
      <c r="K966" s="392">
        <v>0</v>
      </c>
      <c r="L966" s="392">
        <v>0</v>
      </c>
      <c r="M966" s="392">
        <v>0</v>
      </c>
      <c r="N966" s="392">
        <v>0</v>
      </c>
      <c r="O966" s="392">
        <v>0</v>
      </c>
      <c r="P966" s="392">
        <v>0</v>
      </c>
      <c r="Q966" s="392">
        <v>0</v>
      </c>
      <c r="R966" s="392">
        <v>0</v>
      </c>
      <c r="S966" s="392">
        <v>0</v>
      </c>
      <c r="T966" s="392">
        <v>0</v>
      </c>
      <c r="U966" s="393">
        <v>0</v>
      </c>
      <c r="V966" s="394">
        <v>0</v>
      </c>
      <c r="W966" s="395"/>
      <c r="X966" s="396">
        <v>0</v>
      </c>
      <c r="Y966" s="397">
        <v>0</v>
      </c>
      <c r="AA966" s="388"/>
    </row>
    <row r="967" spans="1:27" s="250" customFormat="1" hidden="1" outlineLevel="1" x14ac:dyDescent="0.3">
      <c r="E967" s="250" t="s">
        <v>1936</v>
      </c>
      <c r="F967" s="376">
        <v>4503083</v>
      </c>
      <c r="G967" s="377"/>
      <c r="H967" s="378"/>
      <c r="I967" s="379"/>
      <c r="J967" s="391">
        <v>0</v>
      </c>
      <c r="K967" s="392">
        <v>0</v>
      </c>
      <c r="L967" s="392">
        <v>0</v>
      </c>
      <c r="M967" s="392">
        <v>0</v>
      </c>
      <c r="N967" s="392">
        <v>0</v>
      </c>
      <c r="O967" s="392">
        <v>0</v>
      </c>
      <c r="P967" s="392">
        <v>0</v>
      </c>
      <c r="Q967" s="392">
        <v>0</v>
      </c>
      <c r="R967" s="392">
        <v>0</v>
      </c>
      <c r="S967" s="392">
        <v>0</v>
      </c>
      <c r="T967" s="392">
        <v>0</v>
      </c>
      <c r="U967" s="393">
        <v>10651279.93</v>
      </c>
      <c r="V967" s="394">
        <v>10651279.93</v>
      </c>
      <c r="W967" s="395"/>
      <c r="X967" s="396">
        <v>10651279.93</v>
      </c>
      <c r="Y967" s="397">
        <v>10651279.93</v>
      </c>
      <c r="AA967" s="388"/>
    </row>
    <row r="968" spans="1:27" s="250" customFormat="1" hidden="1" outlineLevel="1" x14ac:dyDescent="0.3">
      <c r="E968" s="250" t="s">
        <v>1937</v>
      </c>
      <c r="F968" s="376">
        <v>4503067</v>
      </c>
      <c r="G968" s="377"/>
      <c r="H968" s="378"/>
      <c r="I968" s="379"/>
      <c r="J968" s="391">
        <v>0</v>
      </c>
      <c r="K968" s="392">
        <v>0</v>
      </c>
      <c r="L968" s="392">
        <v>0</v>
      </c>
      <c r="M968" s="392">
        <v>0</v>
      </c>
      <c r="N968" s="392">
        <v>0</v>
      </c>
      <c r="O968" s="392">
        <v>0</v>
      </c>
      <c r="P968" s="392">
        <v>0</v>
      </c>
      <c r="Q968" s="392">
        <v>0</v>
      </c>
      <c r="R968" s="392">
        <v>0</v>
      </c>
      <c r="S968" s="392">
        <v>0</v>
      </c>
      <c r="T968" s="392">
        <v>0</v>
      </c>
      <c r="U968" s="393">
        <v>2525.884</v>
      </c>
      <c r="V968" s="394">
        <v>2525.884</v>
      </c>
      <c r="W968" s="395"/>
      <c r="X968" s="396">
        <v>2525.884</v>
      </c>
      <c r="Y968" s="397">
        <v>2525.884</v>
      </c>
      <c r="AA968" s="388"/>
    </row>
    <row r="969" spans="1:27" s="250" customFormat="1" hidden="1" outlineLevel="1" x14ac:dyDescent="0.3">
      <c r="E969" s="250" t="s">
        <v>1938</v>
      </c>
      <c r="F969" s="376">
        <v>4503084</v>
      </c>
      <c r="G969" s="377"/>
      <c r="H969" s="378"/>
      <c r="I969" s="379"/>
      <c r="J969" s="391">
        <v>0</v>
      </c>
      <c r="K969" s="392">
        <v>0</v>
      </c>
      <c r="L969" s="392">
        <v>0</v>
      </c>
      <c r="M969" s="392">
        <v>0</v>
      </c>
      <c r="N969" s="392">
        <v>0</v>
      </c>
      <c r="O969" s="392">
        <v>0</v>
      </c>
      <c r="P969" s="392">
        <v>0</v>
      </c>
      <c r="Q969" s="392">
        <v>0</v>
      </c>
      <c r="R969" s="392">
        <v>0</v>
      </c>
      <c r="S969" s="392">
        <v>0</v>
      </c>
      <c r="T969" s="392">
        <v>0</v>
      </c>
      <c r="U969" s="393">
        <v>2045772.152</v>
      </c>
      <c r="V969" s="394">
        <v>2045772.152</v>
      </c>
      <c r="W969" s="395"/>
      <c r="X969" s="396">
        <v>2045772.152</v>
      </c>
      <c r="Y969" s="397">
        <v>2045772.152</v>
      </c>
      <c r="AA969" s="388"/>
    </row>
    <row r="970" spans="1:27" s="250" customFormat="1" hidden="1" outlineLevel="1" x14ac:dyDescent="0.3">
      <c r="E970" s="250" t="s">
        <v>1939</v>
      </c>
      <c r="F970" s="376">
        <v>4503075</v>
      </c>
      <c r="G970" s="377"/>
      <c r="H970" s="378"/>
      <c r="I970" s="379"/>
      <c r="J970" s="391">
        <v>0</v>
      </c>
      <c r="K970" s="392">
        <v>0</v>
      </c>
      <c r="L970" s="392">
        <v>0</v>
      </c>
      <c r="M970" s="392">
        <v>0</v>
      </c>
      <c r="N970" s="392">
        <v>0</v>
      </c>
      <c r="O970" s="392">
        <v>0</v>
      </c>
      <c r="P970" s="392">
        <v>0</v>
      </c>
      <c r="Q970" s="392">
        <v>0</v>
      </c>
      <c r="R970" s="392">
        <v>0</v>
      </c>
      <c r="S970" s="392">
        <v>0</v>
      </c>
      <c r="T970" s="392">
        <v>0</v>
      </c>
      <c r="U970" s="393">
        <v>907685.57200000004</v>
      </c>
      <c r="V970" s="394">
        <v>907685.57200000004</v>
      </c>
      <c r="W970" s="395"/>
      <c r="X970" s="396">
        <v>907685.57200000004</v>
      </c>
      <c r="Y970" s="397">
        <v>907685.57200000004</v>
      </c>
      <c r="AA970" s="388"/>
    </row>
    <row r="971" spans="1:27" s="250" customFormat="1" hidden="1" outlineLevel="1" x14ac:dyDescent="0.3">
      <c r="E971" s="250" t="s">
        <v>1940</v>
      </c>
      <c r="F971" s="376">
        <v>4503076</v>
      </c>
      <c r="G971" s="377"/>
      <c r="H971" s="378"/>
      <c r="I971" s="379"/>
      <c r="J971" s="391">
        <v>0</v>
      </c>
      <c r="K971" s="392">
        <v>0</v>
      </c>
      <c r="L971" s="392">
        <v>0</v>
      </c>
      <c r="M971" s="392">
        <v>0</v>
      </c>
      <c r="N971" s="392">
        <v>0</v>
      </c>
      <c r="O971" s="392">
        <v>0</v>
      </c>
      <c r="P971" s="392">
        <v>0</v>
      </c>
      <c r="Q971" s="392">
        <v>0</v>
      </c>
      <c r="R971" s="392">
        <v>0</v>
      </c>
      <c r="S971" s="392">
        <v>0</v>
      </c>
      <c r="T971" s="392">
        <v>0</v>
      </c>
      <c r="U971" s="393">
        <v>0</v>
      </c>
      <c r="V971" s="394">
        <v>0</v>
      </c>
      <c r="W971" s="395"/>
      <c r="X971" s="396">
        <v>0</v>
      </c>
      <c r="Y971" s="397">
        <v>0</v>
      </c>
      <c r="AA971" s="388"/>
    </row>
    <row r="972" spans="1:27" s="350" customFormat="1" hidden="1" outlineLevel="1" x14ac:dyDescent="0.3">
      <c r="E972" s="350" t="s">
        <v>1941</v>
      </c>
      <c r="F972" s="306">
        <v>4503077</v>
      </c>
      <c r="G972" s="307"/>
      <c r="H972" s="308"/>
      <c r="I972" s="309"/>
      <c r="J972" s="310">
        <v>0</v>
      </c>
      <c r="K972" s="311">
        <v>0</v>
      </c>
      <c r="L972" s="311">
        <v>0</v>
      </c>
      <c r="M972" s="311">
        <v>0</v>
      </c>
      <c r="N972" s="311">
        <v>0</v>
      </c>
      <c r="O972" s="311">
        <v>0</v>
      </c>
      <c r="P972" s="311">
        <v>0</v>
      </c>
      <c r="Q972" s="311">
        <v>0</v>
      </c>
      <c r="R972" s="311">
        <v>0</v>
      </c>
      <c r="S972" s="311">
        <v>0</v>
      </c>
      <c r="T972" s="311">
        <v>0</v>
      </c>
      <c r="U972" s="312">
        <v>0</v>
      </c>
      <c r="V972" s="313">
        <v>0</v>
      </c>
      <c r="W972" s="314"/>
      <c r="X972" s="315">
        <v>0</v>
      </c>
      <c r="Y972" s="316">
        <v>0</v>
      </c>
      <c r="AA972" s="388"/>
    </row>
    <row r="973" spans="1:27" s="350" customFormat="1" hidden="1" outlineLevel="2" x14ac:dyDescent="0.3">
      <c r="E973" s="326" t="s">
        <v>1942</v>
      </c>
      <c r="F973" s="306"/>
      <c r="G973" s="307"/>
      <c r="H973" s="308"/>
      <c r="I973" s="309"/>
      <c r="J973" s="310">
        <v>0</v>
      </c>
      <c r="K973" s="311">
        <v>0</v>
      </c>
      <c r="L973" s="311">
        <v>0</v>
      </c>
      <c r="M973" s="311">
        <v>0</v>
      </c>
      <c r="N973" s="311">
        <v>0</v>
      </c>
      <c r="O973" s="311">
        <v>0</v>
      </c>
      <c r="P973" s="311">
        <v>0</v>
      </c>
      <c r="Q973" s="311">
        <v>0</v>
      </c>
      <c r="R973" s="311">
        <v>0</v>
      </c>
      <c r="S973" s="311">
        <v>0</v>
      </c>
      <c r="T973" s="311">
        <v>0</v>
      </c>
      <c r="U973" s="312">
        <v>0</v>
      </c>
      <c r="V973" s="313">
        <v>0</v>
      </c>
      <c r="W973" s="314"/>
      <c r="X973" s="315">
        <v>0</v>
      </c>
      <c r="Y973" s="316">
        <v>0</v>
      </c>
      <c r="AA973" s="388"/>
    </row>
    <row r="974" spans="1:27" s="350" customFormat="1" hidden="1" outlineLevel="2" x14ac:dyDescent="0.3">
      <c r="E974" s="326" t="s">
        <v>1942</v>
      </c>
      <c r="F974" s="306"/>
      <c r="G974" s="307"/>
      <c r="H974" s="308"/>
      <c r="I974" s="309"/>
      <c r="J974" s="310">
        <v>0</v>
      </c>
      <c r="K974" s="311">
        <v>0</v>
      </c>
      <c r="L974" s="311">
        <v>0</v>
      </c>
      <c r="M974" s="311">
        <v>0</v>
      </c>
      <c r="N974" s="311">
        <v>0</v>
      </c>
      <c r="O974" s="311">
        <v>0</v>
      </c>
      <c r="P974" s="311">
        <v>0</v>
      </c>
      <c r="Q974" s="311">
        <v>0</v>
      </c>
      <c r="R974" s="311">
        <v>0</v>
      </c>
      <c r="S974" s="311">
        <v>0</v>
      </c>
      <c r="T974" s="311">
        <v>0</v>
      </c>
      <c r="U974" s="312">
        <v>0</v>
      </c>
      <c r="V974" s="313">
        <v>0</v>
      </c>
      <c r="W974" s="314"/>
      <c r="X974" s="315">
        <v>0</v>
      </c>
      <c r="Y974" s="316">
        <v>0</v>
      </c>
      <c r="AA974" s="388"/>
    </row>
    <row r="975" spans="1:27" s="350" customFormat="1" hidden="1" outlineLevel="2" x14ac:dyDescent="0.3">
      <c r="E975" s="326" t="s">
        <v>1943</v>
      </c>
      <c r="F975" s="306"/>
      <c r="G975" s="307"/>
      <c r="H975" s="308"/>
      <c r="I975" s="309"/>
      <c r="J975" s="310">
        <v>0</v>
      </c>
      <c r="K975" s="311">
        <v>0</v>
      </c>
      <c r="L975" s="311">
        <v>0</v>
      </c>
      <c r="M975" s="311">
        <v>0</v>
      </c>
      <c r="N975" s="311">
        <v>0</v>
      </c>
      <c r="O975" s="311">
        <v>0</v>
      </c>
      <c r="P975" s="311">
        <v>0</v>
      </c>
      <c r="Q975" s="311">
        <v>0</v>
      </c>
      <c r="R975" s="311">
        <v>0</v>
      </c>
      <c r="S975" s="311">
        <v>0</v>
      </c>
      <c r="T975" s="311">
        <v>0</v>
      </c>
      <c r="U975" s="312">
        <v>0</v>
      </c>
      <c r="V975" s="313">
        <v>0</v>
      </c>
      <c r="W975" s="314"/>
      <c r="X975" s="315">
        <v>0</v>
      </c>
      <c r="Y975" s="316">
        <v>0</v>
      </c>
      <c r="AA975" s="388"/>
    </row>
    <row r="976" spans="1:27" hidden="1" collapsed="1" x14ac:dyDescent="0.3">
      <c r="A976" s="233"/>
      <c r="B976" s="234" t="s">
        <v>74</v>
      </c>
      <c r="D976" s="293" t="s">
        <v>1944</v>
      </c>
      <c r="E976" s="294"/>
      <c r="F976" s="295" t="s">
        <v>1945</v>
      </c>
      <c r="G976" s="296"/>
      <c r="H976" s="297"/>
      <c r="I976" s="298"/>
      <c r="J976" s="299">
        <v>0</v>
      </c>
      <c r="K976" s="300">
        <v>0</v>
      </c>
      <c r="L976" s="300">
        <v>0</v>
      </c>
      <c r="M976" s="300">
        <v>0</v>
      </c>
      <c r="N976" s="300">
        <v>0</v>
      </c>
      <c r="O976" s="300">
        <v>0</v>
      </c>
      <c r="P976" s="300">
        <v>0</v>
      </c>
      <c r="Q976" s="300">
        <v>0</v>
      </c>
      <c r="R976" s="300">
        <v>0</v>
      </c>
      <c r="S976" s="300">
        <v>0</v>
      </c>
      <c r="T976" s="300">
        <v>0</v>
      </c>
      <c r="U976" s="301">
        <v>3487084.3109999998</v>
      </c>
      <c r="V976" s="302">
        <v>3487084.3109999998</v>
      </c>
      <c r="W976" s="303"/>
      <c r="X976" s="304">
        <v>3487084.3109999998</v>
      </c>
      <c r="Y976" s="305">
        <v>3487084.3109999998</v>
      </c>
      <c r="AA976" s="388"/>
    </row>
    <row r="977" spans="1:27" hidden="1" outlineLevel="1" x14ac:dyDescent="0.3">
      <c r="E977" s="250" t="s">
        <v>1946</v>
      </c>
      <c r="F977" s="317">
        <v>4503087</v>
      </c>
      <c r="G977" s="318"/>
      <c r="H977" s="319">
        <v>7301230102</v>
      </c>
      <c r="I977" s="320"/>
      <c r="J977" s="337">
        <v>0</v>
      </c>
      <c r="K977" s="321">
        <v>0</v>
      </c>
      <c r="L977" s="321">
        <v>0</v>
      </c>
      <c r="M977" s="321">
        <v>0</v>
      </c>
      <c r="N977" s="321">
        <v>0</v>
      </c>
      <c r="O977" s="321">
        <v>0</v>
      </c>
      <c r="P977" s="321">
        <v>0</v>
      </c>
      <c r="Q977" s="321">
        <v>0</v>
      </c>
      <c r="R977" s="321">
        <v>0</v>
      </c>
      <c r="S977" s="321">
        <v>0</v>
      </c>
      <c r="T977" s="321">
        <v>0</v>
      </c>
      <c r="U977" s="322">
        <v>0</v>
      </c>
      <c r="V977" s="323">
        <v>0</v>
      </c>
      <c r="W977" s="303"/>
      <c r="X977" s="324">
        <v>0</v>
      </c>
      <c r="Y977" s="325">
        <v>0</v>
      </c>
      <c r="AA977" s="388"/>
    </row>
    <row r="978" spans="1:27" hidden="1" outlineLevel="1" x14ac:dyDescent="0.3">
      <c r="E978" s="250" t="s">
        <v>1947</v>
      </c>
      <c r="F978" s="317">
        <v>4503065</v>
      </c>
      <c r="G978" s="318"/>
      <c r="H978" s="319"/>
      <c r="I978" s="320"/>
      <c r="J978" s="337">
        <v>0</v>
      </c>
      <c r="K978" s="321">
        <v>0</v>
      </c>
      <c r="L978" s="321">
        <v>0</v>
      </c>
      <c r="M978" s="321">
        <v>0</v>
      </c>
      <c r="N978" s="321">
        <v>0</v>
      </c>
      <c r="O978" s="321">
        <v>0</v>
      </c>
      <c r="P978" s="321">
        <v>0</v>
      </c>
      <c r="Q978" s="321">
        <v>0</v>
      </c>
      <c r="R978" s="321">
        <v>0</v>
      </c>
      <c r="S978" s="321">
        <v>0</v>
      </c>
      <c r="T978" s="321">
        <v>0</v>
      </c>
      <c r="U978" s="322">
        <v>13193.749</v>
      </c>
      <c r="V978" s="323">
        <v>13193.749</v>
      </c>
      <c r="W978" s="303"/>
      <c r="X978" s="324">
        <v>13193.749</v>
      </c>
      <c r="Y978" s="325">
        <v>13193.749</v>
      </c>
      <c r="AA978" s="388"/>
    </row>
    <row r="979" spans="1:27" hidden="1" outlineLevel="1" x14ac:dyDescent="0.3">
      <c r="E979" s="250" t="s">
        <v>1948</v>
      </c>
      <c r="F979" s="317">
        <v>4503066</v>
      </c>
      <c r="G979" s="318"/>
      <c r="H979" s="319"/>
      <c r="I979" s="320"/>
      <c r="J979" s="337">
        <v>0</v>
      </c>
      <c r="K979" s="321">
        <v>0</v>
      </c>
      <c r="L979" s="321">
        <v>0</v>
      </c>
      <c r="M979" s="321">
        <v>0</v>
      </c>
      <c r="N979" s="321">
        <v>0</v>
      </c>
      <c r="O979" s="321">
        <v>0</v>
      </c>
      <c r="P979" s="321">
        <v>0</v>
      </c>
      <c r="Q979" s="321">
        <v>0</v>
      </c>
      <c r="R979" s="321">
        <v>0</v>
      </c>
      <c r="S979" s="321">
        <v>0</v>
      </c>
      <c r="T979" s="321">
        <v>0</v>
      </c>
      <c r="U979" s="322">
        <v>3473890.5619999999</v>
      </c>
      <c r="V979" s="323">
        <v>3473890.5619999999</v>
      </c>
      <c r="W979" s="303"/>
      <c r="X979" s="324">
        <v>3473890.5619999999</v>
      </c>
      <c r="Y979" s="325">
        <v>3473890.5619999999</v>
      </c>
      <c r="AA979" s="388"/>
    </row>
    <row r="980" spans="1:27" hidden="1" outlineLevel="1" x14ac:dyDescent="0.3">
      <c r="E980" s="250" t="s">
        <v>1949</v>
      </c>
      <c r="F980" s="317">
        <v>4503086</v>
      </c>
      <c r="G980" s="318"/>
      <c r="H980" s="319">
        <v>7301230101</v>
      </c>
      <c r="I980" s="320"/>
      <c r="J980" s="337">
        <v>0</v>
      </c>
      <c r="K980" s="321">
        <v>0</v>
      </c>
      <c r="L980" s="321">
        <v>0</v>
      </c>
      <c r="M980" s="321">
        <v>0</v>
      </c>
      <c r="N980" s="321">
        <v>0</v>
      </c>
      <c r="O980" s="321">
        <v>0</v>
      </c>
      <c r="P980" s="321">
        <v>0</v>
      </c>
      <c r="Q980" s="321">
        <v>0</v>
      </c>
      <c r="R980" s="321">
        <v>0</v>
      </c>
      <c r="S980" s="321">
        <v>0</v>
      </c>
      <c r="T980" s="321">
        <v>0</v>
      </c>
      <c r="U980" s="322">
        <v>0</v>
      </c>
      <c r="V980" s="323">
        <v>0</v>
      </c>
      <c r="W980" s="303"/>
      <c r="X980" s="324">
        <v>0</v>
      </c>
      <c r="Y980" s="325">
        <v>0</v>
      </c>
      <c r="AA980" s="388"/>
    </row>
    <row r="981" spans="1:27" hidden="1" outlineLevel="1" x14ac:dyDescent="0.3">
      <c r="E981" s="250" t="s">
        <v>1950</v>
      </c>
      <c r="F981" s="317">
        <v>4503078</v>
      </c>
      <c r="G981" s="318"/>
      <c r="H981" s="319"/>
      <c r="I981" s="320"/>
      <c r="J981" s="337">
        <v>0</v>
      </c>
      <c r="K981" s="321">
        <v>0</v>
      </c>
      <c r="L981" s="321">
        <v>0</v>
      </c>
      <c r="M981" s="321">
        <v>0</v>
      </c>
      <c r="N981" s="321">
        <v>0</v>
      </c>
      <c r="O981" s="321">
        <v>0</v>
      </c>
      <c r="P981" s="321">
        <v>0</v>
      </c>
      <c r="Q981" s="321">
        <v>0</v>
      </c>
      <c r="R981" s="321">
        <v>0</v>
      </c>
      <c r="S981" s="321">
        <v>0</v>
      </c>
      <c r="T981" s="321">
        <v>0</v>
      </c>
      <c r="U981" s="322">
        <v>0</v>
      </c>
      <c r="V981" s="323">
        <v>0</v>
      </c>
      <c r="W981" s="303"/>
      <c r="X981" s="324">
        <v>0</v>
      </c>
      <c r="Y981" s="325">
        <v>0</v>
      </c>
      <c r="AA981" s="388"/>
    </row>
    <row r="982" spans="1:27" hidden="1" outlineLevel="1" x14ac:dyDescent="0.3">
      <c r="E982" s="250" t="s">
        <v>1951</v>
      </c>
      <c r="F982" s="317">
        <v>4503180</v>
      </c>
      <c r="G982" s="318"/>
      <c r="H982" s="319"/>
      <c r="I982" s="320"/>
      <c r="J982" s="337">
        <v>0</v>
      </c>
      <c r="K982" s="321">
        <v>0</v>
      </c>
      <c r="L982" s="321">
        <v>0</v>
      </c>
      <c r="M982" s="321">
        <v>0</v>
      </c>
      <c r="N982" s="321">
        <v>0</v>
      </c>
      <c r="O982" s="321">
        <v>0</v>
      </c>
      <c r="P982" s="321">
        <v>0</v>
      </c>
      <c r="Q982" s="321">
        <v>0</v>
      </c>
      <c r="R982" s="321">
        <v>0</v>
      </c>
      <c r="S982" s="321">
        <v>0</v>
      </c>
      <c r="T982" s="321">
        <v>0</v>
      </c>
      <c r="U982" s="322">
        <v>0</v>
      </c>
      <c r="V982" s="323">
        <v>0</v>
      </c>
      <c r="W982" s="303"/>
      <c r="X982" s="324">
        <v>0</v>
      </c>
      <c r="Y982" s="325">
        <v>0</v>
      </c>
      <c r="AA982" s="388"/>
    </row>
    <row r="983" spans="1:27" hidden="1" outlineLevel="1" x14ac:dyDescent="0.3">
      <c r="E983" s="250" t="s">
        <v>1952</v>
      </c>
      <c r="F983" s="317">
        <v>4503181</v>
      </c>
      <c r="G983" s="318"/>
      <c r="H983" s="319"/>
      <c r="I983" s="320"/>
      <c r="J983" s="337">
        <v>0</v>
      </c>
      <c r="K983" s="321">
        <v>0</v>
      </c>
      <c r="L983" s="321">
        <v>0</v>
      </c>
      <c r="M983" s="321">
        <v>0</v>
      </c>
      <c r="N983" s="321">
        <v>0</v>
      </c>
      <c r="O983" s="321">
        <v>0</v>
      </c>
      <c r="P983" s="321">
        <v>0</v>
      </c>
      <c r="Q983" s="321">
        <v>0</v>
      </c>
      <c r="R983" s="321">
        <v>0</v>
      </c>
      <c r="S983" s="321">
        <v>0</v>
      </c>
      <c r="T983" s="321">
        <v>0</v>
      </c>
      <c r="U983" s="322">
        <v>0</v>
      </c>
      <c r="V983" s="323">
        <v>0</v>
      </c>
      <c r="W983" s="303"/>
      <c r="X983" s="324">
        <v>0</v>
      </c>
      <c r="Y983" s="325">
        <v>0</v>
      </c>
      <c r="AA983" s="388"/>
    </row>
    <row r="984" spans="1:27" s="250" customFormat="1" hidden="1" outlineLevel="2" x14ac:dyDescent="0.3">
      <c r="E984" s="250" t="s">
        <v>1953</v>
      </c>
      <c r="F984" s="306">
        <v>4505607</v>
      </c>
      <c r="G984" s="307"/>
      <c r="H984" s="308"/>
      <c r="I984" s="309"/>
      <c r="J984" s="310">
        <v>0</v>
      </c>
      <c r="K984" s="311">
        <v>0</v>
      </c>
      <c r="L984" s="311">
        <v>0</v>
      </c>
      <c r="M984" s="311">
        <v>0</v>
      </c>
      <c r="N984" s="311">
        <v>0</v>
      </c>
      <c r="O984" s="311">
        <v>0</v>
      </c>
      <c r="P984" s="311">
        <v>0</v>
      </c>
      <c r="Q984" s="311">
        <v>0</v>
      </c>
      <c r="R984" s="311">
        <v>0</v>
      </c>
      <c r="S984" s="311">
        <v>0</v>
      </c>
      <c r="T984" s="311">
        <v>0</v>
      </c>
      <c r="U984" s="312">
        <v>0</v>
      </c>
      <c r="V984" s="313">
        <v>0</v>
      </c>
      <c r="W984" s="314"/>
      <c r="X984" s="315">
        <v>0</v>
      </c>
      <c r="Y984" s="316">
        <v>0</v>
      </c>
      <c r="AA984" s="388"/>
    </row>
    <row r="985" spans="1:27" s="250" customFormat="1" hidden="1" outlineLevel="2" x14ac:dyDescent="0.3">
      <c r="E985" s="250" t="s">
        <v>1954</v>
      </c>
      <c r="F985" s="306">
        <v>4505609</v>
      </c>
      <c r="G985" s="307"/>
      <c r="H985" s="308"/>
      <c r="I985" s="309"/>
      <c r="J985" s="310">
        <v>0</v>
      </c>
      <c r="K985" s="311">
        <v>0</v>
      </c>
      <c r="L985" s="311">
        <v>0</v>
      </c>
      <c r="M985" s="311">
        <v>0</v>
      </c>
      <c r="N985" s="311">
        <v>0</v>
      </c>
      <c r="O985" s="311">
        <v>0</v>
      </c>
      <c r="P985" s="311">
        <v>0</v>
      </c>
      <c r="Q985" s="311">
        <v>0</v>
      </c>
      <c r="R985" s="311">
        <v>0</v>
      </c>
      <c r="S985" s="311">
        <v>0</v>
      </c>
      <c r="T985" s="311">
        <v>0</v>
      </c>
      <c r="U985" s="312">
        <v>0</v>
      </c>
      <c r="V985" s="313">
        <v>0</v>
      </c>
      <c r="W985" s="314"/>
      <c r="X985" s="315">
        <v>0</v>
      </c>
      <c r="Y985" s="316">
        <v>0</v>
      </c>
      <c r="AA985" s="388"/>
    </row>
    <row r="986" spans="1:27" s="326" customFormat="1" hidden="1" outlineLevel="2" x14ac:dyDescent="0.3">
      <c r="E986" s="326" t="s">
        <v>1955</v>
      </c>
      <c r="F986" s="336"/>
      <c r="G986" s="327"/>
      <c r="H986" s="328"/>
      <c r="I986" s="329"/>
      <c r="J986" s="338">
        <v>0</v>
      </c>
      <c r="K986" s="330">
        <v>0</v>
      </c>
      <c r="L986" s="330">
        <v>0</v>
      </c>
      <c r="M986" s="330">
        <v>0</v>
      </c>
      <c r="N986" s="330">
        <v>0</v>
      </c>
      <c r="O986" s="330">
        <v>0</v>
      </c>
      <c r="P986" s="330">
        <v>0</v>
      </c>
      <c r="Q986" s="330">
        <v>0</v>
      </c>
      <c r="R986" s="330">
        <v>0</v>
      </c>
      <c r="S986" s="330">
        <v>0</v>
      </c>
      <c r="T986" s="330">
        <v>0</v>
      </c>
      <c r="U986" s="331">
        <v>0</v>
      </c>
      <c r="V986" s="332">
        <v>0</v>
      </c>
      <c r="W986" s="333"/>
      <c r="X986" s="334">
        <v>0</v>
      </c>
      <c r="Y986" s="335">
        <v>0</v>
      </c>
      <c r="AA986" s="388"/>
    </row>
    <row r="987" spans="1:27" s="326" customFormat="1" hidden="1" outlineLevel="2" x14ac:dyDescent="0.3">
      <c r="E987" s="326" t="s">
        <v>1956</v>
      </c>
      <c r="F987" s="336"/>
      <c r="G987" s="327"/>
      <c r="H987" s="328"/>
      <c r="I987" s="329"/>
      <c r="J987" s="338">
        <v>0</v>
      </c>
      <c r="K987" s="330">
        <v>0</v>
      </c>
      <c r="L987" s="330">
        <v>0</v>
      </c>
      <c r="M987" s="330">
        <v>0</v>
      </c>
      <c r="N987" s="330">
        <v>0</v>
      </c>
      <c r="O987" s="330">
        <v>0</v>
      </c>
      <c r="P987" s="330">
        <v>0</v>
      </c>
      <c r="Q987" s="330">
        <v>0</v>
      </c>
      <c r="R987" s="330">
        <v>0</v>
      </c>
      <c r="S987" s="330">
        <v>0</v>
      </c>
      <c r="T987" s="330">
        <v>0</v>
      </c>
      <c r="U987" s="331">
        <v>0</v>
      </c>
      <c r="V987" s="332">
        <v>0</v>
      </c>
      <c r="W987" s="333"/>
      <c r="X987" s="334">
        <v>0</v>
      </c>
      <c r="Y987" s="335">
        <v>0</v>
      </c>
      <c r="AA987" s="388"/>
    </row>
    <row r="988" spans="1:27" s="326" customFormat="1" hidden="1" outlineLevel="2" x14ac:dyDescent="0.3">
      <c r="E988" s="326" t="s">
        <v>1957</v>
      </c>
      <c r="F988" s="336"/>
      <c r="G988" s="327"/>
      <c r="H988" s="328"/>
      <c r="I988" s="329"/>
      <c r="J988" s="338">
        <v>0</v>
      </c>
      <c r="K988" s="330">
        <v>0</v>
      </c>
      <c r="L988" s="330">
        <v>0</v>
      </c>
      <c r="M988" s="330">
        <v>0</v>
      </c>
      <c r="N988" s="330">
        <v>0</v>
      </c>
      <c r="O988" s="330">
        <v>0</v>
      </c>
      <c r="P988" s="330">
        <v>0</v>
      </c>
      <c r="Q988" s="330">
        <v>0</v>
      </c>
      <c r="R988" s="330">
        <v>0</v>
      </c>
      <c r="S988" s="330">
        <v>0</v>
      </c>
      <c r="T988" s="330">
        <v>0</v>
      </c>
      <c r="U988" s="331">
        <v>0</v>
      </c>
      <c r="V988" s="332">
        <v>0</v>
      </c>
      <c r="W988" s="333"/>
      <c r="X988" s="334">
        <v>0</v>
      </c>
      <c r="Y988" s="335">
        <v>0</v>
      </c>
      <c r="AA988" s="388"/>
    </row>
    <row r="989" spans="1:27" hidden="1" collapsed="1" x14ac:dyDescent="0.3">
      <c r="A989" s="233"/>
      <c r="B989" s="234" t="s">
        <v>74</v>
      </c>
      <c r="D989" s="293" t="s">
        <v>1958</v>
      </c>
      <c r="E989" s="294"/>
      <c r="F989" s="295" t="s">
        <v>1959</v>
      </c>
      <c r="G989" s="296"/>
      <c r="H989" s="297"/>
      <c r="I989" s="298"/>
      <c r="J989" s="299">
        <v>0</v>
      </c>
      <c r="K989" s="300">
        <v>0</v>
      </c>
      <c r="L989" s="300">
        <v>0</v>
      </c>
      <c r="M989" s="300">
        <v>0</v>
      </c>
      <c r="N989" s="300">
        <v>0</v>
      </c>
      <c r="O989" s="300">
        <v>0</v>
      </c>
      <c r="P989" s="300">
        <v>0</v>
      </c>
      <c r="Q989" s="300">
        <v>0</v>
      </c>
      <c r="R989" s="300">
        <v>0</v>
      </c>
      <c r="S989" s="300">
        <v>0</v>
      </c>
      <c r="T989" s="300">
        <v>0</v>
      </c>
      <c r="U989" s="301">
        <v>2805520.7480000001</v>
      </c>
      <c r="V989" s="302">
        <v>2805520.7480000001</v>
      </c>
      <c r="W989" s="303"/>
      <c r="X989" s="304">
        <v>2805520.7480000001</v>
      </c>
      <c r="Y989" s="305">
        <v>2805520.7480000001</v>
      </c>
      <c r="AA989" s="388"/>
    </row>
    <row r="990" spans="1:27" s="250" customFormat="1" hidden="1" outlineLevel="1" x14ac:dyDescent="0.3">
      <c r="E990" s="250" t="s">
        <v>1960</v>
      </c>
      <c r="F990" s="376">
        <v>4503089</v>
      </c>
      <c r="G990" s="377"/>
      <c r="H990" s="378">
        <v>7301090101</v>
      </c>
      <c r="I990" s="379"/>
      <c r="J990" s="391">
        <v>0</v>
      </c>
      <c r="K990" s="392">
        <v>0</v>
      </c>
      <c r="L990" s="392">
        <v>0</v>
      </c>
      <c r="M990" s="392">
        <v>0</v>
      </c>
      <c r="N990" s="392">
        <v>0</v>
      </c>
      <c r="O990" s="392">
        <v>0</v>
      </c>
      <c r="P990" s="392">
        <v>0</v>
      </c>
      <c r="Q990" s="392">
        <v>0</v>
      </c>
      <c r="R990" s="392">
        <v>0</v>
      </c>
      <c r="S990" s="392">
        <v>0</v>
      </c>
      <c r="T990" s="392">
        <v>0</v>
      </c>
      <c r="U990" s="393">
        <v>2805520.7480000001</v>
      </c>
      <c r="V990" s="394">
        <v>2805520.7480000001</v>
      </c>
      <c r="W990" s="395"/>
      <c r="X990" s="396">
        <v>2805520.7480000001</v>
      </c>
      <c r="Y990" s="397">
        <v>2805520.7480000001</v>
      </c>
      <c r="AA990" s="388"/>
    </row>
    <row r="991" spans="1:27" s="250" customFormat="1" hidden="1" outlineLevel="1" x14ac:dyDescent="0.3">
      <c r="E991" s="250" t="s">
        <v>1961</v>
      </c>
      <c r="F991" s="376">
        <v>4503091</v>
      </c>
      <c r="G991" s="377"/>
      <c r="H991" s="378"/>
      <c r="I991" s="379"/>
      <c r="J991" s="391">
        <v>0</v>
      </c>
      <c r="K991" s="392">
        <v>0</v>
      </c>
      <c r="L991" s="392">
        <v>0</v>
      </c>
      <c r="M991" s="392">
        <v>0</v>
      </c>
      <c r="N991" s="392">
        <v>0</v>
      </c>
      <c r="O991" s="392">
        <v>0</v>
      </c>
      <c r="P991" s="392">
        <v>0</v>
      </c>
      <c r="Q991" s="392">
        <v>0</v>
      </c>
      <c r="R991" s="392">
        <v>0</v>
      </c>
      <c r="S991" s="392">
        <v>0</v>
      </c>
      <c r="T991" s="392">
        <v>0</v>
      </c>
      <c r="U991" s="393">
        <v>0</v>
      </c>
      <c r="V991" s="394">
        <v>0</v>
      </c>
      <c r="W991" s="395"/>
      <c r="X991" s="396">
        <v>0</v>
      </c>
      <c r="Y991" s="397">
        <v>0</v>
      </c>
      <c r="AA991" s="388"/>
    </row>
    <row r="992" spans="1:27" s="250" customFormat="1" hidden="1" outlineLevel="1" x14ac:dyDescent="0.3">
      <c r="E992" s="250" t="s">
        <v>1962</v>
      </c>
      <c r="F992" s="376">
        <v>4503092</v>
      </c>
      <c r="G992" s="377"/>
      <c r="H992" s="378"/>
      <c r="I992" s="379"/>
      <c r="J992" s="391">
        <v>0</v>
      </c>
      <c r="K992" s="392">
        <v>0</v>
      </c>
      <c r="L992" s="392">
        <v>0</v>
      </c>
      <c r="M992" s="392">
        <v>0</v>
      </c>
      <c r="N992" s="392">
        <v>0</v>
      </c>
      <c r="O992" s="392">
        <v>0</v>
      </c>
      <c r="P992" s="392">
        <v>0</v>
      </c>
      <c r="Q992" s="392">
        <v>0</v>
      </c>
      <c r="R992" s="392">
        <v>0</v>
      </c>
      <c r="S992" s="392">
        <v>0</v>
      </c>
      <c r="T992" s="392">
        <v>0</v>
      </c>
      <c r="U992" s="393">
        <v>0</v>
      </c>
      <c r="V992" s="394">
        <v>0</v>
      </c>
      <c r="W992" s="395"/>
      <c r="X992" s="396">
        <v>0</v>
      </c>
      <c r="Y992" s="397">
        <v>0</v>
      </c>
      <c r="AA992" s="388"/>
    </row>
    <row r="993" spans="1:27" s="350" customFormat="1" hidden="1" outlineLevel="1" x14ac:dyDescent="0.3">
      <c r="E993" s="350" t="s">
        <v>1963</v>
      </c>
      <c r="F993" s="306">
        <v>4503093</v>
      </c>
      <c r="G993" s="307"/>
      <c r="H993" s="308"/>
      <c r="I993" s="309"/>
      <c r="J993" s="310">
        <v>0</v>
      </c>
      <c r="K993" s="311">
        <v>0</v>
      </c>
      <c r="L993" s="311">
        <v>0</v>
      </c>
      <c r="M993" s="311">
        <v>0</v>
      </c>
      <c r="N993" s="311">
        <v>0</v>
      </c>
      <c r="O993" s="311">
        <v>0</v>
      </c>
      <c r="P993" s="311">
        <v>0</v>
      </c>
      <c r="Q993" s="311">
        <v>0</v>
      </c>
      <c r="R993" s="311">
        <v>0</v>
      </c>
      <c r="S993" s="311">
        <v>0</v>
      </c>
      <c r="T993" s="311">
        <v>0</v>
      </c>
      <c r="U993" s="312">
        <v>0</v>
      </c>
      <c r="V993" s="313">
        <v>0</v>
      </c>
      <c r="W993" s="314"/>
      <c r="X993" s="315">
        <v>0</v>
      </c>
      <c r="Y993" s="316">
        <v>0</v>
      </c>
      <c r="AA993" s="388"/>
    </row>
    <row r="994" spans="1:27" s="350" customFormat="1" hidden="1" outlineLevel="1" x14ac:dyDescent="0.3">
      <c r="E994" s="350" t="s">
        <v>1964</v>
      </c>
      <c r="F994" s="306">
        <v>4503094</v>
      </c>
      <c r="G994" s="307"/>
      <c r="H994" s="308"/>
      <c r="I994" s="309"/>
      <c r="J994" s="310">
        <v>0</v>
      </c>
      <c r="K994" s="311">
        <v>0</v>
      </c>
      <c r="L994" s="311">
        <v>0</v>
      </c>
      <c r="M994" s="311">
        <v>0</v>
      </c>
      <c r="N994" s="311">
        <v>0</v>
      </c>
      <c r="O994" s="311">
        <v>0</v>
      </c>
      <c r="P994" s="311">
        <v>0</v>
      </c>
      <c r="Q994" s="311">
        <v>0</v>
      </c>
      <c r="R994" s="311">
        <v>0</v>
      </c>
      <c r="S994" s="311">
        <v>0</v>
      </c>
      <c r="T994" s="311">
        <v>0</v>
      </c>
      <c r="U994" s="312">
        <v>0</v>
      </c>
      <c r="V994" s="313">
        <v>0</v>
      </c>
      <c r="W994" s="314"/>
      <c r="X994" s="315">
        <v>0</v>
      </c>
      <c r="Y994" s="316">
        <v>0</v>
      </c>
      <c r="AA994" s="388"/>
    </row>
    <row r="995" spans="1:27" s="361" customFormat="1" hidden="1" outlineLevel="2" x14ac:dyDescent="0.3">
      <c r="E995" s="361" t="s">
        <v>1965</v>
      </c>
      <c r="F995" s="351"/>
      <c r="G995" s="352"/>
      <c r="H995" s="353"/>
      <c r="I995" s="354"/>
      <c r="J995" s="362">
        <v>0</v>
      </c>
      <c r="K995" s="355">
        <v>0</v>
      </c>
      <c r="L995" s="355">
        <v>0</v>
      </c>
      <c r="M995" s="355">
        <v>0</v>
      </c>
      <c r="N995" s="355">
        <v>0</v>
      </c>
      <c r="O995" s="355">
        <v>0</v>
      </c>
      <c r="P995" s="355">
        <v>0</v>
      </c>
      <c r="Q995" s="355">
        <v>0</v>
      </c>
      <c r="R995" s="355">
        <v>0</v>
      </c>
      <c r="S995" s="355">
        <v>0</v>
      </c>
      <c r="T995" s="355">
        <v>0</v>
      </c>
      <c r="U995" s="356">
        <v>0</v>
      </c>
      <c r="V995" s="357">
        <v>0</v>
      </c>
      <c r="W995" s="358"/>
      <c r="X995" s="359">
        <v>0</v>
      </c>
      <c r="Y995" s="360">
        <v>0</v>
      </c>
      <c r="AA995" s="388"/>
    </row>
    <row r="996" spans="1:27" s="361" customFormat="1" hidden="1" outlineLevel="2" x14ac:dyDescent="0.3">
      <c r="E996" s="361" t="s">
        <v>1966</v>
      </c>
      <c r="F996" s="351"/>
      <c r="G996" s="352"/>
      <c r="H996" s="353"/>
      <c r="I996" s="354"/>
      <c r="J996" s="362">
        <v>0</v>
      </c>
      <c r="K996" s="355">
        <v>0</v>
      </c>
      <c r="L996" s="355">
        <v>0</v>
      </c>
      <c r="M996" s="355">
        <v>0</v>
      </c>
      <c r="N996" s="355">
        <v>0</v>
      </c>
      <c r="O996" s="355">
        <v>0</v>
      </c>
      <c r="P996" s="355">
        <v>0</v>
      </c>
      <c r="Q996" s="355">
        <v>0</v>
      </c>
      <c r="R996" s="355">
        <v>0</v>
      </c>
      <c r="S996" s="355">
        <v>0</v>
      </c>
      <c r="T996" s="355">
        <v>0</v>
      </c>
      <c r="U996" s="356">
        <v>0</v>
      </c>
      <c r="V996" s="357">
        <v>0</v>
      </c>
      <c r="W996" s="358"/>
      <c r="X996" s="359">
        <v>0</v>
      </c>
      <c r="Y996" s="360">
        <v>0</v>
      </c>
      <c r="AA996" s="388"/>
    </row>
    <row r="997" spans="1:27" s="361" customFormat="1" hidden="1" outlineLevel="2" x14ac:dyDescent="0.3">
      <c r="E997" s="361" t="s">
        <v>1967</v>
      </c>
      <c r="F997" s="351"/>
      <c r="G997" s="352"/>
      <c r="H997" s="353"/>
      <c r="I997" s="354"/>
      <c r="J997" s="362">
        <v>0</v>
      </c>
      <c r="K997" s="355">
        <v>0</v>
      </c>
      <c r="L997" s="355">
        <v>0</v>
      </c>
      <c r="M997" s="355">
        <v>0</v>
      </c>
      <c r="N997" s="355">
        <v>0</v>
      </c>
      <c r="O997" s="355">
        <v>0</v>
      </c>
      <c r="P997" s="355">
        <v>0</v>
      </c>
      <c r="Q997" s="355">
        <v>0</v>
      </c>
      <c r="R997" s="355">
        <v>0</v>
      </c>
      <c r="S997" s="355">
        <v>0</v>
      </c>
      <c r="T997" s="355">
        <v>0</v>
      </c>
      <c r="U997" s="356">
        <v>0</v>
      </c>
      <c r="V997" s="357">
        <v>0</v>
      </c>
      <c r="W997" s="358"/>
      <c r="X997" s="359">
        <v>0</v>
      </c>
      <c r="Y997" s="360">
        <v>0</v>
      </c>
      <c r="AA997" s="388"/>
    </row>
    <row r="998" spans="1:27" hidden="1" collapsed="1" x14ac:dyDescent="0.3">
      <c r="A998" s="233"/>
      <c r="B998" s="234" t="s">
        <v>74</v>
      </c>
      <c r="D998" s="293" t="s">
        <v>1968</v>
      </c>
      <c r="E998" s="294"/>
      <c r="F998" s="295" t="s">
        <v>1969</v>
      </c>
      <c r="G998" s="296"/>
      <c r="H998" s="297"/>
      <c r="I998" s="298"/>
      <c r="J998" s="299">
        <v>181110.731</v>
      </c>
      <c r="K998" s="300">
        <v>147894.389</v>
      </c>
      <c r="L998" s="300">
        <v>479633.81699999998</v>
      </c>
      <c r="M998" s="300">
        <v>6071930.8210000005</v>
      </c>
      <c r="N998" s="300">
        <v>523494.33199999999</v>
      </c>
      <c r="O998" s="300">
        <v>495639.7</v>
      </c>
      <c r="P998" s="300">
        <v>295711.93800000002</v>
      </c>
      <c r="Q998" s="300">
        <v>518068.31900000002</v>
      </c>
      <c r="R998" s="300">
        <v>685596.9360000001</v>
      </c>
      <c r="S998" s="300">
        <v>228902.71499999997</v>
      </c>
      <c r="T998" s="300">
        <v>436396.14600000001</v>
      </c>
      <c r="U998" s="301">
        <v>643433.68799999985</v>
      </c>
      <c r="V998" s="302">
        <v>10707813.532000002</v>
      </c>
      <c r="W998" s="303"/>
      <c r="X998" s="304">
        <v>643433.68799999985</v>
      </c>
      <c r="Y998" s="305">
        <v>10707813.532000002</v>
      </c>
      <c r="AA998" s="388"/>
    </row>
    <row r="999" spans="1:27" s="250" customFormat="1" hidden="1" outlineLevel="1" x14ac:dyDescent="0.3">
      <c r="E999" s="250" t="s">
        <v>1970</v>
      </c>
      <c r="F999" s="376">
        <v>4507501</v>
      </c>
      <c r="G999" s="377"/>
      <c r="H999" s="378">
        <v>7301190101</v>
      </c>
      <c r="I999" s="379"/>
      <c r="J999" s="391">
        <v>8932</v>
      </c>
      <c r="K999" s="392">
        <v>3000</v>
      </c>
      <c r="L999" s="392">
        <v>0</v>
      </c>
      <c r="M999" s="392">
        <v>0</v>
      </c>
      <c r="N999" s="392">
        <v>0</v>
      </c>
      <c r="O999" s="392">
        <v>0</v>
      </c>
      <c r="P999" s="392">
        <v>552.79999999999995</v>
      </c>
      <c r="Q999" s="392">
        <v>1200</v>
      </c>
      <c r="R999" s="392">
        <v>37479.4</v>
      </c>
      <c r="S999" s="392">
        <v>0</v>
      </c>
      <c r="T999" s="392">
        <v>8900.0300000000007</v>
      </c>
      <c r="U999" s="393">
        <v>43123.35</v>
      </c>
      <c r="V999" s="394">
        <v>103187.57999999999</v>
      </c>
      <c r="W999" s="395"/>
      <c r="X999" s="396">
        <v>43123.35</v>
      </c>
      <c r="Y999" s="397">
        <v>103187.57999999999</v>
      </c>
      <c r="AA999" s="388"/>
    </row>
    <row r="1000" spans="1:27" s="350" customFormat="1" hidden="1" outlineLevel="1" x14ac:dyDescent="0.3">
      <c r="E1000" s="350" t="s">
        <v>1971</v>
      </c>
      <c r="F1000" s="306">
        <v>4507502</v>
      </c>
      <c r="G1000" s="307"/>
      <c r="H1000" s="308"/>
      <c r="I1000" s="309"/>
      <c r="J1000" s="310">
        <v>0</v>
      </c>
      <c r="K1000" s="311">
        <v>0</v>
      </c>
      <c r="L1000" s="311">
        <v>0</v>
      </c>
      <c r="M1000" s="311">
        <v>11499.9</v>
      </c>
      <c r="N1000" s="311">
        <v>0</v>
      </c>
      <c r="O1000" s="311">
        <v>0</v>
      </c>
      <c r="P1000" s="311">
        <v>0</v>
      </c>
      <c r="Q1000" s="311">
        <v>0</v>
      </c>
      <c r="R1000" s="311">
        <v>0</v>
      </c>
      <c r="S1000" s="311">
        <v>0</v>
      </c>
      <c r="T1000" s="311">
        <v>0</v>
      </c>
      <c r="U1000" s="312">
        <v>0</v>
      </c>
      <c r="V1000" s="313">
        <v>11499.9</v>
      </c>
      <c r="W1000" s="314"/>
      <c r="X1000" s="315">
        <v>0</v>
      </c>
      <c r="Y1000" s="316">
        <v>11499.9</v>
      </c>
      <c r="AA1000" s="388"/>
    </row>
    <row r="1001" spans="1:27" s="350" customFormat="1" hidden="1" outlineLevel="1" x14ac:dyDescent="0.3">
      <c r="E1001" s="350" t="s">
        <v>1972</v>
      </c>
      <c r="F1001" s="306">
        <v>4507503</v>
      </c>
      <c r="G1001" s="307"/>
      <c r="H1001" s="308"/>
      <c r="I1001" s="309"/>
      <c r="J1001" s="310">
        <v>172178.731</v>
      </c>
      <c r="K1001" s="311">
        <v>144894.389</v>
      </c>
      <c r="L1001" s="311">
        <v>479633.81699999998</v>
      </c>
      <c r="M1001" s="311">
        <v>6060430.9210000001</v>
      </c>
      <c r="N1001" s="311">
        <v>523494.33199999999</v>
      </c>
      <c r="O1001" s="311">
        <v>495639.7</v>
      </c>
      <c r="P1001" s="311">
        <v>295159.13800000004</v>
      </c>
      <c r="Q1001" s="311">
        <v>516868.31900000002</v>
      </c>
      <c r="R1001" s="311">
        <v>648117.53600000008</v>
      </c>
      <c r="S1001" s="311">
        <v>228902.71499999997</v>
      </c>
      <c r="T1001" s="311">
        <v>427496.11599999998</v>
      </c>
      <c r="U1001" s="312">
        <v>600310.33799999987</v>
      </c>
      <c r="V1001" s="313">
        <v>10593126.052000001</v>
      </c>
      <c r="W1001" s="314"/>
      <c r="X1001" s="315">
        <v>600310.33799999987</v>
      </c>
      <c r="Y1001" s="316">
        <v>10593126.052000001</v>
      </c>
      <c r="AA1001" s="388"/>
    </row>
    <row r="1002" spans="1:27" s="350" customFormat="1" hidden="1" outlineLevel="1" x14ac:dyDescent="0.3">
      <c r="E1002" s="350" t="s">
        <v>1973</v>
      </c>
      <c r="F1002" s="306">
        <v>4507504</v>
      </c>
      <c r="G1002" s="307"/>
      <c r="H1002" s="308"/>
      <c r="I1002" s="309"/>
      <c r="J1002" s="310">
        <v>0</v>
      </c>
      <c r="K1002" s="311">
        <v>0</v>
      </c>
      <c r="L1002" s="311">
        <v>0</v>
      </c>
      <c r="M1002" s="311">
        <v>0</v>
      </c>
      <c r="N1002" s="311">
        <v>0</v>
      </c>
      <c r="O1002" s="311">
        <v>0</v>
      </c>
      <c r="P1002" s="311">
        <v>0</v>
      </c>
      <c r="Q1002" s="311">
        <v>0</v>
      </c>
      <c r="R1002" s="311">
        <v>0</v>
      </c>
      <c r="S1002" s="311">
        <v>0</v>
      </c>
      <c r="T1002" s="311">
        <v>0</v>
      </c>
      <c r="U1002" s="312">
        <v>0</v>
      </c>
      <c r="V1002" s="313">
        <v>0</v>
      </c>
      <c r="W1002" s="314"/>
      <c r="X1002" s="315">
        <v>0</v>
      </c>
      <c r="Y1002" s="316">
        <v>0</v>
      </c>
      <c r="AA1002" s="388"/>
    </row>
    <row r="1003" spans="1:27" s="350" customFormat="1" hidden="1" outlineLevel="1" x14ac:dyDescent="0.3">
      <c r="E1003" s="350" t="s">
        <v>1974</v>
      </c>
      <c r="F1003" s="306">
        <v>4507505</v>
      </c>
      <c r="G1003" s="307"/>
      <c r="H1003" s="308"/>
      <c r="I1003" s="309"/>
      <c r="J1003" s="310">
        <v>0</v>
      </c>
      <c r="K1003" s="311">
        <v>0</v>
      </c>
      <c r="L1003" s="311">
        <v>0</v>
      </c>
      <c r="M1003" s="311">
        <v>0</v>
      </c>
      <c r="N1003" s="311">
        <v>0</v>
      </c>
      <c r="O1003" s="311">
        <v>0</v>
      </c>
      <c r="P1003" s="311">
        <v>0</v>
      </c>
      <c r="Q1003" s="311">
        <v>0</v>
      </c>
      <c r="R1003" s="311">
        <v>0</v>
      </c>
      <c r="S1003" s="311">
        <v>0</v>
      </c>
      <c r="T1003" s="311">
        <v>0</v>
      </c>
      <c r="U1003" s="312">
        <v>0</v>
      </c>
      <c r="V1003" s="313">
        <v>0</v>
      </c>
      <c r="W1003" s="314"/>
      <c r="X1003" s="315">
        <v>0</v>
      </c>
      <c r="Y1003" s="316">
        <v>0</v>
      </c>
      <c r="AA1003" s="388"/>
    </row>
    <row r="1004" spans="1:27" s="350" customFormat="1" hidden="1" outlineLevel="1" x14ac:dyDescent="0.3">
      <c r="E1004" s="350" t="s">
        <v>1975</v>
      </c>
      <c r="F1004" s="306">
        <v>4507506</v>
      </c>
      <c r="G1004" s="307"/>
      <c r="H1004" s="308"/>
      <c r="I1004" s="309"/>
      <c r="J1004" s="310">
        <v>0</v>
      </c>
      <c r="K1004" s="311">
        <v>0</v>
      </c>
      <c r="L1004" s="311">
        <v>0</v>
      </c>
      <c r="M1004" s="311">
        <v>0</v>
      </c>
      <c r="N1004" s="311">
        <v>0</v>
      </c>
      <c r="O1004" s="311">
        <v>0</v>
      </c>
      <c r="P1004" s="311">
        <v>0</v>
      </c>
      <c r="Q1004" s="311">
        <v>0</v>
      </c>
      <c r="R1004" s="311">
        <v>0</v>
      </c>
      <c r="S1004" s="311">
        <v>0</v>
      </c>
      <c r="T1004" s="311">
        <v>0</v>
      </c>
      <c r="U1004" s="312">
        <v>0</v>
      </c>
      <c r="V1004" s="313">
        <v>0</v>
      </c>
      <c r="W1004" s="314"/>
      <c r="X1004" s="315">
        <v>0</v>
      </c>
      <c r="Y1004" s="316">
        <v>0</v>
      </c>
      <c r="AA1004" s="388"/>
    </row>
    <row r="1005" spans="1:27" s="361" customFormat="1" hidden="1" outlineLevel="2" x14ac:dyDescent="0.3">
      <c r="E1005" s="361" t="s">
        <v>1976</v>
      </c>
      <c r="F1005" s="351"/>
      <c r="G1005" s="352"/>
      <c r="H1005" s="353"/>
      <c r="I1005" s="354"/>
      <c r="J1005" s="362">
        <v>0</v>
      </c>
      <c r="K1005" s="355">
        <v>0</v>
      </c>
      <c r="L1005" s="355">
        <v>0</v>
      </c>
      <c r="M1005" s="355">
        <v>0</v>
      </c>
      <c r="N1005" s="355">
        <v>0</v>
      </c>
      <c r="O1005" s="355">
        <v>0</v>
      </c>
      <c r="P1005" s="355">
        <v>0</v>
      </c>
      <c r="Q1005" s="355">
        <v>0</v>
      </c>
      <c r="R1005" s="355">
        <v>0</v>
      </c>
      <c r="S1005" s="355">
        <v>0</v>
      </c>
      <c r="T1005" s="355">
        <v>0</v>
      </c>
      <c r="U1005" s="356">
        <v>0</v>
      </c>
      <c r="V1005" s="357">
        <v>0</v>
      </c>
      <c r="W1005" s="358"/>
      <c r="X1005" s="359">
        <v>0</v>
      </c>
      <c r="Y1005" s="360">
        <v>0</v>
      </c>
      <c r="AA1005" s="388"/>
    </row>
    <row r="1006" spans="1:27" s="361" customFormat="1" hidden="1" outlineLevel="2" x14ac:dyDescent="0.3">
      <c r="E1006" s="361" t="s">
        <v>1977</v>
      </c>
      <c r="F1006" s="351"/>
      <c r="G1006" s="352"/>
      <c r="H1006" s="353"/>
      <c r="I1006" s="354"/>
      <c r="J1006" s="362">
        <v>0</v>
      </c>
      <c r="K1006" s="355">
        <v>0</v>
      </c>
      <c r="L1006" s="355">
        <v>0</v>
      </c>
      <c r="M1006" s="355">
        <v>0</v>
      </c>
      <c r="N1006" s="355">
        <v>0</v>
      </c>
      <c r="O1006" s="355">
        <v>0</v>
      </c>
      <c r="P1006" s="355">
        <v>0</v>
      </c>
      <c r="Q1006" s="355">
        <v>0</v>
      </c>
      <c r="R1006" s="355">
        <v>0</v>
      </c>
      <c r="S1006" s="355">
        <v>0</v>
      </c>
      <c r="T1006" s="355">
        <v>0</v>
      </c>
      <c r="U1006" s="356">
        <v>0</v>
      </c>
      <c r="V1006" s="357">
        <v>0</v>
      </c>
      <c r="W1006" s="358"/>
      <c r="X1006" s="359">
        <v>0</v>
      </c>
      <c r="Y1006" s="360">
        <v>0</v>
      </c>
      <c r="AA1006" s="388"/>
    </row>
    <row r="1007" spans="1:27" s="361" customFormat="1" hidden="1" outlineLevel="2" x14ac:dyDescent="0.3">
      <c r="E1007" s="361" t="s">
        <v>1978</v>
      </c>
      <c r="F1007" s="351"/>
      <c r="G1007" s="352"/>
      <c r="H1007" s="353"/>
      <c r="I1007" s="354"/>
      <c r="J1007" s="362">
        <v>0</v>
      </c>
      <c r="K1007" s="355">
        <v>0</v>
      </c>
      <c r="L1007" s="355">
        <v>0</v>
      </c>
      <c r="M1007" s="355">
        <v>0</v>
      </c>
      <c r="N1007" s="355">
        <v>0</v>
      </c>
      <c r="O1007" s="355">
        <v>0</v>
      </c>
      <c r="P1007" s="355">
        <v>0</v>
      </c>
      <c r="Q1007" s="355">
        <v>0</v>
      </c>
      <c r="R1007" s="355">
        <v>0</v>
      </c>
      <c r="S1007" s="355">
        <v>0</v>
      </c>
      <c r="T1007" s="355">
        <v>0</v>
      </c>
      <c r="U1007" s="356">
        <v>0</v>
      </c>
      <c r="V1007" s="357">
        <v>0</v>
      </c>
      <c r="W1007" s="358"/>
      <c r="X1007" s="359">
        <v>0</v>
      </c>
      <c r="Y1007" s="360">
        <v>0</v>
      </c>
      <c r="AA1007" s="388"/>
    </row>
    <row r="1008" spans="1:27" hidden="1" collapsed="1" x14ac:dyDescent="0.3">
      <c r="B1008" s="234" t="s">
        <v>74</v>
      </c>
      <c r="D1008" s="293" t="s">
        <v>1979</v>
      </c>
      <c r="E1008" s="294"/>
      <c r="F1008" s="295" t="s">
        <v>1980</v>
      </c>
      <c r="G1008" s="296"/>
      <c r="H1008" s="297"/>
      <c r="I1008" s="298"/>
      <c r="J1008" s="299">
        <v>0</v>
      </c>
      <c r="K1008" s="300">
        <v>0</v>
      </c>
      <c r="L1008" s="300">
        <v>0</v>
      </c>
      <c r="M1008" s="300">
        <v>0</v>
      </c>
      <c r="N1008" s="300">
        <v>0</v>
      </c>
      <c r="O1008" s="300">
        <v>0</v>
      </c>
      <c r="P1008" s="300">
        <v>0</v>
      </c>
      <c r="Q1008" s="300">
        <v>0</v>
      </c>
      <c r="R1008" s="300">
        <v>0</v>
      </c>
      <c r="S1008" s="300">
        <v>0</v>
      </c>
      <c r="T1008" s="300">
        <v>0</v>
      </c>
      <c r="U1008" s="301">
        <v>0</v>
      </c>
      <c r="V1008" s="302">
        <v>0</v>
      </c>
      <c r="W1008" s="303"/>
      <c r="X1008" s="304">
        <v>0</v>
      </c>
      <c r="Y1008" s="305">
        <v>0</v>
      </c>
      <c r="AA1008" s="388"/>
    </row>
    <row r="1009" spans="1:27" s="350" customFormat="1" hidden="1" outlineLevel="1" x14ac:dyDescent="0.3">
      <c r="E1009" s="350" t="s">
        <v>1981</v>
      </c>
      <c r="F1009" s="306">
        <v>4508700</v>
      </c>
      <c r="G1009" s="307"/>
      <c r="H1009" s="308"/>
      <c r="I1009" s="309"/>
      <c r="J1009" s="310">
        <v>0</v>
      </c>
      <c r="K1009" s="311">
        <v>0</v>
      </c>
      <c r="L1009" s="311">
        <v>0</v>
      </c>
      <c r="M1009" s="311">
        <v>0</v>
      </c>
      <c r="N1009" s="311">
        <v>0</v>
      </c>
      <c r="O1009" s="311">
        <v>0</v>
      </c>
      <c r="P1009" s="311">
        <v>0</v>
      </c>
      <c r="Q1009" s="311">
        <v>0</v>
      </c>
      <c r="R1009" s="311">
        <v>0</v>
      </c>
      <c r="S1009" s="311">
        <v>0</v>
      </c>
      <c r="T1009" s="311">
        <v>0</v>
      </c>
      <c r="U1009" s="312">
        <v>0</v>
      </c>
      <c r="V1009" s="313">
        <v>0</v>
      </c>
      <c r="W1009" s="314"/>
      <c r="X1009" s="315">
        <v>0</v>
      </c>
      <c r="Y1009" s="316">
        <v>0</v>
      </c>
      <c r="AA1009" s="388"/>
    </row>
    <row r="1010" spans="1:27" s="361" customFormat="1" hidden="1" outlineLevel="2" x14ac:dyDescent="0.3">
      <c r="E1010" s="361" t="s">
        <v>1982</v>
      </c>
      <c r="F1010" s="351"/>
      <c r="G1010" s="352"/>
      <c r="H1010" s="353"/>
      <c r="I1010" s="354"/>
      <c r="J1010" s="362">
        <v>0</v>
      </c>
      <c r="K1010" s="355">
        <v>0</v>
      </c>
      <c r="L1010" s="355">
        <v>0</v>
      </c>
      <c r="M1010" s="355">
        <v>0</v>
      </c>
      <c r="N1010" s="355">
        <v>0</v>
      </c>
      <c r="O1010" s="355">
        <v>0</v>
      </c>
      <c r="P1010" s="355">
        <v>0</v>
      </c>
      <c r="Q1010" s="355">
        <v>0</v>
      </c>
      <c r="R1010" s="355">
        <v>0</v>
      </c>
      <c r="S1010" s="355">
        <v>0</v>
      </c>
      <c r="T1010" s="355">
        <v>0</v>
      </c>
      <c r="U1010" s="356">
        <v>0</v>
      </c>
      <c r="V1010" s="357">
        <v>0</v>
      </c>
      <c r="W1010" s="358"/>
      <c r="X1010" s="359">
        <v>0</v>
      </c>
      <c r="Y1010" s="360">
        <v>0</v>
      </c>
      <c r="AA1010" s="388"/>
    </row>
    <row r="1011" spans="1:27" s="361" customFormat="1" hidden="1" outlineLevel="2" x14ac:dyDescent="0.3">
      <c r="E1011" s="361" t="s">
        <v>1983</v>
      </c>
      <c r="F1011" s="351"/>
      <c r="G1011" s="352"/>
      <c r="H1011" s="353"/>
      <c r="I1011" s="354"/>
      <c r="J1011" s="362">
        <v>0</v>
      </c>
      <c r="K1011" s="355">
        <v>0</v>
      </c>
      <c r="L1011" s="355">
        <v>0</v>
      </c>
      <c r="M1011" s="355">
        <v>0</v>
      </c>
      <c r="N1011" s="355">
        <v>0</v>
      </c>
      <c r="O1011" s="355">
        <v>0</v>
      </c>
      <c r="P1011" s="355">
        <v>0</v>
      </c>
      <c r="Q1011" s="355">
        <v>0</v>
      </c>
      <c r="R1011" s="355">
        <v>0</v>
      </c>
      <c r="S1011" s="355">
        <v>0</v>
      </c>
      <c r="T1011" s="355">
        <v>0</v>
      </c>
      <c r="U1011" s="356">
        <v>0</v>
      </c>
      <c r="V1011" s="357">
        <v>0</v>
      </c>
      <c r="W1011" s="358"/>
      <c r="X1011" s="359">
        <v>0</v>
      </c>
      <c r="Y1011" s="360">
        <v>0</v>
      </c>
      <c r="AA1011" s="388"/>
    </row>
    <row r="1012" spans="1:27" s="361" customFormat="1" hidden="1" outlineLevel="2" x14ac:dyDescent="0.3">
      <c r="E1012" s="361" t="s">
        <v>1984</v>
      </c>
      <c r="F1012" s="351"/>
      <c r="G1012" s="352"/>
      <c r="H1012" s="353"/>
      <c r="I1012" s="354"/>
      <c r="J1012" s="362">
        <v>0</v>
      </c>
      <c r="K1012" s="355">
        <v>0</v>
      </c>
      <c r="L1012" s="355">
        <v>0</v>
      </c>
      <c r="M1012" s="355">
        <v>0</v>
      </c>
      <c r="N1012" s="355">
        <v>0</v>
      </c>
      <c r="O1012" s="355">
        <v>0</v>
      </c>
      <c r="P1012" s="355">
        <v>0</v>
      </c>
      <c r="Q1012" s="355">
        <v>0</v>
      </c>
      <c r="R1012" s="355">
        <v>0</v>
      </c>
      <c r="S1012" s="355">
        <v>0</v>
      </c>
      <c r="T1012" s="355">
        <v>0</v>
      </c>
      <c r="U1012" s="356">
        <v>0</v>
      </c>
      <c r="V1012" s="357">
        <v>0</v>
      </c>
      <c r="W1012" s="358"/>
      <c r="X1012" s="359">
        <v>0</v>
      </c>
      <c r="Y1012" s="360">
        <v>0</v>
      </c>
      <c r="AA1012" s="388"/>
    </row>
    <row r="1013" spans="1:27" hidden="1" collapsed="1" x14ac:dyDescent="0.3">
      <c r="A1013" s="233"/>
      <c r="B1013" s="234" t="s">
        <v>74</v>
      </c>
      <c r="D1013" s="293" t="s">
        <v>1985</v>
      </c>
      <c r="E1013" s="294"/>
      <c r="F1013" s="295" t="s">
        <v>1986</v>
      </c>
      <c r="G1013" s="296"/>
      <c r="H1013" s="297"/>
      <c r="I1013" s="298"/>
      <c r="J1013" s="299">
        <v>1534967.226</v>
      </c>
      <c r="K1013" s="300">
        <v>1111650.79</v>
      </c>
      <c r="L1013" s="300">
        <v>1171499.777</v>
      </c>
      <c r="M1013" s="300">
        <v>1013202.6189999999</v>
      </c>
      <c r="N1013" s="300">
        <v>886812.26799999992</v>
      </c>
      <c r="O1013" s="300">
        <v>1390200.1700000002</v>
      </c>
      <c r="P1013" s="300">
        <v>819737.53099999996</v>
      </c>
      <c r="Q1013" s="300">
        <v>843650.679</v>
      </c>
      <c r="R1013" s="300">
        <v>19432119.056000002</v>
      </c>
      <c r="S1013" s="300">
        <v>492998.72100000002</v>
      </c>
      <c r="T1013" s="300">
        <v>264733.33299999998</v>
      </c>
      <c r="U1013" s="301">
        <v>7883690.5729999999</v>
      </c>
      <c r="V1013" s="302">
        <v>36845262.743000001</v>
      </c>
      <c r="W1013" s="303"/>
      <c r="X1013" s="304">
        <v>7883690.5729999999</v>
      </c>
      <c r="Y1013" s="305">
        <v>36845262.743000001</v>
      </c>
      <c r="AA1013" s="388"/>
    </row>
    <row r="1014" spans="1:27" hidden="1" outlineLevel="1" x14ac:dyDescent="0.3">
      <c r="E1014" s="250" t="s">
        <v>1987</v>
      </c>
      <c r="F1014" s="317">
        <v>4503088</v>
      </c>
      <c r="G1014" s="318"/>
      <c r="H1014" s="319">
        <v>7301100000</v>
      </c>
      <c r="I1014" s="320"/>
      <c r="J1014" s="337">
        <v>0</v>
      </c>
      <c r="K1014" s="321">
        <v>0</v>
      </c>
      <c r="L1014" s="321">
        <v>0</v>
      </c>
      <c r="M1014" s="321">
        <v>0</v>
      </c>
      <c r="N1014" s="321">
        <v>0</v>
      </c>
      <c r="O1014" s="321">
        <v>0</v>
      </c>
      <c r="P1014" s="321">
        <v>0</v>
      </c>
      <c r="Q1014" s="321">
        <v>0</v>
      </c>
      <c r="R1014" s="321">
        <v>0</v>
      </c>
      <c r="S1014" s="321">
        <v>0</v>
      </c>
      <c r="T1014" s="321">
        <v>0</v>
      </c>
      <c r="U1014" s="322">
        <v>6865608.3449999997</v>
      </c>
      <c r="V1014" s="323">
        <v>6865608.3449999997</v>
      </c>
      <c r="W1014" s="303"/>
      <c r="X1014" s="324">
        <v>6865608.3449999997</v>
      </c>
      <c r="Y1014" s="325">
        <v>6865608.3449999997</v>
      </c>
      <c r="AA1014" s="388"/>
    </row>
    <row r="1015" spans="1:27" hidden="1" outlineLevel="1" x14ac:dyDescent="0.3">
      <c r="E1015" s="250" t="s">
        <v>1988</v>
      </c>
      <c r="F1015" s="317">
        <v>4503501</v>
      </c>
      <c r="G1015" s="318"/>
      <c r="H1015" s="319">
        <v>7301310201</v>
      </c>
      <c r="I1015" s="320"/>
      <c r="J1015" s="337">
        <v>51285.731</v>
      </c>
      <c r="K1015" s="321">
        <v>64316.203000000001</v>
      </c>
      <c r="L1015" s="321">
        <v>8013.3430000000008</v>
      </c>
      <c r="M1015" s="321">
        <v>122339.588</v>
      </c>
      <c r="N1015" s="321">
        <v>121855.98</v>
      </c>
      <c r="O1015" s="321">
        <v>243391.32500000001</v>
      </c>
      <c r="P1015" s="321">
        <v>-129805.459</v>
      </c>
      <c r="Q1015" s="321">
        <v>91075.017999999996</v>
      </c>
      <c r="R1015" s="321">
        <v>80093.528000000006</v>
      </c>
      <c r="S1015" s="321">
        <v>62330.271999999997</v>
      </c>
      <c r="T1015" s="321">
        <v>63709.690999999999</v>
      </c>
      <c r="U1015" s="322">
        <v>55828.841</v>
      </c>
      <c r="V1015" s="323">
        <v>834434.06099999999</v>
      </c>
      <c r="W1015" s="303"/>
      <c r="X1015" s="324">
        <v>55828.841</v>
      </c>
      <c r="Y1015" s="325">
        <v>834434.06099999999</v>
      </c>
      <c r="AA1015" s="388"/>
    </row>
    <row r="1016" spans="1:27" hidden="1" outlineLevel="1" x14ac:dyDescent="0.3">
      <c r="E1016" s="250" t="s">
        <v>1989</v>
      </c>
      <c r="F1016" s="317">
        <v>4503502</v>
      </c>
      <c r="G1016" s="318"/>
      <c r="H1016" s="319">
        <v>7301310301</v>
      </c>
      <c r="I1016" s="320"/>
      <c r="J1016" s="337">
        <v>1483681.4950000001</v>
      </c>
      <c r="K1016" s="321">
        <v>1047334.5870000001</v>
      </c>
      <c r="L1016" s="321">
        <v>1163486.4339999999</v>
      </c>
      <c r="M1016" s="321">
        <v>890863.03099999996</v>
      </c>
      <c r="N1016" s="321">
        <v>764956.28799999994</v>
      </c>
      <c r="O1016" s="321">
        <v>1146808.8450000002</v>
      </c>
      <c r="P1016" s="321">
        <v>949542.99</v>
      </c>
      <c r="Q1016" s="321">
        <v>752575.66099999996</v>
      </c>
      <c r="R1016" s="321">
        <v>852025.52799999993</v>
      </c>
      <c r="S1016" s="321">
        <v>430668.44900000002</v>
      </c>
      <c r="T1016" s="321">
        <v>287682.67199999996</v>
      </c>
      <c r="U1016" s="322">
        <v>962253.38699999999</v>
      </c>
      <c r="V1016" s="323">
        <v>10731879.367000002</v>
      </c>
      <c r="W1016" s="303"/>
      <c r="X1016" s="324">
        <v>962253.38699999999</v>
      </c>
      <c r="Y1016" s="325">
        <v>10731879.367000002</v>
      </c>
      <c r="AA1016" s="388"/>
    </row>
    <row r="1017" spans="1:27" hidden="1" outlineLevel="1" x14ac:dyDescent="0.3">
      <c r="E1017" s="250" t="s">
        <v>1990</v>
      </c>
      <c r="F1017" s="317">
        <v>4503505</v>
      </c>
      <c r="G1017" s="318"/>
      <c r="H1017" s="319"/>
      <c r="I1017" s="320"/>
      <c r="J1017" s="337">
        <v>0</v>
      </c>
      <c r="K1017" s="321">
        <v>0</v>
      </c>
      <c r="L1017" s="321">
        <v>0</v>
      </c>
      <c r="M1017" s="321">
        <v>0</v>
      </c>
      <c r="N1017" s="321">
        <v>0</v>
      </c>
      <c r="O1017" s="321">
        <v>0</v>
      </c>
      <c r="P1017" s="321">
        <v>0</v>
      </c>
      <c r="Q1017" s="321">
        <v>0</v>
      </c>
      <c r="R1017" s="321">
        <v>0</v>
      </c>
      <c r="S1017" s="321">
        <v>0</v>
      </c>
      <c r="T1017" s="321">
        <v>0</v>
      </c>
      <c r="U1017" s="322">
        <v>0</v>
      </c>
      <c r="V1017" s="323">
        <v>0</v>
      </c>
      <c r="W1017" s="303"/>
      <c r="X1017" s="324">
        <v>0</v>
      </c>
      <c r="Y1017" s="325">
        <v>0</v>
      </c>
      <c r="AA1017" s="388"/>
    </row>
    <row r="1018" spans="1:27" hidden="1" outlineLevel="1" x14ac:dyDescent="0.3">
      <c r="E1018" s="250" t="s">
        <v>1991</v>
      </c>
      <c r="F1018" s="317">
        <v>4503506</v>
      </c>
      <c r="G1018" s="318"/>
      <c r="H1018" s="319"/>
      <c r="I1018" s="320"/>
      <c r="J1018" s="337">
        <v>0</v>
      </c>
      <c r="K1018" s="321">
        <v>0</v>
      </c>
      <c r="L1018" s="321">
        <v>0</v>
      </c>
      <c r="M1018" s="321">
        <v>0</v>
      </c>
      <c r="N1018" s="321">
        <v>0</v>
      </c>
      <c r="O1018" s="321">
        <v>0</v>
      </c>
      <c r="P1018" s="321">
        <v>0</v>
      </c>
      <c r="Q1018" s="321">
        <v>0</v>
      </c>
      <c r="R1018" s="321">
        <v>0</v>
      </c>
      <c r="S1018" s="321">
        <v>0</v>
      </c>
      <c r="T1018" s="321">
        <v>0</v>
      </c>
      <c r="U1018" s="322">
        <v>0</v>
      </c>
      <c r="V1018" s="323">
        <v>0</v>
      </c>
      <c r="W1018" s="303"/>
      <c r="X1018" s="324">
        <v>0</v>
      </c>
      <c r="Y1018" s="325">
        <v>0</v>
      </c>
      <c r="AA1018" s="388"/>
    </row>
    <row r="1019" spans="1:27" hidden="1" outlineLevel="1" x14ac:dyDescent="0.3">
      <c r="E1019" s="250" t="s">
        <v>1992</v>
      </c>
      <c r="F1019" s="317">
        <v>4503507</v>
      </c>
      <c r="G1019" s="318"/>
      <c r="H1019" s="319"/>
      <c r="I1019" s="320"/>
      <c r="J1019" s="337">
        <v>0</v>
      </c>
      <c r="K1019" s="321">
        <v>0</v>
      </c>
      <c r="L1019" s="321">
        <v>0</v>
      </c>
      <c r="M1019" s="321">
        <v>0</v>
      </c>
      <c r="N1019" s="321">
        <v>0</v>
      </c>
      <c r="O1019" s="321">
        <v>0</v>
      </c>
      <c r="P1019" s="321">
        <v>0</v>
      </c>
      <c r="Q1019" s="321">
        <v>0</v>
      </c>
      <c r="R1019" s="321">
        <v>0</v>
      </c>
      <c r="S1019" s="321">
        <v>0</v>
      </c>
      <c r="T1019" s="321">
        <v>0</v>
      </c>
      <c r="U1019" s="322">
        <v>0</v>
      </c>
      <c r="V1019" s="323">
        <v>0</v>
      </c>
      <c r="W1019" s="303"/>
      <c r="X1019" s="324">
        <v>0</v>
      </c>
      <c r="Y1019" s="325">
        <v>0</v>
      </c>
      <c r="AA1019" s="388"/>
    </row>
    <row r="1020" spans="1:27" s="326" customFormat="1" hidden="1" outlineLevel="2" x14ac:dyDescent="0.3">
      <c r="E1020" s="250" t="s">
        <v>1993</v>
      </c>
      <c r="F1020" s="306">
        <v>4309204</v>
      </c>
      <c r="G1020" s="307"/>
      <c r="H1020" s="308">
        <v>7301310101</v>
      </c>
      <c r="I1020" s="309"/>
      <c r="J1020" s="310">
        <v>0</v>
      </c>
      <c r="K1020" s="311">
        <v>0</v>
      </c>
      <c r="L1020" s="311">
        <v>0</v>
      </c>
      <c r="M1020" s="311">
        <v>0</v>
      </c>
      <c r="N1020" s="311">
        <v>0</v>
      </c>
      <c r="O1020" s="311">
        <v>0</v>
      </c>
      <c r="P1020" s="311">
        <v>0</v>
      </c>
      <c r="Q1020" s="311">
        <v>0</v>
      </c>
      <c r="R1020" s="311">
        <v>18500000</v>
      </c>
      <c r="S1020" s="311">
        <v>0</v>
      </c>
      <c r="T1020" s="311">
        <v>-86659.03</v>
      </c>
      <c r="U1020" s="312">
        <v>0</v>
      </c>
      <c r="V1020" s="313">
        <v>18413340.969999999</v>
      </c>
      <c r="W1020" s="314"/>
      <c r="X1020" s="315">
        <v>0</v>
      </c>
      <c r="Y1020" s="316">
        <v>18413340.969999999</v>
      </c>
      <c r="AA1020" s="388"/>
    </row>
    <row r="1021" spans="1:27" s="326" customFormat="1" hidden="1" outlineLevel="2" x14ac:dyDescent="0.3">
      <c r="E1021" s="250" t="s">
        <v>1994</v>
      </c>
      <c r="F1021" s="306">
        <v>4309205</v>
      </c>
      <c r="G1021" s="307"/>
      <c r="H1021" s="308"/>
      <c r="I1021" s="309"/>
      <c r="J1021" s="310">
        <v>0</v>
      </c>
      <c r="K1021" s="311">
        <v>0</v>
      </c>
      <c r="L1021" s="311">
        <v>0</v>
      </c>
      <c r="M1021" s="311">
        <v>0</v>
      </c>
      <c r="N1021" s="311">
        <v>0</v>
      </c>
      <c r="O1021" s="311">
        <v>0</v>
      </c>
      <c r="P1021" s="311">
        <v>0</v>
      </c>
      <c r="Q1021" s="311">
        <v>0</v>
      </c>
      <c r="R1021" s="311">
        <v>0</v>
      </c>
      <c r="S1021" s="311">
        <v>0</v>
      </c>
      <c r="T1021" s="311">
        <v>0</v>
      </c>
      <c r="U1021" s="312">
        <v>0</v>
      </c>
      <c r="V1021" s="313">
        <v>0</v>
      </c>
      <c r="W1021" s="314"/>
      <c r="X1021" s="315">
        <v>0</v>
      </c>
      <c r="Y1021" s="316">
        <v>0</v>
      </c>
      <c r="AA1021" s="388"/>
    </row>
    <row r="1022" spans="1:27" s="326" customFormat="1" hidden="1" outlineLevel="2" x14ac:dyDescent="0.3">
      <c r="E1022" s="326" t="s">
        <v>1995</v>
      </c>
      <c r="F1022" s="336"/>
      <c r="G1022" s="327"/>
      <c r="H1022" s="328"/>
      <c r="I1022" s="329"/>
      <c r="J1022" s="338">
        <v>0</v>
      </c>
      <c r="K1022" s="330">
        <v>0</v>
      </c>
      <c r="L1022" s="330">
        <v>0</v>
      </c>
      <c r="M1022" s="330">
        <v>0</v>
      </c>
      <c r="N1022" s="330">
        <v>0</v>
      </c>
      <c r="O1022" s="330">
        <v>0</v>
      </c>
      <c r="P1022" s="330">
        <v>0</v>
      </c>
      <c r="Q1022" s="330">
        <v>0</v>
      </c>
      <c r="R1022" s="330">
        <v>0</v>
      </c>
      <c r="S1022" s="330">
        <v>0</v>
      </c>
      <c r="T1022" s="330">
        <v>0</v>
      </c>
      <c r="U1022" s="331">
        <v>0</v>
      </c>
      <c r="V1022" s="332">
        <v>0</v>
      </c>
      <c r="W1022" s="333"/>
      <c r="X1022" s="334">
        <v>0</v>
      </c>
      <c r="Y1022" s="335">
        <v>0</v>
      </c>
      <c r="AA1022" s="388"/>
    </row>
    <row r="1023" spans="1:27" hidden="1" collapsed="1" x14ac:dyDescent="0.3">
      <c r="A1023" s="233"/>
      <c r="B1023" s="234" t="s">
        <v>56</v>
      </c>
      <c r="D1023" s="293" t="s">
        <v>1996</v>
      </c>
      <c r="E1023" s="294"/>
      <c r="F1023" s="295" t="s">
        <v>1997</v>
      </c>
      <c r="G1023" s="296"/>
      <c r="H1023" s="297"/>
      <c r="I1023" s="298"/>
      <c r="J1023" s="299">
        <v>77644.786999999997</v>
      </c>
      <c r="K1023" s="300">
        <v>55470.218000000001</v>
      </c>
      <c r="L1023" s="300">
        <v>164695.39199999999</v>
      </c>
      <c r="M1023" s="300">
        <v>165448.04299999998</v>
      </c>
      <c r="N1023" s="300">
        <v>67387.138999999996</v>
      </c>
      <c r="O1023" s="300">
        <v>-14717.032000000003</v>
      </c>
      <c r="P1023" s="300">
        <v>292663.24</v>
      </c>
      <c r="Q1023" s="300">
        <v>52397.48</v>
      </c>
      <c r="R1023" s="300">
        <v>42656.017000000007</v>
      </c>
      <c r="S1023" s="300">
        <v>35652.669000000002</v>
      </c>
      <c r="T1023" s="300">
        <v>132077.75200000001</v>
      </c>
      <c r="U1023" s="301">
        <v>408718.91700000007</v>
      </c>
      <c r="V1023" s="302">
        <v>1480094.6220000002</v>
      </c>
      <c r="W1023" s="303"/>
      <c r="X1023" s="304">
        <v>408718.91700000007</v>
      </c>
      <c r="Y1023" s="305">
        <v>1480094.6220000002</v>
      </c>
      <c r="AA1023" s="388"/>
    </row>
    <row r="1024" spans="1:27" hidden="1" outlineLevel="1" x14ac:dyDescent="0.3">
      <c r="E1024" s="250" t="s">
        <v>1998</v>
      </c>
      <c r="F1024" s="317">
        <v>4509901</v>
      </c>
      <c r="G1024" s="318"/>
      <c r="H1024" s="319">
        <v>7301990101</v>
      </c>
      <c r="I1024" s="320"/>
      <c r="J1024" s="337">
        <v>6051.875</v>
      </c>
      <c r="K1024" s="321">
        <v>4529.0860000000002</v>
      </c>
      <c r="L1024" s="321">
        <v>5475.799</v>
      </c>
      <c r="M1024" s="321">
        <v>5619.7269999999999</v>
      </c>
      <c r="N1024" s="321">
        <v>6591.7089999999998</v>
      </c>
      <c r="O1024" s="321">
        <v>6402.3850000000002</v>
      </c>
      <c r="P1024" s="321">
        <v>6296.1959999999999</v>
      </c>
      <c r="Q1024" s="321">
        <v>4614.777</v>
      </c>
      <c r="R1024" s="321">
        <v>5265.8720000000003</v>
      </c>
      <c r="S1024" s="321">
        <v>6494.3090000000002</v>
      </c>
      <c r="T1024" s="321">
        <v>4809.7159999999994</v>
      </c>
      <c r="U1024" s="322">
        <v>7572.7470000000003</v>
      </c>
      <c r="V1024" s="323">
        <v>69724.198000000004</v>
      </c>
      <c r="W1024" s="303"/>
      <c r="X1024" s="324">
        <v>7572.7470000000003</v>
      </c>
      <c r="Y1024" s="325">
        <v>69724.198000000004</v>
      </c>
      <c r="AA1024" s="388"/>
    </row>
    <row r="1025" spans="1:27" hidden="1" outlineLevel="1" x14ac:dyDescent="0.3">
      <c r="E1025" s="250" t="s">
        <v>1999</v>
      </c>
      <c r="F1025" s="317">
        <v>4509902</v>
      </c>
      <c r="G1025" s="318"/>
      <c r="H1025" s="319">
        <v>7301990199</v>
      </c>
      <c r="I1025" s="320"/>
      <c r="J1025" s="337">
        <v>0</v>
      </c>
      <c r="K1025" s="321">
        <v>0</v>
      </c>
      <c r="L1025" s="321">
        <v>0</v>
      </c>
      <c r="M1025" s="321">
        <v>0</v>
      </c>
      <c r="N1025" s="321">
        <v>0</v>
      </c>
      <c r="O1025" s="321">
        <v>0</v>
      </c>
      <c r="P1025" s="321">
        <v>0</v>
      </c>
      <c r="Q1025" s="321">
        <v>0</v>
      </c>
      <c r="R1025" s="321">
        <v>0</v>
      </c>
      <c r="S1025" s="321">
        <v>0</v>
      </c>
      <c r="T1025" s="321">
        <v>0</v>
      </c>
      <c r="U1025" s="322">
        <v>0</v>
      </c>
      <c r="V1025" s="323">
        <v>0</v>
      </c>
      <c r="W1025" s="303"/>
      <c r="X1025" s="324">
        <v>0</v>
      </c>
      <c r="Y1025" s="325">
        <v>0</v>
      </c>
      <c r="AA1025" s="388"/>
    </row>
    <row r="1026" spans="1:27" hidden="1" outlineLevel="1" x14ac:dyDescent="0.3">
      <c r="E1026" s="250" t="s">
        <v>2000</v>
      </c>
      <c r="F1026" s="317">
        <v>4509903</v>
      </c>
      <c r="G1026" s="318"/>
      <c r="H1026" s="319"/>
      <c r="I1026" s="320"/>
      <c r="J1026" s="337">
        <v>0</v>
      </c>
      <c r="K1026" s="321">
        <v>0</v>
      </c>
      <c r="L1026" s="321">
        <v>0</v>
      </c>
      <c r="M1026" s="321">
        <v>0</v>
      </c>
      <c r="N1026" s="321">
        <v>0</v>
      </c>
      <c r="O1026" s="321">
        <v>0</v>
      </c>
      <c r="P1026" s="321">
        <v>0</v>
      </c>
      <c r="Q1026" s="321">
        <v>0</v>
      </c>
      <c r="R1026" s="321">
        <v>0</v>
      </c>
      <c r="S1026" s="321">
        <v>0</v>
      </c>
      <c r="T1026" s="321">
        <v>0</v>
      </c>
      <c r="U1026" s="322">
        <v>0</v>
      </c>
      <c r="V1026" s="323">
        <v>0</v>
      </c>
      <c r="W1026" s="303"/>
      <c r="X1026" s="324">
        <v>0</v>
      </c>
      <c r="Y1026" s="325">
        <v>0</v>
      </c>
      <c r="AA1026" s="388"/>
    </row>
    <row r="1027" spans="1:27" hidden="1" outlineLevel="1" x14ac:dyDescent="0.3">
      <c r="E1027" s="250" t="s">
        <v>2001</v>
      </c>
      <c r="F1027" s="317">
        <v>4509904</v>
      </c>
      <c r="G1027" s="318"/>
      <c r="H1027" s="319"/>
      <c r="I1027" s="320"/>
      <c r="J1027" s="337">
        <v>48.3</v>
      </c>
      <c r="K1027" s="321">
        <v>42.68</v>
      </c>
      <c r="L1027" s="321">
        <v>88.33</v>
      </c>
      <c r="M1027" s="321">
        <v>95.76</v>
      </c>
      <c r="N1027" s="321">
        <v>54.93</v>
      </c>
      <c r="O1027" s="321">
        <v>31.91</v>
      </c>
      <c r="P1027" s="321">
        <v>48.99</v>
      </c>
      <c r="Q1027" s="321">
        <v>60.879999999999995</v>
      </c>
      <c r="R1027" s="321">
        <v>33.89</v>
      </c>
      <c r="S1027" s="321">
        <v>53.62</v>
      </c>
      <c r="T1027" s="321">
        <v>39.76</v>
      </c>
      <c r="U1027" s="322">
        <v>56.13</v>
      </c>
      <c r="V1027" s="323">
        <v>655.17999999999995</v>
      </c>
      <c r="W1027" s="303"/>
      <c r="X1027" s="324">
        <v>56.13</v>
      </c>
      <c r="Y1027" s="325">
        <v>655.17999999999995</v>
      </c>
      <c r="AA1027" s="388"/>
    </row>
    <row r="1028" spans="1:27" hidden="1" outlineLevel="1" x14ac:dyDescent="0.3">
      <c r="E1028" s="250" t="s">
        <v>2002</v>
      </c>
      <c r="F1028" s="317">
        <v>4509905</v>
      </c>
      <c r="G1028" s="318"/>
      <c r="H1028" s="319">
        <v>7301990105</v>
      </c>
      <c r="I1028" s="320"/>
      <c r="J1028" s="337">
        <v>-77.659999999999968</v>
      </c>
      <c r="K1028" s="321">
        <v>5490.92</v>
      </c>
      <c r="L1028" s="321">
        <v>-8184.7000000000007</v>
      </c>
      <c r="M1028" s="321">
        <v>-551.31999999999982</v>
      </c>
      <c r="N1028" s="321">
        <v>-10392.61</v>
      </c>
      <c r="O1028" s="321">
        <v>-15062.69</v>
      </c>
      <c r="P1028" s="321">
        <v>18156.48</v>
      </c>
      <c r="Q1028" s="321">
        <v>-11595.06</v>
      </c>
      <c r="R1028" s="321">
        <v>-9715.67</v>
      </c>
      <c r="S1028" s="321">
        <v>61.369999999999948</v>
      </c>
      <c r="T1028" s="321">
        <v>17339.920000000002</v>
      </c>
      <c r="U1028" s="322">
        <v>-18433.240000000002</v>
      </c>
      <c r="V1028" s="323">
        <v>-32964.259999999995</v>
      </c>
      <c r="W1028" s="303"/>
      <c r="X1028" s="324">
        <v>-18433.240000000002</v>
      </c>
      <c r="Y1028" s="325">
        <v>-32964.259999999995</v>
      </c>
      <c r="AA1028" s="388"/>
    </row>
    <row r="1029" spans="1:27" hidden="1" outlineLevel="1" x14ac:dyDescent="0.3">
      <c r="E1029" s="250" t="s">
        <v>2003</v>
      </c>
      <c r="F1029" s="317">
        <v>4509999</v>
      </c>
      <c r="G1029" s="318"/>
      <c r="H1029" s="319"/>
      <c r="I1029" s="320"/>
      <c r="J1029" s="337">
        <v>71622.271999999997</v>
      </c>
      <c r="K1029" s="321">
        <v>45407.531999999999</v>
      </c>
      <c r="L1029" s="321">
        <v>167315.96299999999</v>
      </c>
      <c r="M1029" s="321">
        <v>160283.87599999999</v>
      </c>
      <c r="N1029" s="321">
        <v>71133.11</v>
      </c>
      <c r="O1029" s="321">
        <v>-6088.6370000000024</v>
      </c>
      <c r="P1029" s="321">
        <v>268161.57400000002</v>
      </c>
      <c r="Q1029" s="321">
        <v>59316.883000000002</v>
      </c>
      <c r="R1029" s="321">
        <v>47071.925000000003</v>
      </c>
      <c r="S1029" s="321">
        <v>29043.37</v>
      </c>
      <c r="T1029" s="321">
        <v>109888.356</v>
      </c>
      <c r="U1029" s="322">
        <v>419523.28000000009</v>
      </c>
      <c r="V1029" s="323">
        <v>1442679.5040000002</v>
      </c>
      <c r="W1029" s="303"/>
      <c r="X1029" s="324">
        <v>419523.28000000009</v>
      </c>
      <c r="Y1029" s="325">
        <v>1442679.5040000002</v>
      </c>
      <c r="AA1029" s="388"/>
    </row>
    <row r="1030" spans="1:27" s="361" customFormat="1" hidden="1" outlineLevel="2" x14ac:dyDescent="0.3">
      <c r="E1030" s="326" t="s">
        <v>2004</v>
      </c>
      <c r="F1030" s="351"/>
      <c r="G1030" s="352"/>
      <c r="H1030" s="353"/>
      <c r="I1030" s="354"/>
      <c r="J1030" s="362">
        <v>0</v>
      </c>
      <c r="K1030" s="355">
        <v>0</v>
      </c>
      <c r="L1030" s="355">
        <v>0</v>
      </c>
      <c r="M1030" s="355">
        <v>0</v>
      </c>
      <c r="N1030" s="355">
        <v>0</v>
      </c>
      <c r="O1030" s="355">
        <v>0</v>
      </c>
      <c r="P1030" s="355">
        <v>0</v>
      </c>
      <c r="Q1030" s="355">
        <v>0</v>
      </c>
      <c r="R1030" s="355">
        <v>0</v>
      </c>
      <c r="S1030" s="355">
        <v>0</v>
      </c>
      <c r="T1030" s="355">
        <v>0</v>
      </c>
      <c r="U1030" s="356">
        <v>0</v>
      </c>
      <c r="V1030" s="357">
        <v>0</v>
      </c>
      <c r="W1030" s="358"/>
      <c r="X1030" s="359">
        <v>0</v>
      </c>
      <c r="Y1030" s="360">
        <v>0</v>
      </c>
      <c r="AA1030" s="388"/>
    </row>
    <row r="1031" spans="1:27" s="361" customFormat="1" hidden="1" outlineLevel="2" x14ac:dyDescent="0.3">
      <c r="E1031" s="326" t="s">
        <v>2005</v>
      </c>
      <c r="F1031" s="351"/>
      <c r="G1031" s="352"/>
      <c r="H1031" s="353"/>
      <c r="I1031" s="354"/>
      <c r="J1031" s="362">
        <v>0</v>
      </c>
      <c r="K1031" s="355">
        <v>0</v>
      </c>
      <c r="L1031" s="355">
        <v>0</v>
      </c>
      <c r="M1031" s="355">
        <v>0</v>
      </c>
      <c r="N1031" s="355">
        <v>0</v>
      </c>
      <c r="O1031" s="355">
        <v>0</v>
      </c>
      <c r="P1031" s="355">
        <v>0</v>
      </c>
      <c r="Q1031" s="355">
        <v>0</v>
      </c>
      <c r="R1031" s="355">
        <v>0</v>
      </c>
      <c r="S1031" s="355">
        <v>0</v>
      </c>
      <c r="T1031" s="355">
        <v>0</v>
      </c>
      <c r="U1031" s="356">
        <v>0</v>
      </c>
      <c r="V1031" s="357">
        <v>0</v>
      </c>
      <c r="W1031" s="358"/>
      <c r="X1031" s="359">
        <v>0</v>
      </c>
      <c r="Y1031" s="360">
        <v>0</v>
      </c>
      <c r="AA1031" s="388"/>
    </row>
    <row r="1032" spans="1:27" s="361" customFormat="1" hidden="1" outlineLevel="2" x14ac:dyDescent="0.3">
      <c r="E1032" s="326" t="s">
        <v>2006</v>
      </c>
      <c r="F1032" s="351"/>
      <c r="G1032" s="352"/>
      <c r="H1032" s="353"/>
      <c r="I1032" s="354"/>
      <c r="J1032" s="362">
        <v>0</v>
      </c>
      <c r="K1032" s="355">
        <v>0</v>
      </c>
      <c r="L1032" s="355">
        <v>0</v>
      </c>
      <c r="M1032" s="355">
        <v>0</v>
      </c>
      <c r="N1032" s="355">
        <v>0</v>
      </c>
      <c r="O1032" s="355">
        <v>0</v>
      </c>
      <c r="P1032" s="355">
        <v>0</v>
      </c>
      <c r="Q1032" s="355">
        <v>0</v>
      </c>
      <c r="R1032" s="355">
        <v>0</v>
      </c>
      <c r="S1032" s="355">
        <v>0</v>
      </c>
      <c r="T1032" s="355">
        <v>0</v>
      </c>
      <c r="U1032" s="356">
        <v>0</v>
      </c>
      <c r="V1032" s="357">
        <v>0</v>
      </c>
      <c r="W1032" s="358"/>
      <c r="X1032" s="359">
        <v>0</v>
      </c>
      <c r="Y1032" s="360">
        <v>0</v>
      </c>
      <c r="AA1032" s="388"/>
    </row>
    <row r="1033" spans="1:27" hidden="1" collapsed="1" x14ac:dyDescent="0.3">
      <c r="A1033" s="233"/>
      <c r="B1033" s="234" t="s">
        <v>74</v>
      </c>
      <c r="D1033" s="293" t="s">
        <v>2007</v>
      </c>
      <c r="E1033" s="294"/>
      <c r="F1033" s="295" t="s">
        <v>2008</v>
      </c>
      <c r="G1033" s="296"/>
      <c r="H1033" s="297"/>
      <c r="I1033" s="298"/>
      <c r="J1033" s="299">
        <v>0</v>
      </c>
      <c r="K1033" s="300">
        <v>0</v>
      </c>
      <c r="L1033" s="300">
        <v>1303735.44</v>
      </c>
      <c r="M1033" s="300">
        <v>0</v>
      </c>
      <c r="N1033" s="300">
        <v>0</v>
      </c>
      <c r="O1033" s="300">
        <v>0</v>
      </c>
      <c r="P1033" s="300">
        <v>0</v>
      </c>
      <c r="Q1033" s="300">
        <v>0</v>
      </c>
      <c r="R1033" s="300">
        <v>106274.37699999999</v>
      </c>
      <c r="S1033" s="300">
        <v>0</v>
      </c>
      <c r="T1033" s="300">
        <v>0</v>
      </c>
      <c r="U1033" s="301">
        <v>0</v>
      </c>
      <c r="V1033" s="302">
        <v>1410009.817</v>
      </c>
      <c r="W1033" s="303"/>
      <c r="X1033" s="304">
        <v>0</v>
      </c>
      <c r="Y1033" s="305">
        <v>1410009.817</v>
      </c>
      <c r="AA1033" s="388"/>
    </row>
    <row r="1034" spans="1:27" hidden="1" outlineLevel="1" x14ac:dyDescent="0.3">
      <c r="E1034" s="250" t="s">
        <v>2009</v>
      </c>
      <c r="F1034" s="317">
        <v>4505601</v>
      </c>
      <c r="G1034" s="318"/>
      <c r="H1034" s="319">
        <v>7301350101</v>
      </c>
      <c r="I1034" s="320"/>
      <c r="J1034" s="337">
        <v>0</v>
      </c>
      <c r="K1034" s="321">
        <v>0</v>
      </c>
      <c r="L1034" s="321">
        <v>0</v>
      </c>
      <c r="M1034" s="321">
        <v>0</v>
      </c>
      <c r="N1034" s="321">
        <v>0</v>
      </c>
      <c r="O1034" s="321">
        <v>0</v>
      </c>
      <c r="P1034" s="321">
        <v>0</v>
      </c>
      <c r="Q1034" s="321">
        <v>0</v>
      </c>
      <c r="R1034" s="321">
        <v>0</v>
      </c>
      <c r="S1034" s="321">
        <v>0</v>
      </c>
      <c r="T1034" s="321">
        <v>0</v>
      </c>
      <c r="U1034" s="322">
        <v>0</v>
      </c>
      <c r="V1034" s="323">
        <v>0</v>
      </c>
      <c r="W1034" s="303"/>
      <c r="X1034" s="324">
        <v>0</v>
      </c>
      <c r="Y1034" s="325">
        <v>0</v>
      </c>
      <c r="AA1034" s="388"/>
    </row>
    <row r="1035" spans="1:27" hidden="1" outlineLevel="1" x14ac:dyDescent="0.3">
      <c r="E1035" s="250" t="s">
        <v>2010</v>
      </c>
      <c r="F1035" s="317">
        <v>4505602</v>
      </c>
      <c r="G1035" s="318"/>
      <c r="H1035" s="319"/>
      <c r="I1035" s="320"/>
      <c r="J1035" s="337">
        <v>0</v>
      </c>
      <c r="K1035" s="321">
        <v>0</v>
      </c>
      <c r="L1035" s="321">
        <v>0</v>
      </c>
      <c r="M1035" s="321">
        <v>0</v>
      </c>
      <c r="N1035" s="321">
        <v>0</v>
      </c>
      <c r="O1035" s="321">
        <v>0</v>
      </c>
      <c r="P1035" s="321">
        <v>0</v>
      </c>
      <c r="Q1035" s="321">
        <v>0</v>
      </c>
      <c r="R1035" s="321">
        <v>0</v>
      </c>
      <c r="S1035" s="321">
        <v>0</v>
      </c>
      <c r="T1035" s="321">
        <v>0</v>
      </c>
      <c r="U1035" s="322">
        <v>0</v>
      </c>
      <c r="V1035" s="323">
        <v>0</v>
      </c>
      <c r="W1035" s="303"/>
      <c r="X1035" s="324">
        <v>0</v>
      </c>
      <c r="Y1035" s="325">
        <v>0</v>
      </c>
      <c r="AA1035" s="388"/>
    </row>
    <row r="1036" spans="1:27" hidden="1" outlineLevel="1" x14ac:dyDescent="0.3">
      <c r="E1036" s="250" t="s">
        <v>2011</v>
      </c>
      <c r="F1036" s="317">
        <v>4505604</v>
      </c>
      <c r="G1036" s="318"/>
      <c r="H1036" s="319">
        <v>7701150105</v>
      </c>
      <c r="I1036" s="320"/>
      <c r="J1036" s="337">
        <v>0</v>
      </c>
      <c r="K1036" s="321">
        <v>0</v>
      </c>
      <c r="L1036" s="321">
        <v>1303735.44</v>
      </c>
      <c r="M1036" s="321">
        <v>0</v>
      </c>
      <c r="N1036" s="321">
        <v>0</v>
      </c>
      <c r="O1036" s="321">
        <v>0</v>
      </c>
      <c r="P1036" s="321">
        <v>0</v>
      </c>
      <c r="Q1036" s="321">
        <v>0</v>
      </c>
      <c r="R1036" s="321">
        <v>106274.37699999999</v>
      </c>
      <c r="S1036" s="321">
        <v>0</v>
      </c>
      <c r="T1036" s="321">
        <v>0</v>
      </c>
      <c r="U1036" s="322">
        <v>0</v>
      </c>
      <c r="V1036" s="323">
        <v>1410009.817</v>
      </c>
      <c r="W1036" s="303"/>
      <c r="X1036" s="324">
        <v>0</v>
      </c>
      <c r="Y1036" s="325">
        <v>1410009.817</v>
      </c>
      <c r="AA1036" s="388"/>
    </row>
    <row r="1037" spans="1:27" hidden="1" collapsed="1" x14ac:dyDescent="0.3">
      <c r="A1037" s="233"/>
      <c r="B1037" s="234" t="s">
        <v>74</v>
      </c>
      <c r="D1037" s="293" t="s">
        <v>2012</v>
      </c>
      <c r="E1037" s="294"/>
      <c r="F1037" s="295" t="s">
        <v>2013</v>
      </c>
      <c r="G1037" s="296"/>
      <c r="H1037" s="297"/>
      <c r="I1037" s="298"/>
      <c r="J1037" s="299">
        <v>0</v>
      </c>
      <c r="K1037" s="300">
        <v>0</v>
      </c>
      <c r="L1037" s="300">
        <v>0</v>
      </c>
      <c r="M1037" s="300">
        <v>0</v>
      </c>
      <c r="N1037" s="300">
        <v>0</v>
      </c>
      <c r="O1037" s="300">
        <v>13054395.372</v>
      </c>
      <c r="P1037" s="300">
        <v>0</v>
      </c>
      <c r="Q1037" s="300">
        <v>0</v>
      </c>
      <c r="R1037" s="300">
        <v>3736903.3909999998</v>
      </c>
      <c r="S1037" s="300">
        <v>0</v>
      </c>
      <c r="T1037" s="300">
        <v>0</v>
      </c>
      <c r="U1037" s="301">
        <v>81193760.353000015</v>
      </c>
      <c r="V1037" s="302">
        <v>97985059.116000012</v>
      </c>
      <c r="W1037" s="303"/>
      <c r="X1037" s="304">
        <v>81193760.353000015</v>
      </c>
      <c r="Y1037" s="305">
        <v>97985059.116000012</v>
      </c>
      <c r="AA1037" s="388"/>
    </row>
    <row r="1038" spans="1:27" hidden="1" outlineLevel="1" x14ac:dyDescent="0.3">
      <c r="E1038" s="250" t="s">
        <v>2014</v>
      </c>
      <c r="F1038" s="317">
        <v>4505600</v>
      </c>
      <c r="G1038" s="318"/>
      <c r="H1038" s="319">
        <v>7301330101</v>
      </c>
      <c r="I1038" s="320"/>
      <c r="J1038" s="337">
        <v>0</v>
      </c>
      <c r="K1038" s="321">
        <v>0</v>
      </c>
      <c r="L1038" s="321">
        <v>0</v>
      </c>
      <c r="M1038" s="321">
        <v>0</v>
      </c>
      <c r="N1038" s="321">
        <v>0</v>
      </c>
      <c r="O1038" s="321">
        <v>13054395.372</v>
      </c>
      <c r="P1038" s="321">
        <v>0</v>
      </c>
      <c r="Q1038" s="321">
        <v>0</v>
      </c>
      <c r="R1038" s="321">
        <v>3736903.3909999998</v>
      </c>
      <c r="S1038" s="321">
        <v>0</v>
      </c>
      <c r="T1038" s="321">
        <v>0</v>
      </c>
      <c r="U1038" s="322">
        <v>22513760.556000002</v>
      </c>
      <c r="V1038" s="323">
        <v>39305059.319000006</v>
      </c>
      <c r="W1038" s="303"/>
      <c r="X1038" s="324">
        <v>22513760.556000002</v>
      </c>
      <c r="Y1038" s="325">
        <v>39305059.319000006</v>
      </c>
      <c r="AA1038" s="388"/>
    </row>
    <row r="1039" spans="1:27" hidden="1" outlineLevel="1" x14ac:dyDescent="0.3">
      <c r="E1039" s="250" t="s">
        <v>2015</v>
      </c>
      <c r="F1039" s="317">
        <v>4505603</v>
      </c>
      <c r="G1039" s="318"/>
      <c r="H1039" s="319"/>
      <c r="I1039" s="320"/>
      <c r="J1039" s="337">
        <v>0</v>
      </c>
      <c r="K1039" s="321">
        <v>0</v>
      </c>
      <c r="L1039" s="321">
        <v>0</v>
      </c>
      <c r="M1039" s="321">
        <v>0</v>
      </c>
      <c r="N1039" s="321">
        <v>0</v>
      </c>
      <c r="O1039" s="321">
        <v>0</v>
      </c>
      <c r="P1039" s="321">
        <v>0</v>
      </c>
      <c r="Q1039" s="321">
        <v>0</v>
      </c>
      <c r="R1039" s="321">
        <v>0</v>
      </c>
      <c r="S1039" s="321">
        <v>0</v>
      </c>
      <c r="T1039" s="321">
        <v>0</v>
      </c>
      <c r="U1039" s="322">
        <v>0</v>
      </c>
      <c r="V1039" s="323">
        <v>0</v>
      </c>
      <c r="W1039" s="303"/>
      <c r="X1039" s="324">
        <v>0</v>
      </c>
      <c r="Y1039" s="325">
        <v>0</v>
      </c>
      <c r="AA1039" s="388"/>
    </row>
    <row r="1040" spans="1:27" hidden="1" outlineLevel="1" x14ac:dyDescent="0.3">
      <c r="E1040" s="250" t="s">
        <v>2016</v>
      </c>
      <c r="F1040" s="317">
        <v>4505605</v>
      </c>
      <c r="G1040" s="318"/>
      <c r="H1040" s="319">
        <v>7701190105</v>
      </c>
      <c r="I1040" s="320"/>
      <c r="J1040" s="337">
        <v>0</v>
      </c>
      <c r="K1040" s="321">
        <v>0</v>
      </c>
      <c r="L1040" s="321">
        <v>0</v>
      </c>
      <c r="M1040" s="321">
        <v>0</v>
      </c>
      <c r="N1040" s="321">
        <v>0</v>
      </c>
      <c r="O1040" s="321">
        <v>0</v>
      </c>
      <c r="P1040" s="321">
        <v>0</v>
      </c>
      <c r="Q1040" s="321">
        <v>0</v>
      </c>
      <c r="R1040" s="321">
        <v>0</v>
      </c>
      <c r="S1040" s="321">
        <v>0</v>
      </c>
      <c r="T1040" s="321">
        <v>0</v>
      </c>
      <c r="U1040" s="322">
        <v>58679999.797000006</v>
      </c>
      <c r="V1040" s="323">
        <v>58679999.797000006</v>
      </c>
      <c r="W1040" s="303"/>
      <c r="X1040" s="324">
        <v>58679999.797000006</v>
      </c>
      <c r="Y1040" s="325">
        <v>58679999.797000006</v>
      </c>
      <c r="AA1040" s="388"/>
    </row>
    <row r="1041" spans="1:27" hidden="1" collapsed="1" x14ac:dyDescent="0.3">
      <c r="B1041" s="234" t="s">
        <v>74</v>
      </c>
      <c r="D1041" s="293" t="s">
        <v>2017</v>
      </c>
      <c r="E1041" s="294"/>
      <c r="F1041" s="295"/>
      <c r="G1041" s="296"/>
      <c r="H1041" s="297"/>
      <c r="I1041" s="298"/>
      <c r="J1041" s="299">
        <v>0</v>
      </c>
      <c r="K1041" s="300">
        <v>0</v>
      </c>
      <c r="L1041" s="300">
        <v>0</v>
      </c>
      <c r="M1041" s="300">
        <v>0</v>
      </c>
      <c r="N1041" s="300">
        <v>0</v>
      </c>
      <c r="O1041" s="300">
        <v>0</v>
      </c>
      <c r="P1041" s="300">
        <v>0</v>
      </c>
      <c r="Q1041" s="300">
        <v>0</v>
      </c>
      <c r="R1041" s="300">
        <v>0</v>
      </c>
      <c r="S1041" s="300">
        <v>0</v>
      </c>
      <c r="T1041" s="300">
        <v>0</v>
      </c>
      <c r="U1041" s="301">
        <v>0</v>
      </c>
      <c r="V1041" s="302">
        <v>0</v>
      </c>
      <c r="W1041" s="303"/>
      <c r="X1041" s="304">
        <v>0</v>
      </c>
      <c r="Y1041" s="305">
        <v>0</v>
      </c>
      <c r="AA1041" s="388"/>
    </row>
    <row r="1042" spans="1:27" s="326" customFormat="1" hidden="1" outlineLevel="2" x14ac:dyDescent="0.3">
      <c r="E1042" s="326" t="s">
        <v>2018</v>
      </c>
      <c r="F1042" s="336"/>
      <c r="G1042" s="327"/>
      <c r="H1042" s="328">
        <v>7301310300</v>
      </c>
      <c r="I1042" s="329"/>
      <c r="J1042" s="338">
        <v>0</v>
      </c>
      <c r="K1042" s="330">
        <v>0</v>
      </c>
      <c r="L1042" s="330">
        <v>0</v>
      </c>
      <c r="M1042" s="330">
        <v>0</v>
      </c>
      <c r="N1042" s="330">
        <v>0</v>
      </c>
      <c r="O1042" s="330">
        <v>0</v>
      </c>
      <c r="P1042" s="330">
        <v>0</v>
      </c>
      <c r="Q1042" s="330">
        <v>0</v>
      </c>
      <c r="R1042" s="330">
        <v>0</v>
      </c>
      <c r="S1042" s="330">
        <v>0</v>
      </c>
      <c r="T1042" s="330">
        <v>0</v>
      </c>
      <c r="U1042" s="331">
        <v>0</v>
      </c>
      <c r="V1042" s="332">
        <v>0</v>
      </c>
      <c r="W1042" s="333"/>
      <c r="X1042" s="334">
        <v>0</v>
      </c>
      <c r="Y1042" s="335">
        <v>0</v>
      </c>
      <c r="AA1042" s="388"/>
    </row>
    <row r="1043" spans="1:27" s="326" customFormat="1" hidden="1" outlineLevel="2" x14ac:dyDescent="0.3">
      <c r="E1043" s="326" t="s">
        <v>2019</v>
      </c>
      <c r="F1043" s="336"/>
      <c r="G1043" s="327"/>
      <c r="H1043" s="328"/>
      <c r="I1043" s="329"/>
      <c r="J1043" s="338">
        <v>0</v>
      </c>
      <c r="K1043" s="330">
        <v>0</v>
      </c>
      <c r="L1043" s="330">
        <v>0</v>
      </c>
      <c r="M1043" s="330">
        <v>0</v>
      </c>
      <c r="N1043" s="330">
        <v>0</v>
      </c>
      <c r="O1043" s="330">
        <v>0</v>
      </c>
      <c r="P1043" s="330">
        <v>0</v>
      </c>
      <c r="Q1043" s="330">
        <v>0</v>
      </c>
      <c r="R1043" s="330">
        <v>0</v>
      </c>
      <c r="S1043" s="330">
        <v>0</v>
      </c>
      <c r="T1043" s="330">
        <v>0</v>
      </c>
      <c r="U1043" s="331">
        <v>0</v>
      </c>
      <c r="V1043" s="332">
        <v>0</v>
      </c>
      <c r="W1043" s="333"/>
      <c r="X1043" s="334">
        <v>0</v>
      </c>
      <c r="Y1043" s="335">
        <v>0</v>
      </c>
      <c r="AA1043" s="388"/>
    </row>
    <row r="1044" spans="1:27" s="326" customFormat="1" hidden="1" outlineLevel="2" x14ac:dyDescent="0.3">
      <c r="E1044" s="326" t="s">
        <v>2020</v>
      </c>
      <c r="F1044" s="336"/>
      <c r="G1044" s="327"/>
      <c r="H1044" s="328"/>
      <c r="I1044" s="329"/>
      <c r="J1044" s="338">
        <v>0</v>
      </c>
      <c r="K1044" s="330">
        <v>0</v>
      </c>
      <c r="L1044" s="330">
        <v>0</v>
      </c>
      <c r="M1044" s="330">
        <v>0</v>
      </c>
      <c r="N1044" s="330">
        <v>0</v>
      </c>
      <c r="O1044" s="330">
        <v>0</v>
      </c>
      <c r="P1044" s="330">
        <v>0</v>
      </c>
      <c r="Q1044" s="330">
        <v>0</v>
      </c>
      <c r="R1044" s="330">
        <v>0</v>
      </c>
      <c r="S1044" s="330">
        <v>0</v>
      </c>
      <c r="T1044" s="330">
        <v>0</v>
      </c>
      <c r="U1044" s="331">
        <v>0</v>
      </c>
      <c r="V1044" s="332">
        <v>0</v>
      </c>
      <c r="W1044" s="333"/>
      <c r="X1044" s="334">
        <v>0</v>
      </c>
      <c r="Y1044" s="335">
        <v>0</v>
      </c>
      <c r="AA1044" s="388"/>
    </row>
    <row r="1045" spans="1:27" hidden="1" collapsed="1" x14ac:dyDescent="0.3">
      <c r="B1045" s="234" t="s">
        <v>74</v>
      </c>
      <c r="D1045" s="293" t="s">
        <v>2021</v>
      </c>
      <c r="E1045" s="294"/>
      <c r="F1045" s="295"/>
      <c r="G1045" s="296"/>
      <c r="H1045" s="297"/>
      <c r="I1045" s="298"/>
      <c r="J1045" s="299">
        <v>0</v>
      </c>
      <c r="K1045" s="300">
        <v>0</v>
      </c>
      <c r="L1045" s="300">
        <v>0</v>
      </c>
      <c r="M1045" s="300">
        <v>0</v>
      </c>
      <c r="N1045" s="300">
        <v>0</v>
      </c>
      <c r="O1045" s="300">
        <v>0</v>
      </c>
      <c r="P1045" s="300">
        <v>0</v>
      </c>
      <c r="Q1045" s="300">
        <v>0</v>
      </c>
      <c r="R1045" s="300">
        <v>0</v>
      </c>
      <c r="S1045" s="300">
        <v>0</v>
      </c>
      <c r="T1045" s="300">
        <v>0</v>
      </c>
      <c r="U1045" s="301">
        <v>0</v>
      </c>
      <c r="V1045" s="302">
        <v>0</v>
      </c>
      <c r="W1045" s="303"/>
      <c r="X1045" s="304">
        <v>0</v>
      </c>
      <c r="Y1045" s="305">
        <v>0</v>
      </c>
      <c r="AA1045" s="388"/>
    </row>
    <row r="1046" spans="1:27" s="326" customFormat="1" hidden="1" outlineLevel="2" x14ac:dyDescent="0.3">
      <c r="E1046" s="326" t="s">
        <v>2018</v>
      </c>
      <c r="F1046" s="336"/>
      <c r="G1046" s="327"/>
      <c r="H1046" s="328"/>
      <c r="I1046" s="329"/>
      <c r="J1046" s="338">
        <v>0</v>
      </c>
      <c r="K1046" s="330">
        <v>0</v>
      </c>
      <c r="L1046" s="330">
        <v>0</v>
      </c>
      <c r="M1046" s="330">
        <v>0</v>
      </c>
      <c r="N1046" s="330">
        <v>0</v>
      </c>
      <c r="O1046" s="330">
        <v>0</v>
      </c>
      <c r="P1046" s="330">
        <v>0</v>
      </c>
      <c r="Q1046" s="330">
        <v>0</v>
      </c>
      <c r="R1046" s="330">
        <v>0</v>
      </c>
      <c r="S1046" s="330">
        <v>0</v>
      </c>
      <c r="T1046" s="330">
        <v>0</v>
      </c>
      <c r="U1046" s="331">
        <v>0</v>
      </c>
      <c r="V1046" s="332">
        <v>0</v>
      </c>
      <c r="W1046" s="333"/>
      <c r="X1046" s="334">
        <v>0</v>
      </c>
      <c r="Y1046" s="335">
        <v>0</v>
      </c>
      <c r="AA1046" s="388"/>
    </row>
    <row r="1047" spans="1:27" s="326" customFormat="1" hidden="1" outlineLevel="2" x14ac:dyDescent="0.3">
      <c r="E1047" s="326" t="s">
        <v>2019</v>
      </c>
      <c r="F1047" s="336"/>
      <c r="G1047" s="327"/>
      <c r="H1047" s="328"/>
      <c r="I1047" s="329"/>
      <c r="J1047" s="338">
        <v>0</v>
      </c>
      <c r="K1047" s="330">
        <v>0</v>
      </c>
      <c r="L1047" s="330">
        <v>0</v>
      </c>
      <c r="M1047" s="330">
        <v>0</v>
      </c>
      <c r="N1047" s="330">
        <v>0</v>
      </c>
      <c r="O1047" s="330">
        <v>0</v>
      </c>
      <c r="P1047" s="330">
        <v>0</v>
      </c>
      <c r="Q1047" s="330">
        <v>0</v>
      </c>
      <c r="R1047" s="330">
        <v>0</v>
      </c>
      <c r="S1047" s="330">
        <v>0</v>
      </c>
      <c r="T1047" s="330">
        <v>0</v>
      </c>
      <c r="U1047" s="331">
        <v>0</v>
      </c>
      <c r="V1047" s="332">
        <v>0</v>
      </c>
      <c r="W1047" s="333"/>
      <c r="X1047" s="334">
        <v>0</v>
      </c>
      <c r="Y1047" s="335">
        <v>0</v>
      </c>
      <c r="AA1047" s="388"/>
    </row>
    <row r="1048" spans="1:27" s="326" customFormat="1" hidden="1" outlineLevel="2" x14ac:dyDescent="0.3">
      <c r="E1048" s="326" t="s">
        <v>2020</v>
      </c>
      <c r="F1048" s="336"/>
      <c r="G1048" s="327"/>
      <c r="H1048" s="328"/>
      <c r="I1048" s="329"/>
      <c r="J1048" s="338">
        <v>0</v>
      </c>
      <c r="K1048" s="330">
        <v>0</v>
      </c>
      <c r="L1048" s="330">
        <v>0</v>
      </c>
      <c r="M1048" s="330">
        <v>0</v>
      </c>
      <c r="N1048" s="330">
        <v>0</v>
      </c>
      <c r="O1048" s="330">
        <v>0</v>
      </c>
      <c r="P1048" s="330">
        <v>0</v>
      </c>
      <c r="Q1048" s="330">
        <v>0</v>
      </c>
      <c r="R1048" s="330">
        <v>0</v>
      </c>
      <c r="S1048" s="330">
        <v>0</v>
      </c>
      <c r="T1048" s="330">
        <v>0</v>
      </c>
      <c r="U1048" s="331">
        <v>0</v>
      </c>
      <c r="V1048" s="332">
        <v>0</v>
      </c>
      <c r="W1048" s="333"/>
      <c r="X1048" s="334">
        <v>0</v>
      </c>
      <c r="Y1048" s="335">
        <v>0</v>
      </c>
      <c r="AA1048" s="388"/>
    </row>
    <row r="1049" spans="1:27" hidden="1" collapsed="1" x14ac:dyDescent="0.3">
      <c r="B1049" s="234" t="s">
        <v>74</v>
      </c>
      <c r="D1049" s="293" t="s">
        <v>2022</v>
      </c>
      <c r="E1049" s="294"/>
      <c r="F1049" s="295"/>
      <c r="G1049" s="296"/>
      <c r="H1049" s="297"/>
      <c r="I1049" s="298"/>
      <c r="J1049" s="299">
        <v>0</v>
      </c>
      <c r="K1049" s="300">
        <v>0</v>
      </c>
      <c r="L1049" s="300">
        <v>0</v>
      </c>
      <c r="M1049" s="300">
        <v>0</v>
      </c>
      <c r="N1049" s="300">
        <v>0</v>
      </c>
      <c r="O1049" s="300">
        <v>0</v>
      </c>
      <c r="P1049" s="300">
        <v>0</v>
      </c>
      <c r="Q1049" s="300">
        <v>0</v>
      </c>
      <c r="R1049" s="300">
        <v>0</v>
      </c>
      <c r="S1049" s="300">
        <v>0</v>
      </c>
      <c r="T1049" s="300">
        <v>0</v>
      </c>
      <c r="U1049" s="301">
        <v>0</v>
      </c>
      <c r="V1049" s="302">
        <v>0</v>
      </c>
      <c r="W1049" s="303"/>
      <c r="X1049" s="304">
        <v>0</v>
      </c>
      <c r="Y1049" s="305">
        <v>0</v>
      </c>
      <c r="AA1049" s="388"/>
    </row>
    <row r="1050" spans="1:27" s="326" customFormat="1" hidden="1" outlineLevel="2" x14ac:dyDescent="0.3">
      <c r="E1050" s="326" t="s">
        <v>2018</v>
      </c>
      <c r="F1050" s="336"/>
      <c r="G1050" s="327"/>
      <c r="H1050" s="328"/>
      <c r="I1050" s="329"/>
      <c r="J1050" s="338">
        <v>0</v>
      </c>
      <c r="K1050" s="330">
        <v>0</v>
      </c>
      <c r="L1050" s="330">
        <v>0</v>
      </c>
      <c r="M1050" s="330">
        <v>0</v>
      </c>
      <c r="N1050" s="330">
        <v>0</v>
      </c>
      <c r="O1050" s="330">
        <v>0</v>
      </c>
      <c r="P1050" s="330">
        <v>0</v>
      </c>
      <c r="Q1050" s="330">
        <v>0</v>
      </c>
      <c r="R1050" s="330">
        <v>0</v>
      </c>
      <c r="S1050" s="330">
        <v>0</v>
      </c>
      <c r="T1050" s="330">
        <v>0</v>
      </c>
      <c r="U1050" s="331">
        <v>0</v>
      </c>
      <c r="V1050" s="332">
        <v>0</v>
      </c>
      <c r="W1050" s="333"/>
      <c r="X1050" s="334">
        <v>0</v>
      </c>
      <c r="Y1050" s="335">
        <v>0</v>
      </c>
      <c r="AA1050" s="388"/>
    </row>
    <row r="1051" spans="1:27" s="326" customFormat="1" hidden="1" outlineLevel="2" x14ac:dyDescent="0.3">
      <c r="E1051" s="326" t="s">
        <v>2019</v>
      </c>
      <c r="F1051" s="336"/>
      <c r="G1051" s="327"/>
      <c r="H1051" s="328"/>
      <c r="I1051" s="329"/>
      <c r="J1051" s="338">
        <v>0</v>
      </c>
      <c r="K1051" s="330">
        <v>0</v>
      </c>
      <c r="L1051" s="330">
        <v>0</v>
      </c>
      <c r="M1051" s="330">
        <v>0</v>
      </c>
      <c r="N1051" s="330">
        <v>0</v>
      </c>
      <c r="O1051" s="330">
        <v>0</v>
      </c>
      <c r="P1051" s="330">
        <v>0</v>
      </c>
      <c r="Q1051" s="330">
        <v>0</v>
      </c>
      <c r="R1051" s="330">
        <v>0</v>
      </c>
      <c r="S1051" s="330">
        <v>0</v>
      </c>
      <c r="T1051" s="330">
        <v>0</v>
      </c>
      <c r="U1051" s="331">
        <v>0</v>
      </c>
      <c r="V1051" s="332">
        <v>0</v>
      </c>
      <c r="W1051" s="333"/>
      <c r="X1051" s="334">
        <v>0</v>
      </c>
      <c r="Y1051" s="335">
        <v>0</v>
      </c>
      <c r="AA1051" s="388"/>
    </row>
    <row r="1052" spans="1:27" s="326" customFormat="1" hidden="1" outlineLevel="2" x14ac:dyDescent="0.3">
      <c r="E1052" s="326" t="s">
        <v>2020</v>
      </c>
      <c r="F1052" s="336"/>
      <c r="G1052" s="327"/>
      <c r="H1052" s="328"/>
      <c r="I1052" s="329"/>
      <c r="J1052" s="338">
        <v>0</v>
      </c>
      <c r="K1052" s="330">
        <v>0</v>
      </c>
      <c r="L1052" s="330">
        <v>0</v>
      </c>
      <c r="M1052" s="330">
        <v>0</v>
      </c>
      <c r="N1052" s="330">
        <v>0</v>
      </c>
      <c r="O1052" s="330">
        <v>0</v>
      </c>
      <c r="P1052" s="330">
        <v>0</v>
      </c>
      <c r="Q1052" s="330">
        <v>0</v>
      </c>
      <c r="R1052" s="330">
        <v>0</v>
      </c>
      <c r="S1052" s="330">
        <v>0</v>
      </c>
      <c r="T1052" s="330">
        <v>0</v>
      </c>
      <c r="U1052" s="331">
        <v>0</v>
      </c>
      <c r="V1052" s="332">
        <v>0</v>
      </c>
      <c r="W1052" s="333"/>
      <c r="X1052" s="334">
        <v>0</v>
      </c>
      <c r="Y1052" s="335">
        <v>0</v>
      </c>
      <c r="AA1052" s="388"/>
    </row>
    <row r="1053" spans="1:27" ht="16.5" customHeight="1" collapsed="1" x14ac:dyDescent="0.3">
      <c r="A1053" s="248" t="s">
        <v>75</v>
      </c>
      <c r="B1053" s="248"/>
      <c r="C1053" s="280" t="s">
        <v>2023</v>
      </c>
      <c r="D1053" s="281"/>
      <c r="E1053" s="282"/>
      <c r="F1053" s="283" t="s">
        <v>2024</v>
      </c>
      <c r="G1053" s="284"/>
      <c r="H1053" s="285"/>
      <c r="I1053" s="286"/>
      <c r="J1053" s="287">
        <v>3948151.3879999998</v>
      </c>
      <c r="K1053" s="288">
        <v>4100081.8880000007</v>
      </c>
      <c r="L1053" s="288">
        <v>7843705.1389999986</v>
      </c>
      <c r="M1053" s="288">
        <v>4834730.6429999992</v>
      </c>
      <c r="N1053" s="288">
        <v>4272058.9180000005</v>
      </c>
      <c r="O1053" s="288">
        <v>5788185.6640000008</v>
      </c>
      <c r="P1053" s="288">
        <v>4306975.7039999999</v>
      </c>
      <c r="Q1053" s="288">
        <v>4040438.273</v>
      </c>
      <c r="R1053" s="288">
        <v>9065451.930999998</v>
      </c>
      <c r="S1053" s="288">
        <v>6269026.7439999999</v>
      </c>
      <c r="T1053" s="288">
        <v>8794637.3679999989</v>
      </c>
      <c r="U1053" s="289">
        <v>46014916.748999998</v>
      </c>
      <c r="V1053" s="290">
        <v>109278360.40899998</v>
      </c>
      <c r="W1053" s="277"/>
      <c r="X1053" s="291">
        <v>46014916.748999998</v>
      </c>
      <c r="Y1053" s="292">
        <v>109278360.40899998</v>
      </c>
      <c r="AA1053" s="388"/>
    </row>
    <row r="1054" spans="1:27" hidden="1" collapsed="1" x14ac:dyDescent="0.3">
      <c r="A1054" s="233"/>
      <c r="B1054" s="234" t="s">
        <v>76</v>
      </c>
      <c r="D1054" s="293" t="s">
        <v>2025</v>
      </c>
      <c r="E1054" s="294"/>
      <c r="F1054" s="295" t="s">
        <v>2026</v>
      </c>
      <c r="G1054" s="296"/>
      <c r="H1054" s="297"/>
      <c r="I1054" s="298"/>
      <c r="J1054" s="299">
        <v>3858604.43</v>
      </c>
      <c r="K1054" s="300">
        <v>4094735.1170000006</v>
      </c>
      <c r="L1054" s="300">
        <v>4588745.2659999989</v>
      </c>
      <c r="M1054" s="300">
        <v>4736672.2249999996</v>
      </c>
      <c r="N1054" s="300">
        <v>4269327.0470000003</v>
      </c>
      <c r="O1054" s="300">
        <v>3995202.2790000001</v>
      </c>
      <c r="P1054" s="300">
        <v>3974265.7369999997</v>
      </c>
      <c r="Q1054" s="300">
        <v>4037557.2760000001</v>
      </c>
      <c r="R1054" s="300">
        <v>5103590.6919999998</v>
      </c>
      <c r="S1054" s="300">
        <v>4221737.4869999997</v>
      </c>
      <c r="T1054" s="300">
        <v>3870359.7389999996</v>
      </c>
      <c r="U1054" s="301">
        <v>5361836.0480000004</v>
      </c>
      <c r="V1054" s="302">
        <v>52112633.342999995</v>
      </c>
      <c r="W1054" s="303"/>
      <c r="X1054" s="304">
        <v>5361836.0480000004</v>
      </c>
      <c r="Y1054" s="305">
        <v>52112633.342999995</v>
      </c>
      <c r="AA1054" s="388"/>
    </row>
    <row r="1055" spans="1:27" hidden="1" x14ac:dyDescent="0.3">
      <c r="E1055" s="339" t="s">
        <v>2027</v>
      </c>
      <c r="F1055" s="340" t="s">
        <v>2028</v>
      </c>
      <c r="G1055" s="341"/>
      <c r="H1055" s="342"/>
      <c r="I1055" s="343"/>
      <c r="J1055" s="344">
        <v>1025985.179</v>
      </c>
      <c r="K1055" s="345">
        <v>1343657.6950000001</v>
      </c>
      <c r="L1055" s="345">
        <v>1763300.0589999999</v>
      </c>
      <c r="M1055" s="345">
        <v>1935829.3989999997</v>
      </c>
      <c r="N1055" s="345">
        <v>1444769.237</v>
      </c>
      <c r="O1055" s="345">
        <v>1211134.412</v>
      </c>
      <c r="P1055" s="345">
        <v>1169420.737</v>
      </c>
      <c r="Q1055" s="345">
        <v>1245190.628</v>
      </c>
      <c r="R1055" s="345">
        <v>2358617.7579999999</v>
      </c>
      <c r="S1055" s="345">
        <v>1465042.1129999999</v>
      </c>
      <c r="T1055" s="345">
        <v>1145347.1499999999</v>
      </c>
      <c r="U1055" s="346">
        <v>2630945.3310000002</v>
      </c>
      <c r="V1055" s="347">
        <v>18739239.697999999</v>
      </c>
      <c r="W1055" s="303"/>
      <c r="X1055" s="348">
        <v>2630945.3310000002</v>
      </c>
      <c r="Y1055" s="349">
        <v>18739239.697999999</v>
      </c>
      <c r="AA1055" s="388"/>
    </row>
    <row r="1056" spans="1:27" hidden="1" outlineLevel="1" x14ac:dyDescent="0.3">
      <c r="E1056" t="s">
        <v>2029</v>
      </c>
      <c r="F1056" s="317">
        <v>4400101</v>
      </c>
      <c r="G1056" s="318"/>
      <c r="H1056" s="319">
        <v>7501010101</v>
      </c>
      <c r="I1056" s="320"/>
      <c r="J1056" s="337">
        <v>-29301.962</v>
      </c>
      <c r="K1056" s="321">
        <v>329532.66899999999</v>
      </c>
      <c r="L1056" s="321">
        <v>655963.24199999997</v>
      </c>
      <c r="M1056" s="321">
        <v>937083.076</v>
      </c>
      <c r="N1056" s="321">
        <v>379757.49400000001</v>
      </c>
      <c r="O1056" s="321">
        <v>194622.58200000002</v>
      </c>
      <c r="P1056" s="321">
        <v>174360.486</v>
      </c>
      <c r="Q1056" s="321">
        <v>232124.709</v>
      </c>
      <c r="R1056" s="321">
        <v>1371216.091</v>
      </c>
      <c r="S1056" s="321">
        <v>391077.28</v>
      </c>
      <c r="T1056" s="321">
        <v>205705.27900000001</v>
      </c>
      <c r="U1056" s="322">
        <v>1674588.8430000001</v>
      </c>
      <c r="V1056" s="323">
        <v>6516729.7890000008</v>
      </c>
      <c r="W1056" s="303"/>
      <c r="X1056" s="324">
        <v>1674588.8430000001</v>
      </c>
      <c r="Y1056" s="325">
        <v>6516729.7890000008</v>
      </c>
      <c r="AA1056" s="388"/>
    </row>
    <row r="1057" spans="1:27" hidden="1" outlineLevel="1" x14ac:dyDescent="0.3">
      <c r="E1057" t="s">
        <v>2030</v>
      </c>
      <c r="F1057" s="317">
        <v>4400102</v>
      </c>
      <c r="G1057" s="318"/>
      <c r="H1057" s="319"/>
      <c r="I1057" s="320"/>
      <c r="J1057" s="337">
        <v>0</v>
      </c>
      <c r="K1057" s="321">
        <v>0</v>
      </c>
      <c r="L1057" s="321">
        <v>0</v>
      </c>
      <c r="M1057" s="321">
        <v>0</v>
      </c>
      <c r="N1057" s="321">
        <v>0</v>
      </c>
      <c r="O1057" s="321">
        <v>0</v>
      </c>
      <c r="P1057" s="321">
        <v>0</v>
      </c>
      <c r="Q1057" s="321">
        <v>0</v>
      </c>
      <c r="R1057" s="321">
        <v>0</v>
      </c>
      <c r="S1057" s="321">
        <v>0</v>
      </c>
      <c r="T1057" s="321">
        <v>0</v>
      </c>
      <c r="U1057" s="322">
        <v>0</v>
      </c>
      <c r="V1057" s="323">
        <v>0</v>
      </c>
      <c r="W1057" s="303"/>
      <c r="X1057" s="324">
        <v>0</v>
      </c>
      <c r="Y1057" s="325">
        <v>0</v>
      </c>
      <c r="AA1057" s="388"/>
    </row>
    <row r="1058" spans="1:27" hidden="1" outlineLevel="1" x14ac:dyDescent="0.3">
      <c r="E1058" t="s">
        <v>2031</v>
      </c>
      <c r="F1058" s="317">
        <v>4400199</v>
      </c>
      <c r="G1058" s="318"/>
      <c r="H1058" s="319">
        <v>7501010199</v>
      </c>
      <c r="I1058" s="320"/>
      <c r="J1058" s="337">
        <v>1055287.1410000001</v>
      </c>
      <c r="K1058" s="321">
        <v>1014125.0260000001</v>
      </c>
      <c r="L1058" s="321">
        <v>1107336.817</v>
      </c>
      <c r="M1058" s="321">
        <v>998746.32299999986</v>
      </c>
      <c r="N1058" s="321">
        <v>1065011.743</v>
      </c>
      <c r="O1058" s="321">
        <v>1016511.83</v>
      </c>
      <c r="P1058" s="321">
        <v>995060.25099999993</v>
      </c>
      <c r="Q1058" s="321">
        <v>1013065.919</v>
      </c>
      <c r="R1058" s="321">
        <v>987401.66700000002</v>
      </c>
      <c r="S1058" s="321">
        <v>1073964.8329999999</v>
      </c>
      <c r="T1058" s="321">
        <v>939641.87099999993</v>
      </c>
      <c r="U1058" s="322">
        <v>956356.4879999999</v>
      </c>
      <c r="V1058" s="323">
        <v>12222509.909</v>
      </c>
      <c r="W1058" s="303"/>
      <c r="X1058" s="324">
        <v>956356.4879999999</v>
      </c>
      <c r="Y1058" s="325">
        <v>12222509.909</v>
      </c>
      <c r="AA1058" s="388"/>
    </row>
    <row r="1059" spans="1:27" s="326" customFormat="1" hidden="1" outlineLevel="2" x14ac:dyDescent="0.3">
      <c r="E1059" s="326" t="s">
        <v>2032</v>
      </c>
      <c r="F1059" s="336"/>
      <c r="G1059" s="327"/>
      <c r="H1059" s="328"/>
      <c r="I1059" s="329"/>
      <c r="J1059" s="338">
        <v>0</v>
      </c>
      <c r="K1059" s="330">
        <v>0</v>
      </c>
      <c r="L1059" s="330">
        <v>0</v>
      </c>
      <c r="M1059" s="330">
        <v>0</v>
      </c>
      <c r="N1059" s="330">
        <v>0</v>
      </c>
      <c r="O1059" s="330">
        <v>0</v>
      </c>
      <c r="P1059" s="330">
        <v>0</v>
      </c>
      <c r="Q1059" s="330">
        <v>0</v>
      </c>
      <c r="R1059" s="330">
        <v>0</v>
      </c>
      <c r="S1059" s="330">
        <v>0</v>
      </c>
      <c r="T1059" s="330">
        <v>0</v>
      </c>
      <c r="U1059" s="331">
        <v>0</v>
      </c>
      <c r="V1059" s="332">
        <v>0</v>
      </c>
      <c r="W1059" s="333"/>
      <c r="X1059" s="334">
        <v>0</v>
      </c>
      <c r="Y1059" s="335">
        <v>0</v>
      </c>
      <c r="AA1059" s="388"/>
    </row>
    <row r="1060" spans="1:27" s="326" customFormat="1" hidden="1" outlineLevel="2" x14ac:dyDescent="0.3">
      <c r="E1060" s="326" t="s">
        <v>2033</v>
      </c>
      <c r="F1060" s="336"/>
      <c r="G1060" s="327"/>
      <c r="H1060" s="328"/>
      <c r="I1060" s="329"/>
      <c r="J1060" s="338">
        <v>0</v>
      </c>
      <c r="K1060" s="330">
        <v>0</v>
      </c>
      <c r="L1060" s="330">
        <v>0</v>
      </c>
      <c r="M1060" s="330">
        <v>0</v>
      </c>
      <c r="N1060" s="330">
        <v>0</v>
      </c>
      <c r="O1060" s="330">
        <v>0</v>
      </c>
      <c r="P1060" s="330">
        <v>0</v>
      </c>
      <c r="Q1060" s="330">
        <v>0</v>
      </c>
      <c r="R1060" s="330">
        <v>0</v>
      </c>
      <c r="S1060" s="330">
        <v>0</v>
      </c>
      <c r="T1060" s="330">
        <v>0</v>
      </c>
      <c r="U1060" s="331">
        <v>0</v>
      </c>
      <c r="V1060" s="332">
        <v>0</v>
      </c>
      <c r="W1060" s="333"/>
      <c r="X1060" s="334">
        <v>0</v>
      </c>
      <c r="Y1060" s="335">
        <v>0</v>
      </c>
      <c r="AA1060" s="388"/>
    </row>
    <row r="1061" spans="1:27" s="326" customFormat="1" hidden="1" outlineLevel="2" x14ac:dyDescent="0.3">
      <c r="E1061" s="326" t="s">
        <v>2034</v>
      </c>
      <c r="F1061" s="336"/>
      <c r="G1061" s="327"/>
      <c r="H1061" s="328"/>
      <c r="I1061" s="329"/>
      <c r="J1061" s="338">
        <v>0</v>
      </c>
      <c r="K1061" s="330">
        <v>0</v>
      </c>
      <c r="L1061" s="330">
        <v>0</v>
      </c>
      <c r="M1061" s="330">
        <v>0</v>
      </c>
      <c r="N1061" s="330">
        <v>0</v>
      </c>
      <c r="O1061" s="330">
        <v>0</v>
      </c>
      <c r="P1061" s="330">
        <v>0</v>
      </c>
      <c r="Q1061" s="330">
        <v>0</v>
      </c>
      <c r="R1061" s="330">
        <v>0</v>
      </c>
      <c r="S1061" s="330">
        <v>0</v>
      </c>
      <c r="T1061" s="330">
        <v>0</v>
      </c>
      <c r="U1061" s="331">
        <v>0</v>
      </c>
      <c r="V1061" s="332">
        <v>0</v>
      </c>
      <c r="W1061" s="333"/>
      <c r="X1061" s="334">
        <v>0</v>
      </c>
      <c r="Y1061" s="335">
        <v>0</v>
      </c>
      <c r="AA1061" s="388"/>
    </row>
    <row r="1062" spans="1:27" hidden="1" collapsed="1" x14ac:dyDescent="0.3">
      <c r="E1062" s="339" t="s">
        <v>2035</v>
      </c>
      <c r="F1062" s="340" t="s">
        <v>2036</v>
      </c>
      <c r="G1062" s="341"/>
      <c r="H1062" s="342"/>
      <c r="I1062" s="343"/>
      <c r="J1062" s="344">
        <v>2832619.2510000002</v>
      </c>
      <c r="K1062" s="345">
        <v>2751077.4220000003</v>
      </c>
      <c r="L1062" s="345">
        <v>2825445.2069999995</v>
      </c>
      <c r="M1062" s="345">
        <v>2800842.8260000004</v>
      </c>
      <c r="N1062" s="345">
        <v>2824557.81</v>
      </c>
      <c r="O1062" s="345">
        <v>2784067.8670000001</v>
      </c>
      <c r="P1062" s="345">
        <v>2804845</v>
      </c>
      <c r="Q1062" s="345">
        <v>2792366.648</v>
      </c>
      <c r="R1062" s="345">
        <v>2744972.9340000004</v>
      </c>
      <c r="S1062" s="345">
        <v>2756695.3740000003</v>
      </c>
      <c r="T1062" s="345">
        <v>2725012.5889999997</v>
      </c>
      <c r="U1062" s="346">
        <v>2730890.7169999997</v>
      </c>
      <c r="V1062" s="347">
        <v>33373393.644999996</v>
      </c>
      <c r="W1062" s="303"/>
      <c r="X1062" s="348">
        <v>2730890.7169999997</v>
      </c>
      <c r="Y1062" s="349">
        <v>33373393.644999996</v>
      </c>
      <c r="AA1062" s="388"/>
    </row>
    <row r="1063" spans="1:27" hidden="1" outlineLevel="1" x14ac:dyDescent="0.3">
      <c r="E1063" t="s">
        <v>2037</v>
      </c>
      <c r="F1063" s="317">
        <v>4400182</v>
      </c>
      <c r="G1063" s="318"/>
      <c r="H1063" s="319">
        <v>7501010303</v>
      </c>
      <c r="I1063" s="320"/>
      <c r="J1063" s="337">
        <v>958714.38099999994</v>
      </c>
      <c r="K1063" s="321">
        <v>862092.67</v>
      </c>
      <c r="L1063" s="321">
        <v>941868.09499999997</v>
      </c>
      <c r="M1063" s="321">
        <v>902668.95299999998</v>
      </c>
      <c r="N1063" s="321">
        <v>922287.36200000008</v>
      </c>
      <c r="O1063" s="321">
        <v>879203.12799999991</v>
      </c>
      <c r="P1063" s="321">
        <v>895580.25399999996</v>
      </c>
      <c r="Q1063" s="321">
        <v>885803.88800000004</v>
      </c>
      <c r="R1063" s="321">
        <v>847167.29000000015</v>
      </c>
      <c r="S1063" s="321">
        <v>863517.103</v>
      </c>
      <c r="T1063" s="321">
        <v>826501.53200000001</v>
      </c>
      <c r="U1063" s="322">
        <v>839706.76899999997</v>
      </c>
      <c r="V1063" s="323">
        <v>10625111.424999997</v>
      </c>
      <c r="W1063" s="303"/>
      <c r="X1063" s="324">
        <v>839706.76899999997</v>
      </c>
      <c r="Y1063" s="325">
        <v>10625111.424999997</v>
      </c>
      <c r="AA1063" s="388"/>
    </row>
    <row r="1064" spans="1:27" hidden="1" outlineLevel="1" x14ac:dyDescent="0.3">
      <c r="E1064" t="s">
        <v>2038</v>
      </c>
      <c r="F1064" s="317">
        <v>4400181</v>
      </c>
      <c r="G1064" s="318"/>
      <c r="H1064" s="319">
        <v>7501010301</v>
      </c>
      <c r="I1064" s="320"/>
      <c r="J1064" s="337">
        <v>1873904.87</v>
      </c>
      <c r="K1064" s="321">
        <v>1888984.7520000001</v>
      </c>
      <c r="L1064" s="321">
        <v>1883577.1119999997</v>
      </c>
      <c r="M1064" s="321">
        <v>1898173.8730000001</v>
      </c>
      <c r="N1064" s="321">
        <v>1902270.4479999999</v>
      </c>
      <c r="O1064" s="321">
        <v>1904864.7390000001</v>
      </c>
      <c r="P1064" s="321">
        <v>1909264.746</v>
      </c>
      <c r="Q1064" s="321">
        <v>1906562.7599999998</v>
      </c>
      <c r="R1064" s="321">
        <v>1897805.6440000001</v>
      </c>
      <c r="S1064" s="321">
        <v>1893178.2710000002</v>
      </c>
      <c r="T1064" s="321">
        <v>1898511.0569999998</v>
      </c>
      <c r="U1064" s="322">
        <v>1891183.9479999996</v>
      </c>
      <c r="V1064" s="323">
        <v>22748282.219999999</v>
      </c>
      <c r="W1064" s="303"/>
      <c r="X1064" s="324">
        <v>1891183.9479999996</v>
      </c>
      <c r="Y1064" s="325">
        <v>22748282.219999999</v>
      </c>
      <c r="AA1064" s="388"/>
    </row>
    <row r="1065" spans="1:27" s="326" customFormat="1" hidden="1" outlineLevel="2" x14ac:dyDescent="0.3">
      <c r="E1065" s="326" t="s">
        <v>2032</v>
      </c>
      <c r="F1065" s="336"/>
      <c r="G1065" s="327"/>
      <c r="H1065" s="328"/>
      <c r="I1065" s="329"/>
      <c r="J1065" s="338">
        <v>0</v>
      </c>
      <c r="K1065" s="330">
        <v>0</v>
      </c>
      <c r="L1065" s="330">
        <v>0</v>
      </c>
      <c r="M1065" s="330">
        <v>0</v>
      </c>
      <c r="N1065" s="330">
        <v>0</v>
      </c>
      <c r="O1065" s="330">
        <v>0</v>
      </c>
      <c r="P1065" s="330">
        <v>0</v>
      </c>
      <c r="Q1065" s="330">
        <v>0</v>
      </c>
      <c r="R1065" s="330">
        <v>0</v>
      </c>
      <c r="S1065" s="330">
        <v>0</v>
      </c>
      <c r="T1065" s="330">
        <v>0</v>
      </c>
      <c r="U1065" s="331">
        <v>0</v>
      </c>
      <c r="V1065" s="332">
        <v>0</v>
      </c>
      <c r="W1065" s="333"/>
      <c r="X1065" s="334">
        <v>0</v>
      </c>
      <c r="Y1065" s="335">
        <v>0</v>
      </c>
      <c r="AA1065" s="388"/>
    </row>
    <row r="1066" spans="1:27" s="326" customFormat="1" hidden="1" outlineLevel="2" x14ac:dyDescent="0.3">
      <c r="E1066" s="326" t="s">
        <v>2033</v>
      </c>
      <c r="F1066" s="336"/>
      <c r="G1066" s="327"/>
      <c r="H1066" s="328"/>
      <c r="I1066" s="329"/>
      <c r="J1066" s="338">
        <v>0</v>
      </c>
      <c r="K1066" s="330">
        <v>0</v>
      </c>
      <c r="L1066" s="330">
        <v>0</v>
      </c>
      <c r="M1066" s="330">
        <v>0</v>
      </c>
      <c r="N1066" s="330">
        <v>0</v>
      </c>
      <c r="O1066" s="330">
        <v>0</v>
      </c>
      <c r="P1066" s="330">
        <v>0</v>
      </c>
      <c r="Q1066" s="330">
        <v>0</v>
      </c>
      <c r="R1066" s="330">
        <v>0</v>
      </c>
      <c r="S1066" s="330">
        <v>0</v>
      </c>
      <c r="T1066" s="330">
        <v>0</v>
      </c>
      <c r="U1066" s="331">
        <v>0</v>
      </c>
      <c r="V1066" s="332">
        <v>0</v>
      </c>
      <c r="W1066" s="333"/>
      <c r="X1066" s="334">
        <v>0</v>
      </c>
      <c r="Y1066" s="335">
        <v>0</v>
      </c>
      <c r="AA1066" s="388"/>
    </row>
    <row r="1067" spans="1:27" s="326" customFormat="1" hidden="1" outlineLevel="2" x14ac:dyDescent="0.3">
      <c r="E1067" s="326" t="s">
        <v>2034</v>
      </c>
      <c r="F1067" s="336"/>
      <c r="G1067" s="327"/>
      <c r="H1067" s="328"/>
      <c r="I1067" s="329"/>
      <c r="J1067" s="338">
        <v>0</v>
      </c>
      <c r="K1067" s="330">
        <v>0</v>
      </c>
      <c r="L1067" s="330">
        <v>0</v>
      </c>
      <c r="M1067" s="330">
        <v>0</v>
      </c>
      <c r="N1067" s="330">
        <v>0</v>
      </c>
      <c r="O1067" s="330">
        <v>0</v>
      </c>
      <c r="P1067" s="330">
        <v>0</v>
      </c>
      <c r="Q1067" s="330">
        <v>0</v>
      </c>
      <c r="R1067" s="330">
        <v>0</v>
      </c>
      <c r="S1067" s="330">
        <v>0</v>
      </c>
      <c r="T1067" s="330">
        <v>0</v>
      </c>
      <c r="U1067" s="331">
        <v>0</v>
      </c>
      <c r="V1067" s="332">
        <v>0</v>
      </c>
      <c r="W1067" s="333"/>
      <c r="X1067" s="334">
        <v>0</v>
      </c>
      <c r="Y1067" s="335">
        <v>0</v>
      </c>
      <c r="AA1067" s="388"/>
    </row>
    <row r="1068" spans="1:27" hidden="1" collapsed="1" x14ac:dyDescent="0.3">
      <c r="A1068" s="233"/>
      <c r="B1068" s="234" t="s">
        <v>77</v>
      </c>
      <c r="D1068" s="293" t="s">
        <v>2039</v>
      </c>
      <c r="E1068" s="294"/>
      <c r="F1068" s="295" t="s">
        <v>2040</v>
      </c>
      <c r="G1068" s="296"/>
      <c r="H1068" s="297"/>
      <c r="I1068" s="298"/>
      <c r="J1068" s="299">
        <v>88219.178</v>
      </c>
      <c r="K1068" s="300">
        <v>0</v>
      </c>
      <c r="L1068" s="300">
        <v>2253678.7599999998</v>
      </c>
      <c r="M1068" s="300">
        <v>86062.952999999994</v>
      </c>
      <c r="N1068" s="300">
        <v>0</v>
      </c>
      <c r="O1068" s="300">
        <v>0</v>
      </c>
      <c r="P1068" s="300">
        <v>297239.516</v>
      </c>
      <c r="Q1068" s="300">
        <v>0</v>
      </c>
      <c r="R1068" s="300">
        <v>1400591.716</v>
      </c>
      <c r="S1068" s="300">
        <v>1832479.8740000001</v>
      </c>
      <c r="T1068" s="300">
        <v>0</v>
      </c>
      <c r="U1068" s="301">
        <v>300710.05900000001</v>
      </c>
      <c r="V1068" s="302">
        <v>6258982.0559999999</v>
      </c>
      <c r="W1068" s="303"/>
      <c r="X1068" s="304">
        <v>300710.05900000001</v>
      </c>
      <c r="Y1068" s="305">
        <v>6258982.0559999999</v>
      </c>
      <c r="AA1068" s="388"/>
    </row>
    <row r="1069" spans="1:27" hidden="1" outlineLevel="1" x14ac:dyDescent="0.3">
      <c r="E1069" t="s">
        <v>2041</v>
      </c>
      <c r="F1069" s="317">
        <v>4401000</v>
      </c>
      <c r="G1069" s="318"/>
      <c r="H1069" s="319">
        <v>7501030101</v>
      </c>
      <c r="I1069" s="320"/>
      <c r="J1069" s="337">
        <v>88219.178</v>
      </c>
      <c r="K1069" s="321">
        <v>0</v>
      </c>
      <c r="L1069" s="321">
        <v>2253678.7599999998</v>
      </c>
      <c r="M1069" s="321">
        <v>86062.952999999994</v>
      </c>
      <c r="N1069" s="321">
        <v>0</v>
      </c>
      <c r="O1069" s="321">
        <v>0</v>
      </c>
      <c r="P1069" s="321">
        <v>297239.516</v>
      </c>
      <c r="Q1069" s="321">
        <v>0</v>
      </c>
      <c r="R1069" s="321">
        <v>1400591.716</v>
      </c>
      <c r="S1069" s="321">
        <v>1832479.8740000001</v>
      </c>
      <c r="T1069" s="321">
        <v>0</v>
      </c>
      <c r="U1069" s="322">
        <v>300710.05900000001</v>
      </c>
      <c r="V1069" s="323">
        <v>6258982.0559999999</v>
      </c>
      <c r="W1069" s="303"/>
      <c r="X1069" s="324">
        <v>300710.05900000001</v>
      </c>
      <c r="Y1069" s="325">
        <v>6258982.0559999999</v>
      </c>
      <c r="AA1069" s="388"/>
    </row>
    <row r="1070" spans="1:27" s="326" customFormat="1" hidden="1" outlineLevel="2" x14ac:dyDescent="0.3">
      <c r="E1070" s="326" t="s">
        <v>2042</v>
      </c>
      <c r="F1070" s="336"/>
      <c r="G1070" s="327"/>
      <c r="H1070" s="328"/>
      <c r="I1070" s="329"/>
      <c r="J1070" s="338">
        <v>0</v>
      </c>
      <c r="K1070" s="330">
        <v>0</v>
      </c>
      <c r="L1070" s="330">
        <v>0</v>
      </c>
      <c r="M1070" s="330">
        <v>0</v>
      </c>
      <c r="N1070" s="330">
        <v>0</v>
      </c>
      <c r="O1070" s="330">
        <v>0</v>
      </c>
      <c r="P1070" s="330">
        <v>0</v>
      </c>
      <c r="Q1070" s="330">
        <v>0</v>
      </c>
      <c r="R1070" s="330">
        <v>0</v>
      </c>
      <c r="S1070" s="330">
        <v>0</v>
      </c>
      <c r="T1070" s="330">
        <v>0</v>
      </c>
      <c r="U1070" s="331">
        <v>0</v>
      </c>
      <c r="V1070" s="332">
        <v>0</v>
      </c>
      <c r="W1070" s="333"/>
      <c r="X1070" s="334">
        <v>0</v>
      </c>
      <c r="Y1070" s="335">
        <v>0</v>
      </c>
      <c r="AA1070" s="388"/>
    </row>
    <row r="1071" spans="1:27" s="326" customFormat="1" hidden="1" outlineLevel="2" x14ac:dyDescent="0.3">
      <c r="E1071" s="326" t="s">
        <v>2043</v>
      </c>
      <c r="F1071" s="336"/>
      <c r="G1071" s="327"/>
      <c r="H1071" s="328"/>
      <c r="I1071" s="329"/>
      <c r="J1071" s="338">
        <v>0</v>
      </c>
      <c r="K1071" s="330">
        <v>0</v>
      </c>
      <c r="L1071" s="330">
        <v>0</v>
      </c>
      <c r="M1071" s="330">
        <v>0</v>
      </c>
      <c r="N1071" s="330">
        <v>0</v>
      </c>
      <c r="O1071" s="330">
        <v>0</v>
      </c>
      <c r="P1071" s="330">
        <v>0</v>
      </c>
      <c r="Q1071" s="330">
        <v>0</v>
      </c>
      <c r="R1071" s="330">
        <v>0</v>
      </c>
      <c r="S1071" s="330">
        <v>0</v>
      </c>
      <c r="T1071" s="330">
        <v>0</v>
      </c>
      <c r="U1071" s="331">
        <v>0</v>
      </c>
      <c r="V1071" s="332">
        <v>0</v>
      </c>
      <c r="W1071" s="333"/>
      <c r="X1071" s="334">
        <v>0</v>
      </c>
      <c r="Y1071" s="335">
        <v>0</v>
      </c>
      <c r="AA1071" s="388"/>
    </row>
    <row r="1072" spans="1:27" s="326" customFormat="1" hidden="1" outlineLevel="2" x14ac:dyDescent="0.3">
      <c r="E1072" s="326" t="s">
        <v>2044</v>
      </c>
      <c r="F1072" s="336"/>
      <c r="G1072" s="327"/>
      <c r="H1072" s="328"/>
      <c r="I1072" s="329"/>
      <c r="J1072" s="338">
        <v>0</v>
      </c>
      <c r="K1072" s="330">
        <v>0</v>
      </c>
      <c r="L1072" s="330">
        <v>0</v>
      </c>
      <c r="M1072" s="330">
        <v>0</v>
      </c>
      <c r="N1072" s="330">
        <v>0</v>
      </c>
      <c r="O1072" s="330">
        <v>0</v>
      </c>
      <c r="P1072" s="330">
        <v>0</v>
      </c>
      <c r="Q1072" s="330">
        <v>0</v>
      </c>
      <c r="R1072" s="330">
        <v>0</v>
      </c>
      <c r="S1072" s="330">
        <v>0</v>
      </c>
      <c r="T1072" s="330">
        <v>0</v>
      </c>
      <c r="U1072" s="331">
        <v>0</v>
      </c>
      <c r="V1072" s="332">
        <v>0</v>
      </c>
      <c r="W1072" s="333"/>
      <c r="X1072" s="334">
        <v>0</v>
      </c>
      <c r="Y1072" s="335">
        <v>0</v>
      </c>
      <c r="AA1072" s="388"/>
    </row>
    <row r="1073" spans="1:27" hidden="1" collapsed="1" x14ac:dyDescent="0.3">
      <c r="A1073" s="233"/>
      <c r="B1073" s="234" t="s">
        <v>78</v>
      </c>
      <c r="D1073" s="293" t="s">
        <v>2045</v>
      </c>
      <c r="E1073" s="294"/>
      <c r="F1073" s="295" t="s">
        <v>2046</v>
      </c>
      <c r="G1073" s="296"/>
      <c r="H1073" s="297"/>
      <c r="I1073" s="298"/>
      <c r="J1073" s="299">
        <v>0</v>
      </c>
      <c r="K1073" s="300">
        <v>0</v>
      </c>
      <c r="L1073" s="300">
        <v>161811.954</v>
      </c>
      <c r="M1073" s="300">
        <v>0</v>
      </c>
      <c r="N1073" s="300">
        <v>0</v>
      </c>
      <c r="O1073" s="300">
        <v>1789683.5320000001</v>
      </c>
      <c r="P1073" s="300">
        <v>0</v>
      </c>
      <c r="Q1073" s="300">
        <v>0</v>
      </c>
      <c r="R1073" s="300">
        <v>2245878.3969999999</v>
      </c>
      <c r="S1073" s="300">
        <v>0</v>
      </c>
      <c r="T1073" s="300">
        <v>0</v>
      </c>
      <c r="U1073" s="301">
        <v>37324939.170000002</v>
      </c>
      <c r="V1073" s="302">
        <v>41522313.052999996</v>
      </c>
      <c r="W1073" s="303"/>
      <c r="X1073" s="304">
        <v>37324939.170000002</v>
      </c>
      <c r="Y1073" s="305">
        <v>41522313.052999996</v>
      </c>
      <c r="AA1073" s="388"/>
    </row>
    <row r="1074" spans="1:27" hidden="1" outlineLevel="1" x14ac:dyDescent="0.3">
      <c r="E1074" t="s">
        <v>2047</v>
      </c>
      <c r="F1074" s="317">
        <v>4408510</v>
      </c>
      <c r="G1074" s="318"/>
      <c r="H1074" s="319">
        <v>7501320101</v>
      </c>
      <c r="I1074" s="320"/>
      <c r="J1074" s="337">
        <v>0</v>
      </c>
      <c r="K1074" s="321">
        <v>0</v>
      </c>
      <c r="L1074" s="321">
        <v>0</v>
      </c>
      <c r="M1074" s="321">
        <v>0</v>
      </c>
      <c r="N1074" s="321">
        <v>0</v>
      </c>
      <c r="O1074" s="321">
        <v>0</v>
      </c>
      <c r="P1074" s="321">
        <v>0</v>
      </c>
      <c r="Q1074" s="321">
        <v>0</v>
      </c>
      <c r="R1074" s="321">
        <v>0</v>
      </c>
      <c r="S1074" s="321">
        <v>0</v>
      </c>
      <c r="T1074" s="321">
        <v>0</v>
      </c>
      <c r="U1074" s="322">
        <v>2412409.1039999998</v>
      </c>
      <c r="V1074" s="323">
        <v>2412409.1039999998</v>
      </c>
      <c r="W1074" s="303"/>
      <c r="X1074" s="324">
        <v>2412409.1039999998</v>
      </c>
      <c r="Y1074" s="325">
        <v>2412409.1039999998</v>
      </c>
      <c r="AA1074" s="388"/>
    </row>
    <row r="1075" spans="1:27" hidden="1" outlineLevel="1" x14ac:dyDescent="0.3">
      <c r="E1075" t="s">
        <v>2048</v>
      </c>
      <c r="F1075" s="317">
        <v>4408511</v>
      </c>
      <c r="G1075" s="318"/>
      <c r="H1075" s="319">
        <v>7501320102</v>
      </c>
      <c r="I1075" s="320"/>
      <c r="J1075" s="337">
        <v>0</v>
      </c>
      <c r="K1075" s="321">
        <v>0</v>
      </c>
      <c r="L1075" s="321">
        <v>161811.954</v>
      </c>
      <c r="M1075" s="321">
        <v>0</v>
      </c>
      <c r="N1075" s="321">
        <v>0</v>
      </c>
      <c r="O1075" s="321">
        <v>-161811.954</v>
      </c>
      <c r="P1075" s="321">
        <v>0</v>
      </c>
      <c r="Q1075" s="321">
        <v>0</v>
      </c>
      <c r="R1075" s="321">
        <v>882262.85800000001</v>
      </c>
      <c r="S1075" s="321">
        <v>0</v>
      </c>
      <c r="T1075" s="321">
        <v>0</v>
      </c>
      <c r="U1075" s="322">
        <v>4563541.8849999998</v>
      </c>
      <c r="V1075" s="323">
        <v>5445804.7429999998</v>
      </c>
      <c r="W1075" s="303"/>
      <c r="X1075" s="324">
        <v>4563541.8849999998</v>
      </c>
      <c r="Y1075" s="325">
        <v>5445804.7429999998</v>
      </c>
      <c r="AA1075" s="388"/>
    </row>
    <row r="1076" spans="1:27" hidden="1" outlineLevel="1" x14ac:dyDescent="0.3">
      <c r="E1076" t="s">
        <v>2049</v>
      </c>
      <c r="F1076" s="317">
        <v>4408512</v>
      </c>
      <c r="G1076" s="318"/>
      <c r="H1076" s="319">
        <v>7501320103</v>
      </c>
      <c r="I1076" s="320"/>
      <c r="J1076" s="337">
        <v>0</v>
      </c>
      <c r="K1076" s="321">
        <v>0</v>
      </c>
      <c r="L1076" s="321">
        <v>0</v>
      </c>
      <c r="M1076" s="321">
        <v>0</v>
      </c>
      <c r="N1076" s="321">
        <v>0</v>
      </c>
      <c r="O1076" s="321">
        <v>1950000</v>
      </c>
      <c r="P1076" s="321">
        <v>0</v>
      </c>
      <c r="Q1076" s="321">
        <v>0</v>
      </c>
      <c r="R1076" s="321">
        <v>208692</v>
      </c>
      <c r="S1076" s="321">
        <v>0</v>
      </c>
      <c r="T1076" s="321">
        <v>0</v>
      </c>
      <c r="U1076" s="322">
        <v>3314490.7310000001</v>
      </c>
      <c r="V1076" s="323">
        <v>5473182.7310000006</v>
      </c>
      <c r="W1076" s="303"/>
      <c r="X1076" s="324">
        <v>3314490.7310000001</v>
      </c>
      <c r="Y1076" s="325">
        <v>5473182.7310000006</v>
      </c>
      <c r="AA1076" s="388"/>
    </row>
    <row r="1077" spans="1:27" hidden="1" outlineLevel="1" x14ac:dyDescent="0.3">
      <c r="E1077" t="s">
        <v>2050</v>
      </c>
      <c r="F1077" s="317">
        <v>4408513</v>
      </c>
      <c r="G1077" s="318"/>
      <c r="H1077" s="319"/>
      <c r="I1077" s="320"/>
      <c r="J1077" s="337">
        <v>0</v>
      </c>
      <c r="K1077" s="321">
        <v>0</v>
      </c>
      <c r="L1077" s="321">
        <v>0</v>
      </c>
      <c r="M1077" s="321">
        <v>0</v>
      </c>
      <c r="N1077" s="321">
        <v>0</v>
      </c>
      <c r="O1077" s="321">
        <v>1495.4860000000001</v>
      </c>
      <c r="P1077" s="321">
        <v>0</v>
      </c>
      <c r="Q1077" s="321">
        <v>0</v>
      </c>
      <c r="R1077" s="321">
        <v>1154923.5390000001</v>
      </c>
      <c r="S1077" s="321">
        <v>0</v>
      </c>
      <c r="T1077" s="321">
        <v>0</v>
      </c>
      <c r="U1077" s="322">
        <v>27034497.449999999</v>
      </c>
      <c r="V1077" s="323">
        <v>28190916.474999998</v>
      </c>
      <c r="W1077" s="303"/>
      <c r="X1077" s="324">
        <v>27034497.449999999</v>
      </c>
      <c r="Y1077" s="325">
        <v>28190916.474999998</v>
      </c>
      <c r="AA1077" s="388"/>
    </row>
    <row r="1078" spans="1:27" hidden="1" outlineLevel="1" x14ac:dyDescent="0.3">
      <c r="E1078" t="s">
        <v>2051</v>
      </c>
      <c r="F1078" s="317">
        <v>4408514</v>
      </c>
      <c r="G1078" s="318"/>
      <c r="H1078" s="319"/>
      <c r="I1078" s="320"/>
      <c r="J1078" s="337">
        <v>0</v>
      </c>
      <c r="K1078" s="321">
        <v>0</v>
      </c>
      <c r="L1078" s="321">
        <v>0</v>
      </c>
      <c r="M1078" s="321">
        <v>0</v>
      </c>
      <c r="N1078" s="321">
        <v>0</v>
      </c>
      <c r="O1078" s="321">
        <v>0</v>
      </c>
      <c r="P1078" s="321">
        <v>0</v>
      </c>
      <c r="Q1078" s="321">
        <v>0</v>
      </c>
      <c r="R1078" s="321">
        <v>0</v>
      </c>
      <c r="S1078" s="321">
        <v>0</v>
      </c>
      <c r="T1078" s="321">
        <v>0</v>
      </c>
      <c r="U1078" s="322">
        <v>0</v>
      </c>
      <c r="V1078" s="323">
        <v>0</v>
      </c>
      <c r="W1078" s="303"/>
      <c r="X1078" s="324">
        <v>0</v>
      </c>
      <c r="Y1078" s="325">
        <v>0</v>
      </c>
      <c r="AA1078" s="388"/>
    </row>
    <row r="1079" spans="1:27" s="326" customFormat="1" hidden="1" outlineLevel="2" x14ac:dyDescent="0.3">
      <c r="E1079" s="326" t="s">
        <v>2052</v>
      </c>
      <c r="F1079" s="336"/>
      <c r="G1079" s="327"/>
      <c r="H1079" s="328"/>
      <c r="I1079" s="329"/>
      <c r="J1079" s="338">
        <v>0</v>
      </c>
      <c r="K1079" s="330">
        <v>0</v>
      </c>
      <c r="L1079" s="330">
        <v>0</v>
      </c>
      <c r="M1079" s="330">
        <v>0</v>
      </c>
      <c r="N1079" s="330">
        <v>0</v>
      </c>
      <c r="O1079" s="330">
        <v>0</v>
      </c>
      <c r="P1079" s="330">
        <v>0</v>
      </c>
      <c r="Q1079" s="330">
        <v>0</v>
      </c>
      <c r="R1079" s="330">
        <v>0</v>
      </c>
      <c r="S1079" s="330">
        <v>0</v>
      </c>
      <c r="T1079" s="330">
        <v>0</v>
      </c>
      <c r="U1079" s="331">
        <v>0</v>
      </c>
      <c r="V1079" s="332">
        <v>0</v>
      </c>
      <c r="W1079" s="333"/>
      <c r="X1079" s="334">
        <v>0</v>
      </c>
      <c r="Y1079" s="335">
        <v>0</v>
      </c>
      <c r="AA1079" s="388"/>
    </row>
    <row r="1080" spans="1:27" s="326" customFormat="1" hidden="1" outlineLevel="2" x14ac:dyDescent="0.3">
      <c r="E1080" s="326" t="s">
        <v>2053</v>
      </c>
      <c r="F1080" s="336"/>
      <c r="G1080" s="327"/>
      <c r="H1080" s="328"/>
      <c r="I1080" s="329"/>
      <c r="J1080" s="338">
        <v>0</v>
      </c>
      <c r="K1080" s="330">
        <v>0</v>
      </c>
      <c r="L1080" s="330">
        <v>0</v>
      </c>
      <c r="M1080" s="330">
        <v>0</v>
      </c>
      <c r="N1080" s="330">
        <v>0</v>
      </c>
      <c r="O1080" s="330">
        <v>0</v>
      </c>
      <c r="P1080" s="330">
        <v>0</v>
      </c>
      <c r="Q1080" s="330">
        <v>0</v>
      </c>
      <c r="R1080" s="330">
        <v>0</v>
      </c>
      <c r="S1080" s="330">
        <v>0</v>
      </c>
      <c r="T1080" s="330">
        <v>0</v>
      </c>
      <c r="U1080" s="331">
        <v>0</v>
      </c>
      <c r="V1080" s="332">
        <v>0</v>
      </c>
      <c r="W1080" s="333"/>
      <c r="X1080" s="334">
        <v>0</v>
      </c>
      <c r="Y1080" s="335">
        <v>0</v>
      </c>
      <c r="AA1080" s="388"/>
    </row>
    <row r="1081" spans="1:27" s="326" customFormat="1" hidden="1" outlineLevel="2" x14ac:dyDescent="0.3">
      <c r="E1081" s="326" t="s">
        <v>2054</v>
      </c>
      <c r="F1081" s="336"/>
      <c r="G1081" s="327"/>
      <c r="H1081" s="328"/>
      <c r="I1081" s="329"/>
      <c r="J1081" s="338">
        <v>0</v>
      </c>
      <c r="K1081" s="330">
        <v>0</v>
      </c>
      <c r="L1081" s="330">
        <v>0</v>
      </c>
      <c r="M1081" s="330">
        <v>0</v>
      </c>
      <c r="N1081" s="330">
        <v>0</v>
      </c>
      <c r="O1081" s="330">
        <v>0</v>
      </c>
      <c r="P1081" s="330">
        <v>0</v>
      </c>
      <c r="Q1081" s="330">
        <v>0</v>
      </c>
      <c r="R1081" s="330">
        <v>0</v>
      </c>
      <c r="S1081" s="330">
        <v>0</v>
      </c>
      <c r="T1081" s="330">
        <v>0</v>
      </c>
      <c r="U1081" s="331">
        <v>0</v>
      </c>
      <c r="V1081" s="332">
        <v>0</v>
      </c>
      <c r="W1081" s="333"/>
      <c r="X1081" s="334">
        <v>0</v>
      </c>
      <c r="Y1081" s="335">
        <v>0</v>
      </c>
      <c r="AA1081" s="388"/>
    </row>
    <row r="1082" spans="1:27" hidden="1" collapsed="1" x14ac:dyDescent="0.3">
      <c r="A1082" s="233"/>
      <c r="B1082" s="234" t="s">
        <v>78</v>
      </c>
      <c r="D1082" s="293" t="s">
        <v>2055</v>
      </c>
      <c r="E1082" s="294"/>
      <c r="F1082" s="295" t="s">
        <v>2056</v>
      </c>
      <c r="G1082" s="296"/>
      <c r="H1082" s="297"/>
      <c r="I1082" s="298"/>
      <c r="J1082" s="299">
        <v>0</v>
      </c>
      <c r="K1082" s="300">
        <v>0</v>
      </c>
      <c r="L1082" s="300">
        <v>818300.35600000003</v>
      </c>
      <c r="M1082" s="300">
        <v>0</v>
      </c>
      <c r="N1082" s="300">
        <v>0</v>
      </c>
      <c r="O1082" s="300">
        <v>0</v>
      </c>
      <c r="P1082" s="300">
        <v>0</v>
      </c>
      <c r="Q1082" s="300">
        <v>0</v>
      </c>
      <c r="R1082" s="300">
        <v>100</v>
      </c>
      <c r="S1082" s="300">
        <v>209822.57500000001</v>
      </c>
      <c r="T1082" s="300">
        <v>4918406.0199999996</v>
      </c>
      <c r="U1082" s="301">
        <v>217112.35</v>
      </c>
      <c r="V1082" s="302">
        <v>6163741.300999999</v>
      </c>
      <c r="W1082" s="303"/>
      <c r="X1082" s="304">
        <v>217112.35</v>
      </c>
      <c r="Y1082" s="305">
        <v>6163741.300999999</v>
      </c>
      <c r="AA1082" s="388"/>
    </row>
    <row r="1083" spans="1:27" hidden="1" outlineLevel="1" x14ac:dyDescent="0.3">
      <c r="E1083" t="s">
        <v>2057</v>
      </c>
      <c r="F1083" s="317">
        <v>4402580</v>
      </c>
      <c r="G1083" s="318"/>
      <c r="H1083" s="319">
        <v>7501070101</v>
      </c>
      <c r="I1083" s="320"/>
      <c r="J1083" s="337">
        <v>0</v>
      </c>
      <c r="K1083" s="321">
        <v>0</v>
      </c>
      <c r="L1083" s="321">
        <v>818300.35600000003</v>
      </c>
      <c r="M1083" s="321">
        <v>0</v>
      </c>
      <c r="N1083" s="321">
        <v>0</v>
      </c>
      <c r="O1083" s="321">
        <v>0</v>
      </c>
      <c r="P1083" s="321">
        <v>0</v>
      </c>
      <c r="Q1083" s="321">
        <v>0</v>
      </c>
      <c r="R1083" s="321">
        <v>0</v>
      </c>
      <c r="S1083" s="321">
        <v>0</v>
      </c>
      <c r="T1083" s="321">
        <v>4482528.3949999996</v>
      </c>
      <c r="U1083" s="322">
        <v>0</v>
      </c>
      <c r="V1083" s="323">
        <v>5300828.7509999992</v>
      </c>
      <c r="W1083" s="303"/>
      <c r="X1083" s="324">
        <v>0</v>
      </c>
      <c r="Y1083" s="325">
        <v>5300828.7509999992</v>
      </c>
      <c r="AA1083" s="388"/>
    </row>
    <row r="1084" spans="1:27" hidden="1" outlineLevel="1" x14ac:dyDescent="0.3">
      <c r="E1084" t="s">
        <v>2058</v>
      </c>
      <c r="F1084" s="317">
        <v>4402505</v>
      </c>
      <c r="G1084" s="318"/>
      <c r="H1084" s="319"/>
      <c r="I1084" s="320"/>
      <c r="J1084" s="337">
        <v>0</v>
      </c>
      <c r="K1084" s="321">
        <v>0</v>
      </c>
      <c r="L1084" s="321">
        <v>0</v>
      </c>
      <c r="M1084" s="321">
        <v>0</v>
      </c>
      <c r="N1084" s="321">
        <v>0</v>
      </c>
      <c r="O1084" s="321">
        <v>0</v>
      </c>
      <c r="P1084" s="321">
        <v>0</v>
      </c>
      <c r="Q1084" s="321">
        <v>0</v>
      </c>
      <c r="R1084" s="321">
        <v>0</v>
      </c>
      <c r="S1084" s="321">
        <v>0</v>
      </c>
      <c r="T1084" s="321">
        <v>0</v>
      </c>
      <c r="U1084" s="322">
        <v>0</v>
      </c>
      <c r="V1084" s="323">
        <v>0</v>
      </c>
      <c r="W1084" s="303"/>
      <c r="X1084" s="324">
        <v>0</v>
      </c>
      <c r="Y1084" s="325">
        <v>0</v>
      </c>
      <c r="AA1084" s="388"/>
    </row>
    <row r="1085" spans="1:27" hidden="1" outlineLevel="1" x14ac:dyDescent="0.3">
      <c r="E1085" t="s">
        <v>2059</v>
      </c>
      <c r="F1085" s="317">
        <v>4402506</v>
      </c>
      <c r="G1085" s="318"/>
      <c r="H1085" s="319"/>
      <c r="I1085" s="320"/>
      <c r="J1085" s="337">
        <v>0</v>
      </c>
      <c r="K1085" s="321">
        <v>0</v>
      </c>
      <c r="L1085" s="321">
        <v>0</v>
      </c>
      <c r="M1085" s="321">
        <v>0</v>
      </c>
      <c r="N1085" s="321">
        <v>0</v>
      </c>
      <c r="O1085" s="321">
        <v>0</v>
      </c>
      <c r="P1085" s="321">
        <v>0</v>
      </c>
      <c r="Q1085" s="321">
        <v>0</v>
      </c>
      <c r="R1085" s="321">
        <v>0</v>
      </c>
      <c r="S1085" s="321">
        <v>209822.57500000001</v>
      </c>
      <c r="T1085" s="321">
        <v>435877.625</v>
      </c>
      <c r="U1085" s="322">
        <v>217112.35</v>
      </c>
      <c r="V1085" s="323">
        <v>862812.54999999993</v>
      </c>
      <c r="W1085" s="303"/>
      <c r="X1085" s="324">
        <v>217112.35</v>
      </c>
      <c r="Y1085" s="325">
        <v>862812.54999999993</v>
      </c>
      <c r="AA1085" s="388"/>
    </row>
    <row r="1086" spans="1:27" hidden="1" outlineLevel="1" x14ac:dyDescent="0.3">
      <c r="E1086" t="s">
        <v>2060</v>
      </c>
      <c r="F1086" s="317">
        <v>4402507</v>
      </c>
      <c r="G1086" s="318"/>
      <c r="H1086" s="319"/>
      <c r="I1086" s="320"/>
      <c r="J1086" s="337">
        <v>0</v>
      </c>
      <c r="K1086" s="321">
        <v>0</v>
      </c>
      <c r="L1086" s="321">
        <v>0</v>
      </c>
      <c r="M1086" s="321">
        <v>0</v>
      </c>
      <c r="N1086" s="321">
        <v>0</v>
      </c>
      <c r="O1086" s="321">
        <v>0</v>
      </c>
      <c r="P1086" s="321">
        <v>0</v>
      </c>
      <c r="Q1086" s="321">
        <v>0</v>
      </c>
      <c r="R1086" s="321">
        <v>100</v>
      </c>
      <c r="S1086" s="321">
        <v>0</v>
      </c>
      <c r="T1086" s="321">
        <v>0</v>
      </c>
      <c r="U1086" s="322">
        <v>0</v>
      </c>
      <c r="V1086" s="323">
        <v>100</v>
      </c>
      <c r="W1086" s="303"/>
      <c r="X1086" s="324">
        <v>0</v>
      </c>
      <c r="Y1086" s="325">
        <v>100</v>
      </c>
      <c r="AA1086" s="388"/>
    </row>
    <row r="1087" spans="1:27" hidden="1" outlineLevel="1" x14ac:dyDescent="0.3">
      <c r="E1087" t="s">
        <v>2061</v>
      </c>
      <c r="F1087" s="317">
        <v>4402508</v>
      </c>
      <c r="G1087" s="318"/>
      <c r="H1087" s="319"/>
      <c r="I1087" s="320"/>
      <c r="J1087" s="337">
        <v>0</v>
      </c>
      <c r="K1087" s="321">
        <v>0</v>
      </c>
      <c r="L1087" s="321">
        <v>0</v>
      </c>
      <c r="M1087" s="321">
        <v>0</v>
      </c>
      <c r="N1087" s="321">
        <v>0</v>
      </c>
      <c r="O1087" s="321">
        <v>0</v>
      </c>
      <c r="P1087" s="321">
        <v>0</v>
      </c>
      <c r="Q1087" s="321">
        <v>0</v>
      </c>
      <c r="R1087" s="321">
        <v>0</v>
      </c>
      <c r="S1087" s="321">
        <v>0</v>
      </c>
      <c r="T1087" s="321">
        <v>0</v>
      </c>
      <c r="U1087" s="322">
        <v>0</v>
      </c>
      <c r="V1087" s="323">
        <v>0</v>
      </c>
      <c r="W1087" s="303"/>
      <c r="X1087" s="324">
        <v>0</v>
      </c>
      <c r="Y1087" s="325">
        <v>0</v>
      </c>
      <c r="AA1087" s="388"/>
    </row>
    <row r="1088" spans="1:27" s="326" customFormat="1" hidden="1" outlineLevel="2" x14ac:dyDescent="0.3">
      <c r="E1088" s="326" t="s">
        <v>2062</v>
      </c>
      <c r="F1088" s="336"/>
      <c r="G1088" s="327"/>
      <c r="H1088" s="328"/>
      <c r="I1088" s="329"/>
      <c r="J1088" s="338">
        <v>0</v>
      </c>
      <c r="K1088" s="330">
        <v>0</v>
      </c>
      <c r="L1088" s="330">
        <v>0</v>
      </c>
      <c r="M1088" s="330">
        <v>0</v>
      </c>
      <c r="N1088" s="330">
        <v>0</v>
      </c>
      <c r="O1088" s="330">
        <v>0</v>
      </c>
      <c r="P1088" s="330">
        <v>0</v>
      </c>
      <c r="Q1088" s="330">
        <v>0</v>
      </c>
      <c r="R1088" s="330">
        <v>0</v>
      </c>
      <c r="S1088" s="330">
        <v>0</v>
      </c>
      <c r="T1088" s="330">
        <v>0</v>
      </c>
      <c r="U1088" s="331">
        <v>0</v>
      </c>
      <c r="V1088" s="332">
        <v>0</v>
      </c>
      <c r="W1088" s="333"/>
      <c r="X1088" s="334">
        <v>0</v>
      </c>
      <c r="Y1088" s="335">
        <v>0</v>
      </c>
      <c r="AA1088" s="388"/>
    </row>
    <row r="1089" spans="1:27" s="326" customFormat="1" hidden="1" outlineLevel="2" x14ac:dyDescent="0.3">
      <c r="E1089" s="326" t="s">
        <v>2063</v>
      </c>
      <c r="F1089" s="336"/>
      <c r="G1089" s="327"/>
      <c r="H1089" s="328"/>
      <c r="I1089" s="329"/>
      <c r="J1089" s="338">
        <v>0</v>
      </c>
      <c r="K1089" s="330">
        <v>0</v>
      </c>
      <c r="L1089" s="330">
        <v>0</v>
      </c>
      <c r="M1089" s="330">
        <v>0</v>
      </c>
      <c r="N1089" s="330">
        <v>0</v>
      </c>
      <c r="O1089" s="330">
        <v>0</v>
      </c>
      <c r="P1089" s="330">
        <v>0</v>
      </c>
      <c r="Q1089" s="330">
        <v>0</v>
      </c>
      <c r="R1089" s="330">
        <v>0</v>
      </c>
      <c r="S1089" s="330">
        <v>0</v>
      </c>
      <c r="T1089" s="330">
        <v>0</v>
      </c>
      <c r="U1089" s="331">
        <v>0</v>
      </c>
      <c r="V1089" s="332">
        <v>0</v>
      </c>
      <c r="W1089" s="333"/>
      <c r="X1089" s="334">
        <v>0</v>
      </c>
      <c r="Y1089" s="335">
        <v>0</v>
      </c>
      <c r="AA1089" s="388"/>
    </row>
    <row r="1090" spans="1:27" s="326" customFormat="1" hidden="1" outlineLevel="2" x14ac:dyDescent="0.3">
      <c r="E1090" s="326" t="s">
        <v>2062</v>
      </c>
      <c r="F1090" s="336"/>
      <c r="G1090" s="327"/>
      <c r="H1090" s="328"/>
      <c r="I1090" s="329"/>
      <c r="J1090" s="338">
        <v>0</v>
      </c>
      <c r="K1090" s="330">
        <v>0</v>
      </c>
      <c r="L1090" s="330">
        <v>0</v>
      </c>
      <c r="M1090" s="330">
        <v>0</v>
      </c>
      <c r="N1090" s="330">
        <v>0</v>
      </c>
      <c r="O1090" s="330">
        <v>0</v>
      </c>
      <c r="P1090" s="330">
        <v>0</v>
      </c>
      <c r="Q1090" s="330">
        <v>0</v>
      </c>
      <c r="R1090" s="330">
        <v>0</v>
      </c>
      <c r="S1090" s="330">
        <v>0</v>
      </c>
      <c r="T1090" s="330">
        <v>0</v>
      </c>
      <c r="U1090" s="331">
        <v>0</v>
      </c>
      <c r="V1090" s="332">
        <v>0</v>
      </c>
      <c r="W1090" s="333"/>
      <c r="X1090" s="334">
        <v>0</v>
      </c>
      <c r="Y1090" s="335">
        <v>0</v>
      </c>
      <c r="AA1090" s="388"/>
    </row>
    <row r="1091" spans="1:27" hidden="1" collapsed="1" x14ac:dyDescent="0.3">
      <c r="A1091" s="233"/>
      <c r="B1091" s="234" t="s">
        <v>78</v>
      </c>
      <c r="D1091" s="293" t="s">
        <v>2064</v>
      </c>
      <c r="E1091" s="294"/>
      <c r="F1091" s="295" t="s">
        <v>2065</v>
      </c>
      <c r="G1091" s="296"/>
      <c r="H1091" s="297"/>
      <c r="I1091" s="298"/>
      <c r="J1091" s="299">
        <v>0</v>
      </c>
      <c r="K1091" s="300">
        <v>0</v>
      </c>
      <c r="L1091" s="300">
        <v>0</v>
      </c>
      <c r="M1091" s="300">
        <v>3348.66</v>
      </c>
      <c r="N1091" s="300">
        <v>0</v>
      </c>
      <c r="O1091" s="300">
        <v>0</v>
      </c>
      <c r="P1091" s="300">
        <v>0</v>
      </c>
      <c r="Q1091" s="300">
        <v>0</v>
      </c>
      <c r="R1091" s="300">
        <v>0</v>
      </c>
      <c r="S1091" s="300">
        <v>0</v>
      </c>
      <c r="T1091" s="300">
        <v>0</v>
      </c>
      <c r="U1091" s="301">
        <v>0</v>
      </c>
      <c r="V1091" s="302">
        <v>3348.66</v>
      </c>
      <c r="W1091" s="303"/>
      <c r="X1091" s="304">
        <v>0</v>
      </c>
      <c r="Y1091" s="305">
        <v>3348.66</v>
      </c>
      <c r="AA1091" s="388"/>
    </row>
    <row r="1092" spans="1:27" hidden="1" outlineLevel="1" x14ac:dyDescent="0.3">
      <c r="E1092" t="s">
        <v>2066</v>
      </c>
      <c r="F1092" s="317">
        <v>4402503</v>
      </c>
      <c r="G1092" s="318"/>
      <c r="H1092" s="319">
        <v>7501110102</v>
      </c>
      <c r="I1092" s="320"/>
      <c r="J1092" s="337">
        <v>0</v>
      </c>
      <c r="K1092" s="321">
        <v>0</v>
      </c>
      <c r="L1092" s="321">
        <v>0</v>
      </c>
      <c r="M1092" s="321">
        <v>3348.66</v>
      </c>
      <c r="N1092" s="321">
        <v>0</v>
      </c>
      <c r="O1092" s="321">
        <v>0</v>
      </c>
      <c r="P1092" s="321">
        <v>0</v>
      </c>
      <c r="Q1092" s="321">
        <v>0</v>
      </c>
      <c r="R1092" s="321">
        <v>0</v>
      </c>
      <c r="S1092" s="321">
        <v>0</v>
      </c>
      <c r="T1092" s="321">
        <v>0</v>
      </c>
      <c r="U1092" s="322">
        <v>0</v>
      </c>
      <c r="V1092" s="323">
        <v>3348.66</v>
      </c>
      <c r="W1092" s="303"/>
      <c r="X1092" s="324">
        <v>0</v>
      </c>
      <c r="Y1092" s="325">
        <v>3348.66</v>
      </c>
      <c r="AA1092" s="388"/>
    </row>
    <row r="1093" spans="1:27" hidden="1" outlineLevel="2" x14ac:dyDescent="0.3">
      <c r="E1093" s="326" t="s">
        <v>2067</v>
      </c>
      <c r="F1093" s="317"/>
      <c r="G1093" s="318"/>
      <c r="H1093" s="319"/>
      <c r="I1093" s="320"/>
      <c r="J1093" s="337">
        <v>0</v>
      </c>
      <c r="K1093" s="321">
        <v>0</v>
      </c>
      <c r="L1093" s="321">
        <v>0</v>
      </c>
      <c r="M1093" s="321">
        <v>0</v>
      </c>
      <c r="N1093" s="321">
        <v>0</v>
      </c>
      <c r="O1093" s="321">
        <v>0</v>
      </c>
      <c r="P1093" s="321">
        <v>0</v>
      </c>
      <c r="Q1093" s="321">
        <v>0</v>
      </c>
      <c r="R1093" s="321">
        <v>0</v>
      </c>
      <c r="S1093" s="321">
        <v>0</v>
      </c>
      <c r="T1093" s="321">
        <v>0</v>
      </c>
      <c r="U1093" s="322">
        <v>0</v>
      </c>
      <c r="V1093" s="323">
        <v>0</v>
      </c>
      <c r="W1093" s="303"/>
      <c r="X1093" s="324">
        <v>0</v>
      </c>
      <c r="Y1093" s="325">
        <v>0</v>
      </c>
      <c r="AA1093" s="388"/>
    </row>
    <row r="1094" spans="1:27" hidden="1" outlineLevel="2" x14ac:dyDescent="0.3">
      <c r="E1094" s="326" t="s">
        <v>2068</v>
      </c>
      <c r="F1094" s="317"/>
      <c r="G1094" s="318"/>
      <c r="H1094" s="319"/>
      <c r="I1094" s="320"/>
      <c r="J1094" s="337">
        <v>0</v>
      </c>
      <c r="K1094" s="321">
        <v>0</v>
      </c>
      <c r="L1094" s="321">
        <v>0</v>
      </c>
      <c r="M1094" s="321">
        <v>0</v>
      </c>
      <c r="N1094" s="321">
        <v>0</v>
      </c>
      <c r="O1094" s="321">
        <v>0</v>
      </c>
      <c r="P1094" s="321">
        <v>0</v>
      </c>
      <c r="Q1094" s="321">
        <v>0</v>
      </c>
      <c r="R1094" s="321">
        <v>0</v>
      </c>
      <c r="S1094" s="321">
        <v>0</v>
      </c>
      <c r="T1094" s="321">
        <v>0</v>
      </c>
      <c r="U1094" s="322">
        <v>0</v>
      </c>
      <c r="V1094" s="323">
        <v>0</v>
      </c>
      <c r="W1094" s="303"/>
      <c r="X1094" s="324">
        <v>0</v>
      </c>
      <c r="Y1094" s="325">
        <v>0</v>
      </c>
      <c r="AA1094" s="388"/>
    </row>
    <row r="1095" spans="1:27" hidden="1" outlineLevel="2" x14ac:dyDescent="0.3">
      <c r="E1095" s="326" t="s">
        <v>2069</v>
      </c>
      <c r="F1095" s="317"/>
      <c r="G1095" s="318"/>
      <c r="H1095" s="319"/>
      <c r="I1095" s="320"/>
      <c r="J1095" s="337">
        <v>0</v>
      </c>
      <c r="K1095" s="321">
        <v>0</v>
      </c>
      <c r="L1095" s="321">
        <v>0</v>
      </c>
      <c r="M1095" s="321">
        <v>0</v>
      </c>
      <c r="N1095" s="321">
        <v>0</v>
      </c>
      <c r="O1095" s="321">
        <v>0</v>
      </c>
      <c r="P1095" s="321">
        <v>0</v>
      </c>
      <c r="Q1095" s="321">
        <v>0</v>
      </c>
      <c r="R1095" s="321">
        <v>0</v>
      </c>
      <c r="S1095" s="321">
        <v>0</v>
      </c>
      <c r="T1095" s="321">
        <v>0</v>
      </c>
      <c r="U1095" s="322">
        <v>0</v>
      </c>
      <c r="V1095" s="323">
        <v>0</v>
      </c>
      <c r="W1095" s="303"/>
      <c r="X1095" s="324">
        <v>0</v>
      </c>
      <c r="Y1095" s="325">
        <v>0</v>
      </c>
      <c r="AA1095" s="388"/>
    </row>
    <row r="1096" spans="1:27" hidden="1" collapsed="1" x14ac:dyDescent="0.3">
      <c r="A1096" s="233"/>
      <c r="B1096" s="234" t="s">
        <v>78</v>
      </c>
      <c r="D1096" s="293" t="s">
        <v>2070</v>
      </c>
      <c r="E1096" s="294"/>
      <c r="F1096" s="295" t="s">
        <v>2071</v>
      </c>
      <c r="G1096" s="296"/>
      <c r="H1096" s="297"/>
      <c r="I1096" s="298"/>
      <c r="J1096" s="299">
        <v>0</v>
      </c>
      <c r="K1096" s="300">
        <v>0</v>
      </c>
      <c r="L1096" s="300">
        <v>15.698</v>
      </c>
      <c r="M1096" s="300">
        <v>0</v>
      </c>
      <c r="N1096" s="300">
        <v>0</v>
      </c>
      <c r="O1096" s="300">
        <v>0</v>
      </c>
      <c r="P1096" s="300">
        <v>0</v>
      </c>
      <c r="Q1096" s="300">
        <v>0</v>
      </c>
      <c r="R1096" s="300">
        <v>312664.13099999999</v>
      </c>
      <c r="S1096" s="300">
        <v>0</v>
      </c>
      <c r="T1096" s="300">
        <v>0</v>
      </c>
      <c r="U1096" s="301">
        <v>30187.22</v>
      </c>
      <c r="V1096" s="302">
        <v>342867.049</v>
      </c>
      <c r="W1096" s="303"/>
      <c r="X1096" s="304">
        <v>30187.22</v>
      </c>
      <c r="Y1096" s="305">
        <v>342867.049</v>
      </c>
      <c r="AA1096" s="388"/>
    </row>
    <row r="1097" spans="1:27" hidden="1" outlineLevel="1" x14ac:dyDescent="0.3">
      <c r="E1097" t="s">
        <v>2072</v>
      </c>
      <c r="F1097" s="317">
        <v>4406500</v>
      </c>
      <c r="G1097" s="318"/>
      <c r="H1097" s="319">
        <v>7501250101</v>
      </c>
      <c r="I1097" s="320"/>
      <c r="J1097" s="337">
        <v>0</v>
      </c>
      <c r="K1097" s="321">
        <v>0</v>
      </c>
      <c r="L1097" s="321">
        <v>15.698</v>
      </c>
      <c r="M1097" s="321">
        <v>0</v>
      </c>
      <c r="N1097" s="321">
        <v>0</v>
      </c>
      <c r="O1097" s="321">
        <v>0</v>
      </c>
      <c r="P1097" s="321">
        <v>0</v>
      </c>
      <c r="Q1097" s="321">
        <v>0</v>
      </c>
      <c r="R1097" s="321">
        <v>312664.13099999999</v>
      </c>
      <c r="S1097" s="321">
        <v>0</v>
      </c>
      <c r="T1097" s="321">
        <v>0</v>
      </c>
      <c r="U1097" s="322">
        <v>30187.22</v>
      </c>
      <c r="V1097" s="323">
        <v>342867.049</v>
      </c>
      <c r="W1097" s="303"/>
      <c r="X1097" s="324">
        <v>30187.22</v>
      </c>
      <c r="Y1097" s="325">
        <v>342867.049</v>
      </c>
      <c r="AA1097" s="388"/>
    </row>
    <row r="1098" spans="1:27" hidden="1" outlineLevel="2" x14ac:dyDescent="0.3">
      <c r="E1098" s="326" t="s">
        <v>2073</v>
      </c>
      <c r="F1098" s="317"/>
      <c r="G1098" s="318"/>
      <c r="H1098" s="319"/>
      <c r="I1098" s="320"/>
      <c r="J1098" s="337">
        <v>0</v>
      </c>
      <c r="K1098" s="321">
        <v>0</v>
      </c>
      <c r="L1098" s="321">
        <v>0</v>
      </c>
      <c r="M1098" s="321">
        <v>0</v>
      </c>
      <c r="N1098" s="321">
        <v>0</v>
      </c>
      <c r="O1098" s="321">
        <v>0</v>
      </c>
      <c r="P1098" s="321">
        <v>0</v>
      </c>
      <c r="Q1098" s="321">
        <v>0</v>
      </c>
      <c r="R1098" s="321">
        <v>0</v>
      </c>
      <c r="S1098" s="321">
        <v>0</v>
      </c>
      <c r="T1098" s="321">
        <v>0</v>
      </c>
      <c r="U1098" s="322">
        <v>0</v>
      </c>
      <c r="V1098" s="323">
        <v>0</v>
      </c>
      <c r="W1098" s="303"/>
      <c r="X1098" s="324">
        <v>0</v>
      </c>
      <c r="Y1098" s="325">
        <v>0</v>
      </c>
      <c r="AA1098" s="388"/>
    </row>
    <row r="1099" spans="1:27" hidden="1" outlineLevel="2" x14ac:dyDescent="0.3">
      <c r="E1099" s="326" t="s">
        <v>2074</v>
      </c>
      <c r="F1099" s="317"/>
      <c r="G1099" s="318"/>
      <c r="H1099" s="319"/>
      <c r="I1099" s="320"/>
      <c r="J1099" s="337">
        <v>0</v>
      </c>
      <c r="K1099" s="321">
        <v>0</v>
      </c>
      <c r="L1099" s="321">
        <v>0</v>
      </c>
      <c r="M1099" s="321">
        <v>0</v>
      </c>
      <c r="N1099" s="321">
        <v>0</v>
      </c>
      <c r="O1099" s="321">
        <v>0</v>
      </c>
      <c r="P1099" s="321">
        <v>0</v>
      </c>
      <c r="Q1099" s="321">
        <v>0</v>
      </c>
      <c r="R1099" s="321">
        <v>0</v>
      </c>
      <c r="S1099" s="321">
        <v>0</v>
      </c>
      <c r="T1099" s="321">
        <v>0</v>
      </c>
      <c r="U1099" s="322">
        <v>0</v>
      </c>
      <c r="V1099" s="323">
        <v>0</v>
      </c>
      <c r="W1099" s="303"/>
      <c r="X1099" s="324">
        <v>0</v>
      </c>
      <c r="Y1099" s="325">
        <v>0</v>
      </c>
      <c r="AA1099" s="388"/>
    </row>
    <row r="1100" spans="1:27" hidden="1" outlineLevel="2" x14ac:dyDescent="0.3">
      <c r="E1100" s="326" t="s">
        <v>2075</v>
      </c>
      <c r="F1100" s="317"/>
      <c r="G1100" s="318"/>
      <c r="H1100" s="319"/>
      <c r="I1100" s="320"/>
      <c r="J1100" s="337">
        <v>0</v>
      </c>
      <c r="K1100" s="321">
        <v>0</v>
      </c>
      <c r="L1100" s="321">
        <v>0</v>
      </c>
      <c r="M1100" s="321">
        <v>0</v>
      </c>
      <c r="N1100" s="321">
        <v>0</v>
      </c>
      <c r="O1100" s="321">
        <v>0</v>
      </c>
      <c r="P1100" s="321">
        <v>0</v>
      </c>
      <c r="Q1100" s="321">
        <v>0</v>
      </c>
      <c r="R1100" s="321">
        <v>0</v>
      </c>
      <c r="S1100" s="321">
        <v>0</v>
      </c>
      <c r="T1100" s="321">
        <v>0</v>
      </c>
      <c r="U1100" s="322">
        <v>0</v>
      </c>
      <c r="V1100" s="323">
        <v>0</v>
      </c>
      <c r="W1100" s="303"/>
      <c r="X1100" s="324">
        <v>0</v>
      </c>
      <c r="Y1100" s="325">
        <v>0</v>
      </c>
      <c r="AA1100" s="388"/>
    </row>
    <row r="1101" spans="1:27" hidden="1" collapsed="1" x14ac:dyDescent="0.3">
      <c r="A1101" s="233"/>
      <c r="B1101" s="234" t="s">
        <v>78</v>
      </c>
      <c r="D1101" s="293" t="s">
        <v>2076</v>
      </c>
      <c r="E1101" s="294"/>
      <c r="F1101" s="295" t="s">
        <v>2077</v>
      </c>
      <c r="G1101" s="296"/>
      <c r="H1101" s="297"/>
      <c r="I1101" s="298"/>
      <c r="J1101" s="299">
        <v>1327.78</v>
      </c>
      <c r="K1101" s="300">
        <v>5346.7709999999997</v>
      </c>
      <c r="L1101" s="300">
        <v>21153.105</v>
      </c>
      <c r="M1101" s="300">
        <v>8646.8050000000003</v>
      </c>
      <c r="N1101" s="300">
        <v>2731.8710000000001</v>
      </c>
      <c r="O1101" s="300">
        <v>3299.8530000000001</v>
      </c>
      <c r="P1101" s="300">
        <v>35470.451000000001</v>
      </c>
      <c r="Q1101" s="300">
        <v>2880.9970000000003</v>
      </c>
      <c r="R1101" s="300">
        <v>2626.9949999999999</v>
      </c>
      <c r="S1101" s="300">
        <v>4986.808</v>
      </c>
      <c r="T1101" s="300">
        <v>5871.6089999999995</v>
      </c>
      <c r="U1101" s="301">
        <v>-1219.9050000000002</v>
      </c>
      <c r="V1101" s="302">
        <v>93123.14</v>
      </c>
      <c r="W1101" s="303"/>
      <c r="X1101" s="304">
        <v>-1219.9050000000002</v>
      </c>
      <c r="Y1101" s="305">
        <v>93123.14</v>
      </c>
      <c r="AA1101" s="388"/>
    </row>
    <row r="1102" spans="1:27" hidden="1" outlineLevel="1" x14ac:dyDescent="0.3">
      <c r="E1102" t="s">
        <v>2078</v>
      </c>
      <c r="F1102" s="317">
        <v>4406501</v>
      </c>
      <c r="G1102" s="318"/>
      <c r="H1102" s="319">
        <v>7501270101</v>
      </c>
      <c r="I1102" s="320"/>
      <c r="J1102" s="337">
        <v>1327.78</v>
      </c>
      <c r="K1102" s="321">
        <v>5346.7709999999997</v>
      </c>
      <c r="L1102" s="321">
        <v>21153.105</v>
      </c>
      <c r="M1102" s="321">
        <v>8646.8050000000003</v>
      </c>
      <c r="N1102" s="321">
        <v>2731.8710000000001</v>
      </c>
      <c r="O1102" s="321">
        <v>3299.8530000000001</v>
      </c>
      <c r="P1102" s="321">
        <v>35470.451000000001</v>
      </c>
      <c r="Q1102" s="321">
        <v>2880.9970000000003</v>
      </c>
      <c r="R1102" s="321">
        <v>2626.9949999999999</v>
      </c>
      <c r="S1102" s="321">
        <v>4986.808</v>
      </c>
      <c r="T1102" s="321">
        <v>5871.6089999999995</v>
      </c>
      <c r="U1102" s="322">
        <v>-1219.9050000000002</v>
      </c>
      <c r="V1102" s="323">
        <v>93123.14</v>
      </c>
      <c r="W1102" s="303"/>
      <c r="X1102" s="324">
        <v>-1219.9050000000002</v>
      </c>
      <c r="Y1102" s="325">
        <v>93123.14</v>
      </c>
      <c r="AA1102" s="388"/>
    </row>
    <row r="1103" spans="1:27" hidden="1" outlineLevel="2" x14ac:dyDescent="0.3">
      <c r="E1103" s="326" t="s">
        <v>2079</v>
      </c>
      <c r="F1103" s="317"/>
      <c r="G1103" s="318"/>
      <c r="H1103" s="319"/>
      <c r="I1103" s="320"/>
      <c r="J1103" s="337">
        <v>0</v>
      </c>
      <c r="K1103" s="321">
        <v>0</v>
      </c>
      <c r="L1103" s="321">
        <v>0</v>
      </c>
      <c r="M1103" s="321">
        <v>0</v>
      </c>
      <c r="N1103" s="321">
        <v>0</v>
      </c>
      <c r="O1103" s="321">
        <v>0</v>
      </c>
      <c r="P1103" s="321">
        <v>0</v>
      </c>
      <c r="Q1103" s="321">
        <v>0</v>
      </c>
      <c r="R1103" s="321">
        <v>0</v>
      </c>
      <c r="S1103" s="321">
        <v>0</v>
      </c>
      <c r="T1103" s="321">
        <v>0</v>
      </c>
      <c r="U1103" s="322">
        <v>0</v>
      </c>
      <c r="V1103" s="323">
        <v>0</v>
      </c>
      <c r="W1103" s="303"/>
      <c r="X1103" s="324">
        <v>0</v>
      </c>
      <c r="Y1103" s="325">
        <v>0</v>
      </c>
      <c r="AA1103" s="388"/>
    </row>
    <row r="1104" spans="1:27" hidden="1" outlineLevel="2" x14ac:dyDescent="0.3">
      <c r="E1104" s="326" t="s">
        <v>2080</v>
      </c>
      <c r="F1104" s="317"/>
      <c r="G1104" s="318"/>
      <c r="H1104" s="319"/>
      <c r="I1104" s="320"/>
      <c r="J1104" s="337">
        <v>0</v>
      </c>
      <c r="K1104" s="321">
        <v>0</v>
      </c>
      <c r="L1104" s="321">
        <v>0</v>
      </c>
      <c r="M1104" s="321">
        <v>0</v>
      </c>
      <c r="N1104" s="321">
        <v>0</v>
      </c>
      <c r="O1104" s="321">
        <v>0</v>
      </c>
      <c r="P1104" s="321">
        <v>0</v>
      </c>
      <c r="Q1104" s="321">
        <v>0</v>
      </c>
      <c r="R1104" s="321">
        <v>0</v>
      </c>
      <c r="S1104" s="321">
        <v>0</v>
      </c>
      <c r="T1104" s="321">
        <v>0</v>
      </c>
      <c r="U1104" s="322">
        <v>0</v>
      </c>
      <c r="V1104" s="323">
        <v>0</v>
      </c>
      <c r="W1104" s="303"/>
      <c r="X1104" s="324">
        <v>0</v>
      </c>
      <c r="Y1104" s="325">
        <v>0</v>
      </c>
      <c r="AA1104" s="388"/>
    </row>
    <row r="1105" spans="1:27" hidden="1" outlineLevel="2" x14ac:dyDescent="0.3">
      <c r="E1105" s="326" t="s">
        <v>2081</v>
      </c>
      <c r="F1105" s="317"/>
      <c r="G1105" s="318"/>
      <c r="H1105" s="319"/>
      <c r="I1105" s="320"/>
      <c r="J1105" s="337">
        <v>0</v>
      </c>
      <c r="K1105" s="321">
        <v>0</v>
      </c>
      <c r="L1105" s="321">
        <v>0</v>
      </c>
      <c r="M1105" s="321">
        <v>0</v>
      </c>
      <c r="N1105" s="321">
        <v>0</v>
      </c>
      <c r="O1105" s="321">
        <v>0</v>
      </c>
      <c r="P1105" s="321">
        <v>0</v>
      </c>
      <c r="Q1105" s="321">
        <v>0</v>
      </c>
      <c r="R1105" s="321">
        <v>0</v>
      </c>
      <c r="S1105" s="321">
        <v>0</v>
      </c>
      <c r="T1105" s="321">
        <v>0</v>
      </c>
      <c r="U1105" s="322">
        <v>0</v>
      </c>
      <c r="V1105" s="323">
        <v>0</v>
      </c>
      <c r="W1105" s="303"/>
      <c r="X1105" s="324">
        <v>0</v>
      </c>
      <c r="Y1105" s="325">
        <v>0</v>
      </c>
      <c r="AA1105" s="388"/>
    </row>
    <row r="1106" spans="1:27" hidden="1" collapsed="1" x14ac:dyDescent="0.3">
      <c r="A1106" s="233"/>
      <c r="B1106" s="234" t="s">
        <v>78</v>
      </c>
      <c r="D1106" s="293" t="s">
        <v>2082</v>
      </c>
      <c r="E1106" s="294"/>
      <c r="F1106" s="295" t="s">
        <v>2083</v>
      </c>
      <c r="G1106" s="296"/>
      <c r="H1106" s="297"/>
      <c r="I1106" s="298"/>
      <c r="J1106" s="299">
        <v>0</v>
      </c>
      <c r="K1106" s="300">
        <v>0</v>
      </c>
      <c r="L1106" s="300">
        <v>0</v>
      </c>
      <c r="M1106" s="300">
        <v>0</v>
      </c>
      <c r="N1106" s="300">
        <v>0</v>
      </c>
      <c r="O1106" s="300">
        <v>0</v>
      </c>
      <c r="P1106" s="300">
        <v>0</v>
      </c>
      <c r="Q1106" s="300">
        <v>0</v>
      </c>
      <c r="R1106" s="300">
        <v>0</v>
      </c>
      <c r="S1106" s="300">
        <v>0</v>
      </c>
      <c r="T1106" s="300">
        <v>0</v>
      </c>
      <c r="U1106" s="301">
        <v>2781351.807</v>
      </c>
      <c r="V1106" s="302">
        <v>2781351.807</v>
      </c>
      <c r="W1106" s="303"/>
      <c r="X1106" s="304">
        <v>2781351.807</v>
      </c>
      <c r="Y1106" s="305">
        <v>2781351.807</v>
      </c>
      <c r="AA1106" s="388"/>
    </row>
    <row r="1107" spans="1:27" hidden="1" outlineLevel="1" x14ac:dyDescent="0.3">
      <c r="E1107" t="s">
        <v>2084</v>
      </c>
      <c r="F1107" s="317">
        <v>4408500</v>
      </c>
      <c r="G1107" s="318"/>
      <c r="H1107" s="319">
        <v>7501290101</v>
      </c>
      <c r="I1107" s="320"/>
      <c r="J1107" s="337">
        <v>0</v>
      </c>
      <c r="K1107" s="321">
        <v>0</v>
      </c>
      <c r="L1107" s="321">
        <v>0</v>
      </c>
      <c r="M1107" s="321">
        <v>0</v>
      </c>
      <c r="N1107" s="321">
        <v>0</v>
      </c>
      <c r="O1107" s="321">
        <v>0</v>
      </c>
      <c r="P1107" s="321">
        <v>0</v>
      </c>
      <c r="Q1107" s="321">
        <v>0</v>
      </c>
      <c r="R1107" s="321">
        <v>0</v>
      </c>
      <c r="S1107" s="321">
        <v>0</v>
      </c>
      <c r="T1107" s="321">
        <v>0</v>
      </c>
      <c r="U1107" s="322">
        <v>2781351.807</v>
      </c>
      <c r="V1107" s="323">
        <v>2781351.807</v>
      </c>
      <c r="W1107" s="303"/>
      <c r="X1107" s="324">
        <v>2781351.807</v>
      </c>
      <c r="Y1107" s="325">
        <v>2781351.807</v>
      </c>
      <c r="AA1107" s="388"/>
    </row>
    <row r="1108" spans="1:27" hidden="1" outlineLevel="2" x14ac:dyDescent="0.3">
      <c r="E1108" s="326" t="s">
        <v>2085</v>
      </c>
      <c r="F1108" s="317"/>
      <c r="G1108" s="318"/>
      <c r="H1108" s="319"/>
      <c r="I1108" s="320"/>
      <c r="J1108" s="337">
        <v>0</v>
      </c>
      <c r="K1108" s="321">
        <v>0</v>
      </c>
      <c r="L1108" s="321">
        <v>0</v>
      </c>
      <c r="M1108" s="321">
        <v>0</v>
      </c>
      <c r="N1108" s="321">
        <v>0</v>
      </c>
      <c r="O1108" s="321">
        <v>0</v>
      </c>
      <c r="P1108" s="321">
        <v>0</v>
      </c>
      <c r="Q1108" s="321">
        <v>0</v>
      </c>
      <c r="R1108" s="321">
        <v>0</v>
      </c>
      <c r="S1108" s="321">
        <v>0</v>
      </c>
      <c r="T1108" s="321">
        <v>0</v>
      </c>
      <c r="U1108" s="322">
        <v>0</v>
      </c>
      <c r="V1108" s="323">
        <v>0</v>
      </c>
      <c r="W1108" s="303"/>
      <c r="X1108" s="324">
        <v>0</v>
      </c>
      <c r="Y1108" s="325">
        <v>0</v>
      </c>
      <c r="AA1108" s="388"/>
    </row>
    <row r="1109" spans="1:27" hidden="1" outlineLevel="2" x14ac:dyDescent="0.3">
      <c r="E1109" s="326" t="s">
        <v>2086</v>
      </c>
      <c r="F1109" s="317"/>
      <c r="G1109" s="318"/>
      <c r="H1109" s="319"/>
      <c r="I1109" s="320"/>
      <c r="J1109" s="337">
        <v>0</v>
      </c>
      <c r="K1109" s="321">
        <v>0</v>
      </c>
      <c r="L1109" s="321">
        <v>0</v>
      </c>
      <c r="M1109" s="321">
        <v>0</v>
      </c>
      <c r="N1109" s="321">
        <v>0</v>
      </c>
      <c r="O1109" s="321">
        <v>0</v>
      </c>
      <c r="P1109" s="321">
        <v>0</v>
      </c>
      <c r="Q1109" s="321">
        <v>0</v>
      </c>
      <c r="R1109" s="321">
        <v>0</v>
      </c>
      <c r="S1109" s="321">
        <v>0</v>
      </c>
      <c r="T1109" s="321">
        <v>0</v>
      </c>
      <c r="U1109" s="322">
        <v>0</v>
      </c>
      <c r="V1109" s="323">
        <v>0</v>
      </c>
      <c r="W1109" s="303"/>
      <c r="X1109" s="324">
        <v>0</v>
      </c>
      <c r="Y1109" s="325">
        <v>0</v>
      </c>
      <c r="AA1109" s="388"/>
    </row>
    <row r="1110" spans="1:27" hidden="1" outlineLevel="2" x14ac:dyDescent="0.3">
      <c r="E1110" s="326" t="s">
        <v>2087</v>
      </c>
      <c r="F1110" s="317"/>
      <c r="G1110" s="318"/>
      <c r="H1110" s="319"/>
      <c r="I1110" s="320"/>
      <c r="J1110" s="337">
        <v>0</v>
      </c>
      <c r="K1110" s="321">
        <v>0</v>
      </c>
      <c r="L1110" s="321">
        <v>0</v>
      </c>
      <c r="M1110" s="321">
        <v>0</v>
      </c>
      <c r="N1110" s="321">
        <v>0</v>
      </c>
      <c r="O1110" s="321">
        <v>0</v>
      </c>
      <c r="P1110" s="321">
        <v>0</v>
      </c>
      <c r="Q1110" s="321">
        <v>0</v>
      </c>
      <c r="R1110" s="321">
        <v>0</v>
      </c>
      <c r="S1110" s="321">
        <v>0</v>
      </c>
      <c r="T1110" s="321">
        <v>0</v>
      </c>
      <c r="U1110" s="322">
        <v>0</v>
      </c>
      <c r="V1110" s="323">
        <v>0</v>
      </c>
      <c r="W1110" s="303"/>
      <c r="X1110" s="324">
        <v>0</v>
      </c>
      <c r="Y1110" s="325">
        <v>0</v>
      </c>
      <c r="AA1110" s="388"/>
    </row>
    <row r="1111" spans="1:27" hidden="1" collapsed="1" x14ac:dyDescent="0.3">
      <c r="A1111" s="233"/>
      <c r="B1111" s="234" t="s">
        <v>78</v>
      </c>
      <c r="D1111" s="293" t="s">
        <v>2088</v>
      </c>
      <c r="E1111" s="294"/>
      <c r="F1111" s="295" t="s">
        <v>2089</v>
      </c>
      <c r="G1111" s="296"/>
      <c r="H1111" s="297"/>
      <c r="I1111" s="298"/>
      <c r="J1111" s="299">
        <v>0</v>
      </c>
      <c r="K1111" s="300">
        <v>0</v>
      </c>
      <c r="L1111" s="300">
        <v>0</v>
      </c>
      <c r="M1111" s="300">
        <v>0</v>
      </c>
      <c r="N1111" s="300">
        <v>0</v>
      </c>
      <c r="O1111" s="300">
        <v>0</v>
      </c>
      <c r="P1111" s="300">
        <v>0</v>
      </c>
      <c r="Q1111" s="300">
        <v>0</v>
      </c>
      <c r="R1111" s="300">
        <v>0</v>
      </c>
      <c r="S1111" s="300">
        <v>0</v>
      </c>
      <c r="T1111" s="300">
        <v>0</v>
      </c>
      <c r="U1111" s="301">
        <v>0</v>
      </c>
      <c r="V1111" s="302">
        <v>0</v>
      </c>
      <c r="W1111" s="303"/>
      <c r="X1111" s="304">
        <v>0</v>
      </c>
      <c r="Y1111" s="305">
        <v>0</v>
      </c>
      <c r="AA1111" s="388"/>
    </row>
    <row r="1112" spans="1:27" hidden="1" outlineLevel="1" x14ac:dyDescent="0.3">
      <c r="E1112" t="s">
        <v>2090</v>
      </c>
      <c r="F1112" s="317">
        <v>4408600</v>
      </c>
      <c r="G1112" s="318"/>
      <c r="H1112" s="319"/>
      <c r="I1112" s="320"/>
      <c r="J1112" s="337">
        <v>0</v>
      </c>
      <c r="K1112" s="321">
        <v>0</v>
      </c>
      <c r="L1112" s="321">
        <v>0</v>
      </c>
      <c r="M1112" s="321">
        <v>0</v>
      </c>
      <c r="N1112" s="321">
        <v>0</v>
      </c>
      <c r="O1112" s="321">
        <v>0</v>
      </c>
      <c r="P1112" s="321">
        <v>0</v>
      </c>
      <c r="Q1112" s="321">
        <v>0</v>
      </c>
      <c r="R1112" s="321">
        <v>0</v>
      </c>
      <c r="S1112" s="321">
        <v>0</v>
      </c>
      <c r="T1112" s="321">
        <v>0</v>
      </c>
      <c r="U1112" s="322">
        <v>0</v>
      </c>
      <c r="V1112" s="323">
        <v>0</v>
      </c>
      <c r="W1112" s="303"/>
      <c r="X1112" s="324">
        <v>0</v>
      </c>
      <c r="Y1112" s="325">
        <v>0</v>
      </c>
      <c r="AA1112" s="388"/>
    </row>
    <row r="1113" spans="1:27" s="326" customFormat="1" hidden="1" outlineLevel="2" x14ac:dyDescent="0.3">
      <c r="E1113" s="326" t="s">
        <v>2091</v>
      </c>
      <c r="F1113" s="336"/>
      <c r="G1113" s="327"/>
      <c r="H1113" s="328"/>
      <c r="I1113" s="329"/>
      <c r="J1113" s="338">
        <v>0</v>
      </c>
      <c r="K1113" s="330">
        <v>0</v>
      </c>
      <c r="L1113" s="330">
        <v>0</v>
      </c>
      <c r="M1113" s="330">
        <v>0</v>
      </c>
      <c r="N1113" s="330">
        <v>0</v>
      </c>
      <c r="O1113" s="330">
        <v>0</v>
      </c>
      <c r="P1113" s="330">
        <v>0</v>
      </c>
      <c r="Q1113" s="330">
        <v>0</v>
      </c>
      <c r="R1113" s="330">
        <v>0</v>
      </c>
      <c r="S1113" s="330">
        <v>0</v>
      </c>
      <c r="T1113" s="330">
        <v>0</v>
      </c>
      <c r="U1113" s="331">
        <v>0</v>
      </c>
      <c r="V1113" s="332">
        <v>0</v>
      </c>
      <c r="W1113" s="333"/>
      <c r="X1113" s="334">
        <v>0</v>
      </c>
      <c r="Y1113" s="335">
        <v>0</v>
      </c>
      <c r="AA1113" s="388"/>
    </row>
    <row r="1114" spans="1:27" s="326" customFormat="1" hidden="1" outlineLevel="2" x14ac:dyDescent="0.3">
      <c r="E1114" s="326" t="s">
        <v>2092</v>
      </c>
      <c r="F1114" s="336"/>
      <c r="G1114" s="327"/>
      <c r="H1114" s="328"/>
      <c r="I1114" s="329"/>
      <c r="J1114" s="338">
        <v>0</v>
      </c>
      <c r="K1114" s="330">
        <v>0</v>
      </c>
      <c r="L1114" s="330">
        <v>0</v>
      </c>
      <c r="M1114" s="330">
        <v>0</v>
      </c>
      <c r="N1114" s="330">
        <v>0</v>
      </c>
      <c r="O1114" s="330">
        <v>0</v>
      </c>
      <c r="P1114" s="330">
        <v>0</v>
      </c>
      <c r="Q1114" s="330">
        <v>0</v>
      </c>
      <c r="R1114" s="330">
        <v>0</v>
      </c>
      <c r="S1114" s="330">
        <v>0</v>
      </c>
      <c r="T1114" s="330">
        <v>0</v>
      </c>
      <c r="U1114" s="331">
        <v>0</v>
      </c>
      <c r="V1114" s="332">
        <v>0</v>
      </c>
      <c r="W1114" s="333"/>
      <c r="X1114" s="334">
        <v>0</v>
      </c>
      <c r="Y1114" s="335">
        <v>0</v>
      </c>
      <c r="AA1114" s="388"/>
    </row>
    <row r="1115" spans="1:27" s="326" customFormat="1" hidden="1" outlineLevel="2" x14ac:dyDescent="0.3">
      <c r="E1115" s="326" t="s">
        <v>2093</v>
      </c>
      <c r="F1115" s="336"/>
      <c r="G1115" s="327"/>
      <c r="H1115" s="328"/>
      <c r="I1115" s="329"/>
      <c r="J1115" s="338">
        <v>0</v>
      </c>
      <c r="K1115" s="330">
        <v>0</v>
      </c>
      <c r="L1115" s="330">
        <v>0</v>
      </c>
      <c r="M1115" s="330">
        <v>0</v>
      </c>
      <c r="N1115" s="330">
        <v>0</v>
      </c>
      <c r="O1115" s="330">
        <v>0</v>
      </c>
      <c r="P1115" s="330">
        <v>0</v>
      </c>
      <c r="Q1115" s="330">
        <v>0</v>
      </c>
      <c r="R1115" s="330">
        <v>0</v>
      </c>
      <c r="S1115" s="330">
        <v>0</v>
      </c>
      <c r="T1115" s="330">
        <v>0</v>
      </c>
      <c r="U1115" s="331">
        <v>0</v>
      </c>
      <c r="V1115" s="332">
        <v>0</v>
      </c>
      <c r="W1115" s="333"/>
      <c r="X1115" s="334">
        <v>0</v>
      </c>
      <c r="Y1115" s="335">
        <v>0</v>
      </c>
      <c r="AA1115" s="388"/>
    </row>
    <row r="1116" spans="1:27" hidden="1" collapsed="1" x14ac:dyDescent="0.3">
      <c r="A1116" s="233"/>
      <c r="B1116" s="234" t="s">
        <v>78</v>
      </c>
      <c r="D1116" s="293" t="s">
        <v>2094</v>
      </c>
      <c r="E1116" s="294"/>
      <c r="F1116" s="295" t="s">
        <v>2095</v>
      </c>
      <c r="G1116" s="296"/>
      <c r="H1116" s="297"/>
      <c r="I1116" s="298"/>
      <c r="J1116" s="299">
        <v>0</v>
      </c>
      <c r="K1116" s="300">
        <v>0</v>
      </c>
      <c r="L1116" s="300">
        <v>0</v>
      </c>
      <c r="M1116" s="300">
        <v>0</v>
      </c>
      <c r="N1116" s="300">
        <v>0</v>
      </c>
      <c r="O1116" s="300">
        <v>0</v>
      </c>
      <c r="P1116" s="300">
        <v>0</v>
      </c>
      <c r="Q1116" s="300">
        <v>0</v>
      </c>
      <c r="R1116" s="300">
        <v>0</v>
      </c>
      <c r="S1116" s="300">
        <v>0</v>
      </c>
      <c r="T1116" s="300">
        <v>0</v>
      </c>
      <c r="U1116" s="301">
        <v>0</v>
      </c>
      <c r="V1116" s="302">
        <v>0</v>
      </c>
      <c r="W1116" s="303"/>
      <c r="X1116" s="304">
        <v>0</v>
      </c>
      <c r="Y1116" s="305">
        <v>0</v>
      </c>
      <c r="AA1116" s="388"/>
    </row>
    <row r="1117" spans="1:27" hidden="1" outlineLevel="1" x14ac:dyDescent="0.3">
      <c r="E1117" t="s">
        <v>2096</v>
      </c>
      <c r="F1117" s="317">
        <v>4408601</v>
      </c>
      <c r="G1117" s="318"/>
      <c r="H1117" s="319"/>
      <c r="I1117" s="320"/>
      <c r="J1117" s="337">
        <v>0</v>
      </c>
      <c r="K1117" s="321">
        <v>0</v>
      </c>
      <c r="L1117" s="321">
        <v>0</v>
      </c>
      <c r="M1117" s="321">
        <v>0</v>
      </c>
      <c r="N1117" s="321">
        <v>0</v>
      </c>
      <c r="O1117" s="321">
        <v>0</v>
      </c>
      <c r="P1117" s="321">
        <v>0</v>
      </c>
      <c r="Q1117" s="321">
        <v>0</v>
      </c>
      <c r="R1117" s="321">
        <v>0</v>
      </c>
      <c r="S1117" s="321">
        <v>0</v>
      </c>
      <c r="T1117" s="321">
        <v>0</v>
      </c>
      <c r="U1117" s="322">
        <v>0</v>
      </c>
      <c r="V1117" s="323">
        <v>0</v>
      </c>
      <c r="W1117" s="303"/>
      <c r="X1117" s="324">
        <v>0</v>
      </c>
      <c r="Y1117" s="325">
        <v>0</v>
      </c>
      <c r="AA1117" s="388"/>
    </row>
    <row r="1118" spans="1:27" hidden="1" outlineLevel="2" x14ac:dyDescent="0.3">
      <c r="E1118" s="326" t="s">
        <v>2067</v>
      </c>
      <c r="F1118" s="317"/>
      <c r="G1118" s="318"/>
      <c r="H1118" s="319"/>
      <c r="I1118" s="320"/>
      <c r="J1118" s="337">
        <v>0</v>
      </c>
      <c r="K1118" s="321">
        <v>0</v>
      </c>
      <c r="L1118" s="321">
        <v>0</v>
      </c>
      <c r="M1118" s="321">
        <v>0</v>
      </c>
      <c r="N1118" s="321">
        <v>0</v>
      </c>
      <c r="O1118" s="321">
        <v>0</v>
      </c>
      <c r="P1118" s="321">
        <v>0</v>
      </c>
      <c r="Q1118" s="321">
        <v>0</v>
      </c>
      <c r="R1118" s="321">
        <v>0</v>
      </c>
      <c r="S1118" s="321">
        <v>0</v>
      </c>
      <c r="T1118" s="321">
        <v>0</v>
      </c>
      <c r="U1118" s="322">
        <v>0</v>
      </c>
      <c r="V1118" s="323">
        <v>0</v>
      </c>
      <c r="W1118" s="303"/>
      <c r="X1118" s="324">
        <v>0</v>
      </c>
      <c r="Y1118" s="325">
        <v>0</v>
      </c>
      <c r="AA1118" s="388"/>
    </row>
    <row r="1119" spans="1:27" hidden="1" outlineLevel="2" x14ac:dyDescent="0.3">
      <c r="E1119" s="326" t="s">
        <v>2068</v>
      </c>
      <c r="F1119" s="317"/>
      <c r="G1119" s="318"/>
      <c r="H1119" s="319"/>
      <c r="I1119" s="320"/>
      <c r="J1119" s="337">
        <v>0</v>
      </c>
      <c r="K1119" s="321">
        <v>0</v>
      </c>
      <c r="L1119" s="321">
        <v>0</v>
      </c>
      <c r="M1119" s="321">
        <v>0</v>
      </c>
      <c r="N1119" s="321">
        <v>0</v>
      </c>
      <c r="O1119" s="321">
        <v>0</v>
      </c>
      <c r="P1119" s="321">
        <v>0</v>
      </c>
      <c r="Q1119" s="321">
        <v>0</v>
      </c>
      <c r="R1119" s="321">
        <v>0</v>
      </c>
      <c r="S1119" s="321">
        <v>0</v>
      </c>
      <c r="T1119" s="321">
        <v>0</v>
      </c>
      <c r="U1119" s="322">
        <v>0</v>
      </c>
      <c r="V1119" s="323">
        <v>0</v>
      </c>
      <c r="W1119" s="303"/>
      <c r="X1119" s="324">
        <v>0</v>
      </c>
      <c r="Y1119" s="325">
        <v>0</v>
      </c>
      <c r="AA1119" s="388"/>
    </row>
    <row r="1120" spans="1:27" hidden="1" outlineLevel="2" x14ac:dyDescent="0.3">
      <c r="E1120" s="326" t="s">
        <v>2069</v>
      </c>
      <c r="F1120" s="317"/>
      <c r="G1120" s="318"/>
      <c r="H1120" s="319"/>
      <c r="I1120" s="320"/>
      <c r="J1120" s="337">
        <v>0</v>
      </c>
      <c r="K1120" s="321">
        <v>0</v>
      </c>
      <c r="L1120" s="321">
        <v>0</v>
      </c>
      <c r="M1120" s="321">
        <v>0</v>
      </c>
      <c r="N1120" s="321">
        <v>0</v>
      </c>
      <c r="O1120" s="321">
        <v>0</v>
      </c>
      <c r="P1120" s="321">
        <v>0</v>
      </c>
      <c r="Q1120" s="321">
        <v>0</v>
      </c>
      <c r="R1120" s="321">
        <v>0</v>
      </c>
      <c r="S1120" s="321">
        <v>0</v>
      </c>
      <c r="T1120" s="321">
        <v>0</v>
      </c>
      <c r="U1120" s="322">
        <v>0</v>
      </c>
      <c r="V1120" s="323">
        <v>0</v>
      </c>
      <c r="W1120" s="303"/>
      <c r="X1120" s="324">
        <v>0</v>
      </c>
      <c r="Y1120" s="325">
        <v>0</v>
      </c>
      <c r="AA1120" s="388"/>
    </row>
    <row r="1121" spans="4:27" hidden="1" collapsed="1" x14ac:dyDescent="0.3">
      <c r="D1121" s="293" t="s">
        <v>2097</v>
      </c>
      <c r="E1121" s="294"/>
      <c r="F1121" s="295" t="s">
        <v>2098</v>
      </c>
      <c r="G1121" s="296"/>
      <c r="H1121" s="297"/>
      <c r="I1121" s="298"/>
      <c r="J1121" s="299">
        <v>0</v>
      </c>
      <c r="K1121" s="300">
        <v>0</v>
      </c>
      <c r="L1121" s="300">
        <v>0</v>
      </c>
      <c r="M1121" s="300">
        <v>0</v>
      </c>
      <c r="N1121" s="300">
        <v>0</v>
      </c>
      <c r="O1121" s="300">
        <v>0</v>
      </c>
      <c r="P1121" s="300">
        <v>0</v>
      </c>
      <c r="Q1121" s="300">
        <v>0</v>
      </c>
      <c r="R1121" s="300">
        <v>0</v>
      </c>
      <c r="S1121" s="300">
        <v>0</v>
      </c>
      <c r="T1121" s="300">
        <v>0</v>
      </c>
      <c r="U1121" s="301">
        <v>0</v>
      </c>
      <c r="V1121" s="302">
        <v>0</v>
      </c>
      <c r="W1121" s="303"/>
      <c r="X1121" s="304">
        <v>0</v>
      </c>
      <c r="Y1121" s="305">
        <v>0</v>
      </c>
      <c r="AA1121" s="388"/>
    </row>
    <row r="1122" spans="4:27" hidden="1" outlineLevel="1" x14ac:dyDescent="0.3">
      <c r="E1122" t="s">
        <v>2099</v>
      </c>
      <c r="F1122" s="317">
        <v>4408602</v>
      </c>
      <c r="G1122" s="318"/>
      <c r="H1122" s="319"/>
      <c r="I1122" s="320"/>
      <c r="J1122" s="337">
        <v>0</v>
      </c>
      <c r="K1122" s="321">
        <v>0</v>
      </c>
      <c r="L1122" s="321">
        <v>0</v>
      </c>
      <c r="M1122" s="321">
        <v>0</v>
      </c>
      <c r="N1122" s="321">
        <v>0</v>
      </c>
      <c r="O1122" s="321">
        <v>0</v>
      </c>
      <c r="P1122" s="321">
        <v>0</v>
      </c>
      <c r="Q1122" s="321">
        <v>0</v>
      </c>
      <c r="R1122" s="321">
        <v>0</v>
      </c>
      <c r="S1122" s="321">
        <v>0</v>
      </c>
      <c r="T1122" s="321">
        <v>0</v>
      </c>
      <c r="U1122" s="322">
        <v>0</v>
      </c>
      <c r="V1122" s="323">
        <v>0</v>
      </c>
      <c r="W1122" s="303"/>
      <c r="X1122" s="324">
        <v>0</v>
      </c>
      <c r="Y1122" s="325">
        <v>0</v>
      </c>
      <c r="AA1122" s="388"/>
    </row>
    <row r="1123" spans="4:27" hidden="1" outlineLevel="2" x14ac:dyDescent="0.3">
      <c r="E1123" s="326" t="s">
        <v>2100</v>
      </c>
      <c r="F1123" s="317"/>
      <c r="G1123" s="318"/>
      <c r="H1123" s="319"/>
      <c r="I1123" s="320"/>
      <c r="J1123" s="337">
        <v>0</v>
      </c>
      <c r="K1123" s="321">
        <v>0</v>
      </c>
      <c r="L1123" s="321">
        <v>0</v>
      </c>
      <c r="M1123" s="321">
        <v>0</v>
      </c>
      <c r="N1123" s="321">
        <v>0</v>
      </c>
      <c r="O1123" s="321">
        <v>0</v>
      </c>
      <c r="P1123" s="321">
        <v>0</v>
      </c>
      <c r="Q1123" s="321">
        <v>0</v>
      </c>
      <c r="R1123" s="321">
        <v>0</v>
      </c>
      <c r="S1123" s="321">
        <v>0</v>
      </c>
      <c r="T1123" s="321">
        <v>0</v>
      </c>
      <c r="U1123" s="322">
        <v>0</v>
      </c>
      <c r="V1123" s="323">
        <v>0</v>
      </c>
      <c r="W1123" s="303"/>
      <c r="X1123" s="324">
        <v>0</v>
      </c>
      <c r="Y1123" s="325">
        <v>0</v>
      </c>
      <c r="AA1123" s="388"/>
    </row>
    <row r="1124" spans="4:27" hidden="1" outlineLevel="2" x14ac:dyDescent="0.3">
      <c r="E1124" s="326" t="s">
        <v>2101</v>
      </c>
      <c r="F1124" s="317"/>
      <c r="G1124" s="318"/>
      <c r="H1124" s="319"/>
      <c r="I1124" s="320"/>
      <c r="J1124" s="337">
        <v>0</v>
      </c>
      <c r="K1124" s="321">
        <v>0</v>
      </c>
      <c r="L1124" s="321">
        <v>0</v>
      </c>
      <c r="M1124" s="321">
        <v>0</v>
      </c>
      <c r="N1124" s="321">
        <v>0</v>
      </c>
      <c r="O1124" s="321">
        <v>0</v>
      </c>
      <c r="P1124" s="321">
        <v>0</v>
      </c>
      <c r="Q1124" s="321">
        <v>0</v>
      </c>
      <c r="R1124" s="321">
        <v>0</v>
      </c>
      <c r="S1124" s="321">
        <v>0</v>
      </c>
      <c r="T1124" s="321">
        <v>0</v>
      </c>
      <c r="U1124" s="322">
        <v>0</v>
      </c>
      <c r="V1124" s="323">
        <v>0</v>
      </c>
      <c r="W1124" s="303"/>
      <c r="X1124" s="324">
        <v>0</v>
      </c>
      <c r="Y1124" s="325">
        <v>0</v>
      </c>
      <c r="AA1124" s="388"/>
    </row>
    <row r="1125" spans="4:27" hidden="1" outlineLevel="2" x14ac:dyDescent="0.3">
      <c r="E1125" s="326" t="s">
        <v>2102</v>
      </c>
      <c r="F1125" s="317"/>
      <c r="G1125" s="318"/>
      <c r="H1125" s="319"/>
      <c r="I1125" s="320"/>
      <c r="J1125" s="337">
        <v>0</v>
      </c>
      <c r="K1125" s="321">
        <v>0</v>
      </c>
      <c r="L1125" s="321">
        <v>0</v>
      </c>
      <c r="M1125" s="321">
        <v>0</v>
      </c>
      <c r="N1125" s="321">
        <v>0</v>
      </c>
      <c r="O1125" s="321">
        <v>0</v>
      </c>
      <c r="P1125" s="321">
        <v>0</v>
      </c>
      <c r="Q1125" s="321">
        <v>0</v>
      </c>
      <c r="R1125" s="321">
        <v>0</v>
      </c>
      <c r="S1125" s="321">
        <v>0</v>
      </c>
      <c r="T1125" s="321">
        <v>0</v>
      </c>
      <c r="U1125" s="322">
        <v>0</v>
      </c>
      <c r="V1125" s="323">
        <v>0</v>
      </c>
      <c r="W1125" s="303"/>
      <c r="X1125" s="324">
        <v>0</v>
      </c>
      <c r="Y1125" s="325">
        <v>0</v>
      </c>
      <c r="AA1125" s="388"/>
    </row>
    <row r="1126" spans="4:27" hidden="1" collapsed="1" x14ac:dyDescent="0.3">
      <c r="D1126" s="293" t="s">
        <v>2103</v>
      </c>
      <c r="E1126" s="294"/>
      <c r="F1126" s="295"/>
      <c r="G1126" s="296"/>
      <c r="H1126" s="297"/>
      <c r="I1126" s="298"/>
      <c r="J1126" s="299">
        <v>0</v>
      </c>
      <c r="K1126" s="300">
        <v>0</v>
      </c>
      <c r="L1126" s="300">
        <v>0</v>
      </c>
      <c r="M1126" s="300">
        <v>0</v>
      </c>
      <c r="N1126" s="300">
        <v>0</v>
      </c>
      <c r="O1126" s="300">
        <v>0</v>
      </c>
      <c r="P1126" s="300">
        <v>0</v>
      </c>
      <c r="Q1126" s="300">
        <v>0</v>
      </c>
      <c r="R1126" s="300">
        <v>0</v>
      </c>
      <c r="S1126" s="300">
        <v>0</v>
      </c>
      <c r="T1126" s="300">
        <v>0</v>
      </c>
      <c r="U1126" s="301">
        <v>0</v>
      </c>
      <c r="V1126" s="302">
        <v>0</v>
      </c>
      <c r="W1126" s="303"/>
      <c r="X1126" s="304">
        <v>0</v>
      </c>
      <c r="Y1126" s="305">
        <v>0</v>
      </c>
      <c r="AA1126" s="388"/>
    </row>
    <row r="1127" spans="4:27" s="326" customFormat="1" hidden="1" outlineLevel="2" x14ac:dyDescent="0.3">
      <c r="E1127" s="326" t="s">
        <v>2104</v>
      </c>
      <c r="F1127" s="336"/>
      <c r="G1127" s="327"/>
      <c r="H1127" s="328"/>
      <c r="I1127" s="329"/>
      <c r="J1127" s="338">
        <v>0</v>
      </c>
      <c r="K1127" s="330">
        <v>0</v>
      </c>
      <c r="L1127" s="330">
        <v>0</v>
      </c>
      <c r="M1127" s="330">
        <v>0</v>
      </c>
      <c r="N1127" s="330">
        <v>0</v>
      </c>
      <c r="O1127" s="330">
        <v>0</v>
      </c>
      <c r="P1127" s="330">
        <v>0</v>
      </c>
      <c r="Q1127" s="330">
        <v>0</v>
      </c>
      <c r="R1127" s="330">
        <v>0</v>
      </c>
      <c r="S1127" s="330">
        <v>0</v>
      </c>
      <c r="T1127" s="330">
        <v>0</v>
      </c>
      <c r="U1127" s="331">
        <v>0</v>
      </c>
      <c r="V1127" s="332">
        <v>0</v>
      </c>
      <c r="W1127" s="333"/>
      <c r="X1127" s="334">
        <v>0</v>
      </c>
      <c r="Y1127" s="335">
        <v>0</v>
      </c>
      <c r="AA1127" s="388"/>
    </row>
    <row r="1128" spans="4:27" s="326" customFormat="1" hidden="1" outlineLevel="2" x14ac:dyDescent="0.3">
      <c r="E1128" s="326" t="s">
        <v>2105</v>
      </c>
      <c r="F1128" s="336"/>
      <c r="G1128" s="327"/>
      <c r="H1128" s="328"/>
      <c r="I1128" s="329"/>
      <c r="J1128" s="338">
        <v>0</v>
      </c>
      <c r="K1128" s="330">
        <v>0</v>
      </c>
      <c r="L1128" s="330">
        <v>0</v>
      </c>
      <c r="M1128" s="330">
        <v>0</v>
      </c>
      <c r="N1128" s="330">
        <v>0</v>
      </c>
      <c r="O1128" s="330">
        <v>0</v>
      </c>
      <c r="P1128" s="330">
        <v>0</v>
      </c>
      <c r="Q1128" s="330">
        <v>0</v>
      </c>
      <c r="R1128" s="330">
        <v>0</v>
      </c>
      <c r="S1128" s="330">
        <v>0</v>
      </c>
      <c r="T1128" s="330">
        <v>0</v>
      </c>
      <c r="U1128" s="331">
        <v>0</v>
      </c>
      <c r="V1128" s="332">
        <v>0</v>
      </c>
      <c r="W1128" s="333"/>
      <c r="X1128" s="334">
        <v>0</v>
      </c>
      <c r="Y1128" s="335">
        <v>0</v>
      </c>
      <c r="AA1128" s="388"/>
    </row>
    <row r="1129" spans="4:27" s="326" customFormat="1" hidden="1" outlineLevel="2" x14ac:dyDescent="0.3">
      <c r="E1129" s="326" t="s">
        <v>2106</v>
      </c>
      <c r="F1129" s="336"/>
      <c r="G1129" s="327"/>
      <c r="H1129" s="328"/>
      <c r="I1129" s="329"/>
      <c r="J1129" s="338">
        <v>0</v>
      </c>
      <c r="K1129" s="330">
        <v>0</v>
      </c>
      <c r="L1129" s="330">
        <v>0</v>
      </c>
      <c r="M1129" s="330">
        <v>0</v>
      </c>
      <c r="N1129" s="330">
        <v>0</v>
      </c>
      <c r="O1129" s="330">
        <v>0</v>
      </c>
      <c r="P1129" s="330">
        <v>0</v>
      </c>
      <c r="Q1129" s="330">
        <v>0</v>
      </c>
      <c r="R1129" s="330">
        <v>0</v>
      </c>
      <c r="S1129" s="330">
        <v>0</v>
      </c>
      <c r="T1129" s="330">
        <v>0</v>
      </c>
      <c r="U1129" s="331">
        <v>0</v>
      </c>
      <c r="V1129" s="332">
        <v>0</v>
      </c>
      <c r="W1129" s="333"/>
      <c r="X1129" s="334">
        <v>0</v>
      </c>
      <c r="Y1129" s="335">
        <v>0</v>
      </c>
      <c r="AA1129" s="388"/>
    </row>
    <row r="1130" spans="4:27" hidden="1" collapsed="1" x14ac:dyDescent="0.3">
      <c r="D1130" s="293" t="s">
        <v>2107</v>
      </c>
      <c r="E1130" s="294"/>
      <c r="F1130" s="295"/>
      <c r="G1130" s="296"/>
      <c r="H1130" s="297"/>
      <c r="I1130" s="298"/>
      <c r="J1130" s="299">
        <v>0</v>
      </c>
      <c r="K1130" s="300">
        <v>0</v>
      </c>
      <c r="L1130" s="300">
        <v>0</v>
      </c>
      <c r="M1130" s="300">
        <v>0</v>
      </c>
      <c r="N1130" s="300">
        <v>0</v>
      </c>
      <c r="O1130" s="300">
        <v>0</v>
      </c>
      <c r="P1130" s="300">
        <v>0</v>
      </c>
      <c r="Q1130" s="300">
        <v>0</v>
      </c>
      <c r="R1130" s="300">
        <v>0</v>
      </c>
      <c r="S1130" s="300">
        <v>0</v>
      </c>
      <c r="T1130" s="300">
        <v>0</v>
      </c>
      <c r="U1130" s="301">
        <v>0</v>
      </c>
      <c r="V1130" s="302">
        <v>0</v>
      </c>
      <c r="W1130" s="303"/>
      <c r="X1130" s="304">
        <v>0</v>
      </c>
      <c r="Y1130" s="305">
        <v>0</v>
      </c>
      <c r="AA1130" s="388"/>
    </row>
    <row r="1131" spans="4:27" s="326" customFormat="1" hidden="1" outlineLevel="2" x14ac:dyDescent="0.3">
      <c r="E1131" s="326" t="s">
        <v>2104</v>
      </c>
      <c r="F1131" s="336"/>
      <c r="G1131" s="327"/>
      <c r="H1131" s="328"/>
      <c r="I1131" s="329"/>
      <c r="J1131" s="338">
        <v>0</v>
      </c>
      <c r="K1131" s="330">
        <v>0</v>
      </c>
      <c r="L1131" s="330">
        <v>0</v>
      </c>
      <c r="M1131" s="330">
        <v>0</v>
      </c>
      <c r="N1131" s="330">
        <v>0</v>
      </c>
      <c r="O1131" s="330">
        <v>0</v>
      </c>
      <c r="P1131" s="330">
        <v>0</v>
      </c>
      <c r="Q1131" s="330">
        <v>0</v>
      </c>
      <c r="R1131" s="330">
        <v>0</v>
      </c>
      <c r="S1131" s="330">
        <v>0</v>
      </c>
      <c r="T1131" s="330">
        <v>0</v>
      </c>
      <c r="U1131" s="331">
        <v>0</v>
      </c>
      <c r="V1131" s="332">
        <v>0</v>
      </c>
      <c r="W1131" s="333"/>
      <c r="X1131" s="334">
        <v>0</v>
      </c>
      <c r="Y1131" s="335">
        <v>0</v>
      </c>
      <c r="AA1131" s="388"/>
    </row>
    <row r="1132" spans="4:27" s="326" customFormat="1" hidden="1" outlineLevel="2" x14ac:dyDescent="0.3">
      <c r="E1132" s="326" t="s">
        <v>2105</v>
      </c>
      <c r="F1132" s="336"/>
      <c r="G1132" s="327"/>
      <c r="H1132" s="328"/>
      <c r="I1132" s="329"/>
      <c r="J1132" s="338">
        <v>0</v>
      </c>
      <c r="K1132" s="330">
        <v>0</v>
      </c>
      <c r="L1132" s="330">
        <v>0</v>
      </c>
      <c r="M1132" s="330">
        <v>0</v>
      </c>
      <c r="N1132" s="330">
        <v>0</v>
      </c>
      <c r="O1132" s="330">
        <v>0</v>
      </c>
      <c r="P1132" s="330">
        <v>0</v>
      </c>
      <c r="Q1132" s="330">
        <v>0</v>
      </c>
      <c r="R1132" s="330">
        <v>0</v>
      </c>
      <c r="S1132" s="330">
        <v>0</v>
      </c>
      <c r="T1132" s="330">
        <v>0</v>
      </c>
      <c r="U1132" s="331">
        <v>0</v>
      </c>
      <c r="V1132" s="332">
        <v>0</v>
      </c>
      <c r="W1132" s="333"/>
      <c r="X1132" s="334">
        <v>0</v>
      </c>
      <c r="Y1132" s="335">
        <v>0</v>
      </c>
      <c r="AA1132" s="388"/>
    </row>
    <row r="1133" spans="4:27" s="326" customFormat="1" hidden="1" outlineLevel="2" x14ac:dyDescent="0.3">
      <c r="E1133" s="326" t="s">
        <v>2106</v>
      </c>
      <c r="F1133" s="336"/>
      <c r="G1133" s="327"/>
      <c r="H1133" s="328"/>
      <c r="I1133" s="329"/>
      <c r="J1133" s="338">
        <v>0</v>
      </c>
      <c r="K1133" s="330">
        <v>0</v>
      </c>
      <c r="L1133" s="330">
        <v>0</v>
      </c>
      <c r="M1133" s="330">
        <v>0</v>
      </c>
      <c r="N1133" s="330">
        <v>0</v>
      </c>
      <c r="O1133" s="330">
        <v>0</v>
      </c>
      <c r="P1133" s="330">
        <v>0</v>
      </c>
      <c r="Q1133" s="330">
        <v>0</v>
      </c>
      <c r="R1133" s="330">
        <v>0</v>
      </c>
      <c r="S1133" s="330">
        <v>0</v>
      </c>
      <c r="T1133" s="330">
        <v>0</v>
      </c>
      <c r="U1133" s="331">
        <v>0</v>
      </c>
      <c r="V1133" s="332">
        <v>0</v>
      </c>
      <c r="W1133" s="333"/>
      <c r="X1133" s="334">
        <v>0</v>
      </c>
      <c r="Y1133" s="335">
        <v>0</v>
      </c>
      <c r="AA1133" s="388"/>
    </row>
    <row r="1134" spans="4:27" hidden="1" collapsed="1" x14ac:dyDescent="0.3">
      <c r="D1134" s="293" t="s">
        <v>2108</v>
      </c>
      <c r="E1134" s="294"/>
      <c r="F1134" s="295"/>
      <c r="G1134" s="296"/>
      <c r="H1134" s="297"/>
      <c r="I1134" s="298"/>
      <c r="J1134" s="299">
        <v>0</v>
      </c>
      <c r="K1134" s="300">
        <v>0</v>
      </c>
      <c r="L1134" s="300">
        <v>0</v>
      </c>
      <c r="M1134" s="300">
        <v>0</v>
      </c>
      <c r="N1134" s="300">
        <v>0</v>
      </c>
      <c r="O1134" s="300">
        <v>0</v>
      </c>
      <c r="P1134" s="300">
        <v>0</v>
      </c>
      <c r="Q1134" s="300">
        <v>0</v>
      </c>
      <c r="R1134" s="300">
        <v>0</v>
      </c>
      <c r="S1134" s="300">
        <v>0</v>
      </c>
      <c r="T1134" s="300">
        <v>0</v>
      </c>
      <c r="U1134" s="301">
        <v>0</v>
      </c>
      <c r="V1134" s="302">
        <v>0</v>
      </c>
      <c r="W1134" s="303"/>
      <c r="X1134" s="304">
        <v>0</v>
      </c>
      <c r="Y1134" s="305">
        <v>0</v>
      </c>
      <c r="AA1134" s="388"/>
    </row>
    <row r="1135" spans="4:27" s="326" customFormat="1" hidden="1" outlineLevel="2" x14ac:dyDescent="0.3">
      <c r="E1135" s="326" t="s">
        <v>2104</v>
      </c>
      <c r="F1135" s="336"/>
      <c r="G1135" s="327"/>
      <c r="H1135" s="328"/>
      <c r="I1135" s="329"/>
      <c r="J1135" s="338">
        <v>0</v>
      </c>
      <c r="K1135" s="330">
        <v>0</v>
      </c>
      <c r="L1135" s="330">
        <v>0</v>
      </c>
      <c r="M1135" s="330">
        <v>0</v>
      </c>
      <c r="N1135" s="330">
        <v>0</v>
      </c>
      <c r="O1135" s="330">
        <v>0</v>
      </c>
      <c r="P1135" s="330">
        <v>0</v>
      </c>
      <c r="Q1135" s="330">
        <v>0</v>
      </c>
      <c r="R1135" s="330">
        <v>0</v>
      </c>
      <c r="S1135" s="330">
        <v>0</v>
      </c>
      <c r="T1135" s="330">
        <v>0</v>
      </c>
      <c r="U1135" s="331">
        <v>0</v>
      </c>
      <c r="V1135" s="332">
        <v>0</v>
      </c>
      <c r="W1135" s="333"/>
      <c r="X1135" s="334">
        <v>0</v>
      </c>
      <c r="Y1135" s="335">
        <v>0</v>
      </c>
      <c r="AA1135" s="388"/>
    </row>
    <row r="1136" spans="4:27" s="326" customFormat="1" hidden="1" outlineLevel="2" x14ac:dyDescent="0.3">
      <c r="E1136" s="326" t="s">
        <v>2105</v>
      </c>
      <c r="F1136" s="336"/>
      <c r="G1136" s="327"/>
      <c r="H1136" s="328"/>
      <c r="I1136" s="329"/>
      <c r="J1136" s="338">
        <v>0</v>
      </c>
      <c r="K1136" s="330">
        <v>0</v>
      </c>
      <c r="L1136" s="330">
        <v>0</v>
      </c>
      <c r="M1136" s="330">
        <v>0</v>
      </c>
      <c r="N1136" s="330">
        <v>0</v>
      </c>
      <c r="O1136" s="330">
        <v>0</v>
      </c>
      <c r="P1136" s="330">
        <v>0</v>
      </c>
      <c r="Q1136" s="330">
        <v>0</v>
      </c>
      <c r="R1136" s="330">
        <v>0</v>
      </c>
      <c r="S1136" s="330">
        <v>0</v>
      </c>
      <c r="T1136" s="330">
        <v>0</v>
      </c>
      <c r="U1136" s="331">
        <v>0</v>
      </c>
      <c r="V1136" s="332">
        <v>0</v>
      </c>
      <c r="W1136" s="333"/>
      <c r="X1136" s="334">
        <v>0</v>
      </c>
      <c r="Y1136" s="335">
        <v>0</v>
      </c>
      <c r="AA1136" s="388"/>
    </row>
    <row r="1137" spans="1:27" s="326" customFormat="1" hidden="1" outlineLevel="2" x14ac:dyDescent="0.3">
      <c r="E1137" s="326" t="s">
        <v>2106</v>
      </c>
      <c r="F1137" s="336"/>
      <c r="G1137" s="327"/>
      <c r="H1137" s="328"/>
      <c r="I1137" s="329"/>
      <c r="J1137" s="338">
        <v>0</v>
      </c>
      <c r="K1137" s="330">
        <v>0</v>
      </c>
      <c r="L1137" s="330">
        <v>0</v>
      </c>
      <c r="M1137" s="330">
        <v>0</v>
      </c>
      <c r="N1137" s="330">
        <v>0</v>
      </c>
      <c r="O1137" s="330">
        <v>0</v>
      </c>
      <c r="P1137" s="330">
        <v>0</v>
      </c>
      <c r="Q1137" s="330">
        <v>0</v>
      </c>
      <c r="R1137" s="330">
        <v>0</v>
      </c>
      <c r="S1137" s="330">
        <v>0</v>
      </c>
      <c r="T1137" s="330">
        <v>0</v>
      </c>
      <c r="U1137" s="331">
        <v>0</v>
      </c>
      <c r="V1137" s="332">
        <v>0</v>
      </c>
      <c r="W1137" s="333"/>
      <c r="X1137" s="334">
        <v>0</v>
      </c>
      <c r="Y1137" s="335">
        <v>0</v>
      </c>
      <c r="AA1137" s="388"/>
    </row>
    <row r="1138" spans="1:27" ht="16.5" customHeight="1" collapsed="1" x14ac:dyDescent="0.3">
      <c r="A1138" s="248" t="s">
        <v>79</v>
      </c>
      <c r="B1138" s="248"/>
      <c r="C1138" s="280" t="s">
        <v>2109</v>
      </c>
      <c r="D1138" s="281"/>
      <c r="E1138" s="282"/>
      <c r="F1138" s="283" t="s">
        <v>2110</v>
      </c>
      <c r="G1138" s="284"/>
      <c r="H1138" s="285"/>
      <c r="I1138" s="286"/>
      <c r="J1138" s="287">
        <v>8374630.9199999999</v>
      </c>
      <c r="K1138" s="288">
        <v>7885195.0880000005</v>
      </c>
      <c r="L1138" s="288">
        <v>12551654.518999999</v>
      </c>
      <c r="M1138" s="288">
        <v>8441542.5759999994</v>
      </c>
      <c r="N1138" s="288">
        <v>7884618.5510000009</v>
      </c>
      <c r="O1138" s="288">
        <v>23800658.302999999</v>
      </c>
      <c r="P1138" s="288">
        <v>7411102.2319999998</v>
      </c>
      <c r="Q1138" s="288">
        <v>7298693.6160000004</v>
      </c>
      <c r="R1138" s="288">
        <v>1999316.012000001</v>
      </c>
      <c r="S1138" s="288">
        <v>7485782.625</v>
      </c>
      <c r="T1138" s="288">
        <v>8074504.2980000004</v>
      </c>
      <c r="U1138" s="289">
        <v>54591983.514000006</v>
      </c>
      <c r="V1138" s="290">
        <v>155799682.25399998</v>
      </c>
      <c r="W1138" s="277"/>
      <c r="X1138" s="291">
        <v>54591983.514000006</v>
      </c>
      <c r="Y1138" s="292">
        <v>155799682.25399998</v>
      </c>
      <c r="AA1138" s="388"/>
    </row>
    <row r="1139" spans="1:27" hidden="1" collapsed="1" x14ac:dyDescent="0.3">
      <c r="A1139" s="233"/>
      <c r="B1139" s="234" t="s">
        <v>80</v>
      </c>
      <c r="D1139" s="293" t="s">
        <v>2111</v>
      </c>
      <c r="E1139" s="294"/>
      <c r="F1139" s="295" t="s">
        <v>2112</v>
      </c>
      <c r="G1139" s="296"/>
      <c r="H1139" s="297"/>
      <c r="I1139" s="298"/>
      <c r="J1139" s="299">
        <v>8371269.284</v>
      </c>
      <c r="K1139" s="300">
        <v>7883651.6970000006</v>
      </c>
      <c r="L1139" s="300">
        <v>8761637.436999999</v>
      </c>
      <c r="M1139" s="300">
        <v>8431655.6459999997</v>
      </c>
      <c r="N1139" s="300">
        <v>7873950.9780000011</v>
      </c>
      <c r="O1139" s="300">
        <v>7367373.1739999996</v>
      </c>
      <c r="P1139" s="300">
        <v>7405300.2960000001</v>
      </c>
      <c r="Q1139" s="300">
        <v>7286878.0890000006</v>
      </c>
      <c r="R1139" s="300">
        <v>7507630.5980000002</v>
      </c>
      <c r="S1139" s="300">
        <v>7477407.625</v>
      </c>
      <c r="T1139" s="300">
        <v>6925962.3260000004</v>
      </c>
      <c r="U1139" s="301">
        <v>7133630.1430000011</v>
      </c>
      <c r="V1139" s="302">
        <v>92426347.293000013</v>
      </c>
      <c r="W1139" s="303"/>
      <c r="X1139" s="304">
        <v>7133630.1430000011</v>
      </c>
      <c r="Y1139" s="305">
        <v>92426347.293000013</v>
      </c>
      <c r="AA1139" s="388"/>
    </row>
    <row r="1140" spans="1:27" hidden="1" x14ac:dyDescent="0.3">
      <c r="E1140" s="339" t="s">
        <v>2113</v>
      </c>
      <c r="F1140" s="340" t="s">
        <v>2114</v>
      </c>
      <c r="G1140" s="341"/>
      <c r="H1140" s="342"/>
      <c r="I1140" s="343"/>
      <c r="J1140" s="344">
        <v>2243885.9040000001</v>
      </c>
      <c r="K1140" s="345">
        <v>2281003.2480000001</v>
      </c>
      <c r="L1140" s="345">
        <v>2696617.5159999998</v>
      </c>
      <c r="M1140" s="345">
        <v>2572655.6150000002</v>
      </c>
      <c r="N1140" s="345">
        <v>1888746.0330000001</v>
      </c>
      <c r="O1140" s="345">
        <v>1568893.0999999999</v>
      </c>
      <c r="P1140" s="345">
        <v>1501864.1769999999</v>
      </c>
      <c r="Q1140" s="345">
        <v>1444587.8770000003</v>
      </c>
      <c r="R1140" s="345">
        <v>1842823.649</v>
      </c>
      <c r="S1140" s="345">
        <v>1718083.3659999999</v>
      </c>
      <c r="T1140" s="345">
        <v>1377995.483</v>
      </c>
      <c r="U1140" s="346">
        <v>1427211.7930000001</v>
      </c>
      <c r="V1140" s="347">
        <v>22564367.761</v>
      </c>
      <c r="W1140" s="303"/>
      <c r="X1140" s="348">
        <v>1427211.7930000001</v>
      </c>
      <c r="Y1140" s="349">
        <v>22564367.761</v>
      </c>
      <c r="AA1140" s="388"/>
    </row>
    <row r="1141" spans="1:27" hidden="1" outlineLevel="1" x14ac:dyDescent="0.3">
      <c r="E1141" t="s">
        <v>2115</v>
      </c>
      <c r="F1141" s="317">
        <v>4500101</v>
      </c>
      <c r="G1141" s="318"/>
      <c r="H1141" s="319">
        <v>7701010101</v>
      </c>
      <c r="I1141" s="320"/>
      <c r="J1141" s="337">
        <v>415521.85499999998</v>
      </c>
      <c r="K1141" s="321">
        <v>601897.647</v>
      </c>
      <c r="L1141" s="321">
        <v>816743.83499999996</v>
      </c>
      <c r="M1141" s="321">
        <v>789041.09600000002</v>
      </c>
      <c r="N1141" s="321">
        <v>469123.28399999999</v>
      </c>
      <c r="O1141" s="321">
        <v>189831.33900000001</v>
      </c>
      <c r="P1141" s="321">
        <v>88284.858999999997</v>
      </c>
      <c r="Q1141" s="321">
        <v>35875.673999999999</v>
      </c>
      <c r="R1141" s="321">
        <v>467271.17499999999</v>
      </c>
      <c r="S1141" s="321">
        <v>315975.92800000001</v>
      </c>
      <c r="T1141" s="321">
        <v>14069.388999999999</v>
      </c>
      <c r="U1141" s="322">
        <v>2142.4079999999999</v>
      </c>
      <c r="V1141" s="323">
        <v>4205778.4890000001</v>
      </c>
      <c r="W1141" s="303"/>
      <c r="X1141" s="324">
        <v>2142.4079999999999</v>
      </c>
      <c r="Y1141" s="325">
        <v>4205778.4890000001</v>
      </c>
      <c r="AA1141" s="388"/>
    </row>
    <row r="1142" spans="1:27" hidden="1" outlineLevel="1" x14ac:dyDescent="0.3">
      <c r="E1142" t="s">
        <v>2116</v>
      </c>
      <c r="F1142" s="317">
        <v>4500102</v>
      </c>
      <c r="G1142" s="318"/>
      <c r="H1142" s="319">
        <v>7701010103</v>
      </c>
      <c r="I1142" s="320"/>
      <c r="J1142" s="337">
        <v>1811677.868</v>
      </c>
      <c r="K1142" s="321">
        <v>1666260.308</v>
      </c>
      <c r="L1142" s="321">
        <v>1853256.726</v>
      </c>
      <c r="M1142" s="321">
        <v>1766555.828</v>
      </c>
      <c r="N1142" s="321">
        <v>1403357.318</v>
      </c>
      <c r="O1142" s="321">
        <v>1349578.237</v>
      </c>
      <c r="P1142" s="321">
        <v>1393869.182</v>
      </c>
      <c r="Q1142" s="321">
        <v>1390973.37</v>
      </c>
      <c r="R1142" s="321">
        <v>1346103.2609999999</v>
      </c>
      <c r="S1142" s="321">
        <v>1390973.3689999999</v>
      </c>
      <c r="T1142" s="321">
        <v>1346467.571</v>
      </c>
      <c r="U1142" s="322">
        <v>1396620.1680000001</v>
      </c>
      <c r="V1142" s="323">
        <v>18115693.206</v>
      </c>
      <c r="W1142" s="303"/>
      <c r="X1142" s="324">
        <v>1396620.1680000001</v>
      </c>
      <c r="Y1142" s="325">
        <v>18115693.206</v>
      </c>
      <c r="AA1142" s="388"/>
    </row>
    <row r="1143" spans="1:27" hidden="1" outlineLevel="1" x14ac:dyDescent="0.3">
      <c r="E1143" t="s">
        <v>2117</v>
      </c>
      <c r="F1143" s="317">
        <v>4500199</v>
      </c>
      <c r="G1143" s="318"/>
      <c r="H1143" s="319">
        <v>7701010199</v>
      </c>
      <c r="I1143" s="320"/>
      <c r="J1143" s="337">
        <v>16686.181</v>
      </c>
      <c r="K1143" s="321">
        <v>12845.293</v>
      </c>
      <c r="L1143" s="321">
        <v>26616.955000000002</v>
      </c>
      <c r="M1143" s="321">
        <v>17058.690999999999</v>
      </c>
      <c r="N1143" s="321">
        <v>16265.431</v>
      </c>
      <c r="O1143" s="321">
        <v>29483.523999999998</v>
      </c>
      <c r="P1143" s="321">
        <v>19710.135999999999</v>
      </c>
      <c r="Q1143" s="321">
        <v>17738.832999999999</v>
      </c>
      <c r="R1143" s="321">
        <v>29449.213</v>
      </c>
      <c r="S1143" s="321">
        <v>11134.069</v>
      </c>
      <c r="T1143" s="321">
        <v>17458.523000000001</v>
      </c>
      <c r="U1143" s="322">
        <v>28449.217000000001</v>
      </c>
      <c r="V1143" s="323">
        <v>242896.06599999999</v>
      </c>
      <c r="W1143" s="303"/>
      <c r="X1143" s="324">
        <v>28449.217000000001</v>
      </c>
      <c r="Y1143" s="325">
        <v>242896.06599999999</v>
      </c>
      <c r="AA1143" s="388"/>
    </row>
    <row r="1144" spans="1:27" s="350" customFormat="1" hidden="1" outlineLevel="2" x14ac:dyDescent="0.3">
      <c r="E1144" s="350" t="s">
        <v>2118</v>
      </c>
      <c r="F1144" s="306"/>
      <c r="G1144" s="307"/>
      <c r="H1144" s="308">
        <v>7701010107</v>
      </c>
      <c r="I1144" s="309"/>
      <c r="J1144" s="310">
        <v>0</v>
      </c>
      <c r="K1144" s="311">
        <v>0</v>
      </c>
      <c r="L1144" s="311">
        <v>0</v>
      </c>
      <c r="M1144" s="311">
        <v>0</v>
      </c>
      <c r="N1144" s="311">
        <v>0</v>
      </c>
      <c r="O1144" s="311">
        <v>0</v>
      </c>
      <c r="P1144" s="311">
        <v>0</v>
      </c>
      <c r="Q1144" s="311">
        <v>0</v>
      </c>
      <c r="R1144" s="311">
        <v>0</v>
      </c>
      <c r="S1144" s="311">
        <v>0</v>
      </c>
      <c r="T1144" s="311">
        <v>0</v>
      </c>
      <c r="U1144" s="312">
        <v>0</v>
      </c>
      <c r="V1144" s="313">
        <v>0</v>
      </c>
      <c r="W1144" s="314"/>
      <c r="X1144" s="315">
        <v>0</v>
      </c>
      <c r="Y1144" s="316">
        <v>0</v>
      </c>
      <c r="AA1144" s="314"/>
    </row>
    <row r="1145" spans="1:27" s="326" customFormat="1" hidden="1" outlineLevel="2" x14ac:dyDescent="0.3">
      <c r="E1145" s="326" t="s">
        <v>2119</v>
      </c>
      <c r="F1145" s="336"/>
      <c r="G1145" s="327"/>
      <c r="H1145" s="328"/>
      <c r="I1145" s="329"/>
      <c r="J1145" s="338">
        <v>0</v>
      </c>
      <c r="K1145" s="330">
        <v>0</v>
      </c>
      <c r="L1145" s="330">
        <v>0</v>
      </c>
      <c r="M1145" s="330">
        <v>0</v>
      </c>
      <c r="N1145" s="330">
        <v>0</v>
      </c>
      <c r="O1145" s="330">
        <v>0</v>
      </c>
      <c r="P1145" s="330">
        <v>0</v>
      </c>
      <c r="Q1145" s="330">
        <v>0</v>
      </c>
      <c r="R1145" s="330">
        <v>0</v>
      </c>
      <c r="S1145" s="330">
        <v>0</v>
      </c>
      <c r="T1145" s="330">
        <v>0</v>
      </c>
      <c r="U1145" s="331">
        <v>0</v>
      </c>
      <c r="V1145" s="332">
        <v>0</v>
      </c>
      <c r="W1145" s="333"/>
      <c r="X1145" s="334">
        <v>0</v>
      </c>
      <c r="Y1145" s="335">
        <v>0</v>
      </c>
      <c r="AA1145" s="388"/>
    </row>
    <row r="1146" spans="1:27" s="326" customFormat="1" hidden="1" outlineLevel="2" x14ac:dyDescent="0.3">
      <c r="E1146" s="326" t="s">
        <v>2120</v>
      </c>
      <c r="F1146" s="336"/>
      <c r="G1146" s="327"/>
      <c r="H1146" s="328"/>
      <c r="I1146" s="329"/>
      <c r="J1146" s="338">
        <v>0</v>
      </c>
      <c r="K1146" s="330">
        <v>0</v>
      </c>
      <c r="L1146" s="330">
        <v>0</v>
      </c>
      <c r="M1146" s="330">
        <v>0</v>
      </c>
      <c r="N1146" s="330">
        <v>0</v>
      </c>
      <c r="O1146" s="330">
        <v>0</v>
      </c>
      <c r="P1146" s="330">
        <v>0</v>
      </c>
      <c r="Q1146" s="330">
        <v>0</v>
      </c>
      <c r="R1146" s="330">
        <v>0</v>
      </c>
      <c r="S1146" s="330">
        <v>0</v>
      </c>
      <c r="T1146" s="330">
        <v>0</v>
      </c>
      <c r="U1146" s="331">
        <v>0</v>
      </c>
      <c r="V1146" s="332">
        <v>0</v>
      </c>
      <c r="W1146" s="333"/>
      <c r="X1146" s="334">
        <v>0</v>
      </c>
      <c r="Y1146" s="335">
        <v>0</v>
      </c>
      <c r="AA1146" s="388"/>
    </row>
    <row r="1147" spans="1:27" hidden="1" collapsed="1" x14ac:dyDescent="0.3">
      <c r="E1147" s="339" t="s">
        <v>2035</v>
      </c>
      <c r="F1147" s="340" t="s">
        <v>2121</v>
      </c>
      <c r="G1147" s="341"/>
      <c r="H1147" s="342"/>
      <c r="I1147" s="343"/>
      <c r="J1147" s="344">
        <v>6127383.3799999999</v>
      </c>
      <c r="K1147" s="345">
        <v>5602648.449</v>
      </c>
      <c r="L1147" s="345">
        <v>6065019.9209999992</v>
      </c>
      <c r="M1147" s="345">
        <v>5859000.0309999995</v>
      </c>
      <c r="N1147" s="345">
        <v>5985204.9450000012</v>
      </c>
      <c r="O1147" s="345">
        <v>5798480.074</v>
      </c>
      <c r="P1147" s="345">
        <v>5903436.1189999999</v>
      </c>
      <c r="Q1147" s="345">
        <v>5842290.2120000003</v>
      </c>
      <c r="R1147" s="345">
        <v>5664806.949</v>
      </c>
      <c r="S1147" s="345">
        <v>5759324.2589999996</v>
      </c>
      <c r="T1147" s="345">
        <v>5547966.8430000003</v>
      </c>
      <c r="U1147" s="346">
        <v>5706418.3500000006</v>
      </c>
      <c r="V1147" s="347">
        <v>69861979.532000005</v>
      </c>
      <c r="W1147" s="303"/>
      <c r="X1147" s="348">
        <v>5706418.3500000006</v>
      </c>
      <c r="Y1147" s="349">
        <v>69861979.532000005</v>
      </c>
      <c r="AA1147" s="388"/>
    </row>
    <row r="1148" spans="1:27" hidden="1" outlineLevel="1" x14ac:dyDescent="0.3">
      <c r="E1148" t="s">
        <v>2122</v>
      </c>
      <c r="F1148" s="317">
        <v>4500104</v>
      </c>
      <c r="G1148" s="318"/>
      <c r="H1148" s="319">
        <v>7701010105</v>
      </c>
      <c r="I1148" s="320"/>
      <c r="J1148" s="337">
        <v>61064.881000000001</v>
      </c>
      <c r="K1148" s="321">
        <v>56283.858</v>
      </c>
      <c r="L1148" s="321">
        <v>62438.514000000003</v>
      </c>
      <c r="M1148" s="321">
        <v>59220.237000000001</v>
      </c>
      <c r="N1148" s="321">
        <v>48880.175000000003</v>
      </c>
      <c r="O1148" s="321">
        <v>48462.697999999997</v>
      </c>
      <c r="P1148" s="321">
        <v>50076.571000000004</v>
      </c>
      <c r="Q1148" s="321">
        <v>50115.046999999999</v>
      </c>
      <c r="R1148" s="321">
        <v>48505.103999999999</v>
      </c>
      <c r="S1148" s="321">
        <v>50137.697999999997</v>
      </c>
      <c r="T1148" s="321">
        <v>48644.896000000001</v>
      </c>
      <c r="U1148" s="322">
        <v>50273.586000000003</v>
      </c>
      <c r="V1148" s="323">
        <v>634103.2649999999</v>
      </c>
      <c r="W1148" s="303"/>
      <c r="X1148" s="324">
        <v>50273.586000000003</v>
      </c>
      <c r="Y1148" s="325">
        <v>634103.2649999999</v>
      </c>
      <c r="AA1148" s="388"/>
    </row>
    <row r="1149" spans="1:27" hidden="1" outlineLevel="1" x14ac:dyDescent="0.3">
      <c r="E1149" t="s">
        <v>2123</v>
      </c>
      <c r="F1149" s="317">
        <v>4500106</v>
      </c>
      <c r="G1149" s="318"/>
      <c r="H1149" s="319">
        <v>7701010305</v>
      </c>
      <c r="I1149" s="320"/>
      <c r="J1149" s="337">
        <v>151487.94500000001</v>
      </c>
      <c r="K1149" s="321">
        <v>154880.641</v>
      </c>
      <c r="L1149" s="321">
        <v>156533.34100000001</v>
      </c>
      <c r="M1149" s="321">
        <v>158480.984</v>
      </c>
      <c r="N1149" s="321">
        <v>161546.43699999998</v>
      </c>
      <c r="O1149" s="321">
        <v>161221.421</v>
      </c>
      <c r="P1149" s="321">
        <v>164403.185</v>
      </c>
      <c r="Q1149" s="321">
        <v>166551.46599999999</v>
      </c>
      <c r="R1149" s="321">
        <v>168414.76699999999</v>
      </c>
      <c r="S1149" s="321">
        <v>169689.603</v>
      </c>
      <c r="T1149" s="321">
        <v>171493.29399999999</v>
      </c>
      <c r="U1149" s="322">
        <v>171128.016</v>
      </c>
      <c r="V1149" s="323">
        <v>1955831.1</v>
      </c>
      <c r="W1149" s="303"/>
      <c r="X1149" s="324">
        <v>171128.016</v>
      </c>
      <c r="Y1149" s="325">
        <v>1955831.1</v>
      </c>
      <c r="AA1149" s="388"/>
    </row>
    <row r="1150" spans="1:27" hidden="1" outlineLevel="1" x14ac:dyDescent="0.3">
      <c r="E1150" t="s">
        <v>2124</v>
      </c>
      <c r="F1150" s="317">
        <v>4500181</v>
      </c>
      <c r="G1150" s="318"/>
      <c r="H1150" s="319">
        <v>7701010301</v>
      </c>
      <c r="I1150" s="320"/>
      <c r="J1150" s="337">
        <v>461033.00599999994</v>
      </c>
      <c r="K1150" s="321">
        <v>466116.326</v>
      </c>
      <c r="L1150" s="321">
        <v>472021.29200000002</v>
      </c>
      <c r="M1150" s="321">
        <v>473081.30799999996</v>
      </c>
      <c r="N1150" s="321">
        <v>473614.55499999999</v>
      </c>
      <c r="O1150" s="321">
        <v>479105.80499999993</v>
      </c>
      <c r="P1150" s="321">
        <v>478706.88099999994</v>
      </c>
      <c r="Q1150" s="321">
        <v>481390.67599999998</v>
      </c>
      <c r="R1150" s="321">
        <v>489404.31300000002</v>
      </c>
      <c r="S1150" s="321">
        <v>486929.29599999997</v>
      </c>
      <c r="T1150" s="321">
        <v>486863.25899999996</v>
      </c>
      <c r="U1150" s="322">
        <v>492764.22100000002</v>
      </c>
      <c r="V1150" s="323">
        <v>5741030.9379999992</v>
      </c>
      <c r="W1150" s="303"/>
      <c r="X1150" s="324">
        <v>492764.22100000002</v>
      </c>
      <c r="Y1150" s="325">
        <v>5741030.9379999992</v>
      </c>
      <c r="AA1150" s="388"/>
    </row>
    <row r="1151" spans="1:27" hidden="1" outlineLevel="1" x14ac:dyDescent="0.3">
      <c r="E1151" t="s">
        <v>2125</v>
      </c>
      <c r="F1151" s="317">
        <v>4500182</v>
      </c>
      <c r="G1151" s="318"/>
      <c r="H1151" s="319">
        <v>7701010501</v>
      </c>
      <c r="I1151" s="320"/>
      <c r="J1151" s="337">
        <v>5381302.5090000005</v>
      </c>
      <c r="K1151" s="321">
        <v>4850577.63</v>
      </c>
      <c r="L1151" s="321">
        <v>5298402.8199999994</v>
      </c>
      <c r="M1151" s="321">
        <v>5091516.8509999998</v>
      </c>
      <c r="N1151" s="321">
        <v>5223443.7250000006</v>
      </c>
      <c r="O1151" s="321">
        <v>5030287.4390000002</v>
      </c>
      <c r="P1151" s="321">
        <v>5129380.8169999998</v>
      </c>
      <c r="Q1151" s="321">
        <v>5063438.4419999998</v>
      </c>
      <c r="R1151" s="321">
        <v>4876802.0959999999</v>
      </c>
      <c r="S1151" s="321">
        <v>4970457.2039999999</v>
      </c>
      <c r="T1151" s="321">
        <v>4758510.443</v>
      </c>
      <c r="U1151" s="322">
        <v>4909776.1280000005</v>
      </c>
      <c r="V1151" s="323">
        <v>60583896.10400001</v>
      </c>
      <c r="W1151" s="303"/>
      <c r="X1151" s="324">
        <v>4909776.1280000005</v>
      </c>
      <c r="Y1151" s="325">
        <v>60583896.10400001</v>
      </c>
      <c r="AA1151" s="388"/>
    </row>
    <row r="1152" spans="1:27" hidden="1" outlineLevel="1" x14ac:dyDescent="0.3">
      <c r="E1152" t="s">
        <v>2126</v>
      </c>
      <c r="F1152" s="317">
        <v>4500813</v>
      </c>
      <c r="G1152" s="318"/>
      <c r="H1152" s="319">
        <v>7701010701</v>
      </c>
      <c r="I1152" s="320"/>
      <c r="J1152" s="337">
        <v>72495.039000000004</v>
      </c>
      <c r="K1152" s="321">
        <v>74789.994000000006</v>
      </c>
      <c r="L1152" s="321">
        <v>75623.953999999983</v>
      </c>
      <c r="M1152" s="321">
        <v>76700.650999999998</v>
      </c>
      <c r="N1152" s="321">
        <v>77720.053</v>
      </c>
      <c r="O1152" s="321">
        <v>79402.710999999996</v>
      </c>
      <c r="P1152" s="321">
        <v>80868.664999999979</v>
      </c>
      <c r="Q1152" s="321">
        <v>80794.581000000006</v>
      </c>
      <c r="R1152" s="321">
        <v>81680.669000000009</v>
      </c>
      <c r="S1152" s="321">
        <v>82110.457999999999</v>
      </c>
      <c r="T1152" s="321">
        <v>82454.951000000001</v>
      </c>
      <c r="U1152" s="322">
        <v>82476.39899999999</v>
      </c>
      <c r="V1152" s="323">
        <v>947118.125</v>
      </c>
      <c r="W1152" s="303"/>
      <c r="X1152" s="324">
        <v>82476.39899999999</v>
      </c>
      <c r="Y1152" s="325">
        <v>947118.125</v>
      </c>
      <c r="AA1152" s="388"/>
    </row>
    <row r="1153" spans="1:27" s="350" customFormat="1" hidden="1" outlineLevel="2" x14ac:dyDescent="0.3">
      <c r="E1153" s="350" t="s">
        <v>2127</v>
      </c>
      <c r="F1153" s="306"/>
      <c r="G1153" s="307"/>
      <c r="H1153" s="308"/>
      <c r="I1153" s="309"/>
      <c r="J1153" s="310">
        <v>0</v>
      </c>
      <c r="K1153" s="311">
        <v>0</v>
      </c>
      <c r="L1153" s="311">
        <v>0</v>
      </c>
      <c r="M1153" s="311">
        <v>0</v>
      </c>
      <c r="N1153" s="311">
        <v>0</v>
      </c>
      <c r="O1153" s="311">
        <v>0</v>
      </c>
      <c r="P1153" s="311">
        <v>0</v>
      </c>
      <c r="Q1153" s="311">
        <v>0</v>
      </c>
      <c r="R1153" s="311">
        <v>0</v>
      </c>
      <c r="S1153" s="311">
        <v>0</v>
      </c>
      <c r="T1153" s="311">
        <v>0</v>
      </c>
      <c r="U1153" s="312">
        <v>0</v>
      </c>
      <c r="V1153" s="313">
        <v>0</v>
      </c>
      <c r="W1153" s="314"/>
      <c r="X1153" s="315">
        <v>0</v>
      </c>
      <c r="Y1153" s="316">
        <v>0</v>
      </c>
      <c r="AA1153" s="314"/>
    </row>
    <row r="1154" spans="1:27" s="326" customFormat="1" hidden="1" outlineLevel="2" x14ac:dyDescent="0.3">
      <c r="E1154" s="326" t="s">
        <v>2119</v>
      </c>
      <c r="F1154" s="336"/>
      <c r="G1154" s="327"/>
      <c r="H1154" s="328"/>
      <c r="I1154" s="329"/>
      <c r="J1154" s="338">
        <v>0</v>
      </c>
      <c r="K1154" s="330">
        <v>0</v>
      </c>
      <c r="L1154" s="330">
        <v>0</v>
      </c>
      <c r="M1154" s="330">
        <v>0</v>
      </c>
      <c r="N1154" s="330">
        <v>0</v>
      </c>
      <c r="O1154" s="330">
        <v>0</v>
      </c>
      <c r="P1154" s="330">
        <v>0</v>
      </c>
      <c r="Q1154" s="330">
        <v>0</v>
      </c>
      <c r="R1154" s="330">
        <v>0</v>
      </c>
      <c r="S1154" s="330">
        <v>0</v>
      </c>
      <c r="T1154" s="330">
        <v>0</v>
      </c>
      <c r="U1154" s="331">
        <v>0</v>
      </c>
      <c r="V1154" s="332">
        <v>0</v>
      </c>
      <c r="W1154" s="333"/>
      <c r="X1154" s="334">
        <v>0</v>
      </c>
      <c r="Y1154" s="335">
        <v>0</v>
      </c>
      <c r="AA1154" s="388"/>
    </row>
    <row r="1155" spans="1:27" s="326" customFormat="1" hidden="1" outlineLevel="2" x14ac:dyDescent="0.3">
      <c r="E1155" s="326" t="s">
        <v>2120</v>
      </c>
      <c r="F1155" s="336"/>
      <c r="G1155" s="327"/>
      <c r="H1155" s="328"/>
      <c r="I1155" s="329"/>
      <c r="J1155" s="338">
        <v>0</v>
      </c>
      <c r="K1155" s="330">
        <v>0</v>
      </c>
      <c r="L1155" s="330">
        <v>0</v>
      </c>
      <c r="M1155" s="330">
        <v>0</v>
      </c>
      <c r="N1155" s="330">
        <v>0</v>
      </c>
      <c r="O1155" s="330">
        <v>0</v>
      </c>
      <c r="P1155" s="330">
        <v>0</v>
      </c>
      <c r="Q1155" s="330">
        <v>0</v>
      </c>
      <c r="R1155" s="330">
        <v>0</v>
      </c>
      <c r="S1155" s="330">
        <v>0</v>
      </c>
      <c r="T1155" s="330">
        <v>0</v>
      </c>
      <c r="U1155" s="331">
        <v>0</v>
      </c>
      <c r="V1155" s="332">
        <v>0</v>
      </c>
      <c r="W1155" s="333"/>
      <c r="X1155" s="334">
        <v>0</v>
      </c>
      <c r="Y1155" s="335">
        <v>0</v>
      </c>
      <c r="AA1155" s="388"/>
    </row>
    <row r="1156" spans="1:27" hidden="1" collapsed="1" x14ac:dyDescent="0.3">
      <c r="A1156" s="233"/>
      <c r="B1156" s="234" t="s">
        <v>81</v>
      </c>
      <c r="D1156" s="293" t="s">
        <v>2128</v>
      </c>
      <c r="E1156" s="294"/>
      <c r="F1156" s="295" t="s">
        <v>2129</v>
      </c>
      <c r="G1156" s="296"/>
      <c r="H1156" s="297"/>
      <c r="I1156" s="298"/>
      <c r="J1156" s="299">
        <v>0</v>
      </c>
      <c r="K1156" s="300">
        <v>0</v>
      </c>
      <c r="L1156" s="300">
        <v>3772314.71</v>
      </c>
      <c r="M1156" s="300">
        <v>0</v>
      </c>
      <c r="N1156" s="300">
        <v>0</v>
      </c>
      <c r="O1156" s="300">
        <v>15957314.776999999</v>
      </c>
      <c r="P1156" s="300">
        <v>0</v>
      </c>
      <c r="Q1156" s="300">
        <v>0</v>
      </c>
      <c r="R1156" s="300">
        <v>-5508936.2959999992</v>
      </c>
      <c r="S1156" s="300">
        <v>0</v>
      </c>
      <c r="T1156" s="300">
        <v>1147639</v>
      </c>
      <c r="U1156" s="301">
        <v>41778680.335000008</v>
      </c>
      <c r="V1156" s="302">
        <v>57147012.526000008</v>
      </c>
      <c r="W1156" s="303"/>
      <c r="X1156" s="304">
        <v>41778680.335000008</v>
      </c>
      <c r="Y1156" s="305">
        <v>57147012.526000008</v>
      </c>
      <c r="AA1156" s="388"/>
    </row>
    <row r="1157" spans="1:27" hidden="1" outlineLevel="1" x14ac:dyDescent="0.3">
      <c r="E1157" t="s">
        <v>2130</v>
      </c>
      <c r="F1157" s="317">
        <v>4502010</v>
      </c>
      <c r="G1157" s="318"/>
      <c r="H1157" s="319">
        <v>7701300101</v>
      </c>
      <c r="I1157" s="320"/>
      <c r="J1157" s="337">
        <v>0</v>
      </c>
      <c r="K1157" s="321">
        <v>0</v>
      </c>
      <c r="L1157" s="321">
        <v>1600141.8359999999</v>
      </c>
      <c r="M1157" s="321">
        <v>0</v>
      </c>
      <c r="N1157" s="321">
        <v>0</v>
      </c>
      <c r="O1157" s="321">
        <v>0</v>
      </c>
      <c r="P1157" s="321">
        <v>0</v>
      </c>
      <c r="Q1157" s="321">
        <v>0</v>
      </c>
      <c r="R1157" s="321">
        <v>1368088.22</v>
      </c>
      <c r="S1157" s="321">
        <v>0</v>
      </c>
      <c r="T1157" s="321">
        <v>0</v>
      </c>
      <c r="U1157" s="322">
        <v>26778950.758000001</v>
      </c>
      <c r="V1157" s="323">
        <v>29747180.814000003</v>
      </c>
      <c r="W1157" s="303"/>
      <c r="X1157" s="324">
        <v>26778950.758000001</v>
      </c>
      <c r="Y1157" s="325">
        <v>29747180.814000003</v>
      </c>
      <c r="AA1157" s="388"/>
    </row>
    <row r="1158" spans="1:27" hidden="1" outlineLevel="1" x14ac:dyDescent="0.3">
      <c r="E1158" t="s">
        <v>2131</v>
      </c>
      <c r="F1158" s="317">
        <v>4502011</v>
      </c>
      <c r="G1158" s="318"/>
      <c r="H1158" s="319">
        <v>7701300102</v>
      </c>
      <c r="I1158" s="320"/>
      <c r="J1158" s="337">
        <v>0</v>
      </c>
      <c r="K1158" s="321">
        <v>0</v>
      </c>
      <c r="L1158" s="321">
        <v>410558.07900000003</v>
      </c>
      <c r="M1158" s="321">
        <v>0</v>
      </c>
      <c r="N1158" s="321">
        <v>0</v>
      </c>
      <c r="O1158" s="321">
        <v>7130089.6720000003</v>
      </c>
      <c r="P1158" s="321">
        <v>0</v>
      </c>
      <c r="Q1158" s="321">
        <v>0</v>
      </c>
      <c r="R1158" s="321">
        <v>-1231596.4509999999</v>
      </c>
      <c r="S1158" s="321">
        <v>0</v>
      </c>
      <c r="T1158" s="321">
        <v>0</v>
      </c>
      <c r="U1158" s="322">
        <v>3654127.3280000002</v>
      </c>
      <c r="V1158" s="323">
        <v>9963178.6280000005</v>
      </c>
      <c r="W1158" s="303"/>
      <c r="X1158" s="324">
        <v>3654127.3280000002</v>
      </c>
      <c r="Y1158" s="325">
        <v>9963178.6280000005</v>
      </c>
      <c r="AA1158" s="388"/>
    </row>
    <row r="1159" spans="1:27" hidden="1" outlineLevel="1" x14ac:dyDescent="0.3">
      <c r="E1159" t="s">
        <v>2132</v>
      </c>
      <c r="F1159" s="317">
        <v>4502012</v>
      </c>
      <c r="G1159" s="318"/>
      <c r="H1159" s="319">
        <v>7701300103</v>
      </c>
      <c r="I1159" s="320"/>
      <c r="J1159" s="337">
        <v>0</v>
      </c>
      <c r="K1159" s="321">
        <v>0</v>
      </c>
      <c r="L1159" s="321">
        <v>0</v>
      </c>
      <c r="M1159" s="321">
        <v>0</v>
      </c>
      <c r="N1159" s="321">
        <v>0</v>
      </c>
      <c r="O1159" s="321">
        <v>431296.8</v>
      </c>
      <c r="P1159" s="321">
        <v>0</v>
      </c>
      <c r="Q1159" s="321">
        <v>0</v>
      </c>
      <c r="R1159" s="321">
        <v>-431296.8</v>
      </c>
      <c r="S1159" s="321">
        <v>0</v>
      </c>
      <c r="T1159" s="321">
        <v>1147639</v>
      </c>
      <c r="U1159" s="322">
        <v>5776523.5449999999</v>
      </c>
      <c r="V1159" s="323">
        <v>6924162.5449999999</v>
      </c>
      <c r="W1159" s="303"/>
      <c r="X1159" s="324">
        <v>5776523.5449999999</v>
      </c>
      <c r="Y1159" s="325">
        <v>6924162.5449999999</v>
      </c>
      <c r="AA1159" s="388"/>
    </row>
    <row r="1160" spans="1:27" hidden="1" outlineLevel="1" x14ac:dyDescent="0.3">
      <c r="E1160" t="s">
        <v>2133</v>
      </c>
      <c r="F1160" s="317">
        <v>4502013</v>
      </c>
      <c r="G1160" s="318"/>
      <c r="H1160" s="319">
        <v>7701030102</v>
      </c>
      <c r="I1160" s="320"/>
      <c r="J1160" s="337">
        <v>0</v>
      </c>
      <c r="K1160" s="321">
        <v>0</v>
      </c>
      <c r="L1160" s="321">
        <v>1761614.7949999999</v>
      </c>
      <c r="M1160" s="321">
        <v>0</v>
      </c>
      <c r="N1160" s="321">
        <v>0</v>
      </c>
      <c r="O1160" s="321">
        <v>8395928.3049999997</v>
      </c>
      <c r="P1160" s="321">
        <v>0</v>
      </c>
      <c r="Q1160" s="321">
        <v>0</v>
      </c>
      <c r="R1160" s="321">
        <v>-5214131.2649999997</v>
      </c>
      <c r="S1160" s="321">
        <v>0</v>
      </c>
      <c r="T1160" s="321">
        <v>0</v>
      </c>
      <c r="U1160" s="322">
        <v>5569078.7039999999</v>
      </c>
      <c r="V1160" s="323">
        <v>10512490.539000001</v>
      </c>
      <c r="W1160" s="303"/>
      <c r="X1160" s="324">
        <v>5569078.7039999999</v>
      </c>
      <c r="Y1160" s="325">
        <v>10512490.539000001</v>
      </c>
      <c r="AA1160" s="388"/>
    </row>
    <row r="1161" spans="1:27" hidden="1" outlineLevel="1" x14ac:dyDescent="0.3">
      <c r="E1161" t="s">
        <v>2134</v>
      </c>
      <c r="F1161" s="317">
        <v>4502014</v>
      </c>
      <c r="G1161" s="318"/>
      <c r="H1161" s="319"/>
      <c r="I1161" s="320"/>
      <c r="J1161" s="337">
        <v>0</v>
      </c>
      <c r="K1161" s="321">
        <v>0</v>
      </c>
      <c r="L1161" s="321">
        <v>0</v>
      </c>
      <c r="M1161" s="321">
        <v>0</v>
      </c>
      <c r="N1161" s="321">
        <v>0</v>
      </c>
      <c r="O1161" s="321">
        <v>0</v>
      </c>
      <c r="P1161" s="321">
        <v>0</v>
      </c>
      <c r="Q1161" s="321">
        <v>0</v>
      </c>
      <c r="R1161" s="321">
        <v>0</v>
      </c>
      <c r="S1161" s="321">
        <v>0</v>
      </c>
      <c r="T1161" s="321">
        <v>0</v>
      </c>
      <c r="U1161" s="322">
        <v>0</v>
      </c>
      <c r="V1161" s="323">
        <v>0</v>
      </c>
      <c r="W1161" s="303"/>
      <c r="X1161" s="324">
        <v>0</v>
      </c>
      <c r="Y1161" s="325">
        <v>0</v>
      </c>
      <c r="AA1161" s="388"/>
    </row>
    <row r="1162" spans="1:27" s="326" customFormat="1" hidden="1" outlineLevel="2" x14ac:dyDescent="0.3">
      <c r="E1162" s="326" t="s">
        <v>2135</v>
      </c>
      <c r="F1162" s="336"/>
      <c r="G1162" s="327"/>
      <c r="H1162" s="328"/>
      <c r="I1162" s="329"/>
      <c r="J1162" s="338">
        <v>0</v>
      </c>
      <c r="K1162" s="330">
        <v>0</v>
      </c>
      <c r="L1162" s="330">
        <v>0</v>
      </c>
      <c r="M1162" s="330">
        <v>0</v>
      </c>
      <c r="N1162" s="330">
        <v>0</v>
      </c>
      <c r="O1162" s="330">
        <v>0</v>
      </c>
      <c r="P1162" s="330">
        <v>0</v>
      </c>
      <c r="Q1162" s="330">
        <v>0</v>
      </c>
      <c r="R1162" s="330">
        <v>0</v>
      </c>
      <c r="S1162" s="330">
        <v>0</v>
      </c>
      <c r="T1162" s="330">
        <v>0</v>
      </c>
      <c r="U1162" s="331">
        <v>0</v>
      </c>
      <c r="V1162" s="332">
        <v>0</v>
      </c>
      <c r="W1162" s="333"/>
      <c r="X1162" s="334">
        <v>0</v>
      </c>
      <c r="Y1162" s="335">
        <v>0</v>
      </c>
      <c r="AA1162" s="388"/>
    </row>
    <row r="1163" spans="1:27" s="326" customFormat="1" hidden="1" outlineLevel="2" x14ac:dyDescent="0.3">
      <c r="E1163" s="326" t="s">
        <v>2136</v>
      </c>
      <c r="F1163" s="336"/>
      <c r="G1163" s="327"/>
      <c r="H1163" s="328"/>
      <c r="I1163" s="329"/>
      <c r="J1163" s="338">
        <v>0</v>
      </c>
      <c r="K1163" s="330">
        <v>0</v>
      </c>
      <c r="L1163" s="330">
        <v>0</v>
      </c>
      <c r="M1163" s="330">
        <v>0</v>
      </c>
      <c r="N1163" s="330">
        <v>0</v>
      </c>
      <c r="O1163" s="330">
        <v>0</v>
      </c>
      <c r="P1163" s="330">
        <v>0</v>
      </c>
      <c r="Q1163" s="330">
        <v>0</v>
      </c>
      <c r="R1163" s="330">
        <v>0</v>
      </c>
      <c r="S1163" s="330">
        <v>0</v>
      </c>
      <c r="T1163" s="330">
        <v>0</v>
      </c>
      <c r="U1163" s="331">
        <v>0</v>
      </c>
      <c r="V1163" s="332">
        <v>0</v>
      </c>
      <c r="W1163" s="333"/>
      <c r="X1163" s="334">
        <v>0</v>
      </c>
      <c r="Y1163" s="335">
        <v>0</v>
      </c>
      <c r="AA1163" s="388"/>
    </row>
    <row r="1164" spans="1:27" s="326" customFormat="1" hidden="1" outlineLevel="2" x14ac:dyDescent="0.3">
      <c r="E1164" s="326" t="s">
        <v>2137</v>
      </c>
      <c r="F1164" s="336"/>
      <c r="G1164" s="327"/>
      <c r="H1164" s="328"/>
      <c r="I1164" s="329"/>
      <c r="J1164" s="338">
        <v>0</v>
      </c>
      <c r="K1164" s="330">
        <v>0</v>
      </c>
      <c r="L1164" s="330">
        <v>0</v>
      </c>
      <c r="M1164" s="330">
        <v>0</v>
      </c>
      <c r="N1164" s="330">
        <v>0</v>
      </c>
      <c r="O1164" s="330">
        <v>0</v>
      </c>
      <c r="P1164" s="330">
        <v>0</v>
      </c>
      <c r="Q1164" s="330">
        <v>0</v>
      </c>
      <c r="R1164" s="330">
        <v>0</v>
      </c>
      <c r="S1164" s="330">
        <v>0</v>
      </c>
      <c r="T1164" s="330">
        <v>0</v>
      </c>
      <c r="U1164" s="331">
        <v>0</v>
      </c>
      <c r="V1164" s="332">
        <v>0</v>
      </c>
      <c r="W1164" s="333"/>
      <c r="X1164" s="334">
        <v>0</v>
      </c>
      <c r="Y1164" s="335">
        <v>0</v>
      </c>
      <c r="AA1164" s="388"/>
    </row>
    <row r="1165" spans="1:27" hidden="1" collapsed="1" x14ac:dyDescent="0.3">
      <c r="A1165" s="233"/>
      <c r="B1165" s="234" t="s">
        <v>81</v>
      </c>
      <c r="D1165" s="293" t="s">
        <v>2138</v>
      </c>
      <c r="E1165" s="294"/>
      <c r="F1165" s="295" t="s">
        <v>2139</v>
      </c>
      <c r="G1165" s="296"/>
      <c r="H1165" s="297"/>
      <c r="I1165" s="298"/>
      <c r="J1165" s="299">
        <v>0</v>
      </c>
      <c r="K1165" s="300">
        <v>0</v>
      </c>
      <c r="L1165" s="300">
        <v>0</v>
      </c>
      <c r="M1165" s="300">
        <v>0</v>
      </c>
      <c r="N1165" s="300">
        <v>0</v>
      </c>
      <c r="O1165" s="300">
        <v>0</v>
      </c>
      <c r="P1165" s="300">
        <v>0</v>
      </c>
      <c r="Q1165" s="300">
        <v>0</v>
      </c>
      <c r="R1165" s="300">
        <v>0</v>
      </c>
      <c r="S1165" s="300">
        <v>0</v>
      </c>
      <c r="T1165" s="300">
        <v>0</v>
      </c>
      <c r="U1165" s="301">
        <v>0</v>
      </c>
      <c r="V1165" s="302">
        <v>0</v>
      </c>
      <c r="W1165" s="303"/>
      <c r="X1165" s="304">
        <v>0</v>
      </c>
      <c r="Y1165" s="305">
        <v>0</v>
      </c>
      <c r="AA1165" s="388"/>
    </row>
    <row r="1166" spans="1:27" hidden="1" outlineLevel="1" x14ac:dyDescent="0.3">
      <c r="E1166" t="s">
        <v>2140</v>
      </c>
      <c r="F1166" s="317">
        <v>4502003</v>
      </c>
      <c r="G1166" s="318"/>
      <c r="H1166" s="319"/>
      <c r="I1166" s="320"/>
      <c r="J1166" s="337">
        <v>0</v>
      </c>
      <c r="K1166" s="321">
        <v>0</v>
      </c>
      <c r="L1166" s="321">
        <v>0</v>
      </c>
      <c r="M1166" s="321">
        <v>0</v>
      </c>
      <c r="N1166" s="321">
        <v>0</v>
      </c>
      <c r="O1166" s="321">
        <v>0</v>
      </c>
      <c r="P1166" s="321">
        <v>0</v>
      </c>
      <c r="Q1166" s="321">
        <v>0</v>
      </c>
      <c r="R1166" s="321">
        <v>0</v>
      </c>
      <c r="S1166" s="321">
        <v>0</v>
      </c>
      <c r="T1166" s="321">
        <v>0</v>
      </c>
      <c r="U1166" s="322">
        <v>0</v>
      </c>
      <c r="V1166" s="323">
        <v>0</v>
      </c>
      <c r="W1166" s="303"/>
      <c r="X1166" s="324">
        <v>0</v>
      </c>
      <c r="Y1166" s="325">
        <v>0</v>
      </c>
      <c r="AA1166" s="388"/>
    </row>
    <row r="1167" spans="1:27" hidden="1" outlineLevel="1" x14ac:dyDescent="0.3">
      <c r="E1167" t="s">
        <v>2141</v>
      </c>
      <c r="F1167" s="317">
        <v>4502007</v>
      </c>
      <c r="G1167" s="318"/>
      <c r="H1167" s="319"/>
      <c r="I1167" s="320"/>
      <c r="J1167" s="337">
        <v>0</v>
      </c>
      <c r="K1167" s="321">
        <v>0</v>
      </c>
      <c r="L1167" s="321">
        <v>0</v>
      </c>
      <c r="M1167" s="321">
        <v>0</v>
      </c>
      <c r="N1167" s="321">
        <v>0</v>
      </c>
      <c r="O1167" s="321">
        <v>0</v>
      </c>
      <c r="P1167" s="321">
        <v>0</v>
      </c>
      <c r="Q1167" s="321">
        <v>0</v>
      </c>
      <c r="R1167" s="321">
        <v>0</v>
      </c>
      <c r="S1167" s="321">
        <v>0</v>
      </c>
      <c r="T1167" s="321">
        <v>0</v>
      </c>
      <c r="U1167" s="322">
        <v>0</v>
      </c>
      <c r="V1167" s="323">
        <v>0</v>
      </c>
      <c r="W1167" s="303"/>
      <c r="X1167" s="324">
        <v>0</v>
      </c>
      <c r="Y1167" s="325">
        <v>0</v>
      </c>
      <c r="AA1167" s="388"/>
    </row>
    <row r="1168" spans="1:27" hidden="1" outlineLevel="1" x14ac:dyDescent="0.3">
      <c r="E1168" t="s">
        <v>2142</v>
      </c>
      <c r="F1168" s="317">
        <v>4502008</v>
      </c>
      <c r="G1168" s="318"/>
      <c r="H1168" s="319"/>
      <c r="I1168" s="320"/>
      <c r="J1168" s="337">
        <v>0</v>
      </c>
      <c r="K1168" s="321">
        <v>0</v>
      </c>
      <c r="L1168" s="321">
        <v>0</v>
      </c>
      <c r="M1168" s="321">
        <v>0</v>
      </c>
      <c r="N1168" s="321">
        <v>0</v>
      </c>
      <c r="O1168" s="321">
        <v>0</v>
      </c>
      <c r="P1168" s="321">
        <v>0</v>
      </c>
      <c r="Q1168" s="321">
        <v>0</v>
      </c>
      <c r="R1168" s="321">
        <v>0</v>
      </c>
      <c r="S1168" s="321">
        <v>0</v>
      </c>
      <c r="T1168" s="321">
        <v>0</v>
      </c>
      <c r="U1168" s="322">
        <v>0</v>
      </c>
      <c r="V1168" s="323">
        <v>0</v>
      </c>
      <c r="W1168" s="303"/>
      <c r="X1168" s="324">
        <v>0</v>
      </c>
      <c r="Y1168" s="325">
        <v>0</v>
      </c>
      <c r="AA1168" s="388"/>
    </row>
    <row r="1169" spans="1:27" hidden="1" outlineLevel="1" x14ac:dyDescent="0.3">
      <c r="E1169" t="s">
        <v>2143</v>
      </c>
      <c r="F1169" s="317">
        <v>4502009</v>
      </c>
      <c r="G1169" s="318"/>
      <c r="H1169" s="319"/>
      <c r="I1169" s="320"/>
      <c r="J1169" s="337">
        <v>0</v>
      </c>
      <c r="K1169" s="321">
        <v>0</v>
      </c>
      <c r="L1169" s="321">
        <v>0</v>
      </c>
      <c r="M1169" s="321">
        <v>0</v>
      </c>
      <c r="N1169" s="321">
        <v>0</v>
      </c>
      <c r="O1169" s="321">
        <v>0</v>
      </c>
      <c r="P1169" s="321">
        <v>0</v>
      </c>
      <c r="Q1169" s="321">
        <v>0</v>
      </c>
      <c r="R1169" s="321">
        <v>0</v>
      </c>
      <c r="S1169" s="321">
        <v>0</v>
      </c>
      <c r="T1169" s="321">
        <v>0</v>
      </c>
      <c r="U1169" s="322">
        <v>0</v>
      </c>
      <c r="V1169" s="323">
        <v>0</v>
      </c>
      <c r="W1169" s="303"/>
      <c r="X1169" s="324">
        <v>0</v>
      </c>
      <c r="Y1169" s="325">
        <v>0</v>
      </c>
      <c r="AA1169" s="388"/>
    </row>
    <row r="1170" spans="1:27" hidden="1" outlineLevel="1" x14ac:dyDescent="0.3">
      <c r="E1170" t="s">
        <v>2144</v>
      </c>
      <c r="F1170" s="317">
        <v>4502015</v>
      </c>
      <c r="G1170" s="318"/>
      <c r="H1170" s="319"/>
      <c r="I1170" s="320"/>
      <c r="J1170" s="337">
        <v>0</v>
      </c>
      <c r="K1170" s="321">
        <v>0</v>
      </c>
      <c r="L1170" s="321">
        <v>0</v>
      </c>
      <c r="M1170" s="321">
        <v>0</v>
      </c>
      <c r="N1170" s="321">
        <v>0</v>
      </c>
      <c r="O1170" s="321">
        <v>0</v>
      </c>
      <c r="P1170" s="321">
        <v>0</v>
      </c>
      <c r="Q1170" s="321">
        <v>0</v>
      </c>
      <c r="R1170" s="321">
        <v>0</v>
      </c>
      <c r="S1170" s="321">
        <v>0</v>
      </c>
      <c r="T1170" s="321">
        <v>0</v>
      </c>
      <c r="U1170" s="322">
        <v>0</v>
      </c>
      <c r="V1170" s="323">
        <v>0</v>
      </c>
      <c r="W1170" s="303"/>
      <c r="X1170" s="324">
        <v>0</v>
      </c>
      <c r="Y1170" s="325">
        <v>0</v>
      </c>
      <c r="AA1170" s="388"/>
    </row>
    <row r="1171" spans="1:27" hidden="1" outlineLevel="1" x14ac:dyDescent="0.3">
      <c r="E1171" s="326" t="s">
        <v>2145</v>
      </c>
      <c r="F1171" s="317"/>
      <c r="G1171" s="318"/>
      <c r="H1171" s="319"/>
      <c r="I1171" s="320"/>
      <c r="J1171" s="337">
        <v>0</v>
      </c>
      <c r="K1171" s="321">
        <v>0</v>
      </c>
      <c r="L1171" s="321">
        <v>0</v>
      </c>
      <c r="M1171" s="321">
        <v>0</v>
      </c>
      <c r="N1171" s="321">
        <v>0</v>
      </c>
      <c r="O1171" s="321">
        <v>0</v>
      </c>
      <c r="P1171" s="321">
        <v>0</v>
      </c>
      <c r="Q1171" s="321">
        <v>0</v>
      </c>
      <c r="R1171" s="321">
        <v>0</v>
      </c>
      <c r="S1171" s="321">
        <v>0</v>
      </c>
      <c r="T1171" s="321">
        <v>0</v>
      </c>
      <c r="U1171" s="322">
        <v>0</v>
      </c>
      <c r="V1171" s="323">
        <v>0</v>
      </c>
      <c r="W1171" s="303"/>
      <c r="X1171" s="324">
        <v>0</v>
      </c>
      <c r="Y1171" s="325">
        <v>0</v>
      </c>
      <c r="AA1171" s="388"/>
    </row>
    <row r="1172" spans="1:27" hidden="1" outlineLevel="1" x14ac:dyDescent="0.3">
      <c r="E1172" s="326" t="s">
        <v>2146</v>
      </c>
      <c r="F1172" s="317"/>
      <c r="G1172" s="318"/>
      <c r="H1172" s="319"/>
      <c r="I1172" s="320"/>
      <c r="J1172" s="337">
        <v>0</v>
      </c>
      <c r="K1172" s="321">
        <v>0</v>
      </c>
      <c r="L1172" s="321">
        <v>0</v>
      </c>
      <c r="M1172" s="321">
        <v>0</v>
      </c>
      <c r="N1172" s="321">
        <v>0</v>
      </c>
      <c r="O1172" s="321">
        <v>0</v>
      </c>
      <c r="P1172" s="321">
        <v>0</v>
      </c>
      <c r="Q1172" s="321">
        <v>0</v>
      </c>
      <c r="R1172" s="321">
        <v>0</v>
      </c>
      <c r="S1172" s="321">
        <v>0</v>
      </c>
      <c r="T1172" s="321">
        <v>0</v>
      </c>
      <c r="U1172" s="322">
        <v>0</v>
      </c>
      <c r="V1172" s="323">
        <v>0</v>
      </c>
      <c r="W1172" s="303"/>
      <c r="X1172" s="324">
        <v>0</v>
      </c>
      <c r="Y1172" s="325">
        <v>0</v>
      </c>
      <c r="AA1172" s="388"/>
    </row>
    <row r="1173" spans="1:27" s="326" customFormat="1" hidden="1" outlineLevel="2" x14ac:dyDescent="0.3">
      <c r="E1173" s="326" t="s">
        <v>2147</v>
      </c>
      <c r="F1173" s="336"/>
      <c r="G1173" s="327"/>
      <c r="H1173" s="328"/>
      <c r="I1173" s="329"/>
      <c r="J1173" s="338">
        <v>0</v>
      </c>
      <c r="K1173" s="330">
        <v>0</v>
      </c>
      <c r="L1173" s="330">
        <v>0</v>
      </c>
      <c r="M1173" s="330">
        <v>0</v>
      </c>
      <c r="N1173" s="330">
        <v>0</v>
      </c>
      <c r="O1173" s="330">
        <v>0</v>
      </c>
      <c r="P1173" s="330">
        <v>0</v>
      </c>
      <c r="Q1173" s="330">
        <v>0</v>
      </c>
      <c r="R1173" s="330">
        <v>0</v>
      </c>
      <c r="S1173" s="330">
        <v>0</v>
      </c>
      <c r="T1173" s="330">
        <v>0</v>
      </c>
      <c r="U1173" s="331">
        <v>0</v>
      </c>
      <c r="V1173" s="332">
        <v>0</v>
      </c>
      <c r="W1173" s="333"/>
      <c r="X1173" s="334">
        <v>0</v>
      </c>
      <c r="Y1173" s="335">
        <v>0</v>
      </c>
      <c r="AA1173" s="388"/>
    </row>
    <row r="1174" spans="1:27" hidden="1" collapsed="1" x14ac:dyDescent="0.3">
      <c r="A1174" s="233"/>
      <c r="B1174" s="234" t="s">
        <v>81</v>
      </c>
      <c r="D1174" s="293" t="s">
        <v>2148</v>
      </c>
      <c r="E1174" s="294"/>
      <c r="F1174" s="295" t="s">
        <v>2149</v>
      </c>
      <c r="G1174" s="296"/>
      <c r="H1174" s="297"/>
      <c r="I1174" s="298"/>
      <c r="J1174" s="299">
        <v>0</v>
      </c>
      <c r="K1174" s="300">
        <v>0</v>
      </c>
      <c r="L1174" s="300">
        <v>0</v>
      </c>
      <c r="M1174" s="300">
        <v>0</v>
      </c>
      <c r="N1174" s="300">
        <v>0</v>
      </c>
      <c r="O1174" s="300">
        <v>0</v>
      </c>
      <c r="P1174" s="300">
        <v>0</v>
      </c>
      <c r="Q1174" s="300">
        <v>0</v>
      </c>
      <c r="R1174" s="300">
        <v>0</v>
      </c>
      <c r="S1174" s="300">
        <v>0</v>
      </c>
      <c r="T1174" s="300">
        <v>0</v>
      </c>
      <c r="U1174" s="301">
        <v>0</v>
      </c>
      <c r="V1174" s="302">
        <v>0</v>
      </c>
      <c r="W1174" s="303"/>
      <c r="X1174" s="304">
        <v>0</v>
      </c>
      <c r="Y1174" s="305">
        <v>0</v>
      </c>
      <c r="AA1174" s="388"/>
    </row>
    <row r="1175" spans="1:27" hidden="1" outlineLevel="1" x14ac:dyDescent="0.3">
      <c r="E1175" t="s">
        <v>2150</v>
      </c>
      <c r="F1175" s="317">
        <v>4502005</v>
      </c>
      <c r="G1175" s="318"/>
      <c r="H1175" s="319">
        <v>7701070000</v>
      </c>
      <c r="I1175" s="320"/>
      <c r="J1175" s="337">
        <v>0</v>
      </c>
      <c r="K1175" s="321">
        <v>0</v>
      </c>
      <c r="L1175" s="321">
        <v>0</v>
      </c>
      <c r="M1175" s="321">
        <v>0</v>
      </c>
      <c r="N1175" s="321">
        <v>0</v>
      </c>
      <c r="O1175" s="321">
        <v>0</v>
      </c>
      <c r="P1175" s="321">
        <v>0</v>
      </c>
      <c r="Q1175" s="321">
        <v>0</v>
      </c>
      <c r="R1175" s="321">
        <v>0</v>
      </c>
      <c r="S1175" s="321">
        <v>0</v>
      </c>
      <c r="T1175" s="321">
        <v>0</v>
      </c>
      <c r="U1175" s="322">
        <v>0</v>
      </c>
      <c r="V1175" s="323">
        <v>0</v>
      </c>
      <c r="W1175" s="303"/>
      <c r="X1175" s="324">
        <v>0</v>
      </c>
      <c r="Y1175" s="325">
        <v>0</v>
      </c>
      <c r="AA1175" s="388"/>
    </row>
    <row r="1176" spans="1:27" s="326" customFormat="1" hidden="1" outlineLevel="2" x14ac:dyDescent="0.3">
      <c r="E1176" s="326" t="s">
        <v>2151</v>
      </c>
      <c r="F1176" s="336"/>
      <c r="G1176" s="327"/>
      <c r="H1176" s="328"/>
      <c r="I1176" s="329"/>
      <c r="J1176" s="338">
        <v>0</v>
      </c>
      <c r="K1176" s="330">
        <v>0</v>
      </c>
      <c r="L1176" s="330">
        <v>0</v>
      </c>
      <c r="M1176" s="330">
        <v>0</v>
      </c>
      <c r="N1176" s="330">
        <v>0</v>
      </c>
      <c r="O1176" s="330">
        <v>0</v>
      </c>
      <c r="P1176" s="330">
        <v>0</v>
      </c>
      <c r="Q1176" s="330">
        <v>0</v>
      </c>
      <c r="R1176" s="330">
        <v>0</v>
      </c>
      <c r="S1176" s="330">
        <v>0</v>
      </c>
      <c r="T1176" s="330">
        <v>0</v>
      </c>
      <c r="U1176" s="331">
        <v>0</v>
      </c>
      <c r="V1176" s="332">
        <v>0</v>
      </c>
      <c r="W1176" s="333"/>
      <c r="X1176" s="334">
        <v>0</v>
      </c>
      <c r="Y1176" s="335">
        <v>0</v>
      </c>
      <c r="AA1176" s="388"/>
    </row>
    <row r="1177" spans="1:27" s="326" customFormat="1" hidden="1" outlineLevel="2" x14ac:dyDescent="0.3">
      <c r="E1177" s="326" t="s">
        <v>2152</v>
      </c>
      <c r="F1177" s="336"/>
      <c r="G1177" s="327"/>
      <c r="H1177" s="328"/>
      <c r="I1177" s="329"/>
      <c r="J1177" s="338">
        <v>0</v>
      </c>
      <c r="K1177" s="330">
        <v>0</v>
      </c>
      <c r="L1177" s="330">
        <v>0</v>
      </c>
      <c r="M1177" s="330">
        <v>0</v>
      </c>
      <c r="N1177" s="330">
        <v>0</v>
      </c>
      <c r="O1177" s="330">
        <v>0</v>
      </c>
      <c r="P1177" s="330">
        <v>0</v>
      </c>
      <c r="Q1177" s="330">
        <v>0</v>
      </c>
      <c r="R1177" s="330">
        <v>0</v>
      </c>
      <c r="S1177" s="330">
        <v>0</v>
      </c>
      <c r="T1177" s="330">
        <v>0</v>
      </c>
      <c r="U1177" s="331">
        <v>0</v>
      </c>
      <c r="V1177" s="332">
        <v>0</v>
      </c>
      <c r="W1177" s="333"/>
      <c r="X1177" s="334">
        <v>0</v>
      </c>
      <c r="Y1177" s="335">
        <v>0</v>
      </c>
      <c r="AA1177" s="388"/>
    </row>
    <row r="1178" spans="1:27" s="326" customFormat="1" hidden="1" outlineLevel="2" x14ac:dyDescent="0.3">
      <c r="E1178" s="326" t="s">
        <v>2153</v>
      </c>
      <c r="F1178" s="336"/>
      <c r="G1178" s="327"/>
      <c r="H1178" s="328"/>
      <c r="I1178" s="329"/>
      <c r="J1178" s="338">
        <v>0</v>
      </c>
      <c r="K1178" s="330">
        <v>0</v>
      </c>
      <c r="L1178" s="330">
        <v>0</v>
      </c>
      <c r="M1178" s="330">
        <v>0</v>
      </c>
      <c r="N1178" s="330">
        <v>0</v>
      </c>
      <c r="O1178" s="330">
        <v>0</v>
      </c>
      <c r="P1178" s="330">
        <v>0</v>
      </c>
      <c r="Q1178" s="330">
        <v>0</v>
      </c>
      <c r="R1178" s="330">
        <v>0</v>
      </c>
      <c r="S1178" s="330">
        <v>0</v>
      </c>
      <c r="T1178" s="330">
        <v>0</v>
      </c>
      <c r="U1178" s="331">
        <v>0</v>
      </c>
      <c r="V1178" s="332">
        <v>0</v>
      </c>
      <c r="W1178" s="333"/>
      <c r="X1178" s="334">
        <v>0</v>
      </c>
      <c r="Y1178" s="335">
        <v>0</v>
      </c>
      <c r="AA1178" s="388"/>
    </row>
    <row r="1179" spans="1:27" hidden="1" collapsed="1" x14ac:dyDescent="0.3">
      <c r="A1179" s="233"/>
      <c r="B1179" s="234" t="s">
        <v>81</v>
      </c>
      <c r="D1179" s="293" t="s">
        <v>2154</v>
      </c>
      <c r="E1179" s="294"/>
      <c r="F1179" s="295" t="s">
        <v>2149</v>
      </c>
      <c r="G1179" s="296"/>
      <c r="H1179" s="297"/>
      <c r="I1179" s="298"/>
      <c r="J1179" s="299">
        <v>0</v>
      </c>
      <c r="K1179" s="300">
        <v>0</v>
      </c>
      <c r="L1179" s="300">
        <v>1142.4649999999999</v>
      </c>
      <c r="M1179" s="300">
        <v>0</v>
      </c>
      <c r="N1179" s="300">
        <v>0</v>
      </c>
      <c r="O1179" s="300">
        <v>469466.17899999995</v>
      </c>
      <c r="P1179" s="300">
        <v>0</v>
      </c>
      <c r="Q1179" s="300">
        <v>9520.7160000000003</v>
      </c>
      <c r="R1179" s="300">
        <v>0</v>
      </c>
      <c r="S1179" s="300">
        <v>0</v>
      </c>
      <c r="T1179" s="300">
        <v>0</v>
      </c>
      <c r="U1179" s="301">
        <v>17.742999999999999</v>
      </c>
      <c r="V1179" s="302">
        <v>480147.103</v>
      </c>
      <c r="W1179" s="303"/>
      <c r="X1179" s="304">
        <v>17.742999999999999</v>
      </c>
      <c r="Y1179" s="305">
        <v>480147.103</v>
      </c>
      <c r="AA1179" s="388"/>
    </row>
    <row r="1180" spans="1:27" hidden="1" outlineLevel="1" x14ac:dyDescent="0.3">
      <c r="E1180" t="s">
        <v>2155</v>
      </c>
      <c r="F1180" s="317">
        <v>4506300</v>
      </c>
      <c r="G1180" s="318"/>
      <c r="H1180" s="319">
        <v>7701230101</v>
      </c>
      <c r="I1180" s="320"/>
      <c r="J1180" s="337">
        <v>0</v>
      </c>
      <c r="K1180" s="321">
        <v>0</v>
      </c>
      <c r="L1180" s="321">
        <v>1142.4649999999999</v>
      </c>
      <c r="M1180" s="321">
        <v>0</v>
      </c>
      <c r="N1180" s="321">
        <v>0</v>
      </c>
      <c r="O1180" s="321">
        <v>469466.17899999995</v>
      </c>
      <c r="P1180" s="321">
        <v>0</v>
      </c>
      <c r="Q1180" s="321">
        <v>9520.7160000000003</v>
      </c>
      <c r="R1180" s="321">
        <v>0</v>
      </c>
      <c r="S1180" s="321">
        <v>0</v>
      </c>
      <c r="T1180" s="321">
        <v>0</v>
      </c>
      <c r="U1180" s="322">
        <v>17.742999999999999</v>
      </c>
      <c r="V1180" s="323">
        <v>480147.103</v>
      </c>
      <c r="W1180" s="303"/>
      <c r="X1180" s="324">
        <v>17.742999999999999</v>
      </c>
      <c r="Y1180" s="325">
        <v>480147.103</v>
      </c>
      <c r="AA1180" s="388"/>
    </row>
    <row r="1181" spans="1:27" s="326" customFormat="1" hidden="1" outlineLevel="2" x14ac:dyDescent="0.3">
      <c r="E1181" s="326" t="s">
        <v>2151</v>
      </c>
      <c r="F1181" s="336"/>
      <c r="G1181" s="327"/>
      <c r="H1181" s="328"/>
      <c r="I1181" s="329"/>
      <c r="J1181" s="338">
        <v>0</v>
      </c>
      <c r="K1181" s="330">
        <v>0</v>
      </c>
      <c r="L1181" s="330">
        <v>0</v>
      </c>
      <c r="M1181" s="330">
        <v>0</v>
      </c>
      <c r="N1181" s="330">
        <v>0</v>
      </c>
      <c r="O1181" s="330">
        <v>0</v>
      </c>
      <c r="P1181" s="330">
        <v>0</v>
      </c>
      <c r="Q1181" s="330">
        <v>0</v>
      </c>
      <c r="R1181" s="330">
        <v>0</v>
      </c>
      <c r="S1181" s="330">
        <v>0</v>
      </c>
      <c r="T1181" s="330">
        <v>0</v>
      </c>
      <c r="U1181" s="331">
        <v>0</v>
      </c>
      <c r="V1181" s="332">
        <v>0</v>
      </c>
      <c r="W1181" s="333"/>
      <c r="X1181" s="334">
        <v>0</v>
      </c>
      <c r="Y1181" s="335">
        <v>0</v>
      </c>
      <c r="AA1181" s="388"/>
    </row>
    <row r="1182" spans="1:27" s="326" customFormat="1" hidden="1" outlineLevel="2" x14ac:dyDescent="0.3">
      <c r="E1182" s="326" t="s">
        <v>2152</v>
      </c>
      <c r="F1182" s="336"/>
      <c r="G1182" s="327"/>
      <c r="H1182" s="328"/>
      <c r="I1182" s="329"/>
      <c r="J1182" s="338">
        <v>0</v>
      </c>
      <c r="K1182" s="330">
        <v>0</v>
      </c>
      <c r="L1182" s="330">
        <v>0</v>
      </c>
      <c r="M1182" s="330">
        <v>0</v>
      </c>
      <c r="N1182" s="330">
        <v>0</v>
      </c>
      <c r="O1182" s="330">
        <v>0</v>
      </c>
      <c r="P1182" s="330">
        <v>0</v>
      </c>
      <c r="Q1182" s="330">
        <v>0</v>
      </c>
      <c r="R1182" s="330">
        <v>0</v>
      </c>
      <c r="S1182" s="330">
        <v>0</v>
      </c>
      <c r="T1182" s="330">
        <v>0</v>
      </c>
      <c r="U1182" s="331">
        <v>0</v>
      </c>
      <c r="V1182" s="332">
        <v>0</v>
      </c>
      <c r="W1182" s="333"/>
      <c r="X1182" s="334">
        <v>0</v>
      </c>
      <c r="Y1182" s="335">
        <v>0</v>
      </c>
      <c r="AA1182" s="388"/>
    </row>
    <row r="1183" spans="1:27" s="326" customFormat="1" hidden="1" outlineLevel="2" x14ac:dyDescent="0.3">
      <c r="E1183" s="326" t="s">
        <v>2153</v>
      </c>
      <c r="F1183" s="336"/>
      <c r="G1183" s="327"/>
      <c r="H1183" s="328"/>
      <c r="I1183" s="329"/>
      <c r="J1183" s="338">
        <v>0</v>
      </c>
      <c r="K1183" s="330">
        <v>0</v>
      </c>
      <c r="L1183" s="330">
        <v>0</v>
      </c>
      <c r="M1183" s="330">
        <v>0</v>
      </c>
      <c r="N1183" s="330">
        <v>0</v>
      </c>
      <c r="O1183" s="330">
        <v>0</v>
      </c>
      <c r="P1183" s="330">
        <v>0</v>
      </c>
      <c r="Q1183" s="330">
        <v>0</v>
      </c>
      <c r="R1183" s="330">
        <v>0</v>
      </c>
      <c r="S1183" s="330">
        <v>0</v>
      </c>
      <c r="T1183" s="330">
        <v>0</v>
      </c>
      <c r="U1183" s="331">
        <v>0</v>
      </c>
      <c r="V1183" s="332">
        <v>0</v>
      </c>
      <c r="W1183" s="333"/>
      <c r="X1183" s="334">
        <v>0</v>
      </c>
      <c r="Y1183" s="335">
        <v>0</v>
      </c>
      <c r="AA1183" s="388"/>
    </row>
    <row r="1184" spans="1:27" hidden="1" collapsed="1" x14ac:dyDescent="0.3">
      <c r="A1184" s="233"/>
      <c r="B1184" s="234" t="s">
        <v>81</v>
      </c>
      <c r="D1184" s="293" t="s">
        <v>2156</v>
      </c>
      <c r="E1184" s="294"/>
      <c r="F1184" s="295" t="s">
        <v>2157</v>
      </c>
      <c r="G1184" s="296"/>
      <c r="H1184" s="297"/>
      <c r="I1184" s="298"/>
      <c r="J1184" s="299">
        <v>3361.636</v>
      </c>
      <c r="K1184" s="300">
        <v>1543.3910000000001</v>
      </c>
      <c r="L1184" s="300">
        <v>16559.906999999999</v>
      </c>
      <c r="M1184" s="300">
        <v>9886.93</v>
      </c>
      <c r="N1184" s="300">
        <v>10667.573</v>
      </c>
      <c r="O1184" s="300">
        <v>6504.1730000000007</v>
      </c>
      <c r="P1184" s="300">
        <v>5801.9359999999997</v>
      </c>
      <c r="Q1184" s="300">
        <v>2294.8110000000001</v>
      </c>
      <c r="R1184" s="300">
        <v>621.71</v>
      </c>
      <c r="S1184" s="300">
        <v>8375.0000000000018</v>
      </c>
      <c r="T1184" s="300">
        <v>902.97199999999998</v>
      </c>
      <c r="U1184" s="301">
        <v>3291.029</v>
      </c>
      <c r="V1184" s="302">
        <v>69811.067999999999</v>
      </c>
      <c r="W1184" s="303"/>
      <c r="X1184" s="304">
        <v>3291.029</v>
      </c>
      <c r="Y1184" s="305">
        <v>69811.067999999999</v>
      </c>
      <c r="AA1184" s="388"/>
    </row>
    <row r="1185" spans="1:27" hidden="1" outlineLevel="1" x14ac:dyDescent="0.3">
      <c r="E1185" t="s">
        <v>2158</v>
      </c>
      <c r="F1185" s="317">
        <v>4506301</v>
      </c>
      <c r="G1185" s="318"/>
      <c r="H1185" s="319">
        <v>7701250101</v>
      </c>
      <c r="I1185" s="320"/>
      <c r="J1185" s="337">
        <v>3361.636</v>
      </c>
      <c r="K1185" s="321">
        <v>1543.3910000000001</v>
      </c>
      <c r="L1185" s="321">
        <v>16559.906999999999</v>
      </c>
      <c r="M1185" s="321">
        <v>9886.93</v>
      </c>
      <c r="N1185" s="321">
        <v>10667.573</v>
      </c>
      <c r="O1185" s="321">
        <v>6504.1730000000007</v>
      </c>
      <c r="P1185" s="321">
        <v>5801.9359999999997</v>
      </c>
      <c r="Q1185" s="321">
        <v>2294.8110000000001</v>
      </c>
      <c r="R1185" s="321">
        <v>621.71</v>
      </c>
      <c r="S1185" s="321">
        <v>8375.0000000000018</v>
      </c>
      <c r="T1185" s="321">
        <v>902.97199999999998</v>
      </c>
      <c r="U1185" s="322">
        <v>3291.029</v>
      </c>
      <c r="V1185" s="323">
        <v>69811.067999999999</v>
      </c>
      <c r="W1185" s="303"/>
      <c r="X1185" s="324">
        <v>3291.029</v>
      </c>
      <c r="Y1185" s="325">
        <v>69811.067999999999</v>
      </c>
      <c r="AA1185" s="388"/>
    </row>
    <row r="1186" spans="1:27" s="326" customFormat="1" hidden="1" outlineLevel="2" x14ac:dyDescent="0.3">
      <c r="E1186" s="326" t="s">
        <v>2159</v>
      </c>
      <c r="F1186" s="336"/>
      <c r="G1186" s="327"/>
      <c r="H1186" s="328"/>
      <c r="I1186" s="329"/>
      <c r="J1186" s="338">
        <v>0</v>
      </c>
      <c r="K1186" s="330">
        <v>0</v>
      </c>
      <c r="L1186" s="330">
        <v>0</v>
      </c>
      <c r="M1186" s="330">
        <v>0</v>
      </c>
      <c r="N1186" s="330">
        <v>0</v>
      </c>
      <c r="O1186" s="330">
        <v>0</v>
      </c>
      <c r="P1186" s="330">
        <v>0</v>
      </c>
      <c r="Q1186" s="330">
        <v>0</v>
      </c>
      <c r="R1186" s="330">
        <v>0</v>
      </c>
      <c r="S1186" s="330">
        <v>0</v>
      </c>
      <c r="T1186" s="330">
        <v>0</v>
      </c>
      <c r="U1186" s="331">
        <v>0</v>
      </c>
      <c r="V1186" s="332">
        <v>0</v>
      </c>
      <c r="W1186" s="333"/>
      <c r="X1186" s="334">
        <v>0</v>
      </c>
      <c r="Y1186" s="335">
        <v>0</v>
      </c>
      <c r="AA1186" s="388"/>
    </row>
    <row r="1187" spans="1:27" s="326" customFormat="1" hidden="1" outlineLevel="2" x14ac:dyDescent="0.3">
      <c r="E1187" s="326" t="s">
        <v>2160</v>
      </c>
      <c r="F1187" s="336"/>
      <c r="G1187" s="327"/>
      <c r="H1187" s="328"/>
      <c r="I1187" s="329"/>
      <c r="J1187" s="338">
        <v>0</v>
      </c>
      <c r="K1187" s="330">
        <v>0</v>
      </c>
      <c r="L1187" s="330">
        <v>0</v>
      </c>
      <c r="M1187" s="330">
        <v>0</v>
      </c>
      <c r="N1187" s="330">
        <v>0</v>
      </c>
      <c r="O1187" s="330">
        <v>0</v>
      </c>
      <c r="P1187" s="330">
        <v>0</v>
      </c>
      <c r="Q1187" s="330">
        <v>0</v>
      </c>
      <c r="R1187" s="330">
        <v>0</v>
      </c>
      <c r="S1187" s="330">
        <v>0</v>
      </c>
      <c r="T1187" s="330">
        <v>0</v>
      </c>
      <c r="U1187" s="331">
        <v>0</v>
      </c>
      <c r="V1187" s="332">
        <v>0</v>
      </c>
      <c r="W1187" s="333"/>
      <c r="X1187" s="334">
        <v>0</v>
      </c>
      <c r="Y1187" s="335">
        <v>0</v>
      </c>
      <c r="AA1187" s="388"/>
    </row>
    <row r="1188" spans="1:27" s="326" customFormat="1" hidden="1" outlineLevel="2" x14ac:dyDescent="0.3">
      <c r="E1188" s="326" t="s">
        <v>2161</v>
      </c>
      <c r="F1188" s="336"/>
      <c r="G1188" s="327"/>
      <c r="H1188" s="328"/>
      <c r="I1188" s="329"/>
      <c r="J1188" s="338">
        <v>0</v>
      </c>
      <c r="K1188" s="330">
        <v>0</v>
      </c>
      <c r="L1188" s="330">
        <v>0</v>
      </c>
      <c r="M1188" s="330">
        <v>0</v>
      </c>
      <c r="N1188" s="330">
        <v>0</v>
      </c>
      <c r="O1188" s="330">
        <v>0</v>
      </c>
      <c r="P1188" s="330">
        <v>0</v>
      </c>
      <c r="Q1188" s="330">
        <v>0</v>
      </c>
      <c r="R1188" s="330">
        <v>0</v>
      </c>
      <c r="S1188" s="330">
        <v>0</v>
      </c>
      <c r="T1188" s="330">
        <v>0</v>
      </c>
      <c r="U1188" s="331">
        <v>0</v>
      </c>
      <c r="V1188" s="332">
        <v>0</v>
      </c>
      <c r="W1188" s="333"/>
      <c r="X1188" s="334">
        <v>0</v>
      </c>
      <c r="Y1188" s="335">
        <v>0</v>
      </c>
      <c r="AA1188" s="388"/>
    </row>
    <row r="1189" spans="1:27" hidden="1" collapsed="1" x14ac:dyDescent="0.3">
      <c r="A1189" s="233"/>
      <c r="B1189" s="234" t="s">
        <v>81</v>
      </c>
      <c r="D1189" s="293" t="s">
        <v>2162</v>
      </c>
      <c r="E1189" s="294"/>
      <c r="F1189" s="295" t="s">
        <v>2163</v>
      </c>
      <c r="G1189" s="296"/>
      <c r="H1189" s="297"/>
      <c r="I1189" s="298"/>
      <c r="J1189" s="299">
        <v>0</v>
      </c>
      <c r="K1189" s="300">
        <v>0</v>
      </c>
      <c r="L1189" s="300">
        <v>0</v>
      </c>
      <c r="M1189" s="300">
        <v>0</v>
      </c>
      <c r="N1189" s="300">
        <v>0</v>
      </c>
      <c r="O1189" s="300">
        <v>0</v>
      </c>
      <c r="P1189" s="300">
        <v>0</v>
      </c>
      <c r="Q1189" s="300">
        <v>0</v>
      </c>
      <c r="R1189" s="300">
        <v>0</v>
      </c>
      <c r="S1189" s="300">
        <v>0</v>
      </c>
      <c r="T1189" s="300">
        <v>0</v>
      </c>
      <c r="U1189" s="301">
        <v>5676364.2639999995</v>
      </c>
      <c r="V1189" s="302">
        <v>5676364.2639999995</v>
      </c>
      <c r="W1189" s="303"/>
      <c r="X1189" s="304">
        <v>5676364.2639999995</v>
      </c>
      <c r="Y1189" s="305">
        <v>5676364.2639999995</v>
      </c>
      <c r="AA1189" s="388"/>
    </row>
    <row r="1190" spans="1:27" hidden="1" outlineLevel="1" x14ac:dyDescent="0.3">
      <c r="E1190" t="s">
        <v>2164</v>
      </c>
      <c r="F1190" s="317">
        <v>4508500</v>
      </c>
      <c r="G1190" s="318"/>
      <c r="H1190" s="319">
        <v>7701270101</v>
      </c>
      <c r="I1190" s="320"/>
      <c r="J1190" s="337">
        <v>0</v>
      </c>
      <c r="K1190" s="321">
        <v>0</v>
      </c>
      <c r="L1190" s="321">
        <v>0</v>
      </c>
      <c r="M1190" s="321">
        <v>0</v>
      </c>
      <c r="N1190" s="321">
        <v>0</v>
      </c>
      <c r="O1190" s="321">
        <v>0</v>
      </c>
      <c r="P1190" s="321">
        <v>0</v>
      </c>
      <c r="Q1190" s="321">
        <v>0</v>
      </c>
      <c r="R1190" s="321">
        <v>0</v>
      </c>
      <c r="S1190" s="321">
        <v>0</v>
      </c>
      <c r="T1190" s="321">
        <v>0</v>
      </c>
      <c r="U1190" s="322">
        <v>5676364.2639999995</v>
      </c>
      <c r="V1190" s="323">
        <v>5676364.2639999995</v>
      </c>
      <c r="W1190" s="303"/>
      <c r="X1190" s="324">
        <v>5676364.2639999995</v>
      </c>
      <c r="Y1190" s="325">
        <v>5676364.2639999995</v>
      </c>
      <c r="AA1190" s="388"/>
    </row>
    <row r="1191" spans="1:27" s="326" customFormat="1" hidden="1" outlineLevel="2" x14ac:dyDescent="0.3">
      <c r="E1191" s="326" t="s">
        <v>2165</v>
      </c>
      <c r="F1191" s="336"/>
      <c r="G1191" s="327"/>
      <c r="H1191" s="328"/>
      <c r="I1191" s="329"/>
      <c r="J1191" s="338">
        <v>0</v>
      </c>
      <c r="K1191" s="330">
        <v>0</v>
      </c>
      <c r="L1191" s="330">
        <v>0</v>
      </c>
      <c r="M1191" s="330">
        <v>0</v>
      </c>
      <c r="N1191" s="330">
        <v>0</v>
      </c>
      <c r="O1191" s="330">
        <v>0</v>
      </c>
      <c r="P1191" s="330">
        <v>0</v>
      </c>
      <c r="Q1191" s="330">
        <v>0</v>
      </c>
      <c r="R1191" s="330">
        <v>0</v>
      </c>
      <c r="S1191" s="330">
        <v>0</v>
      </c>
      <c r="T1191" s="330">
        <v>0</v>
      </c>
      <c r="U1191" s="331">
        <v>0</v>
      </c>
      <c r="V1191" s="332">
        <v>0</v>
      </c>
      <c r="W1191" s="333"/>
      <c r="X1191" s="334">
        <v>0</v>
      </c>
      <c r="Y1191" s="335">
        <v>0</v>
      </c>
      <c r="AA1191" s="388"/>
    </row>
    <row r="1192" spans="1:27" s="326" customFormat="1" hidden="1" outlineLevel="2" x14ac:dyDescent="0.3">
      <c r="E1192" s="326" t="s">
        <v>2166</v>
      </c>
      <c r="F1192" s="336"/>
      <c r="G1192" s="327"/>
      <c r="H1192" s="328"/>
      <c r="I1192" s="329"/>
      <c r="J1192" s="338">
        <v>0</v>
      </c>
      <c r="K1192" s="330">
        <v>0</v>
      </c>
      <c r="L1192" s="330">
        <v>0</v>
      </c>
      <c r="M1192" s="330">
        <v>0</v>
      </c>
      <c r="N1192" s="330">
        <v>0</v>
      </c>
      <c r="O1192" s="330">
        <v>0</v>
      </c>
      <c r="P1192" s="330">
        <v>0</v>
      </c>
      <c r="Q1192" s="330">
        <v>0</v>
      </c>
      <c r="R1192" s="330">
        <v>0</v>
      </c>
      <c r="S1192" s="330">
        <v>0</v>
      </c>
      <c r="T1192" s="330">
        <v>0</v>
      </c>
      <c r="U1192" s="331">
        <v>0</v>
      </c>
      <c r="V1192" s="332">
        <v>0</v>
      </c>
      <c r="W1192" s="333"/>
      <c r="X1192" s="334">
        <v>0</v>
      </c>
      <c r="Y1192" s="335">
        <v>0</v>
      </c>
      <c r="AA1192" s="388"/>
    </row>
    <row r="1193" spans="1:27" s="326" customFormat="1" hidden="1" outlineLevel="2" x14ac:dyDescent="0.3">
      <c r="E1193" s="326" t="s">
        <v>2167</v>
      </c>
      <c r="F1193" s="336"/>
      <c r="G1193" s="327"/>
      <c r="H1193" s="328"/>
      <c r="I1193" s="329"/>
      <c r="J1193" s="338">
        <v>0</v>
      </c>
      <c r="K1193" s="330">
        <v>0</v>
      </c>
      <c r="L1193" s="330">
        <v>0</v>
      </c>
      <c r="M1193" s="330">
        <v>0</v>
      </c>
      <c r="N1193" s="330">
        <v>0</v>
      </c>
      <c r="O1193" s="330">
        <v>0</v>
      </c>
      <c r="P1193" s="330">
        <v>0</v>
      </c>
      <c r="Q1193" s="330">
        <v>0</v>
      </c>
      <c r="R1193" s="330">
        <v>0</v>
      </c>
      <c r="S1193" s="330">
        <v>0</v>
      </c>
      <c r="T1193" s="330">
        <v>0</v>
      </c>
      <c r="U1193" s="331">
        <v>0</v>
      </c>
      <c r="V1193" s="332">
        <v>0</v>
      </c>
      <c r="W1193" s="333"/>
      <c r="X1193" s="334">
        <v>0</v>
      </c>
      <c r="Y1193" s="335">
        <v>0</v>
      </c>
      <c r="AA1193" s="388"/>
    </row>
    <row r="1194" spans="1:27" hidden="1" collapsed="1" x14ac:dyDescent="0.3">
      <c r="A1194" s="233"/>
      <c r="B1194" s="234" t="s">
        <v>81</v>
      </c>
      <c r="D1194" s="293" t="s">
        <v>2168</v>
      </c>
      <c r="E1194" s="294"/>
      <c r="F1194" s="295" t="s">
        <v>2169</v>
      </c>
      <c r="G1194" s="296"/>
      <c r="H1194" s="297"/>
      <c r="I1194" s="298"/>
      <c r="J1194" s="299">
        <v>0</v>
      </c>
      <c r="K1194" s="300">
        <v>0</v>
      </c>
      <c r="L1194" s="300">
        <v>0</v>
      </c>
      <c r="M1194" s="300">
        <v>0</v>
      </c>
      <c r="N1194" s="300">
        <v>0</v>
      </c>
      <c r="O1194" s="300">
        <v>0</v>
      </c>
      <c r="P1194" s="300">
        <v>0</v>
      </c>
      <c r="Q1194" s="300">
        <v>0</v>
      </c>
      <c r="R1194" s="300">
        <v>0</v>
      </c>
      <c r="S1194" s="300">
        <v>0</v>
      </c>
      <c r="T1194" s="300">
        <v>0</v>
      </c>
      <c r="U1194" s="301">
        <v>0</v>
      </c>
      <c r="V1194" s="302">
        <v>0</v>
      </c>
      <c r="W1194" s="303"/>
      <c r="X1194" s="304">
        <v>0</v>
      </c>
      <c r="Y1194" s="305">
        <v>0</v>
      </c>
      <c r="AA1194" s="388"/>
    </row>
    <row r="1195" spans="1:27" hidden="1" outlineLevel="1" x14ac:dyDescent="0.3">
      <c r="E1195" t="s">
        <v>2170</v>
      </c>
      <c r="F1195" s="317">
        <v>4508600</v>
      </c>
      <c r="G1195" s="318"/>
      <c r="H1195" s="319"/>
      <c r="I1195" s="320"/>
      <c r="J1195" s="337">
        <v>0</v>
      </c>
      <c r="K1195" s="321">
        <v>0</v>
      </c>
      <c r="L1195" s="321">
        <v>0</v>
      </c>
      <c r="M1195" s="321">
        <v>0</v>
      </c>
      <c r="N1195" s="321">
        <v>0</v>
      </c>
      <c r="O1195" s="321">
        <v>0</v>
      </c>
      <c r="P1195" s="321">
        <v>0</v>
      </c>
      <c r="Q1195" s="321">
        <v>0</v>
      </c>
      <c r="R1195" s="321">
        <v>0</v>
      </c>
      <c r="S1195" s="321">
        <v>0</v>
      </c>
      <c r="T1195" s="321">
        <v>0</v>
      </c>
      <c r="U1195" s="322">
        <v>0</v>
      </c>
      <c r="V1195" s="323">
        <v>0</v>
      </c>
      <c r="W1195" s="303"/>
      <c r="X1195" s="324">
        <v>0</v>
      </c>
      <c r="Y1195" s="325">
        <v>0</v>
      </c>
      <c r="AA1195" s="388"/>
    </row>
    <row r="1196" spans="1:27" s="326" customFormat="1" hidden="1" outlineLevel="2" x14ac:dyDescent="0.3">
      <c r="E1196" s="326" t="s">
        <v>2171</v>
      </c>
      <c r="F1196" s="336"/>
      <c r="G1196" s="327"/>
      <c r="H1196" s="328"/>
      <c r="I1196" s="329"/>
      <c r="J1196" s="338">
        <v>0</v>
      </c>
      <c r="K1196" s="330">
        <v>0</v>
      </c>
      <c r="L1196" s="330">
        <v>0</v>
      </c>
      <c r="M1196" s="330">
        <v>0</v>
      </c>
      <c r="N1196" s="330">
        <v>0</v>
      </c>
      <c r="O1196" s="330">
        <v>0</v>
      </c>
      <c r="P1196" s="330">
        <v>0</v>
      </c>
      <c r="Q1196" s="330">
        <v>0</v>
      </c>
      <c r="R1196" s="330">
        <v>0</v>
      </c>
      <c r="S1196" s="330">
        <v>0</v>
      </c>
      <c r="T1196" s="330">
        <v>0</v>
      </c>
      <c r="U1196" s="331">
        <v>0</v>
      </c>
      <c r="V1196" s="332">
        <v>0</v>
      </c>
      <c r="W1196" s="333"/>
      <c r="X1196" s="334">
        <v>0</v>
      </c>
      <c r="Y1196" s="335">
        <v>0</v>
      </c>
      <c r="AA1196" s="388"/>
    </row>
    <row r="1197" spans="1:27" s="326" customFormat="1" hidden="1" outlineLevel="2" x14ac:dyDescent="0.3">
      <c r="E1197" s="326" t="s">
        <v>2172</v>
      </c>
      <c r="F1197" s="336"/>
      <c r="G1197" s="327"/>
      <c r="H1197" s="328"/>
      <c r="I1197" s="329"/>
      <c r="J1197" s="338">
        <v>0</v>
      </c>
      <c r="K1197" s="330">
        <v>0</v>
      </c>
      <c r="L1197" s="330">
        <v>0</v>
      </c>
      <c r="M1197" s="330">
        <v>0</v>
      </c>
      <c r="N1197" s="330">
        <v>0</v>
      </c>
      <c r="O1197" s="330">
        <v>0</v>
      </c>
      <c r="P1197" s="330">
        <v>0</v>
      </c>
      <c r="Q1197" s="330">
        <v>0</v>
      </c>
      <c r="R1197" s="330">
        <v>0</v>
      </c>
      <c r="S1197" s="330">
        <v>0</v>
      </c>
      <c r="T1197" s="330">
        <v>0</v>
      </c>
      <c r="U1197" s="331">
        <v>0</v>
      </c>
      <c r="V1197" s="332">
        <v>0</v>
      </c>
      <c r="W1197" s="333"/>
      <c r="X1197" s="334">
        <v>0</v>
      </c>
      <c r="Y1197" s="335">
        <v>0</v>
      </c>
      <c r="AA1197" s="388"/>
    </row>
    <row r="1198" spans="1:27" s="326" customFormat="1" hidden="1" outlineLevel="2" x14ac:dyDescent="0.3">
      <c r="E1198" s="326" t="s">
        <v>2173</v>
      </c>
      <c r="F1198" s="336"/>
      <c r="G1198" s="327"/>
      <c r="H1198" s="328"/>
      <c r="I1198" s="329"/>
      <c r="J1198" s="338">
        <v>0</v>
      </c>
      <c r="K1198" s="330">
        <v>0</v>
      </c>
      <c r="L1198" s="330">
        <v>0</v>
      </c>
      <c r="M1198" s="330">
        <v>0</v>
      </c>
      <c r="N1198" s="330">
        <v>0</v>
      </c>
      <c r="O1198" s="330">
        <v>0</v>
      </c>
      <c r="P1198" s="330">
        <v>0</v>
      </c>
      <c r="Q1198" s="330">
        <v>0</v>
      </c>
      <c r="R1198" s="330">
        <v>0</v>
      </c>
      <c r="S1198" s="330">
        <v>0</v>
      </c>
      <c r="T1198" s="330">
        <v>0</v>
      </c>
      <c r="U1198" s="331">
        <v>0</v>
      </c>
      <c r="V1198" s="332">
        <v>0</v>
      </c>
      <c r="W1198" s="333"/>
      <c r="X1198" s="334">
        <v>0</v>
      </c>
      <c r="Y1198" s="335">
        <v>0</v>
      </c>
      <c r="AA1198" s="388"/>
    </row>
    <row r="1199" spans="1:27" hidden="1" collapsed="1" x14ac:dyDescent="0.3">
      <c r="A1199" s="233"/>
      <c r="B1199" s="234" t="s">
        <v>80</v>
      </c>
      <c r="D1199" s="293" t="s">
        <v>2174</v>
      </c>
      <c r="E1199" s="294"/>
      <c r="F1199" s="295" t="s">
        <v>2175</v>
      </c>
      <c r="G1199" s="296"/>
      <c r="H1199" s="297"/>
      <c r="I1199" s="298"/>
      <c r="J1199" s="299">
        <v>1.2187229003757238E-10</v>
      </c>
      <c r="K1199" s="300">
        <v>6.0026650317013264E-11</v>
      </c>
      <c r="L1199" s="300">
        <v>-2.5465851649641991E-11</v>
      </c>
      <c r="M1199" s="300">
        <v>2.1464074961841106E-10</v>
      </c>
      <c r="N1199" s="300">
        <v>-1.8189894035458565E-10</v>
      </c>
      <c r="O1199" s="300">
        <v>-1.4915713109076023E-10</v>
      </c>
      <c r="P1199" s="300">
        <v>1.2369127944111824E-10</v>
      </c>
      <c r="Q1199" s="300">
        <v>-6.0026650317013264E-11</v>
      </c>
      <c r="R1199" s="300">
        <v>3.2741809263825417E-11</v>
      </c>
      <c r="S1199" s="300">
        <v>2.1827872842550278E-10</v>
      </c>
      <c r="T1199" s="300">
        <v>3.4560798667371273E-11</v>
      </c>
      <c r="U1199" s="301">
        <v>1.4733814168721437E-10</v>
      </c>
      <c r="V1199" s="302">
        <v>5.3660187404602766E-10</v>
      </c>
      <c r="W1199" s="303"/>
      <c r="X1199" s="304">
        <v>1.4733814168721437E-10</v>
      </c>
      <c r="Y1199" s="305">
        <v>5.3660187404602766E-10</v>
      </c>
      <c r="AA1199" s="388"/>
    </row>
    <row r="1200" spans="1:27" hidden="1" outlineLevel="1" x14ac:dyDescent="0.3">
      <c r="E1200" t="s">
        <v>2176</v>
      </c>
      <c r="F1200" s="317">
        <v>9800030</v>
      </c>
      <c r="G1200" s="318"/>
      <c r="H1200" s="319"/>
      <c r="I1200" s="320"/>
      <c r="J1200" s="337">
        <v>1.2187229003757238E-10</v>
      </c>
      <c r="K1200" s="321">
        <v>6.0026650317013264E-11</v>
      </c>
      <c r="L1200" s="321">
        <v>-2.5465851649641991E-11</v>
      </c>
      <c r="M1200" s="321">
        <v>2.1464074961841106E-10</v>
      </c>
      <c r="N1200" s="321">
        <v>-1.8189894035458565E-10</v>
      </c>
      <c r="O1200" s="321">
        <v>-1.4915713109076023E-10</v>
      </c>
      <c r="P1200" s="321">
        <v>1.2369127944111824E-10</v>
      </c>
      <c r="Q1200" s="321">
        <v>-6.0026650317013264E-11</v>
      </c>
      <c r="R1200" s="321">
        <v>3.2741809263825417E-11</v>
      </c>
      <c r="S1200" s="321">
        <v>2.1827872842550278E-10</v>
      </c>
      <c r="T1200" s="321">
        <v>3.4560798667371273E-11</v>
      </c>
      <c r="U1200" s="322">
        <v>1.4733814168721437E-10</v>
      </c>
      <c r="V1200" s="323">
        <v>5.3660187404602766E-10</v>
      </c>
      <c r="W1200" s="303"/>
      <c r="X1200" s="324">
        <v>1.4733814168721437E-10</v>
      </c>
      <c r="Y1200" s="325">
        <v>5.3660187404602766E-10</v>
      </c>
      <c r="AA1200" s="388"/>
    </row>
    <row r="1201" spans="1:27" hidden="1" outlineLevel="1" x14ac:dyDescent="0.3">
      <c r="E1201" t="s">
        <v>2177</v>
      </c>
      <c r="F1201" s="317">
        <v>8990000</v>
      </c>
      <c r="G1201" s="318"/>
      <c r="H1201" s="319"/>
      <c r="I1201" s="320"/>
      <c r="J1201" s="337">
        <v>0</v>
      </c>
      <c r="K1201" s="321">
        <v>0</v>
      </c>
      <c r="L1201" s="321">
        <v>0</v>
      </c>
      <c r="M1201" s="321">
        <v>0</v>
      </c>
      <c r="N1201" s="321">
        <v>0</v>
      </c>
      <c r="O1201" s="321">
        <v>0</v>
      </c>
      <c r="P1201" s="321">
        <v>0</v>
      </c>
      <c r="Q1201" s="321">
        <v>0</v>
      </c>
      <c r="R1201" s="321">
        <v>0</v>
      </c>
      <c r="S1201" s="321">
        <v>0</v>
      </c>
      <c r="T1201" s="321">
        <v>0</v>
      </c>
      <c r="U1201" s="322">
        <v>0</v>
      </c>
      <c r="V1201" s="323">
        <v>0</v>
      </c>
      <c r="W1201" s="303"/>
      <c r="X1201" s="324">
        <v>0</v>
      </c>
      <c r="Y1201" s="325">
        <v>0</v>
      </c>
      <c r="AA1201" s="388"/>
    </row>
    <row r="1202" spans="1:27" hidden="1" collapsed="1" x14ac:dyDescent="0.3">
      <c r="D1202" s="293" t="s">
        <v>2178</v>
      </c>
      <c r="E1202" s="294"/>
      <c r="F1202" s="295"/>
      <c r="G1202" s="296"/>
      <c r="H1202" s="297"/>
      <c r="I1202" s="298"/>
      <c r="J1202" s="299">
        <v>0</v>
      </c>
      <c r="K1202" s="300">
        <v>0</v>
      </c>
      <c r="L1202" s="300">
        <v>0</v>
      </c>
      <c r="M1202" s="300">
        <v>0</v>
      </c>
      <c r="N1202" s="300">
        <v>0</v>
      </c>
      <c r="O1202" s="300">
        <v>0</v>
      </c>
      <c r="P1202" s="300">
        <v>0</v>
      </c>
      <c r="Q1202" s="300">
        <v>0</v>
      </c>
      <c r="R1202" s="300">
        <v>0</v>
      </c>
      <c r="S1202" s="300">
        <v>0</v>
      </c>
      <c r="T1202" s="300">
        <v>0</v>
      </c>
      <c r="U1202" s="301">
        <v>0</v>
      </c>
      <c r="V1202" s="302">
        <v>0</v>
      </c>
      <c r="W1202" s="303"/>
      <c r="X1202" s="304">
        <v>0</v>
      </c>
      <c r="Y1202" s="305">
        <v>0</v>
      </c>
      <c r="AA1202" s="388"/>
    </row>
    <row r="1203" spans="1:27" s="326" customFormat="1" hidden="1" outlineLevel="2" x14ac:dyDescent="0.3">
      <c r="E1203" s="326" t="s">
        <v>2179</v>
      </c>
      <c r="F1203" s="336"/>
      <c r="G1203" s="327"/>
      <c r="H1203" s="328"/>
      <c r="I1203" s="329"/>
      <c r="J1203" s="338">
        <v>0</v>
      </c>
      <c r="K1203" s="330">
        <v>0</v>
      </c>
      <c r="L1203" s="330">
        <v>0</v>
      </c>
      <c r="M1203" s="330">
        <v>0</v>
      </c>
      <c r="N1203" s="330">
        <v>0</v>
      </c>
      <c r="O1203" s="330">
        <v>0</v>
      </c>
      <c r="P1203" s="330">
        <v>0</v>
      </c>
      <c r="Q1203" s="330">
        <v>0</v>
      </c>
      <c r="R1203" s="330">
        <v>0</v>
      </c>
      <c r="S1203" s="330">
        <v>0</v>
      </c>
      <c r="T1203" s="330">
        <v>0</v>
      </c>
      <c r="U1203" s="331">
        <v>0</v>
      </c>
      <c r="V1203" s="332">
        <v>0</v>
      </c>
      <c r="W1203" s="333"/>
      <c r="X1203" s="334">
        <v>0</v>
      </c>
      <c r="Y1203" s="335">
        <v>0</v>
      </c>
      <c r="AA1203" s="388"/>
    </row>
    <row r="1204" spans="1:27" s="326" customFormat="1" hidden="1" outlineLevel="2" x14ac:dyDescent="0.3">
      <c r="E1204" s="326" t="s">
        <v>2180</v>
      </c>
      <c r="F1204" s="336"/>
      <c r="G1204" s="327"/>
      <c r="H1204" s="328"/>
      <c r="I1204" s="329"/>
      <c r="J1204" s="338">
        <v>0</v>
      </c>
      <c r="K1204" s="330">
        <v>0</v>
      </c>
      <c r="L1204" s="330">
        <v>0</v>
      </c>
      <c r="M1204" s="330">
        <v>0</v>
      </c>
      <c r="N1204" s="330">
        <v>0</v>
      </c>
      <c r="O1204" s="330">
        <v>0</v>
      </c>
      <c r="P1204" s="330">
        <v>0</v>
      </c>
      <c r="Q1204" s="330">
        <v>0</v>
      </c>
      <c r="R1204" s="330">
        <v>0</v>
      </c>
      <c r="S1204" s="330">
        <v>0</v>
      </c>
      <c r="T1204" s="330">
        <v>0</v>
      </c>
      <c r="U1204" s="331">
        <v>0</v>
      </c>
      <c r="V1204" s="332">
        <v>0</v>
      </c>
      <c r="W1204" s="333"/>
      <c r="X1204" s="334">
        <v>0</v>
      </c>
      <c r="Y1204" s="335">
        <v>0</v>
      </c>
      <c r="AA1204" s="388"/>
    </row>
    <row r="1205" spans="1:27" s="326" customFormat="1" hidden="1" outlineLevel="2" x14ac:dyDescent="0.3">
      <c r="E1205" s="326" t="s">
        <v>2181</v>
      </c>
      <c r="F1205" s="336"/>
      <c r="G1205" s="327"/>
      <c r="H1205" s="328"/>
      <c r="I1205" s="329"/>
      <c r="J1205" s="338">
        <v>0</v>
      </c>
      <c r="K1205" s="330">
        <v>0</v>
      </c>
      <c r="L1205" s="330">
        <v>0</v>
      </c>
      <c r="M1205" s="330">
        <v>0</v>
      </c>
      <c r="N1205" s="330">
        <v>0</v>
      </c>
      <c r="O1205" s="330">
        <v>0</v>
      </c>
      <c r="P1205" s="330">
        <v>0</v>
      </c>
      <c r="Q1205" s="330">
        <v>0</v>
      </c>
      <c r="R1205" s="330">
        <v>0</v>
      </c>
      <c r="S1205" s="330">
        <v>0</v>
      </c>
      <c r="T1205" s="330">
        <v>0</v>
      </c>
      <c r="U1205" s="331">
        <v>0</v>
      </c>
      <c r="V1205" s="332">
        <v>0</v>
      </c>
      <c r="W1205" s="333"/>
      <c r="X1205" s="334">
        <v>0</v>
      </c>
      <c r="Y1205" s="335">
        <v>0</v>
      </c>
      <c r="AA1205" s="388"/>
    </row>
    <row r="1206" spans="1:27" hidden="1" collapsed="1" x14ac:dyDescent="0.3">
      <c r="D1206" s="293" t="s">
        <v>2182</v>
      </c>
      <c r="E1206" s="294"/>
      <c r="F1206" s="295"/>
      <c r="G1206" s="296"/>
      <c r="H1206" s="297"/>
      <c r="I1206" s="298"/>
      <c r="J1206" s="299">
        <v>0</v>
      </c>
      <c r="K1206" s="300">
        <v>0</v>
      </c>
      <c r="L1206" s="300">
        <v>0</v>
      </c>
      <c r="M1206" s="300">
        <v>0</v>
      </c>
      <c r="N1206" s="300">
        <v>0</v>
      </c>
      <c r="O1206" s="300">
        <v>0</v>
      </c>
      <c r="P1206" s="300">
        <v>0</v>
      </c>
      <c r="Q1206" s="300">
        <v>0</v>
      </c>
      <c r="R1206" s="300">
        <v>0</v>
      </c>
      <c r="S1206" s="300">
        <v>0</v>
      </c>
      <c r="T1206" s="300">
        <v>0</v>
      </c>
      <c r="U1206" s="301">
        <v>0</v>
      </c>
      <c r="V1206" s="302">
        <v>0</v>
      </c>
      <c r="W1206" s="303"/>
      <c r="X1206" s="304">
        <v>0</v>
      </c>
      <c r="Y1206" s="305">
        <v>0</v>
      </c>
      <c r="AA1206" s="388"/>
    </row>
    <row r="1207" spans="1:27" s="326" customFormat="1" hidden="1" outlineLevel="2" x14ac:dyDescent="0.3">
      <c r="E1207" s="326" t="s">
        <v>2179</v>
      </c>
      <c r="F1207" s="336"/>
      <c r="G1207" s="327"/>
      <c r="H1207" s="328"/>
      <c r="I1207" s="329"/>
      <c r="J1207" s="338">
        <v>0</v>
      </c>
      <c r="K1207" s="330">
        <v>0</v>
      </c>
      <c r="L1207" s="330">
        <v>0</v>
      </c>
      <c r="M1207" s="330">
        <v>0</v>
      </c>
      <c r="N1207" s="330">
        <v>0</v>
      </c>
      <c r="O1207" s="330">
        <v>0</v>
      </c>
      <c r="P1207" s="330">
        <v>0</v>
      </c>
      <c r="Q1207" s="330">
        <v>0</v>
      </c>
      <c r="R1207" s="330">
        <v>0</v>
      </c>
      <c r="S1207" s="330">
        <v>0</v>
      </c>
      <c r="T1207" s="330">
        <v>0</v>
      </c>
      <c r="U1207" s="331">
        <v>0</v>
      </c>
      <c r="V1207" s="332">
        <v>0</v>
      </c>
      <c r="W1207" s="333"/>
      <c r="X1207" s="334">
        <v>0</v>
      </c>
      <c r="Y1207" s="335">
        <v>0</v>
      </c>
      <c r="AA1207" s="388"/>
    </row>
    <row r="1208" spans="1:27" s="326" customFormat="1" hidden="1" outlineLevel="2" x14ac:dyDescent="0.3">
      <c r="E1208" s="326" t="s">
        <v>2180</v>
      </c>
      <c r="F1208" s="336"/>
      <c r="G1208" s="327"/>
      <c r="H1208" s="328"/>
      <c r="I1208" s="329"/>
      <c r="J1208" s="338">
        <v>0</v>
      </c>
      <c r="K1208" s="330">
        <v>0</v>
      </c>
      <c r="L1208" s="330">
        <v>0</v>
      </c>
      <c r="M1208" s="330">
        <v>0</v>
      </c>
      <c r="N1208" s="330">
        <v>0</v>
      </c>
      <c r="O1208" s="330">
        <v>0</v>
      </c>
      <c r="P1208" s="330">
        <v>0</v>
      </c>
      <c r="Q1208" s="330">
        <v>0</v>
      </c>
      <c r="R1208" s="330">
        <v>0</v>
      </c>
      <c r="S1208" s="330">
        <v>0</v>
      </c>
      <c r="T1208" s="330">
        <v>0</v>
      </c>
      <c r="U1208" s="331">
        <v>0</v>
      </c>
      <c r="V1208" s="332">
        <v>0</v>
      </c>
      <c r="W1208" s="333"/>
      <c r="X1208" s="334">
        <v>0</v>
      </c>
      <c r="Y1208" s="335">
        <v>0</v>
      </c>
      <c r="AA1208" s="388"/>
    </row>
    <row r="1209" spans="1:27" s="326" customFormat="1" hidden="1" outlineLevel="2" x14ac:dyDescent="0.3">
      <c r="E1209" s="326" t="s">
        <v>2181</v>
      </c>
      <c r="F1209" s="336"/>
      <c r="G1209" s="327"/>
      <c r="H1209" s="328"/>
      <c r="I1209" s="329"/>
      <c r="J1209" s="338">
        <v>0</v>
      </c>
      <c r="K1209" s="330">
        <v>0</v>
      </c>
      <c r="L1209" s="330">
        <v>0</v>
      </c>
      <c r="M1209" s="330">
        <v>0</v>
      </c>
      <c r="N1209" s="330">
        <v>0</v>
      </c>
      <c r="O1209" s="330">
        <v>0</v>
      </c>
      <c r="P1209" s="330">
        <v>0</v>
      </c>
      <c r="Q1209" s="330">
        <v>0</v>
      </c>
      <c r="R1209" s="330">
        <v>0</v>
      </c>
      <c r="S1209" s="330">
        <v>0</v>
      </c>
      <c r="T1209" s="330">
        <v>0</v>
      </c>
      <c r="U1209" s="331">
        <v>0</v>
      </c>
      <c r="V1209" s="332">
        <v>0</v>
      </c>
      <c r="W1209" s="333"/>
      <c r="X1209" s="334">
        <v>0</v>
      </c>
      <c r="Y1209" s="335">
        <v>0</v>
      </c>
      <c r="AA1209" s="388"/>
    </row>
    <row r="1210" spans="1:27" hidden="1" collapsed="1" x14ac:dyDescent="0.3">
      <c r="D1210" s="293" t="s">
        <v>2183</v>
      </c>
      <c r="E1210" s="294"/>
      <c r="F1210" s="295"/>
      <c r="G1210" s="296"/>
      <c r="H1210" s="297"/>
      <c r="I1210" s="298"/>
      <c r="J1210" s="299">
        <v>0</v>
      </c>
      <c r="K1210" s="300">
        <v>0</v>
      </c>
      <c r="L1210" s="300">
        <v>0</v>
      </c>
      <c r="M1210" s="300">
        <v>0</v>
      </c>
      <c r="N1210" s="300">
        <v>0</v>
      </c>
      <c r="O1210" s="300">
        <v>0</v>
      </c>
      <c r="P1210" s="300">
        <v>0</v>
      </c>
      <c r="Q1210" s="300">
        <v>0</v>
      </c>
      <c r="R1210" s="300">
        <v>0</v>
      </c>
      <c r="S1210" s="300">
        <v>0</v>
      </c>
      <c r="T1210" s="300">
        <v>0</v>
      </c>
      <c r="U1210" s="301">
        <v>0</v>
      </c>
      <c r="V1210" s="302">
        <v>0</v>
      </c>
      <c r="W1210" s="303"/>
      <c r="X1210" s="304">
        <v>0</v>
      </c>
      <c r="Y1210" s="305">
        <v>0</v>
      </c>
      <c r="AA1210" s="388"/>
    </row>
    <row r="1211" spans="1:27" s="326" customFormat="1" hidden="1" outlineLevel="2" x14ac:dyDescent="0.3">
      <c r="E1211" s="326" t="s">
        <v>2179</v>
      </c>
      <c r="F1211" s="336"/>
      <c r="G1211" s="327"/>
      <c r="H1211" s="328"/>
      <c r="I1211" s="329"/>
      <c r="J1211" s="338">
        <v>0</v>
      </c>
      <c r="K1211" s="330">
        <v>0</v>
      </c>
      <c r="L1211" s="330">
        <v>0</v>
      </c>
      <c r="M1211" s="330">
        <v>0</v>
      </c>
      <c r="N1211" s="330">
        <v>0</v>
      </c>
      <c r="O1211" s="330">
        <v>0</v>
      </c>
      <c r="P1211" s="330">
        <v>0</v>
      </c>
      <c r="Q1211" s="330">
        <v>0</v>
      </c>
      <c r="R1211" s="330">
        <v>0</v>
      </c>
      <c r="S1211" s="330">
        <v>0</v>
      </c>
      <c r="T1211" s="330">
        <v>0</v>
      </c>
      <c r="U1211" s="331">
        <v>0</v>
      </c>
      <c r="V1211" s="332">
        <v>0</v>
      </c>
      <c r="W1211" s="333"/>
      <c r="X1211" s="334">
        <v>0</v>
      </c>
      <c r="Y1211" s="335">
        <v>0</v>
      </c>
      <c r="AA1211" s="388"/>
    </row>
    <row r="1212" spans="1:27" s="326" customFormat="1" hidden="1" outlineLevel="2" x14ac:dyDescent="0.3">
      <c r="E1212" s="326" t="s">
        <v>2180</v>
      </c>
      <c r="F1212" s="336"/>
      <c r="G1212" s="327"/>
      <c r="H1212" s="328"/>
      <c r="I1212" s="329"/>
      <c r="J1212" s="338">
        <v>0</v>
      </c>
      <c r="K1212" s="330">
        <v>0</v>
      </c>
      <c r="L1212" s="330">
        <v>0</v>
      </c>
      <c r="M1212" s="330">
        <v>0</v>
      </c>
      <c r="N1212" s="330">
        <v>0</v>
      </c>
      <c r="O1212" s="330">
        <v>0</v>
      </c>
      <c r="P1212" s="330">
        <v>0</v>
      </c>
      <c r="Q1212" s="330">
        <v>0</v>
      </c>
      <c r="R1212" s="330">
        <v>0</v>
      </c>
      <c r="S1212" s="330">
        <v>0</v>
      </c>
      <c r="T1212" s="330">
        <v>0</v>
      </c>
      <c r="U1212" s="331">
        <v>0</v>
      </c>
      <c r="V1212" s="332">
        <v>0</v>
      </c>
      <c r="W1212" s="333"/>
      <c r="X1212" s="334">
        <v>0</v>
      </c>
      <c r="Y1212" s="335">
        <v>0</v>
      </c>
      <c r="AA1212" s="388"/>
    </row>
    <row r="1213" spans="1:27" s="326" customFormat="1" hidden="1" outlineLevel="2" x14ac:dyDescent="0.3">
      <c r="E1213" s="326" t="s">
        <v>2181</v>
      </c>
      <c r="F1213" s="336"/>
      <c r="G1213" s="327"/>
      <c r="H1213" s="328"/>
      <c r="I1213" s="329"/>
      <c r="J1213" s="338">
        <v>0</v>
      </c>
      <c r="K1213" s="330">
        <v>0</v>
      </c>
      <c r="L1213" s="330">
        <v>0</v>
      </c>
      <c r="M1213" s="330">
        <v>0</v>
      </c>
      <c r="N1213" s="330">
        <v>0</v>
      </c>
      <c r="O1213" s="330">
        <v>0</v>
      </c>
      <c r="P1213" s="330">
        <v>0</v>
      </c>
      <c r="Q1213" s="330">
        <v>0</v>
      </c>
      <c r="R1213" s="330">
        <v>0</v>
      </c>
      <c r="S1213" s="330">
        <v>0</v>
      </c>
      <c r="T1213" s="330">
        <v>0</v>
      </c>
      <c r="U1213" s="331">
        <v>0</v>
      </c>
      <c r="V1213" s="332">
        <v>0</v>
      </c>
      <c r="W1213" s="333"/>
      <c r="X1213" s="334">
        <v>0</v>
      </c>
      <c r="Y1213" s="335">
        <v>0</v>
      </c>
      <c r="AA1213" s="388"/>
    </row>
    <row r="1214" spans="1:27" ht="16.5" customHeight="1" collapsed="1" x14ac:dyDescent="0.3">
      <c r="A1214" s="248" t="s">
        <v>82</v>
      </c>
      <c r="B1214" s="248"/>
      <c r="C1214" s="280" t="s">
        <v>2184</v>
      </c>
      <c r="D1214" s="281"/>
      <c r="E1214" s="282"/>
      <c r="F1214" s="283" t="s">
        <v>2185</v>
      </c>
      <c r="G1214" s="284"/>
      <c r="H1214" s="285"/>
      <c r="I1214" s="286"/>
      <c r="J1214" s="287">
        <v>-254627.46400000001</v>
      </c>
      <c r="K1214" s="288">
        <v>-312758.66200000001</v>
      </c>
      <c r="L1214" s="288">
        <v>285248.495</v>
      </c>
      <c r="M1214" s="288">
        <v>-181787.11400000006</v>
      </c>
      <c r="N1214" s="288">
        <v>-245084.84899999993</v>
      </c>
      <c r="O1214" s="288">
        <v>-68234.458000000333</v>
      </c>
      <c r="P1214" s="288">
        <v>-183045.98999999976</v>
      </c>
      <c r="Q1214" s="288">
        <v>0</v>
      </c>
      <c r="R1214" s="288">
        <v>-2510160.6180000002</v>
      </c>
      <c r="S1214" s="288">
        <v>0</v>
      </c>
      <c r="T1214" s="288">
        <v>0</v>
      </c>
      <c r="U1214" s="289">
        <v>10177949.783</v>
      </c>
      <c r="V1214" s="290">
        <v>6707499.1229999987</v>
      </c>
      <c r="W1214" s="277"/>
      <c r="X1214" s="291">
        <v>10177949.783</v>
      </c>
      <c r="Y1214" s="292">
        <v>6707499.1229999987</v>
      </c>
      <c r="AA1214" s="388"/>
    </row>
    <row r="1215" spans="1:27" hidden="1" collapsed="1" x14ac:dyDescent="0.3">
      <c r="A1215" s="233"/>
      <c r="B1215" s="234" t="s">
        <v>83</v>
      </c>
      <c r="D1215" s="293" t="s">
        <v>2186</v>
      </c>
      <c r="E1215" s="294"/>
      <c r="F1215" s="295" t="s">
        <v>2187</v>
      </c>
      <c r="G1215" s="296"/>
      <c r="H1215" s="297"/>
      <c r="I1215" s="298"/>
      <c r="J1215" s="299">
        <v>0</v>
      </c>
      <c r="K1215" s="300">
        <v>0</v>
      </c>
      <c r="L1215" s="300">
        <v>1329221.1069999998</v>
      </c>
      <c r="M1215" s="300">
        <v>0</v>
      </c>
      <c r="N1215" s="300">
        <v>0</v>
      </c>
      <c r="O1215" s="300">
        <v>715933.36699999997</v>
      </c>
      <c r="P1215" s="300">
        <v>0</v>
      </c>
      <c r="Q1215" s="300">
        <v>0</v>
      </c>
      <c r="R1215" s="300">
        <v>-482925.93</v>
      </c>
      <c r="S1215" s="300">
        <v>0</v>
      </c>
      <c r="T1215" s="300">
        <v>0</v>
      </c>
      <c r="U1215" s="301">
        <v>11627595.213</v>
      </c>
      <c r="V1215" s="302">
        <v>13189823.756999999</v>
      </c>
      <c r="W1215" s="303"/>
      <c r="X1215" s="304">
        <v>11627595.213</v>
      </c>
      <c r="Y1215" s="305">
        <v>13189823.756999999</v>
      </c>
      <c r="AA1215" s="388"/>
    </row>
    <row r="1216" spans="1:27" hidden="1" outlineLevel="1" x14ac:dyDescent="0.3">
      <c r="E1216" t="s">
        <v>494</v>
      </c>
      <c r="F1216" s="317">
        <v>4402000</v>
      </c>
      <c r="G1216" s="318"/>
      <c r="H1216" s="319">
        <v>7901010101</v>
      </c>
      <c r="I1216" s="320"/>
      <c r="J1216" s="337">
        <v>0</v>
      </c>
      <c r="K1216" s="321">
        <v>0</v>
      </c>
      <c r="L1216" s="321">
        <v>1329221.1069999998</v>
      </c>
      <c r="M1216" s="321">
        <v>0</v>
      </c>
      <c r="N1216" s="321">
        <v>0</v>
      </c>
      <c r="O1216" s="321">
        <v>715933.36699999997</v>
      </c>
      <c r="P1216" s="321">
        <v>0</v>
      </c>
      <c r="Q1216" s="321">
        <v>0</v>
      </c>
      <c r="R1216" s="321">
        <v>-482925.93</v>
      </c>
      <c r="S1216" s="321">
        <v>0</v>
      </c>
      <c r="T1216" s="321">
        <v>0</v>
      </c>
      <c r="U1216" s="322">
        <v>11627595.213</v>
      </c>
      <c r="V1216" s="323">
        <v>13189823.756999999</v>
      </c>
      <c r="W1216" s="303"/>
      <c r="X1216" s="324">
        <v>11627595.213</v>
      </c>
      <c r="Y1216" s="325">
        <v>13189823.756999999</v>
      </c>
      <c r="AA1216" s="388"/>
    </row>
    <row r="1217" spans="1:27" s="326" customFormat="1" hidden="1" outlineLevel="2" x14ac:dyDescent="0.3">
      <c r="E1217" s="326" t="s">
        <v>2188</v>
      </c>
      <c r="F1217" s="336"/>
      <c r="G1217" s="327"/>
      <c r="H1217" s="328"/>
      <c r="I1217" s="329"/>
      <c r="J1217" s="338">
        <v>0</v>
      </c>
      <c r="K1217" s="330">
        <v>0</v>
      </c>
      <c r="L1217" s="330">
        <v>0</v>
      </c>
      <c r="M1217" s="330">
        <v>0</v>
      </c>
      <c r="N1217" s="330">
        <v>0</v>
      </c>
      <c r="O1217" s="330">
        <v>0</v>
      </c>
      <c r="P1217" s="330">
        <v>0</v>
      </c>
      <c r="Q1217" s="330">
        <v>0</v>
      </c>
      <c r="R1217" s="330">
        <v>0</v>
      </c>
      <c r="S1217" s="330">
        <v>0</v>
      </c>
      <c r="T1217" s="330">
        <v>0</v>
      </c>
      <c r="U1217" s="331">
        <v>0</v>
      </c>
      <c r="V1217" s="332">
        <v>0</v>
      </c>
      <c r="W1217" s="333"/>
      <c r="X1217" s="334">
        <v>0</v>
      </c>
      <c r="Y1217" s="335">
        <v>0</v>
      </c>
      <c r="AA1217" s="388"/>
    </row>
    <row r="1218" spans="1:27" s="326" customFormat="1" hidden="1" outlineLevel="2" x14ac:dyDescent="0.3">
      <c r="E1218" s="326" t="s">
        <v>2189</v>
      </c>
      <c r="F1218" s="336"/>
      <c r="G1218" s="327"/>
      <c r="H1218" s="328"/>
      <c r="I1218" s="329"/>
      <c r="J1218" s="338">
        <v>0</v>
      </c>
      <c r="K1218" s="330">
        <v>0</v>
      </c>
      <c r="L1218" s="330">
        <v>0</v>
      </c>
      <c r="M1218" s="330">
        <v>0</v>
      </c>
      <c r="N1218" s="330">
        <v>0</v>
      </c>
      <c r="O1218" s="330">
        <v>0</v>
      </c>
      <c r="P1218" s="330">
        <v>0</v>
      </c>
      <c r="Q1218" s="330">
        <v>0</v>
      </c>
      <c r="R1218" s="330">
        <v>0</v>
      </c>
      <c r="S1218" s="330">
        <v>0</v>
      </c>
      <c r="T1218" s="330">
        <v>0</v>
      </c>
      <c r="U1218" s="331">
        <v>0</v>
      </c>
      <c r="V1218" s="332">
        <v>0</v>
      </c>
      <c r="W1218" s="333"/>
      <c r="X1218" s="334">
        <v>0</v>
      </c>
      <c r="Y1218" s="335">
        <v>0</v>
      </c>
      <c r="AA1218" s="388"/>
    </row>
    <row r="1219" spans="1:27" s="326" customFormat="1" hidden="1" outlineLevel="2" x14ac:dyDescent="0.3">
      <c r="E1219" s="326" t="s">
        <v>2190</v>
      </c>
      <c r="F1219" s="336"/>
      <c r="G1219" s="327"/>
      <c r="H1219" s="328"/>
      <c r="I1219" s="329"/>
      <c r="J1219" s="338">
        <v>0</v>
      </c>
      <c r="K1219" s="330">
        <v>0</v>
      </c>
      <c r="L1219" s="330">
        <v>0</v>
      </c>
      <c r="M1219" s="330">
        <v>0</v>
      </c>
      <c r="N1219" s="330">
        <v>0</v>
      </c>
      <c r="O1219" s="330">
        <v>0</v>
      </c>
      <c r="P1219" s="330">
        <v>0</v>
      </c>
      <c r="Q1219" s="330">
        <v>0</v>
      </c>
      <c r="R1219" s="330">
        <v>0</v>
      </c>
      <c r="S1219" s="330">
        <v>0</v>
      </c>
      <c r="T1219" s="330">
        <v>0</v>
      </c>
      <c r="U1219" s="331">
        <v>0</v>
      </c>
      <c r="V1219" s="332">
        <v>0</v>
      </c>
      <c r="W1219" s="333"/>
      <c r="X1219" s="334">
        <v>0</v>
      </c>
      <c r="Y1219" s="335">
        <v>0</v>
      </c>
      <c r="AA1219" s="388"/>
    </row>
    <row r="1220" spans="1:27" hidden="1" collapsed="1" x14ac:dyDescent="0.3">
      <c r="A1220" s="233"/>
      <c r="B1220" s="234" t="s">
        <v>84</v>
      </c>
      <c r="D1220" s="293" t="s">
        <v>2191</v>
      </c>
      <c r="E1220" s="294"/>
      <c r="F1220" s="295" t="s">
        <v>2192</v>
      </c>
      <c r="G1220" s="296"/>
      <c r="H1220" s="297"/>
      <c r="I1220" s="298"/>
      <c r="J1220" s="299">
        <v>254627.46400000001</v>
      </c>
      <c r="K1220" s="300">
        <v>312758.66200000001</v>
      </c>
      <c r="L1220" s="300">
        <v>1043972.6119999998</v>
      </c>
      <c r="M1220" s="300">
        <v>181787.11400000006</v>
      </c>
      <c r="N1220" s="300">
        <v>245084.84899999993</v>
      </c>
      <c r="O1220" s="300">
        <v>784167.8250000003</v>
      </c>
      <c r="P1220" s="300">
        <v>183045.98999999976</v>
      </c>
      <c r="Q1220" s="300">
        <v>0</v>
      </c>
      <c r="R1220" s="300">
        <v>2027234.6880000001</v>
      </c>
      <c r="S1220" s="300">
        <v>0</v>
      </c>
      <c r="T1220" s="300">
        <v>0</v>
      </c>
      <c r="U1220" s="301">
        <v>1449645.4300000006</v>
      </c>
      <c r="V1220" s="302">
        <v>6482324.6340000005</v>
      </c>
      <c r="W1220" s="303"/>
      <c r="X1220" s="304">
        <v>1449645.4300000006</v>
      </c>
      <c r="Y1220" s="305">
        <v>6482324.6340000005</v>
      </c>
      <c r="AA1220" s="388"/>
    </row>
    <row r="1221" spans="1:27" hidden="1" outlineLevel="1" x14ac:dyDescent="0.3">
      <c r="E1221" t="s">
        <v>491</v>
      </c>
      <c r="F1221" s="317">
        <v>4501500</v>
      </c>
      <c r="G1221" s="318"/>
      <c r="H1221" s="319">
        <v>7901030101</v>
      </c>
      <c r="I1221" s="320"/>
      <c r="J1221" s="337">
        <v>254627.46400000001</v>
      </c>
      <c r="K1221" s="321">
        <v>312758.66200000001</v>
      </c>
      <c r="L1221" s="321">
        <v>1043972.6119999998</v>
      </c>
      <c r="M1221" s="321">
        <v>181787.11400000006</v>
      </c>
      <c r="N1221" s="321">
        <v>245084.84899999993</v>
      </c>
      <c r="O1221" s="321">
        <v>784167.8250000003</v>
      </c>
      <c r="P1221" s="321">
        <v>183045.98999999976</v>
      </c>
      <c r="Q1221" s="321">
        <v>0</v>
      </c>
      <c r="R1221" s="321">
        <v>2027234.6880000001</v>
      </c>
      <c r="S1221" s="321">
        <v>0</v>
      </c>
      <c r="T1221" s="321">
        <v>0</v>
      </c>
      <c r="U1221" s="322">
        <v>1449645.4300000006</v>
      </c>
      <c r="V1221" s="323">
        <v>6482324.6340000005</v>
      </c>
      <c r="W1221" s="303"/>
      <c r="X1221" s="324">
        <v>1449645.4300000006</v>
      </c>
      <c r="Y1221" s="325">
        <v>6482324.6340000005</v>
      </c>
      <c r="AA1221" s="388"/>
    </row>
    <row r="1222" spans="1:27" s="326" customFormat="1" hidden="1" outlineLevel="2" x14ac:dyDescent="0.3">
      <c r="E1222" s="326" t="s">
        <v>2193</v>
      </c>
      <c r="F1222" s="336"/>
      <c r="G1222" s="327"/>
      <c r="H1222" s="328"/>
      <c r="I1222" s="329"/>
      <c r="J1222" s="338">
        <v>0</v>
      </c>
      <c r="K1222" s="330">
        <v>0</v>
      </c>
      <c r="L1222" s="330">
        <v>0</v>
      </c>
      <c r="M1222" s="330">
        <v>0</v>
      </c>
      <c r="N1222" s="330">
        <v>0</v>
      </c>
      <c r="O1222" s="330">
        <v>0</v>
      </c>
      <c r="P1222" s="330">
        <v>0</v>
      </c>
      <c r="Q1222" s="330">
        <v>0</v>
      </c>
      <c r="R1222" s="330">
        <v>0</v>
      </c>
      <c r="S1222" s="330">
        <v>0</v>
      </c>
      <c r="T1222" s="330">
        <v>0</v>
      </c>
      <c r="U1222" s="331">
        <v>0</v>
      </c>
      <c r="V1222" s="332">
        <v>0</v>
      </c>
      <c r="W1222" s="333"/>
      <c r="X1222" s="334">
        <v>0</v>
      </c>
      <c r="Y1222" s="335">
        <v>0</v>
      </c>
      <c r="AA1222" s="388"/>
    </row>
    <row r="1223" spans="1:27" s="326" customFormat="1" hidden="1" outlineLevel="2" x14ac:dyDescent="0.3">
      <c r="E1223" s="326" t="s">
        <v>2194</v>
      </c>
      <c r="F1223" s="336"/>
      <c r="G1223" s="327"/>
      <c r="H1223" s="328"/>
      <c r="I1223" s="329"/>
      <c r="J1223" s="338">
        <v>0</v>
      </c>
      <c r="K1223" s="330">
        <v>0</v>
      </c>
      <c r="L1223" s="330">
        <v>0</v>
      </c>
      <c r="M1223" s="330">
        <v>0</v>
      </c>
      <c r="N1223" s="330">
        <v>0</v>
      </c>
      <c r="O1223" s="330">
        <v>0</v>
      </c>
      <c r="P1223" s="330">
        <v>0</v>
      </c>
      <c r="Q1223" s="330">
        <v>0</v>
      </c>
      <c r="R1223" s="330">
        <v>0</v>
      </c>
      <c r="S1223" s="330">
        <v>0</v>
      </c>
      <c r="T1223" s="330">
        <v>0</v>
      </c>
      <c r="U1223" s="331">
        <v>0</v>
      </c>
      <c r="V1223" s="332">
        <v>0</v>
      </c>
      <c r="W1223" s="333"/>
      <c r="X1223" s="334">
        <v>0</v>
      </c>
      <c r="Y1223" s="335">
        <v>0</v>
      </c>
      <c r="AA1223" s="388"/>
    </row>
    <row r="1224" spans="1:27" s="326" customFormat="1" hidden="1" outlineLevel="2" x14ac:dyDescent="0.3">
      <c r="E1224" s="326" t="s">
        <v>2195</v>
      </c>
      <c r="F1224" s="336"/>
      <c r="G1224" s="327"/>
      <c r="H1224" s="328"/>
      <c r="I1224" s="329"/>
      <c r="J1224" s="338">
        <v>0</v>
      </c>
      <c r="K1224" s="330">
        <v>0</v>
      </c>
      <c r="L1224" s="330">
        <v>0</v>
      </c>
      <c r="M1224" s="330">
        <v>0</v>
      </c>
      <c r="N1224" s="330">
        <v>0</v>
      </c>
      <c r="O1224" s="330">
        <v>0</v>
      </c>
      <c r="P1224" s="330">
        <v>0</v>
      </c>
      <c r="Q1224" s="330">
        <v>0</v>
      </c>
      <c r="R1224" s="330">
        <v>0</v>
      </c>
      <c r="S1224" s="330">
        <v>0</v>
      </c>
      <c r="T1224" s="330">
        <v>0</v>
      </c>
      <c r="U1224" s="331">
        <v>0</v>
      </c>
      <c r="V1224" s="332">
        <v>0</v>
      </c>
      <c r="W1224" s="333"/>
      <c r="X1224" s="334">
        <v>0</v>
      </c>
      <c r="Y1224" s="335">
        <v>0</v>
      </c>
      <c r="AA1224" s="388"/>
    </row>
    <row r="1225" spans="1:27" s="2" customFormat="1" ht="16.5" customHeight="1" collapsed="1" x14ac:dyDescent="0.3">
      <c r="A1225" s="248" t="s">
        <v>57</v>
      </c>
      <c r="B1225" s="248"/>
      <c r="C1225" s="267" t="s">
        <v>2196</v>
      </c>
      <c r="D1225" s="267"/>
      <c r="E1225" s="268"/>
      <c r="F1225" s="269" t="s">
        <v>2197</v>
      </c>
      <c r="G1225" s="270"/>
      <c r="H1225" s="271"/>
      <c r="I1225" s="272"/>
      <c r="J1225" s="273">
        <v>7439296.3650000282</v>
      </c>
      <c r="K1225" s="274">
        <v>889788.7500000461</v>
      </c>
      <c r="L1225" s="274">
        <v>27189953.233000074</v>
      </c>
      <c r="M1225" s="274">
        <v>16690138.889000043</v>
      </c>
      <c r="N1225" s="274">
        <v>33588828.804000527</v>
      </c>
      <c r="O1225" s="274">
        <v>-4345765.3390000015</v>
      </c>
      <c r="P1225" s="274">
        <v>25496473.927999958</v>
      </c>
      <c r="Q1225" s="274">
        <v>32289494.429999795</v>
      </c>
      <c r="R1225" s="274">
        <v>21946099.730000194</v>
      </c>
      <c r="S1225" s="274">
        <v>31639198.11200013</v>
      </c>
      <c r="T1225" s="274">
        <v>29542565.152999908</v>
      </c>
      <c r="U1225" s="275">
        <v>-119478729.34800005</v>
      </c>
      <c r="V1225" s="276">
        <v>102887342.70700037</v>
      </c>
      <c r="W1225" s="277"/>
      <c r="X1225" s="278">
        <v>-119478729.34800005</v>
      </c>
      <c r="Y1225" s="279">
        <v>102887342.70700037</v>
      </c>
      <c r="AA1225" s="388"/>
    </row>
    <row r="1226" spans="1:27" hidden="1" collapsed="1" x14ac:dyDescent="0.3">
      <c r="B1226" s="233" t="s">
        <v>85</v>
      </c>
      <c r="C1226" s="280" t="s">
        <v>2198</v>
      </c>
      <c r="D1226" s="281"/>
      <c r="E1226" s="282"/>
      <c r="F1226" s="283" t="s">
        <v>2199</v>
      </c>
      <c r="G1226" s="284"/>
      <c r="H1226" s="285"/>
      <c r="I1226" s="286"/>
      <c r="J1226" s="287">
        <v>1701731.405</v>
      </c>
      <c r="K1226" s="288">
        <v>-160336.07499999998</v>
      </c>
      <c r="L1226" s="288">
        <v>7379549.5040000007</v>
      </c>
      <c r="M1226" s="288">
        <v>3890605.6180000002</v>
      </c>
      <c r="N1226" s="288">
        <v>8051960.9519999996</v>
      </c>
      <c r="O1226" s="288">
        <v>-13088577.875000004</v>
      </c>
      <c r="P1226" s="288">
        <v>5923874.1099999985</v>
      </c>
      <c r="Q1226" s="288">
        <v>7450938.9929999998</v>
      </c>
      <c r="R1226" s="288">
        <v>-3075056.2459999975</v>
      </c>
      <c r="S1226" s="288">
        <v>7303650.7529999996</v>
      </c>
      <c r="T1226" s="288">
        <v>6818996.1220000004</v>
      </c>
      <c r="U1226" s="289">
        <v>-11392541.983000007</v>
      </c>
      <c r="V1226" s="290">
        <v>20804795.277999997</v>
      </c>
      <c r="W1226" s="277"/>
      <c r="X1226" s="291">
        <v>-11392541.983000007</v>
      </c>
      <c r="Y1226" s="292">
        <v>20804795.277999997</v>
      </c>
      <c r="AA1226" s="388"/>
    </row>
    <row r="1227" spans="1:27" hidden="1" collapsed="1" x14ac:dyDescent="0.3">
      <c r="D1227" s="293" t="s">
        <v>2200</v>
      </c>
      <c r="E1227" s="294"/>
      <c r="F1227" s="295" t="s">
        <v>2201</v>
      </c>
      <c r="G1227" s="296"/>
      <c r="H1227" s="297"/>
      <c r="I1227" s="298"/>
      <c r="J1227" s="299">
        <v>1024.82</v>
      </c>
      <c r="K1227" s="300">
        <v>16939.099999999999</v>
      </c>
      <c r="L1227" s="300">
        <v>8902980.9140000008</v>
      </c>
      <c r="M1227" s="300">
        <v>595.98599999999999</v>
      </c>
      <c r="N1227" s="300">
        <v>0</v>
      </c>
      <c r="O1227" s="300">
        <v>-1146607.2909999995</v>
      </c>
      <c r="P1227" s="300">
        <v>0</v>
      </c>
      <c r="Q1227" s="300">
        <v>0</v>
      </c>
      <c r="R1227" s="300">
        <v>10299756.857000003</v>
      </c>
      <c r="S1227" s="300">
        <v>0</v>
      </c>
      <c r="T1227" s="300">
        <v>0</v>
      </c>
      <c r="U1227" s="301">
        <v>2730104.8919999953</v>
      </c>
      <c r="V1227" s="302">
        <v>20804795.277999997</v>
      </c>
      <c r="W1227" s="303"/>
      <c r="X1227" s="304">
        <v>2730104.8919999953</v>
      </c>
      <c r="Y1227" s="305">
        <v>20804795.277999997</v>
      </c>
      <c r="AA1227" s="388"/>
    </row>
    <row r="1228" spans="1:27" hidden="1" outlineLevel="1" x14ac:dyDescent="0.3">
      <c r="E1228" t="s">
        <v>322</v>
      </c>
      <c r="F1228" s="317">
        <v>4800100</v>
      </c>
      <c r="G1228" s="318"/>
      <c r="H1228" s="319">
        <v>8101010101</v>
      </c>
      <c r="I1228" s="320"/>
      <c r="J1228" s="337">
        <v>1024.82</v>
      </c>
      <c r="K1228" s="321">
        <v>16939.099999999999</v>
      </c>
      <c r="L1228" s="321">
        <v>8902980.9140000008</v>
      </c>
      <c r="M1228" s="321">
        <v>595.98599999999999</v>
      </c>
      <c r="N1228" s="321">
        <v>0</v>
      </c>
      <c r="O1228" s="321">
        <v>-1146607.2909999995</v>
      </c>
      <c r="P1228" s="321">
        <v>0</v>
      </c>
      <c r="Q1228" s="321">
        <v>0</v>
      </c>
      <c r="R1228" s="321">
        <v>10299756.857000003</v>
      </c>
      <c r="S1228" s="321">
        <v>0</v>
      </c>
      <c r="T1228" s="321">
        <v>0</v>
      </c>
      <c r="U1228" s="322">
        <v>2730104.8919999953</v>
      </c>
      <c r="V1228" s="323">
        <v>20804795.277999997</v>
      </c>
      <c r="W1228" s="303"/>
      <c r="X1228" s="324">
        <v>2730104.8919999953</v>
      </c>
      <c r="Y1228" s="325">
        <v>20804795.277999997</v>
      </c>
      <c r="AA1228" s="388"/>
    </row>
    <row r="1229" spans="1:27" hidden="1" collapsed="1" x14ac:dyDescent="0.3">
      <c r="D1229" s="293" t="s">
        <v>2202</v>
      </c>
      <c r="E1229" s="294"/>
      <c r="F1229" s="295" t="s">
        <v>2203</v>
      </c>
      <c r="G1229" s="296"/>
      <c r="H1229" s="297"/>
      <c r="I1229" s="298"/>
      <c r="J1229" s="299">
        <v>1700706.585</v>
      </c>
      <c r="K1229" s="300">
        <v>-177275.17499999999</v>
      </c>
      <c r="L1229" s="300">
        <v>-1523431.4100000004</v>
      </c>
      <c r="M1229" s="300">
        <v>3890009.6320000002</v>
      </c>
      <c r="N1229" s="300">
        <v>8051960.9519999996</v>
      </c>
      <c r="O1229" s="300">
        <v>-11941970.584000004</v>
      </c>
      <c r="P1229" s="300">
        <v>5923874.1099999985</v>
      </c>
      <c r="Q1229" s="300">
        <v>7450938.9929999998</v>
      </c>
      <c r="R1229" s="300">
        <v>-13374813.103</v>
      </c>
      <c r="S1229" s="300">
        <v>7303650.7529999996</v>
      </c>
      <c r="T1229" s="300">
        <v>6818996.1220000004</v>
      </c>
      <c r="U1229" s="301">
        <v>-14122646.875000002</v>
      </c>
      <c r="V1229" s="302">
        <v>0</v>
      </c>
      <c r="W1229" s="303"/>
      <c r="X1229" s="304">
        <v>-14122646.875000002</v>
      </c>
      <c r="Y1229" s="305">
        <v>0</v>
      </c>
      <c r="AA1229" s="388"/>
    </row>
    <row r="1230" spans="1:27" hidden="1" outlineLevel="1" x14ac:dyDescent="0.3">
      <c r="E1230" t="s">
        <v>2204</v>
      </c>
      <c r="F1230" s="317">
        <v>4800200</v>
      </c>
      <c r="G1230" s="318"/>
      <c r="H1230" s="319"/>
      <c r="I1230" s="320"/>
      <c r="J1230" s="337">
        <v>1700706.585</v>
      </c>
      <c r="K1230" s="321">
        <v>-177275.17499999999</v>
      </c>
      <c r="L1230" s="321">
        <v>-1523431.4100000004</v>
      </c>
      <c r="M1230" s="321">
        <v>3890009.6320000002</v>
      </c>
      <c r="N1230" s="321">
        <v>8051960.9519999996</v>
      </c>
      <c r="O1230" s="321">
        <v>-11941970.584000004</v>
      </c>
      <c r="P1230" s="321">
        <v>5923874.1099999985</v>
      </c>
      <c r="Q1230" s="321">
        <v>7450938.9929999998</v>
      </c>
      <c r="R1230" s="321">
        <v>-13374813.103</v>
      </c>
      <c r="S1230" s="321">
        <v>7303650.7529999996</v>
      </c>
      <c r="T1230" s="321">
        <v>6818996.1220000004</v>
      </c>
      <c r="U1230" s="322">
        <v>-14122646.875000002</v>
      </c>
      <c r="V1230" s="323">
        <v>0</v>
      </c>
      <c r="W1230" s="303"/>
      <c r="X1230" s="324">
        <v>-14122646.875000002</v>
      </c>
      <c r="Y1230" s="325">
        <v>0</v>
      </c>
      <c r="AA1230" s="388"/>
    </row>
    <row r="1231" spans="1:27" hidden="1" collapsed="1" x14ac:dyDescent="0.3">
      <c r="D1231" s="293" t="s">
        <v>2205</v>
      </c>
      <c r="E1231" s="294"/>
      <c r="F1231" s="295" t="s">
        <v>2206</v>
      </c>
      <c r="G1231" s="296"/>
      <c r="H1231" s="297"/>
      <c r="I1231" s="298"/>
      <c r="J1231" s="299">
        <v>0</v>
      </c>
      <c r="K1231" s="300">
        <v>0</v>
      </c>
      <c r="L1231" s="300">
        <v>0</v>
      </c>
      <c r="M1231" s="300">
        <v>0</v>
      </c>
      <c r="N1231" s="300">
        <v>0</v>
      </c>
      <c r="O1231" s="300">
        <v>0</v>
      </c>
      <c r="P1231" s="300">
        <v>0</v>
      </c>
      <c r="Q1231" s="300">
        <v>0</v>
      </c>
      <c r="R1231" s="300">
        <v>0</v>
      </c>
      <c r="S1231" s="300">
        <v>0</v>
      </c>
      <c r="T1231" s="300">
        <v>0</v>
      </c>
      <c r="U1231" s="301">
        <v>0</v>
      </c>
      <c r="V1231" s="302">
        <v>0</v>
      </c>
      <c r="W1231" s="303"/>
      <c r="X1231" s="304">
        <v>0</v>
      </c>
      <c r="Y1231" s="305">
        <v>0</v>
      </c>
      <c r="AA1231" s="388"/>
    </row>
    <row r="1232" spans="1:27" hidden="1" outlineLevel="1" x14ac:dyDescent="0.3">
      <c r="E1232" t="s">
        <v>2207</v>
      </c>
      <c r="F1232" s="317">
        <v>4506500</v>
      </c>
      <c r="G1232" s="318"/>
      <c r="H1232" s="319"/>
      <c r="I1232" s="320"/>
      <c r="J1232" s="337">
        <v>0</v>
      </c>
      <c r="K1232" s="321">
        <v>0</v>
      </c>
      <c r="L1232" s="321">
        <v>0</v>
      </c>
      <c r="M1232" s="321">
        <v>0</v>
      </c>
      <c r="N1232" s="321">
        <v>0</v>
      </c>
      <c r="O1232" s="321">
        <v>0</v>
      </c>
      <c r="P1232" s="321">
        <v>0</v>
      </c>
      <c r="Q1232" s="321">
        <v>0</v>
      </c>
      <c r="R1232" s="321">
        <v>0</v>
      </c>
      <c r="S1232" s="321">
        <v>0</v>
      </c>
      <c r="T1232" s="321">
        <v>0</v>
      </c>
      <c r="U1232" s="322">
        <v>0</v>
      </c>
      <c r="V1232" s="323">
        <v>0</v>
      </c>
      <c r="W1232" s="303"/>
      <c r="X1232" s="324">
        <v>0</v>
      </c>
      <c r="Y1232" s="325">
        <v>0</v>
      </c>
      <c r="AA1232" s="388"/>
    </row>
    <row r="1233" spans="1:27" hidden="1" collapsed="1" x14ac:dyDescent="0.3">
      <c r="D1233" s="293" t="s">
        <v>2208</v>
      </c>
      <c r="E1233" s="294"/>
      <c r="F1233" s="295" t="s">
        <v>2209</v>
      </c>
      <c r="G1233" s="296"/>
      <c r="H1233" s="297"/>
      <c r="I1233" s="298"/>
      <c r="J1233" s="299">
        <v>0</v>
      </c>
      <c r="K1233" s="300">
        <v>0</v>
      </c>
      <c r="L1233" s="300">
        <v>0</v>
      </c>
      <c r="M1233" s="300">
        <v>0</v>
      </c>
      <c r="N1233" s="300">
        <v>0</v>
      </c>
      <c r="O1233" s="300">
        <v>0</v>
      </c>
      <c r="P1233" s="300">
        <v>0</v>
      </c>
      <c r="Q1233" s="300">
        <v>0</v>
      </c>
      <c r="R1233" s="300">
        <v>0</v>
      </c>
      <c r="S1233" s="300">
        <v>0</v>
      </c>
      <c r="T1233" s="300">
        <v>0</v>
      </c>
      <c r="U1233" s="301">
        <v>0</v>
      </c>
      <c r="V1233" s="302">
        <v>0</v>
      </c>
      <c r="W1233" s="303"/>
      <c r="X1233" s="304">
        <v>0</v>
      </c>
      <c r="Y1233" s="305">
        <v>0</v>
      </c>
      <c r="AA1233" s="388"/>
    </row>
    <row r="1234" spans="1:27" hidden="1" outlineLevel="1" x14ac:dyDescent="0.3">
      <c r="E1234" t="s">
        <v>2210</v>
      </c>
      <c r="F1234" s="317">
        <v>4407000</v>
      </c>
      <c r="G1234" s="318"/>
      <c r="H1234" s="319"/>
      <c r="I1234" s="320"/>
      <c r="J1234" s="337">
        <v>0</v>
      </c>
      <c r="K1234" s="321">
        <v>0</v>
      </c>
      <c r="L1234" s="321">
        <v>0</v>
      </c>
      <c r="M1234" s="321">
        <v>0</v>
      </c>
      <c r="N1234" s="321">
        <v>0</v>
      </c>
      <c r="O1234" s="321">
        <v>0</v>
      </c>
      <c r="P1234" s="321">
        <v>0</v>
      </c>
      <c r="Q1234" s="321">
        <v>0</v>
      </c>
      <c r="R1234" s="321">
        <v>0</v>
      </c>
      <c r="S1234" s="321">
        <v>0</v>
      </c>
      <c r="T1234" s="321">
        <v>0</v>
      </c>
      <c r="U1234" s="322">
        <v>0</v>
      </c>
      <c r="V1234" s="323">
        <v>0</v>
      </c>
      <c r="W1234" s="303"/>
      <c r="X1234" s="324">
        <v>0</v>
      </c>
      <c r="Y1234" s="325">
        <v>0</v>
      </c>
      <c r="AA1234" s="388"/>
    </row>
    <row r="1235" spans="1:27" hidden="1" collapsed="1" x14ac:dyDescent="0.3">
      <c r="B1235" s="233" t="s">
        <v>418</v>
      </c>
      <c r="C1235" s="280" t="s">
        <v>2211</v>
      </c>
      <c r="D1235" s="281"/>
      <c r="E1235" s="282"/>
      <c r="F1235" s="283" t="s">
        <v>2212</v>
      </c>
      <c r="G1235" s="284"/>
      <c r="H1235" s="285"/>
      <c r="I1235" s="286"/>
      <c r="J1235" s="287">
        <v>5737564.9600000279</v>
      </c>
      <c r="K1235" s="288">
        <v>1050124.8250000461</v>
      </c>
      <c r="L1235" s="288">
        <v>19810403.729000073</v>
      </c>
      <c r="M1235" s="288">
        <v>12799533.271000043</v>
      </c>
      <c r="N1235" s="288">
        <v>25536867.852000527</v>
      </c>
      <c r="O1235" s="288">
        <v>8742812.5360000022</v>
      </c>
      <c r="P1235" s="288">
        <v>19572599.817999959</v>
      </c>
      <c r="Q1235" s="288">
        <v>24838555.436999794</v>
      </c>
      <c r="R1235" s="288">
        <v>25021155.97600019</v>
      </c>
      <c r="S1235" s="288">
        <v>24335547.359000131</v>
      </c>
      <c r="T1235" s="288">
        <v>22723569.030999906</v>
      </c>
      <c r="U1235" s="289">
        <v>-108086187.36500004</v>
      </c>
      <c r="V1235" s="290">
        <v>82082547.429000378</v>
      </c>
      <c r="W1235" s="277"/>
      <c r="X1235" s="291">
        <v>-108086187.36500004</v>
      </c>
      <c r="Y1235" s="292">
        <v>82082547.429000378</v>
      </c>
      <c r="AA1235" s="388"/>
    </row>
    <row r="1236" spans="1:27" hidden="1" collapsed="1" x14ac:dyDescent="0.3">
      <c r="B1236" s="233" t="s">
        <v>419</v>
      </c>
      <c r="C1236" s="280" t="s">
        <v>2213</v>
      </c>
      <c r="D1236" s="281"/>
      <c r="E1236" s="282"/>
      <c r="F1236" s="283" t="s">
        <v>2214</v>
      </c>
      <c r="G1236" s="284"/>
      <c r="H1236" s="285"/>
      <c r="I1236" s="286"/>
      <c r="J1236" s="287">
        <v>0</v>
      </c>
      <c r="K1236" s="288">
        <v>0</v>
      </c>
      <c r="L1236" s="288">
        <v>0</v>
      </c>
      <c r="M1236" s="288">
        <v>0</v>
      </c>
      <c r="N1236" s="288">
        <v>0</v>
      </c>
      <c r="O1236" s="288">
        <v>0</v>
      </c>
      <c r="P1236" s="288">
        <v>0</v>
      </c>
      <c r="Q1236" s="288">
        <v>0</v>
      </c>
      <c r="R1236" s="288">
        <v>0</v>
      </c>
      <c r="S1236" s="288">
        <v>0</v>
      </c>
      <c r="T1236" s="288">
        <v>0</v>
      </c>
      <c r="U1236" s="289">
        <v>0</v>
      </c>
      <c r="V1236" s="290">
        <v>0</v>
      </c>
      <c r="W1236" s="277"/>
      <c r="X1236" s="291">
        <v>0</v>
      </c>
      <c r="Y1236" s="292">
        <v>0</v>
      </c>
      <c r="AA1236" s="388"/>
    </row>
    <row r="1237" spans="1:27" hidden="1" collapsed="1" x14ac:dyDescent="0.3">
      <c r="D1237" s="293" t="s">
        <v>2215</v>
      </c>
      <c r="E1237" s="294"/>
      <c r="F1237" s="295" t="s">
        <v>2216</v>
      </c>
      <c r="G1237" s="296"/>
      <c r="H1237" s="297"/>
      <c r="I1237" s="298"/>
      <c r="J1237" s="299">
        <v>0</v>
      </c>
      <c r="K1237" s="300">
        <v>0</v>
      </c>
      <c r="L1237" s="300">
        <v>0</v>
      </c>
      <c r="M1237" s="300">
        <v>0</v>
      </c>
      <c r="N1237" s="300">
        <v>0</v>
      </c>
      <c r="O1237" s="300">
        <v>0</v>
      </c>
      <c r="P1237" s="300">
        <v>0</v>
      </c>
      <c r="Q1237" s="300">
        <v>0</v>
      </c>
      <c r="R1237" s="300">
        <v>0</v>
      </c>
      <c r="S1237" s="300">
        <v>0</v>
      </c>
      <c r="T1237" s="300">
        <v>0</v>
      </c>
      <c r="U1237" s="301">
        <v>0</v>
      </c>
      <c r="V1237" s="302">
        <v>0</v>
      </c>
      <c r="W1237" s="303"/>
      <c r="X1237" s="304">
        <v>0</v>
      </c>
      <c r="Y1237" s="305">
        <v>0</v>
      </c>
      <c r="AA1237" s="388"/>
    </row>
    <row r="1238" spans="1:27" hidden="1" outlineLevel="1" x14ac:dyDescent="0.3">
      <c r="E1238" t="s">
        <v>2217</v>
      </c>
      <c r="F1238" s="317">
        <v>4408900</v>
      </c>
      <c r="G1238" s="318"/>
      <c r="H1238" s="319">
        <v>8501010101</v>
      </c>
      <c r="I1238" s="320"/>
      <c r="J1238" s="337">
        <v>0</v>
      </c>
      <c r="K1238" s="321">
        <v>0</v>
      </c>
      <c r="L1238" s="321">
        <v>0</v>
      </c>
      <c r="M1238" s="321">
        <v>0</v>
      </c>
      <c r="N1238" s="321">
        <v>0</v>
      </c>
      <c r="O1238" s="321">
        <v>0</v>
      </c>
      <c r="P1238" s="321">
        <v>0</v>
      </c>
      <c r="Q1238" s="321">
        <v>0</v>
      </c>
      <c r="R1238" s="321">
        <v>0</v>
      </c>
      <c r="S1238" s="321">
        <v>0</v>
      </c>
      <c r="T1238" s="321">
        <v>0</v>
      </c>
      <c r="U1238" s="322">
        <v>0</v>
      </c>
      <c r="V1238" s="323">
        <v>0</v>
      </c>
      <c r="W1238" s="303"/>
      <c r="X1238" s="324">
        <v>0</v>
      </c>
      <c r="Y1238" s="325">
        <v>0</v>
      </c>
      <c r="AA1238" s="388"/>
    </row>
    <row r="1239" spans="1:27" s="2" customFormat="1" ht="16.5" customHeight="1" collapsed="1" x14ac:dyDescent="0.3">
      <c r="A1239" s="248" t="s">
        <v>211</v>
      </c>
      <c r="B1239" s="248"/>
      <c r="C1239" s="398" t="s">
        <v>2218</v>
      </c>
      <c r="D1239" s="398"/>
      <c r="E1239" s="399"/>
      <c r="F1239" s="400" t="s">
        <v>2219</v>
      </c>
      <c r="G1239" s="401"/>
      <c r="H1239" s="402"/>
      <c r="I1239" s="403"/>
      <c r="J1239" s="404">
        <v>5737564.9600000279</v>
      </c>
      <c r="K1239" s="405">
        <v>1050124.8250000461</v>
      </c>
      <c r="L1239" s="405">
        <v>19810403.729000073</v>
      </c>
      <c r="M1239" s="405">
        <v>12799533.271000043</v>
      </c>
      <c r="N1239" s="405">
        <v>25536867.852000527</v>
      </c>
      <c r="O1239" s="405">
        <v>8742812.5360000022</v>
      </c>
      <c r="P1239" s="405">
        <v>19572599.817999959</v>
      </c>
      <c r="Q1239" s="405">
        <v>24838555.436999794</v>
      </c>
      <c r="R1239" s="405">
        <v>25021155.97600019</v>
      </c>
      <c r="S1239" s="405">
        <v>24335547.359000131</v>
      </c>
      <c r="T1239" s="405">
        <v>22723569.030999906</v>
      </c>
      <c r="U1239" s="406">
        <v>-108086187.36500004</v>
      </c>
      <c r="V1239" s="407">
        <v>82082547.429000378</v>
      </c>
      <c r="W1239" s="277"/>
      <c r="X1239" s="408">
        <v>-108086187.36500004</v>
      </c>
      <c r="Y1239" s="409">
        <v>82082547.429000378</v>
      </c>
      <c r="AA1239" s="388"/>
    </row>
    <row r="1240" spans="1:27" x14ac:dyDescent="0.3">
      <c r="B1240" s="249"/>
      <c r="C1240" s="249"/>
      <c r="D1240" s="249"/>
      <c r="E1240" s="249"/>
      <c r="F1240" s="249"/>
      <c r="G1240" s="249"/>
      <c r="H1240" s="249"/>
      <c r="I1240" s="249"/>
      <c r="J1240" s="249"/>
      <c r="K1240" s="249"/>
      <c r="L1240" s="249"/>
      <c r="M1240" s="249"/>
      <c r="N1240" s="249"/>
      <c r="O1240" s="249"/>
      <c r="P1240" s="249"/>
      <c r="Q1240" s="249"/>
      <c r="R1240" s="249"/>
      <c r="S1240" s="249"/>
      <c r="T1240" s="249"/>
      <c r="U1240" s="249"/>
      <c r="V1240" s="249"/>
      <c r="W1240" s="249"/>
      <c r="X1240" s="249"/>
      <c r="Y1240" s="249"/>
    </row>
    <row r="1241" spans="1:27" x14ac:dyDescent="0.3">
      <c r="C1241" s="256" t="s">
        <v>8860</v>
      </c>
      <c r="D1241" s="256"/>
      <c r="E1241" s="257"/>
      <c r="F1241" s="258"/>
      <c r="G1241" s="259"/>
      <c r="H1241" s="260"/>
      <c r="I1241" s="261"/>
      <c r="J1241" s="410">
        <v>3</v>
      </c>
      <c r="K1241" s="411">
        <v>4</v>
      </c>
      <c r="L1241" s="411">
        <v>5</v>
      </c>
      <c r="M1241" s="411">
        <v>6</v>
      </c>
      <c r="N1241" s="411">
        <v>7</v>
      </c>
      <c r="O1241" s="411">
        <v>8</v>
      </c>
      <c r="P1241" s="411">
        <v>9</v>
      </c>
      <c r="Q1241" s="411">
        <v>10</v>
      </c>
      <c r="R1241" s="411">
        <v>11</v>
      </c>
      <c r="S1241" s="411">
        <v>12</v>
      </c>
      <c r="T1241" s="411">
        <v>13</v>
      </c>
      <c r="U1241" s="411">
        <v>14</v>
      </c>
    </row>
    <row r="1243" spans="1:27" x14ac:dyDescent="0.3">
      <c r="C1243" t="s">
        <v>8861</v>
      </c>
    </row>
    <row r="1244" spans="1:27" x14ac:dyDescent="0.3">
      <c r="C1244" s="256" t="s">
        <v>211</v>
      </c>
      <c r="D1244" s="256"/>
      <c r="E1244" s="257"/>
      <c r="F1244" s="412" t="s">
        <v>2223</v>
      </c>
      <c r="G1244" s="259"/>
      <c r="H1244" s="260">
        <v>9100000000</v>
      </c>
      <c r="I1244" s="261"/>
      <c r="J1244" s="413">
        <v>5737564.96</v>
      </c>
      <c r="K1244" s="414">
        <v>1050124.825</v>
      </c>
      <c r="L1244" s="414">
        <v>19810403.729000002</v>
      </c>
      <c r="M1244" s="414">
        <v>12799533.271</v>
      </c>
      <c r="N1244" s="414">
        <v>25536867.851999998</v>
      </c>
      <c r="O1244" s="414">
        <v>8742812.5360000003</v>
      </c>
      <c r="P1244" s="414">
        <v>19572599.818</v>
      </c>
      <c r="Q1244" s="414">
        <v>24838555.436999999</v>
      </c>
      <c r="R1244" s="414">
        <v>25021155.976</v>
      </c>
      <c r="S1244" s="414">
        <v>24335547.359000001</v>
      </c>
      <c r="T1244" s="414">
        <v>22723569.030999999</v>
      </c>
      <c r="U1244" s="415">
        <v>-100000444.146</v>
      </c>
      <c r="V1244" s="413">
        <v>90168290.648000002</v>
      </c>
    </row>
    <row r="1245" spans="1:27" x14ac:dyDescent="0.3">
      <c r="C1245" s="416"/>
      <c r="D1245" s="416"/>
      <c r="E1245" s="417"/>
      <c r="F1245" s="418"/>
      <c r="G1245" s="419"/>
      <c r="H1245" s="420"/>
      <c r="I1245" s="421"/>
      <c r="J1245" s="422">
        <v>-2.7939677238464355E-8</v>
      </c>
      <c r="K1245" s="423">
        <v>-4.6100467443466187E-8</v>
      </c>
      <c r="L1245" s="423">
        <v>-7.0780515670776367E-8</v>
      </c>
      <c r="M1245" s="423">
        <v>-4.2840838432312012E-8</v>
      </c>
      <c r="N1245" s="423">
        <v>-5.289912223815918E-7</v>
      </c>
      <c r="O1245" s="423">
        <v>0</v>
      </c>
      <c r="P1245" s="423">
        <v>4.0978193283081055E-8</v>
      </c>
      <c r="Q1245" s="423">
        <v>2.0489096641540527E-7</v>
      </c>
      <c r="R1245" s="423">
        <v>-1.8998980522155762E-7</v>
      </c>
      <c r="S1245" s="423">
        <v>-1.3038516044616699E-7</v>
      </c>
      <c r="T1245" s="423">
        <v>9.3132257461547852E-8</v>
      </c>
      <c r="U1245" s="424">
        <v>0</v>
      </c>
      <c r="V1245" s="422">
        <v>-6.9802626967430115E-7</v>
      </c>
    </row>
    <row r="1247" spans="1:27" x14ac:dyDescent="0.3">
      <c r="J1247" s="303"/>
      <c r="K1247" s="303"/>
      <c r="L1247" s="303"/>
      <c r="M1247" s="303"/>
      <c r="N1247" s="303"/>
      <c r="O1247" s="303"/>
      <c r="P1247" s="303"/>
      <c r="Q1247" s="303"/>
      <c r="R1247" s="303"/>
      <c r="S1247" s="303"/>
      <c r="T1247" s="303"/>
      <c r="U1247" s="303"/>
      <c r="V1247" s="303"/>
    </row>
    <row r="1248" spans="1:27" x14ac:dyDescent="0.3">
      <c r="J1248" s="303">
        <v>5957093.9189999998</v>
      </c>
      <c r="K1248" s="303">
        <v>1351340.57</v>
      </c>
      <c r="L1248" s="303">
        <v>19465454.870000001</v>
      </c>
      <c r="M1248" s="303">
        <v>12944088.791999999</v>
      </c>
      <c r="N1248" s="303">
        <v>25744751.945999999</v>
      </c>
      <c r="O1248" s="303">
        <v>8591863.182</v>
      </c>
      <c r="P1248" s="303">
        <v>19720602.546</v>
      </c>
      <c r="Q1248" s="303">
        <v>24804208.173999999</v>
      </c>
      <c r="R1248" s="303">
        <v>27889672.022</v>
      </c>
      <c r="S1248" s="303">
        <v>24313884.971000001</v>
      </c>
      <c r="T1248" s="303">
        <v>22700467.625</v>
      </c>
      <c r="U1248" s="303">
        <v>-99850356.088</v>
      </c>
      <c r="V1248" s="303">
        <v>93633072.528999999</v>
      </c>
    </row>
    <row r="1249" spans="10:22" x14ac:dyDescent="0.3">
      <c r="J1249" s="303"/>
      <c r="K1249" s="303"/>
      <c r="L1249" s="303"/>
      <c r="M1249" s="303"/>
      <c r="N1249" s="303"/>
      <c r="O1249" s="303"/>
      <c r="P1249" s="303"/>
      <c r="Q1249" s="303"/>
      <c r="R1249" s="303"/>
      <c r="S1249" s="303"/>
      <c r="T1249" s="303"/>
      <c r="U1249" s="303"/>
      <c r="V1249" s="303"/>
    </row>
    <row r="1250" spans="10:22" x14ac:dyDescent="0.3">
      <c r="T1250" s="303"/>
    </row>
    <row r="1251" spans="10:22" x14ac:dyDescent="0.3">
      <c r="R1251" s="303"/>
    </row>
    <row r="1252" spans="10:22" x14ac:dyDescent="0.3">
      <c r="R1252" s="303"/>
    </row>
  </sheetData>
  <autoFilter ref="A5:AE1239" xr:uid="{2CFEC5DC-ECC4-438A-999C-BE6A98512AB2}">
    <filterColumn colId="0">
      <customFilters>
        <customFilter operator="notEqual" val=" "/>
      </customFilters>
    </filterColumn>
  </autoFilter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14DF-9AA7-46F5-BE50-FC717844FB08}">
  <sheetPr>
    <tabColor theme="0" tint="-0.499984740745262"/>
  </sheetPr>
  <dimension ref="A1:AB1248"/>
  <sheetViews>
    <sheetView topLeftCell="A51" workbookViewId="0"/>
  </sheetViews>
  <sheetFormatPr defaultRowHeight="16.5" outlineLevelRow="2" outlineLevelCol="1" x14ac:dyDescent="0.3"/>
  <cols>
    <col min="1" max="1" width="6.625" customWidth="1"/>
    <col min="2" max="2" width="20" bestFit="1" customWidth="1"/>
    <col min="3" max="4" width="1.75" customWidth="1"/>
    <col min="5" max="5" width="37.125" style="250" customWidth="1"/>
    <col min="6" max="7" width="8.75" hidden="1" customWidth="1" outlineLevel="1"/>
    <col min="8" max="8" width="16" hidden="1" customWidth="1" outlineLevel="1"/>
    <col min="9" max="9" width="8.75" hidden="1" customWidth="1" outlineLevel="1"/>
    <col min="10" max="10" width="16.125" customWidth="1" collapsed="1"/>
    <col min="11" max="22" width="16.125" customWidth="1"/>
    <col min="23" max="23" width="1.75" customWidth="1"/>
    <col min="24" max="25" width="16.125" customWidth="1"/>
    <col min="28" max="28" width="11.5" bestFit="1" customWidth="1"/>
  </cols>
  <sheetData>
    <row r="1" spans="1:25" x14ac:dyDescent="0.3">
      <c r="C1" s="249"/>
      <c r="D1" s="249"/>
    </row>
    <row r="2" spans="1:25" s="3" customFormat="1" ht="34.9" customHeight="1" x14ac:dyDescent="0.3">
      <c r="B2" s="913"/>
      <c r="C2" s="251"/>
      <c r="D2" s="914" t="s">
        <v>893</v>
      </c>
      <c r="E2" s="915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</row>
    <row r="3" spans="1:25" ht="17.45" customHeight="1" x14ac:dyDescent="0.3">
      <c r="B3" s="249"/>
      <c r="C3" s="251"/>
      <c r="D3" s="252"/>
      <c r="E3" s="253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</row>
    <row r="4" spans="1:25" ht="15.75" customHeight="1" x14ac:dyDescent="0.3">
      <c r="B4" t="s">
        <v>894</v>
      </c>
      <c r="E4" s="254" t="s">
        <v>895</v>
      </c>
      <c r="V4" s="255" t="s">
        <v>896</v>
      </c>
    </row>
    <row r="5" spans="1:25" s="249" customFormat="1" x14ac:dyDescent="0.3">
      <c r="C5" s="256" t="s">
        <v>897</v>
      </c>
      <c r="D5" s="256"/>
      <c r="E5" s="257"/>
      <c r="F5" s="258" t="s">
        <v>898</v>
      </c>
      <c r="G5" s="259" t="s">
        <v>899</v>
      </c>
      <c r="H5" s="260" t="s">
        <v>900</v>
      </c>
      <c r="I5" s="261" t="s">
        <v>901</v>
      </c>
      <c r="J5" s="262">
        <v>1</v>
      </c>
      <c r="K5" s="263">
        <v>2</v>
      </c>
      <c r="L5" s="263">
        <v>3</v>
      </c>
      <c r="M5" s="263">
        <v>4</v>
      </c>
      <c r="N5" s="263">
        <v>5</v>
      </c>
      <c r="O5" s="263">
        <v>6</v>
      </c>
      <c r="P5" s="263">
        <v>7</v>
      </c>
      <c r="Q5" s="263">
        <v>8</v>
      </c>
      <c r="R5" s="263">
        <v>9</v>
      </c>
      <c r="S5" s="263">
        <v>10</v>
      </c>
      <c r="T5" s="263">
        <v>11</v>
      </c>
      <c r="U5" s="264">
        <v>12</v>
      </c>
      <c r="V5" s="265" t="s">
        <v>902</v>
      </c>
      <c r="X5" s="266" t="s">
        <v>903</v>
      </c>
      <c r="Y5" s="260" t="s">
        <v>904</v>
      </c>
    </row>
    <row r="6" spans="1:25" s="2" customFormat="1" x14ac:dyDescent="0.3">
      <c r="A6"/>
      <c r="B6"/>
      <c r="C6" s="267" t="s">
        <v>905</v>
      </c>
      <c r="D6" s="267"/>
      <c r="E6" s="268"/>
      <c r="F6" s="269"/>
      <c r="G6" s="270"/>
      <c r="H6" s="271"/>
      <c r="I6" s="272"/>
      <c r="J6" s="273">
        <v>318768075.50999999</v>
      </c>
      <c r="K6" s="274">
        <v>317466212.77100003</v>
      </c>
      <c r="L6" s="274">
        <v>326415187.139</v>
      </c>
      <c r="M6" s="274">
        <v>325160432.23500001</v>
      </c>
      <c r="N6" s="274">
        <v>333344161.24800003</v>
      </c>
      <c r="O6" s="274">
        <v>304699383.56799996</v>
      </c>
      <c r="P6" s="274">
        <v>318380796.90600002</v>
      </c>
      <c r="Q6" s="274">
        <v>288780892.01099998</v>
      </c>
      <c r="R6" s="274">
        <v>299797934.01299995</v>
      </c>
      <c r="S6" s="274">
        <v>311639299.75600004</v>
      </c>
      <c r="T6" s="274">
        <v>318167509.86400002</v>
      </c>
      <c r="U6" s="275">
        <v>322537424.52899998</v>
      </c>
      <c r="V6" s="276">
        <v>3785157309.5500002</v>
      </c>
      <c r="W6" s="277"/>
      <c r="X6" s="278">
        <v>322537424.52899998</v>
      </c>
      <c r="Y6" s="279">
        <v>3785157309.5500002</v>
      </c>
    </row>
    <row r="7" spans="1:25" ht="16.5" customHeight="1" x14ac:dyDescent="0.3">
      <c r="A7" s="930" t="s">
        <v>58</v>
      </c>
      <c r="B7" s="248"/>
      <c r="C7" s="280" t="s">
        <v>906</v>
      </c>
      <c r="D7" s="281"/>
      <c r="E7" s="282"/>
      <c r="F7" s="283" t="s">
        <v>907</v>
      </c>
      <c r="G7" s="284"/>
      <c r="H7" s="285"/>
      <c r="I7" s="286"/>
      <c r="J7" s="287">
        <v>82370643.020999983</v>
      </c>
      <c r="K7" s="288">
        <v>83188625.216999993</v>
      </c>
      <c r="L7" s="288">
        <v>92201089.203000009</v>
      </c>
      <c r="M7" s="288">
        <v>89555014.581</v>
      </c>
      <c r="N7" s="288">
        <v>91254663.209999993</v>
      </c>
      <c r="O7" s="288">
        <v>85008754.70099999</v>
      </c>
      <c r="P7" s="288">
        <v>85474759.818999976</v>
      </c>
      <c r="Q7" s="288">
        <v>78518037.726000011</v>
      </c>
      <c r="R7" s="288">
        <v>83542322.262999997</v>
      </c>
      <c r="S7" s="288">
        <v>89642208.928000018</v>
      </c>
      <c r="T7" s="288">
        <v>94269295.046999991</v>
      </c>
      <c r="U7" s="289">
        <v>94084773.990000024</v>
      </c>
      <c r="V7" s="290">
        <v>1049110187.706</v>
      </c>
      <c r="W7" s="277"/>
      <c r="X7" s="291">
        <v>94084773.990000024</v>
      </c>
      <c r="Y7" s="292">
        <v>1049110187.706</v>
      </c>
    </row>
    <row r="8" spans="1:25" x14ac:dyDescent="0.3">
      <c r="A8" s="233"/>
      <c r="B8" s="234" t="s">
        <v>0</v>
      </c>
      <c r="D8" s="293" t="s">
        <v>908</v>
      </c>
      <c r="E8" s="294"/>
      <c r="F8" s="295" t="s">
        <v>909</v>
      </c>
      <c r="G8" s="296"/>
      <c r="H8" s="297"/>
      <c r="I8" s="298"/>
      <c r="J8" s="299">
        <v>15614560.328</v>
      </c>
      <c r="K8" s="300">
        <v>17833615.572999999</v>
      </c>
      <c r="L8" s="300">
        <v>23404836.367000002</v>
      </c>
      <c r="M8" s="300">
        <v>21478440.484000001</v>
      </c>
      <c r="N8" s="300">
        <v>20902643.851</v>
      </c>
      <c r="O8" s="300">
        <v>17658670.116</v>
      </c>
      <c r="P8" s="300">
        <v>17240639.000999998</v>
      </c>
      <c r="Q8" s="300">
        <v>15724069.493999999</v>
      </c>
      <c r="R8" s="300">
        <v>20163467.756000001</v>
      </c>
      <c r="S8" s="300">
        <v>23602855.903999999</v>
      </c>
      <c r="T8" s="300">
        <v>24331639.772</v>
      </c>
      <c r="U8" s="301">
        <v>20372812.707000002</v>
      </c>
      <c r="V8" s="302">
        <v>238328251.35300002</v>
      </c>
      <c r="W8" s="303"/>
      <c r="X8" s="304">
        <v>20372812.707000002</v>
      </c>
      <c r="Y8" s="305">
        <v>238328251.35300002</v>
      </c>
    </row>
    <row r="9" spans="1:25" hidden="1" outlineLevel="1" x14ac:dyDescent="0.3">
      <c r="E9" s="250" t="s">
        <v>910</v>
      </c>
      <c r="F9" s="306">
        <v>4100101</v>
      </c>
      <c r="G9" s="307"/>
      <c r="H9" s="308">
        <v>4100010103</v>
      </c>
      <c r="I9" s="309"/>
      <c r="J9" s="310">
        <v>15599617.939999999</v>
      </c>
      <c r="K9" s="311">
        <v>17813588.862</v>
      </c>
      <c r="L9" s="311">
        <v>23394192.732000001</v>
      </c>
      <c r="M9" s="311">
        <v>21469008.283</v>
      </c>
      <c r="N9" s="311">
        <v>20891370.695</v>
      </c>
      <c r="O9" s="311">
        <v>17650339.782000002</v>
      </c>
      <c r="P9" s="311">
        <v>17233716.463</v>
      </c>
      <c r="Q9" s="311">
        <v>15714894.497</v>
      </c>
      <c r="R9" s="311">
        <v>20154323.491</v>
      </c>
      <c r="S9" s="311">
        <v>23593158.765999999</v>
      </c>
      <c r="T9" s="311">
        <v>24322963.675000001</v>
      </c>
      <c r="U9" s="312">
        <v>20364694.019000001</v>
      </c>
      <c r="V9" s="313">
        <v>238201869.20500001</v>
      </c>
      <c r="W9" s="314"/>
      <c r="X9" s="315">
        <v>20364694.019000001</v>
      </c>
      <c r="Y9" s="316">
        <v>238201869.20500001</v>
      </c>
    </row>
    <row r="10" spans="1:25" hidden="1" outlineLevel="1" x14ac:dyDescent="0.3">
      <c r="E10" s="250" t="s">
        <v>911</v>
      </c>
      <c r="F10" s="317">
        <v>4100102</v>
      </c>
      <c r="G10" s="318"/>
      <c r="H10" s="319">
        <v>4100010101</v>
      </c>
      <c r="I10" s="320"/>
      <c r="J10" s="310">
        <v>14942.388000000001</v>
      </c>
      <c r="K10" s="321">
        <v>20026.710999999999</v>
      </c>
      <c r="L10" s="321">
        <v>10643.635</v>
      </c>
      <c r="M10" s="321">
        <v>9432.2009999999991</v>
      </c>
      <c r="N10" s="321">
        <v>11273.156000000001</v>
      </c>
      <c r="O10" s="321">
        <v>8330.3340000000007</v>
      </c>
      <c r="P10" s="321">
        <v>6922.5379999999996</v>
      </c>
      <c r="Q10" s="321">
        <v>9174.9969999999994</v>
      </c>
      <c r="R10" s="321">
        <v>9144.2649999999994</v>
      </c>
      <c r="S10" s="321">
        <v>9697.1380000000008</v>
      </c>
      <c r="T10" s="321">
        <v>8676.0969999999998</v>
      </c>
      <c r="U10" s="322">
        <v>8118.6880000000001</v>
      </c>
      <c r="V10" s="323">
        <v>126382.148</v>
      </c>
      <c r="W10" s="303"/>
      <c r="X10" s="324">
        <v>8118.6880000000001</v>
      </c>
      <c r="Y10" s="325">
        <v>126382.148</v>
      </c>
    </row>
    <row r="11" spans="1:25" hidden="1" outlineLevel="1" x14ac:dyDescent="0.3">
      <c r="E11" s="250" t="s">
        <v>912</v>
      </c>
      <c r="F11" s="317">
        <v>4100103</v>
      </c>
      <c r="G11" s="318"/>
      <c r="H11" s="319">
        <v>4100010105</v>
      </c>
      <c r="I11" s="320"/>
      <c r="J11" s="310">
        <v>0</v>
      </c>
      <c r="K11" s="321">
        <v>0</v>
      </c>
      <c r="L11" s="321">
        <v>0</v>
      </c>
      <c r="M11" s="321">
        <v>0</v>
      </c>
      <c r="N11" s="321">
        <v>0</v>
      </c>
      <c r="O11" s="321">
        <v>0</v>
      </c>
      <c r="P11" s="321">
        <v>0</v>
      </c>
      <c r="Q11" s="321">
        <v>0</v>
      </c>
      <c r="R11" s="321">
        <v>0</v>
      </c>
      <c r="S11" s="321">
        <v>0</v>
      </c>
      <c r="T11" s="321">
        <v>0</v>
      </c>
      <c r="U11" s="322">
        <v>0</v>
      </c>
      <c r="V11" s="323">
        <v>0</v>
      </c>
      <c r="W11" s="303"/>
      <c r="X11" s="324">
        <v>0</v>
      </c>
      <c r="Y11" s="325">
        <v>0</v>
      </c>
    </row>
    <row r="12" spans="1:25" hidden="1" outlineLevel="1" x14ac:dyDescent="0.3">
      <c r="E12" s="250" t="s">
        <v>913</v>
      </c>
      <c r="F12" s="317">
        <v>4100104</v>
      </c>
      <c r="G12" s="318"/>
      <c r="H12" s="319"/>
      <c r="I12" s="320"/>
      <c r="J12" s="310">
        <v>0</v>
      </c>
      <c r="K12" s="321">
        <v>0</v>
      </c>
      <c r="L12" s="321">
        <v>0</v>
      </c>
      <c r="M12" s="321">
        <v>0</v>
      </c>
      <c r="N12" s="321">
        <v>0</v>
      </c>
      <c r="O12" s="321">
        <v>0</v>
      </c>
      <c r="P12" s="321">
        <v>0</v>
      </c>
      <c r="Q12" s="321">
        <v>0</v>
      </c>
      <c r="R12" s="321">
        <v>0</v>
      </c>
      <c r="S12" s="321">
        <v>0</v>
      </c>
      <c r="T12" s="321">
        <v>0</v>
      </c>
      <c r="U12" s="322">
        <v>0</v>
      </c>
      <c r="V12" s="323">
        <v>0</v>
      </c>
      <c r="W12" s="303"/>
      <c r="X12" s="324">
        <v>0</v>
      </c>
      <c r="Y12" s="325">
        <v>0</v>
      </c>
    </row>
    <row r="13" spans="1:25" hidden="1" outlineLevel="1" x14ac:dyDescent="0.3">
      <c r="E13" s="250" t="s">
        <v>914</v>
      </c>
      <c r="F13" s="317">
        <v>4100190</v>
      </c>
      <c r="G13" s="318"/>
      <c r="H13" s="319"/>
      <c r="I13" s="320"/>
      <c r="J13" s="310">
        <v>0</v>
      </c>
      <c r="K13" s="321">
        <v>0</v>
      </c>
      <c r="L13" s="321">
        <v>0</v>
      </c>
      <c r="M13" s="321">
        <v>0</v>
      </c>
      <c r="N13" s="321">
        <v>0</v>
      </c>
      <c r="O13" s="321">
        <v>0</v>
      </c>
      <c r="P13" s="321">
        <v>0</v>
      </c>
      <c r="Q13" s="321">
        <v>0</v>
      </c>
      <c r="R13" s="321">
        <v>0</v>
      </c>
      <c r="S13" s="321">
        <v>0</v>
      </c>
      <c r="T13" s="321">
        <v>0</v>
      </c>
      <c r="U13" s="322">
        <v>0</v>
      </c>
      <c r="V13" s="323">
        <v>0</v>
      </c>
      <c r="W13" s="303"/>
      <c r="X13" s="324">
        <v>0</v>
      </c>
      <c r="Y13" s="325">
        <v>0</v>
      </c>
    </row>
    <row r="14" spans="1:25" s="326" customFormat="1" hidden="1" outlineLevel="2" x14ac:dyDescent="0.3">
      <c r="E14" s="250" t="s">
        <v>915</v>
      </c>
      <c r="F14" s="317">
        <v>4100191</v>
      </c>
      <c r="G14" s="327"/>
      <c r="H14" s="328">
        <v>4100010107</v>
      </c>
      <c r="I14" s="329"/>
      <c r="J14" s="310">
        <v>0</v>
      </c>
      <c r="K14" s="330">
        <v>0</v>
      </c>
      <c r="L14" s="330">
        <v>0</v>
      </c>
      <c r="M14" s="330">
        <v>0</v>
      </c>
      <c r="N14" s="330">
        <v>0</v>
      </c>
      <c r="O14" s="330">
        <v>0</v>
      </c>
      <c r="P14" s="330">
        <v>0</v>
      </c>
      <c r="Q14" s="330">
        <v>0</v>
      </c>
      <c r="R14" s="330">
        <v>0</v>
      </c>
      <c r="S14" s="330">
        <v>0</v>
      </c>
      <c r="T14" s="330">
        <v>0</v>
      </c>
      <c r="U14" s="331">
        <v>0</v>
      </c>
      <c r="V14" s="332">
        <v>0</v>
      </c>
      <c r="W14" s="333"/>
      <c r="X14" s="334">
        <v>0</v>
      </c>
      <c r="Y14" s="335">
        <v>0</v>
      </c>
    </row>
    <row r="15" spans="1:25" s="326" customFormat="1" hidden="1" outlineLevel="2" x14ac:dyDescent="0.3">
      <c r="E15" s="326" t="s">
        <v>916</v>
      </c>
      <c r="F15" s="336"/>
      <c r="G15" s="327"/>
      <c r="H15" s="328"/>
      <c r="I15" s="329"/>
      <c r="J15" s="310">
        <v>0</v>
      </c>
      <c r="K15" s="330">
        <v>0</v>
      </c>
      <c r="L15" s="330">
        <v>0</v>
      </c>
      <c r="M15" s="330">
        <v>0</v>
      </c>
      <c r="N15" s="330">
        <v>0</v>
      </c>
      <c r="O15" s="330">
        <v>0</v>
      </c>
      <c r="P15" s="330">
        <v>0</v>
      </c>
      <c r="Q15" s="330">
        <v>0</v>
      </c>
      <c r="R15" s="330">
        <v>0</v>
      </c>
      <c r="S15" s="330">
        <v>0</v>
      </c>
      <c r="T15" s="330">
        <v>0</v>
      </c>
      <c r="U15" s="331">
        <v>0</v>
      </c>
      <c r="V15" s="332">
        <v>0</v>
      </c>
      <c r="W15" s="333"/>
      <c r="X15" s="334">
        <v>0</v>
      </c>
      <c r="Y15" s="335">
        <v>0</v>
      </c>
    </row>
    <row r="16" spans="1:25" s="326" customFormat="1" hidden="1" outlineLevel="2" x14ac:dyDescent="0.3">
      <c r="E16" s="326" t="s">
        <v>917</v>
      </c>
      <c r="F16" s="336"/>
      <c r="G16" s="327"/>
      <c r="H16" s="328"/>
      <c r="I16" s="329"/>
      <c r="J16" s="310">
        <v>0</v>
      </c>
      <c r="K16" s="330">
        <v>0</v>
      </c>
      <c r="L16" s="330">
        <v>0</v>
      </c>
      <c r="M16" s="330">
        <v>0</v>
      </c>
      <c r="N16" s="330">
        <v>0</v>
      </c>
      <c r="O16" s="330">
        <v>0</v>
      </c>
      <c r="P16" s="330">
        <v>0</v>
      </c>
      <c r="Q16" s="330">
        <v>0</v>
      </c>
      <c r="R16" s="330">
        <v>0</v>
      </c>
      <c r="S16" s="330">
        <v>0</v>
      </c>
      <c r="T16" s="330">
        <v>0</v>
      </c>
      <c r="U16" s="331">
        <v>0</v>
      </c>
      <c r="V16" s="332">
        <v>0</v>
      </c>
      <c r="W16" s="333"/>
      <c r="X16" s="334">
        <v>0</v>
      </c>
      <c r="Y16" s="335">
        <v>0</v>
      </c>
    </row>
    <row r="17" spans="1:25" s="326" customFormat="1" hidden="1" outlineLevel="2" x14ac:dyDescent="0.3">
      <c r="E17" s="326" t="s">
        <v>918</v>
      </c>
      <c r="F17" s="336"/>
      <c r="G17" s="327"/>
      <c r="H17" s="328"/>
      <c r="I17" s="329"/>
      <c r="J17" s="310">
        <v>0</v>
      </c>
      <c r="K17" s="330">
        <v>0</v>
      </c>
      <c r="L17" s="330">
        <v>0</v>
      </c>
      <c r="M17" s="330">
        <v>0</v>
      </c>
      <c r="N17" s="330">
        <v>0</v>
      </c>
      <c r="O17" s="330">
        <v>0</v>
      </c>
      <c r="P17" s="330">
        <v>0</v>
      </c>
      <c r="Q17" s="330">
        <v>0</v>
      </c>
      <c r="R17" s="330">
        <v>0</v>
      </c>
      <c r="S17" s="330">
        <v>0</v>
      </c>
      <c r="T17" s="330">
        <v>0</v>
      </c>
      <c r="U17" s="331">
        <v>0</v>
      </c>
      <c r="V17" s="332">
        <v>0</v>
      </c>
      <c r="W17" s="333"/>
      <c r="X17" s="334">
        <v>0</v>
      </c>
      <c r="Y17" s="335">
        <v>0</v>
      </c>
    </row>
    <row r="18" spans="1:25" collapsed="1" x14ac:dyDescent="0.3">
      <c r="A18" s="233"/>
      <c r="B18" s="234" t="s">
        <v>1</v>
      </c>
      <c r="D18" s="293" t="s">
        <v>919</v>
      </c>
      <c r="E18" s="294"/>
      <c r="F18" s="295" t="s">
        <v>920</v>
      </c>
      <c r="G18" s="296"/>
      <c r="H18" s="297"/>
      <c r="I18" s="298"/>
      <c r="J18" s="299">
        <v>0</v>
      </c>
      <c r="K18" s="300">
        <v>0</v>
      </c>
      <c r="L18" s="300">
        <v>0</v>
      </c>
      <c r="M18" s="300">
        <v>0</v>
      </c>
      <c r="N18" s="300">
        <v>0</v>
      </c>
      <c r="O18" s="300">
        <v>0</v>
      </c>
      <c r="P18" s="300">
        <v>0</v>
      </c>
      <c r="Q18" s="300">
        <v>0</v>
      </c>
      <c r="R18" s="300">
        <v>0</v>
      </c>
      <c r="S18" s="300">
        <v>0</v>
      </c>
      <c r="T18" s="300">
        <v>0</v>
      </c>
      <c r="U18" s="301">
        <v>0</v>
      </c>
      <c r="V18" s="302">
        <v>0</v>
      </c>
      <c r="W18" s="303"/>
      <c r="X18" s="304">
        <v>0</v>
      </c>
      <c r="Y18" s="305">
        <v>0</v>
      </c>
    </row>
    <row r="19" spans="1:25" hidden="1" outlineLevel="1" x14ac:dyDescent="0.3">
      <c r="E19" s="250" t="s">
        <v>921</v>
      </c>
      <c r="F19" s="317">
        <v>4100200</v>
      </c>
      <c r="G19" s="318"/>
      <c r="H19" s="319">
        <v>4100010109</v>
      </c>
      <c r="I19" s="320"/>
      <c r="J19" s="337">
        <v>0</v>
      </c>
      <c r="K19" s="321">
        <v>0</v>
      </c>
      <c r="L19" s="321">
        <v>0</v>
      </c>
      <c r="M19" s="321">
        <v>0</v>
      </c>
      <c r="N19" s="321">
        <v>0</v>
      </c>
      <c r="O19" s="321">
        <v>0</v>
      </c>
      <c r="P19" s="321">
        <v>0</v>
      </c>
      <c r="Q19" s="321">
        <v>0</v>
      </c>
      <c r="R19" s="321">
        <v>0</v>
      </c>
      <c r="S19" s="321">
        <v>0</v>
      </c>
      <c r="T19" s="321">
        <v>0</v>
      </c>
      <c r="U19" s="322">
        <v>0</v>
      </c>
      <c r="V19" s="323">
        <v>0</v>
      </c>
      <c r="W19" s="303"/>
      <c r="X19" s="324">
        <v>0</v>
      </c>
      <c r="Y19" s="325">
        <v>0</v>
      </c>
    </row>
    <row r="20" spans="1:25" s="326" customFormat="1" hidden="1" outlineLevel="2" x14ac:dyDescent="0.3">
      <c r="E20" s="326" t="s">
        <v>922</v>
      </c>
      <c r="F20" s="336"/>
      <c r="G20" s="327"/>
      <c r="H20" s="328"/>
      <c r="I20" s="329"/>
      <c r="J20" s="338">
        <v>0</v>
      </c>
      <c r="K20" s="330">
        <v>0</v>
      </c>
      <c r="L20" s="330">
        <v>0</v>
      </c>
      <c r="M20" s="330">
        <v>0</v>
      </c>
      <c r="N20" s="330">
        <v>0</v>
      </c>
      <c r="O20" s="330">
        <v>0</v>
      </c>
      <c r="P20" s="330">
        <v>0</v>
      </c>
      <c r="Q20" s="330">
        <v>0</v>
      </c>
      <c r="R20" s="330">
        <v>0</v>
      </c>
      <c r="S20" s="330">
        <v>0</v>
      </c>
      <c r="T20" s="330">
        <v>0</v>
      </c>
      <c r="U20" s="331">
        <v>0</v>
      </c>
      <c r="V20" s="332">
        <v>0</v>
      </c>
      <c r="W20" s="333"/>
      <c r="X20" s="334">
        <v>0</v>
      </c>
      <c r="Y20" s="335">
        <v>0</v>
      </c>
    </row>
    <row r="21" spans="1:25" s="326" customFormat="1" hidden="1" outlineLevel="2" x14ac:dyDescent="0.3">
      <c r="E21" s="326" t="s">
        <v>923</v>
      </c>
      <c r="F21" s="336"/>
      <c r="G21" s="327"/>
      <c r="H21" s="328"/>
      <c r="I21" s="329"/>
      <c r="J21" s="338">
        <v>0</v>
      </c>
      <c r="K21" s="330">
        <v>0</v>
      </c>
      <c r="L21" s="330">
        <v>0</v>
      </c>
      <c r="M21" s="330">
        <v>0</v>
      </c>
      <c r="N21" s="330">
        <v>0</v>
      </c>
      <c r="O21" s="330">
        <v>0</v>
      </c>
      <c r="P21" s="330">
        <v>0</v>
      </c>
      <c r="Q21" s="330">
        <v>0</v>
      </c>
      <c r="R21" s="330">
        <v>0</v>
      </c>
      <c r="S21" s="330">
        <v>0</v>
      </c>
      <c r="T21" s="330">
        <v>0</v>
      </c>
      <c r="U21" s="331">
        <v>0</v>
      </c>
      <c r="V21" s="332">
        <v>0</v>
      </c>
      <c r="W21" s="333"/>
      <c r="X21" s="334">
        <v>0</v>
      </c>
      <c r="Y21" s="335">
        <v>0</v>
      </c>
    </row>
    <row r="22" spans="1:25" s="326" customFormat="1" hidden="1" outlineLevel="2" x14ac:dyDescent="0.3">
      <c r="E22" s="326" t="s">
        <v>924</v>
      </c>
      <c r="F22" s="336"/>
      <c r="G22" s="327"/>
      <c r="H22" s="328"/>
      <c r="I22" s="329"/>
      <c r="J22" s="338">
        <v>0</v>
      </c>
      <c r="K22" s="330">
        <v>0</v>
      </c>
      <c r="L22" s="330">
        <v>0</v>
      </c>
      <c r="M22" s="330">
        <v>0</v>
      </c>
      <c r="N22" s="330">
        <v>0</v>
      </c>
      <c r="O22" s="330">
        <v>0</v>
      </c>
      <c r="P22" s="330">
        <v>0</v>
      </c>
      <c r="Q22" s="330">
        <v>0</v>
      </c>
      <c r="R22" s="330">
        <v>0</v>
      </c>
      <c r="S22" s="330">
        <v>0</v>
      </c>
      <c r="T22" s="330">
        <v>0</v>
      </c>
      <c r="U22" s="331">
        <v>0</v>
      </c>
      <c r="V22" s="332">
        <v>0</v>
      </c>
      <c r="W22" s="333"/>
      <c r="X22" s="334">
        <v>0</v>
      </c>
      <c r="Y22" s="335">
        <v>0</v>
      </c>
    </row>
    <row r="23" spans="1:25" collapsed="1" x14ac:dyDescent="0.3">
      <c r="A23" s="233"/>
      <c r="B23" s="234" t="s">
        <v>59</v>
      </c>
      <c r="D23" s="293" t="s">
        <v>925</v>
      </c>
      <c r="E23" s="294"/>
      <c r="F23" s="295" t="s">
        <v>926</v>
      </c>
      <c r="G23" s="296"/>
      <c r="H23" s="297"/>
      <c r="I23" s="298"/>
      <c r="J23" s="299">
        <v>-319120.46500000003</v>
      </c>
      <c r="K23" s="300">
        <v>-267988.21000000002</v>
      </c>
      <c r="L23" s="300">
        <v>-319516.82699999999</v>
      </c>
      <c r="M23" s="300">
        <v>-332294.58400000003</v>
      </c>
      <c r="N23" s="300">
        <v>-278238.94199999998</v>
      </c>
      <c r="O23" s="300">
        <v>-129017.97599999998</v>
      </c>
      <c r="P23" s="300">
        <v>-265239.73499999999</v>
      </c>
      <c r="Q23" s="300">
        <v>-155531.462</v>
      </c>
      <c r="R23" s="300">
        <v>-473558.02600000007</v>
      </c>
      <c r="S23" s="300">
        <v>-280561.79700000002</v>
      </c>
      <c r="T23" s="300">
        <v>-191195.84999999998</v>
      </c>
      <c r="U23" s="301">
        <v>-1085899.152</v>
      </c>
      <c r="V23" s="302">
        <v>-4098163.0260000001</v>
      </c>
      <c r="W23" s="303"/>
      <c r="X23" s="304">
        <v>-1085899.152</v>
      </c>
      <c r="Y23" s="305">
        <v>-4098163.0260000001</v>
      </c>
    </row>
    <row r="24" spans="1:25" x14ac:dyDescent="0.3">
      <c r="E24" s="339" t="s">
        <v>927</v>
      </c>
      <c r="F24" s="340" t="s">
        <v>928</v>
      </c>
      <c r="G24" s="341"/>
      <c r="H24" s="342"/>
      <c r="I24" s="343"/>
      <c r="J24" s="344">
        <v>-121780.054</v>
      </c>
      <c r="K24" s="345">
        <v>-36074.924000000006</v>
      </c>
      <c r="L24" s="345">
        <v>-61714.060000000005</v>
      </c>
      <c r="M24" s="345">
        <v>-105203.586</v>
      </c>
      <c r="N24" s="345">
        <v>-54477.485000000001</v>
      </c>
      <c r="O24" s="345">
        <v>-36783.686000000002</v>
      </c>
      <c r="P24" s="345">
        <v>-36696.078999999998</v>
      </c>
      <c r="Q24" s="345">
        <v>56387.544000000002</v>
      </c>
      <c r="R24" s="345">
        <v>-143839.22900000002</v>
      </c>
      <c r="S24" s="345">
        <v>-29058.720999999998</v>
      </c>
      <c r="T24" s="345">
        <v>26915.485000000001</v>
      </c>
      <c r="U24" s="346">
        <v>-96231.554999999993</v>
      </c>
      <c r="V24" s="347">
        <v>-638556.35</v>
      </c>
      <c r="W24" s="303"/>
      <c r="X24" s="348">
        <v>-96231.554999999993</v>
      </c>
      <c r="Y24" s="349">
        <v>-638556.35</v>
      </c>
    </row>
    <row r="25" spans="1:25" hidden="1" outlineLevel="1" x14ac:dyDescent="0.3">
      <c r="E25" s="250" t="s">
        <v>929</v>
      </c>
      <c r="F25" s="317">
        <v>4100408</v>
      </c>
      <c r="G25" s="318"/>
      <c r="H25" s="319"/>
      <c r="I25" s="320"/>
      <c r="J25" s="337">
        <v>-121780.054</v>
      </c>
      <c r="K25" s="321">
        <v>-35019.122000000003</v>
      </c>
      <c r="L25" s="321">
        <v>8686.4950000000008</v>
      </c>
      <c r="M25" s="321">
        <v>-79338.153999999995</v>
      </c>
      <c r="N25" s="321">
        <v>-37417.008000000002</v>
      </c>
      <c r="O25" s="321">
        <v>-29525.106</v>
      </c>
      <c r="P25" s="321">
        <v>-30877.075000000001</v>
      </c>
      <c r="Q25" s="321">
        <v>-13261.924999999999</v>
      </c>
      <c r="R25" s="321">
        <v>-160567.71100000001</v>
      </c>
      <c r="S25" s="321">
        <v>4730.8689999999997</v>
      </c>
      <c r="T25" s="321">
        <v>33797.603000000003</v>
      </c>
      <c r="U25" s="322">
        <v>-90770.611999999994</v>
      </c>
      <c r="V25" s="323">
        <v>-551341.80000000005</v>
      </c>
      <c r="W25" s="303"/>
      <c r="X25" s="324">
        <v>-90770.611999999994</v>
      </c>
      <c r="Y25" s="325">
        <v>-551341.80000000005</v>
      </c>
    </row>
    <row r="26" spans="1:25" hidden="1" outlineLevel="1" x14ac:dyDescent="0.3">
      <c r="E26" s="250" t="s">
        <v>930</v>
      </c>
      <c r="F26" s="317">
        <v>4303206</v>
      </c>
      <c r="G26" s="318"/>
      <c r="H26" s="319"/>
      <c r="I26" s="320"/>
      <c r="J26" s="337">
        <v>0</v>
      </c>
      <c r="K26" s="321">
        <v>0</v>
      </c>
      <c r="L26" s="321">
        <v>0</v>
      </c>
      <c r="M26" s="321">
        <v>0</v>
      </c>
      <c r="N26" s="321">
        <v>0</v>
      </c>
      <c r="O26" s="321">
        <v>0</v>
      </c>
      <c r="P26" s="321">
        <v>0</v>
      </c>
      <c r="Q26" s="321">
        <v>0</v>
      </c>
      <c r="R26" s="321">
        <v>0</v>
      </c>
      <c r="S26" s="321">
        <v>0</v>
      </c>
      <c r="T26" s="321">
        <v>0</v>
      </c>
      <c r="U26" s="322">
        <v>0</v>
      </c>
      <c r="V26" s="323">
        <v>0</v>
      </c>
      <c r="W26" s="303"/>
      <c r="X26" s="324">
        <v>0</v>
      </c>
      <c r="Y26" s="325">
        <v>0</v>
      </c>
    </row>
    <row r="27" spans="1:25" hidden="1" outlineLevel="1" x14ac:dyDescent="0.3">
      <c r="E27" s="250" t="s">
        <v>931</v>
      </c>
      <c r="F27" s="317">
        <v>4303207</v>
      </c>
      <c r="G27" s="318"/>
      <c r="H27" s="319"/>
      <c r="I27" s="320"/>
      <c r="J27" s="337">
        <v>0</v>
      </c>
      <c r="K27" s="321">
        <v>0</v>
      </c>
      <c r="L27" s="321">
        <v>18910.831999999999</v>
      </c>
      <c r="M27" s="321">
        <v>0</v>
      </c>
      <c r="N27" s="321">
        <v>0</v>
      </c>
      <c r="O27" s="321">
        <v>0</v>
      </c>
      <c r="P27" s="321">
        <v>0</v>
      </c>
      <c r="Q27" s="321">
        <v>0</v>
      </c>
      <c r="R27" s="321">
        <v>0</v>
      </c>
      <c r="S27" s="321">
        <v>0</v>
      </c>
      <c r="T27" s="321">
        <v>0</v>
      </c>
      <c r="U27" s="322">
        <v>0</v>
      </c>
      <c r="V27" s="323">
        <v>18910.831999999999</v>
      </c>
      <c r="W27" s="303"/>
      <c r="X27" s="324">
        <v>0</v>
      </c>
      <c r="Y27" s="325">
        <v>18910.831999999999</v>
      </c>
    </row>
    <row r="28" spans="1:25" hidden="1" outlineLevel="1" x14ac:dyDescent="0.3">
      <c r="E28" s="250" t="s">
        <v>932</v>
      </c>
      <c r="F28" s="317">
        <v>4100182</v>
      </c>
      <c r="G28" s="318"/>
      <c r="H28" s="319">
        <v>4100010111</v>
      </c>
      <c r="I28" s="320"/>
      <c r="J28" s="337">
        <v>0</v>
      </c>
      <c r="K28" s="321">
        <v>0</v>
      </c>
      <c r="L28" s="321">
        <v>0</v>
      </c>
      <c r="M28" s="321">
        <v>0</v>
      </c>
      <c r="N28" s="321">
        <v>0</v>
      </c>
      <c r="O28" s="321">
        <v>0</v>
      </c>
      <c r="P28" s="321">
        <v>0</v>
      </c>
      <c r="Q28" s="321">
        <v>0</v>
      </c>
      <c r="R28" s="321">
        <v>0</v>
      </c>
      <c r="S28" s="321">
        <v>0</v>
      </c>
      <c r="T28" s="321">
        <v>0</v>
      </c>
      <c r="U28" s="322">
        <v>0</v>
      </c>
      <c r="V28" s="323">
        <v>0</v>
      </c>
      <c r="W28" s="303"/>
      <c r="X28" s="324">
        <v>0</v>
      </c>
      <c r="Y28" s="325">
        <v>0</v>
      </c>
    </row>
    <row r="29" spans="1:25" s="350" customFormat="1" hidden="1" outlineLevel="2" x14ac:dyDescent="0.3">
      <c r="E29" s="350" t="s">
        <v>933</v>
      </c>
      <c r="F29" s="306">
        <v>4303301</v>
      </c>
      <c r="G29" s="307"/>
      <c r="H29" s="308"/>
      <c r="I29" s="309"/>
      <c r="J29" s="310">
        <v>0</v>
      </c>
      <c r="K29" s="311">
        <v>-992.44500000000005</v>
      </c>
      <c r="L29" s="311">
        <v>-88894.414000000004</v>
      </c>
      <c r="M29" s="311">
        <v>-25608.927</v>
      </c>
      <c r="N29" s="311">
        <v>-16849.128000000001</v>
      </c>
      <c r="O29" s="311">
        <v>-7090.9740000000002</v>
      </c>
      <c r="P29" s="311">
        <v>-5628.0780000000004</v>
      </c>
      <c r="Q29" s="311">
        <v>69783.732000000004</v>
      </c>
      <c r="R29" s="311">
        <v>16863.174999999999</v>
      </c>
      <c r="S29" s="311">
        <v>-33651.148999999998</v>
      </c>
      <c r="T29" s="311">
        <v>-6731.6660000000002</v>
      </c>
      <c r="U29" s="312">
        <v>-5319.0259999999998</v>
      </c>
      <c r="V29" s="313">
        <v>-104118.90000000001</v>
      </c>
      <c r="W29" s="314"/>
      <c r="X29" s="315">
        <v>-5319.0259999999998</v>
      </c>
      <c r="Y29" s="316">
        <v>-104118.90000000001</v>
      </c>
    </row>
    <row r="30" spans="1:25" s="350" customFormat="1" hidden="1" outlineLevel="2" x14ac:dyDescent="0.3">
      <c r="E30" s="350" t="s">
        <v>934</v>
      </c>
      <c r="F30" s="306">
        <v>4303302</v>
      </c>
      <c r="G30" s="307">
        <v>4303303</v>
      </c>
      <c r="H30" s="308"/>
      <c r="I30" s="309"/>
      <c r="J30" s="310">
        <v>0</v>
      </c>
      <c r="K30" s="311">
        <v>-63.356999999999999</v>
      </c>
      <c r="L30" s="311">
        <v>-416.97300000000001</v>
      </c>
      <c r="M30" s="311">
        <v>-256.505</v>
      </c>
      <c r="N30" s="311">
        <v>-211.34899999999999</v>
      </c>
      <c r="O30" s="311">
        <v>-167.60599999999999</v>
      </c>
      <c r="P30" s="311">
        <v>-190.92599999999999</v>
      </c>
      <c r="Q30" s="311">
        <v>-134.26300000000001</v>
      </c>
      <c r="R30" s="311">
        <v>-134.69300000000001</v>
      </c>
      <c r="S30" s="311">
        <v>-138.441</v>
      </c>
      <c r="T30" s="311">
        <v>-150.452</v>
      </c>
      <c r="U30" s="312">
        <v>-141.917</v>
      </c>
      <c r="V30" s="313">
        <v>-2006.4819999999997</v>
      </c>
      <c r="W30" s="314"/>
      <c r="X30" s="315">
        <v>-141.917</v>
      </c>
      <c r="Y30" s="316">
        <v>-2006.4819999999997</v>
      </c>
    </row>
    <row r="31" spans="1:25" s="326" customFormat="1" hidden="1" outlineLevel="2" x14ac:dyDescent="0.3">
      <c r="E31" s="326" t="s">
        <v>935</v>
      </c>
      <c r="F31" s="336"/>
      <c r="G31" s="327"/>
      <c r="H31" s="328"/>
      <c r="I31" s="329"/>
      <c r="J31" s="337">
        <v>0</v>
      </c>
      <c r="K31" s="330">
        <v>0</v>
      </c>
      <c r="L31" s="330">
        <v>0</v>
      </c>
      <c r="M31" s="330">
        <v>0</v>
      </c>
      <c r="N31" s="330">
        <v>0</v>
      </c>
      <c r="O31" s="330">
        <v>0</v>
      </c>
      <c r="P31" s="330">
        <v>0</v>
      </c>
      <c r="Q31" s="330">
        <v>0</v>
      </c>
      <c r="R31" s="330">
        <v>0</v>
      </c>
      <c r="S31" s="330">
        <v>0</v>
      </c>
      <c r="T31" s="330">
        <v>0</v>
      </c>
      <c r="U31" s="331">
        <v>0</v>
      </c>
      <c r="V31" s="332">
        <v>0</v>
      </c>
      <c r="W31" s="333"/>
      <c r="X31" s="334">
        <v>0</v>
      </c>
      <c r="Y31" s="335">
        <v>0</v>
      </c>
    </row>
    <row r="32" spans="1:25" collapsed="1" x14ac:dyDescent="0.3">
      <c r="E32" s="339" t="s">
        <v>936</v>
      </c>
      <c r="F32" s="340" t="s">
        <v>937</v>
      </c>
      <c r="G32" s="341"/>
      <c r="H32" s="342"/>
      <c r="I32" s="343"/>
      <c r="J32" s="344">
        <v>0</v>
      </c>
      <c r="K32" s="345">
        <v>0</v>
      </c>
      <c r="L32" s="345">
        <v>0</v>
      </c>
      <c r="M32" s="345">
        <v>0</v>
      </c>
      <c r="N32" s="345">
        <v>0</v>
      </c>
      <c r="O32" s="345">
        <v>0</v>
      </c>
      <c r="P32" s="345">
        <v>0</v>
      </c>
      <c r="Q32" s="345">
        <v>0</v>
      </c>
      <c r="R32" s="345">
        <v>0</v>
      </c>
      <c r="S32" s="345">
        <v>0</v>
      </c>
      <c r="T32" s="345">
        <v>0</v>
      </c>
      <c r="U32" s="346">
        <v>0</v>
      </c>
      <c r="V32" s="347">
        <v>0</v>
      </c>
      <c r="W32" s="303"/>
      <c r="X32" s="348">
        <v>0</v>
      </c>
      <c r="Y32" s="349">
        <v>0</v>
      </c>
    </row>
    <row r="33" spans="5:25" s="350" customFormat="1" hidden="1" outlineLevel="1" x14ac:dyDescent="0.3">
      <c r="E33" s="350" t="s">
        <v>938</v>
      </c>
      <c r="F33" s="306">
        <v>4303211</v>
      </c>
      <c r="G33" s="307"/>
      <c r="H33" s="308"/>
      <c r="I33" s="309"/>
      <c r="J33" s="310">
        <v>0</v>
      </c>
      <c r="K33" s="311">
        <v>0</v>
      </c>
      <c r="L33" s="311">
        <v>0</v>
      </c>
      <c r="M33" s="311">
        <v>0</v>
      </c>
      <c r="N33" s="311">
        <v>0</v>
      </c>
      <c r="O33" s="311">
        <v>0</v>
      </c>
      <c r="P33" s="311">
        <v>0</v>
      </c>
      <c r="Q33" s="311">
        <v>0</v>
      </c>
      <c r="R33" s="311">
        <v>0</v>
      </c>
      <c r="S33" s="311">
        <v>0</v>
      </c>
      <c r="T33" s="311">
        <v>0</v>
      </c>
      <c r="U33" s="312">
        <v>0</v>
      </c>
      <c r="V33" s="313">
        <v>0</v>
      </c>
      <c r="W33" s="314"/>
      <c r="X33" s="315">
        <v>0</v>
      </c>
      <c r="Y33" s="316">
        <v>0</v>
      </c>
    </row>
    <row r="34" spans="5:25" hidden="1" outlineLevel="1" x14ac:dyDescent="0.3">
      <c r="E34" s="350" t="s">
        <v>939</v>
      </c>
      <c r="F34" s="317">
        <v>4303212</v>
      </c>
      <c r="G34" s="318"/>
      <c r="H34" s="319"/>
      <c r="I34" s="320"/>
      <c r="J34" s="310">
        <v>0</v>
      </c>
      <c r="K34" s="321">
        <v>0</v>
      </c>
      <c r="L34" s="321">
        <v>0</v>
      </c>
      <c r="M34" s="321">
        <v>0</v>
      </c>
      <c r="N34" s="321">
        <v>0</v>
      </c>
      <c r="O34" s="321">
        <v>0</v>
      </c>
      <c r="P34" s="321">
        <v>0</v>
      </c>
      <c r="Q34" s="321">
        <v>0</v>
      </c>
      <c r="R34" s="321">
        <v>0</v>
      </c>
      <c r="S34" s="321">
        <v>0</v>
      </c>
      <c r="T34" s="321">
        <v>0</v>
      </c>
      <c r="U34" s="322">
        <v>0</v>
      </c>
      <c r="V34" s="323">
        <v>0</v>
      </c>
      <c r="W34" s="303"/>
      <c r="X34" s="324">
        <v>0</v>
      </c>
      <c r="Y34" s="325">
        <v>0</v>
      </c>
    </row>
    <row r="35" spans="5:25" hidden="1" outlineLevel="1" x14ac:dyDescent="0.3">
      <c r="E35" s="350" t="s">
        <v>940</v>
      </c>
      <c r="F35" s="317">
        <v>4303219</v>
      </c>
      <c r="G35" s="318"/>
      <c r="H35" s="319"/>
      <c r="I35" s="320"/>
      <c r="J35" s="310">
        <v>0</v>
      </c>
      <c r="K35" s="321">
        <v>0</v>
      </c>
      <c r="L35" s="321">
        <v>0</v>
      </c>
      <c r="M35" s="321">
        <v>0</v>
      </c>
      <c r="N35" s="321">
        <v>0</v>
      </c>
      <c r="O35" s="321">
        <v>0</v>
      </c>
      <c r="P35" s="321">
        <v>0</v>
      </c>
      <c r="Q35" s="321">
        <v>0</v>
      </c>
      <c r="R35" s="321">
        <v>0</v>
      </c>
      <c r="S35" s="321">
        <v>0</v>
      </c>
      <c r="T35" s="321">
        <v>0</v>
      </c>
      <c r="U35" s="322">
        <v>0</v>
      </c>
      <c r="V35" s="323">
        <v>0</v>
      </c>
      <c r="W35" s="303"/>
      <c r="X35" s="324">
        <v>0</v>
      </c>
      <c r="Y35" s="325">
        <v>0</v>
      </c>
    </row>
    <row r="36" spans="5:25" s="361" customFormat="1" hidden="1" outlineLevel="2" x14ac:dyDescent="0.3">
      <c r="E36" s="326" t="s">
        <v>941</v>
      </c>
      <c r="F36" s="351"/>
      <c r="G36" s="352"/>
      <c r="H36" s="353"/>
      <c r="I36" s="354"/>
      <c r="J36" s="310">
        <v>0</v>
      </c>
      <c r="K36" s="355">
        <v>0</v>
      </c>
      <c r="L36" s="355">
        <v>0</v>
      </c>
      <c r="M36" s="355">
        <v>0</v>
      </c>
      <c r="N36" s="355">
        <v>0</v>
      </c>
      <c r="O36" s="355">
        <v>0</v>
      </c>
      <c r="P36" s="355">
        <v>0</v>
      </c>
      <c r="Q36" s="355">
        <v>0</v>
      </c>
      <c r="R36" s="355">
        <v>0</v>
      </c>
      <c r="S36" s="355">
        <v>0</v>
      </c>
      <c r="T36" s="355">
        <v>0</v>
      </c>
      <c r="U36" s="356">
        <v>0</v>
      </c>
      <c r="V36" s="357">
        <v>0</v>
      </c>
      <c r="W36" s="358"/>
      <c r="X36" s="359">
        <v>0</v>
      </c>
      <c r="Y36" s="360">
        <v>0</v>
      </c>
    </row>
    <row r="37" spans="5:25" s="361" customFormat="1" hidden="1" outlineLevel="2" x14ac:dyDescent="0.3">
      <c r="E37" s="326" t="s">
        <v>942</v>
      </c>
      <c r="F37" s="351"/>
      <c r="G37" s="352"/>
      <c r="H37" s="353"/>
      <c r="I37" s="354"/>
      <c r="J37" s="310">
        <v>0</v>
      </c>
      <c r="K37" s="355">
        <v>0</v>
      </c>
      <c r="L37" s="355">
        <v>0</v>
      </c>
      <c r="M37" s="355">
        <v>0</v>
      </c>
      <c r="N37" s="355">
        <v>0</v>
      </c>
      <c r="O37" s="355">
        <v>0</v>
      </c>
      <c r="P37" s="355">
        <v>0</v>
      </c>
      <c r="Q37" s="355">
        <v>0</v>
      </c>
      <c r="R37" s="355">
        <v>0</v>
      </c>
      <c r="S37" s="355">
        <v>0</v>
      </c>
      <c r="T37" s="355">
        <v>0</v>
      </c>
      <c r="U37" s="356">
        <v>0</v>
      </c>
      <c r="V37" s="357">
        <v>0</v>
      </c>
      <c r="W37" s="358"/>
      <c r="X37" s="359">
        <v>0</v>
      </c>
      <c r="Y37" s="360">
        <v>0</v>
      </c>
    </row>
    <row r="38" spans="5:25" s="361" customFormat="1" hidden="1" outlineLevel="2" x14ac:dyDescent="0.3">
      <c r="E38" s="326" t="s">
        <v>943</v>
      </c>
      <c r="F38" s="351"/>
      <c r="G38" s="352"/>
      <c r="H38" s="353"/>
      <c r="I38" s="354"/>
      <c r="J38" s="310">
        <v>0</v>
      </c>
      <c r="K38" s="355">
        <v>0</v>
      </c>
      <c r="L38" s="355">
        <v>0</v>
      </c>
      <c r="M38" s="355">
        <v>0</v>
      </c>
      <c r="N38" s="355">
        <v>0</v>
      </c>
      <c r="O38" s="355">
        <v>0</v>
      </c>
      <c r="P38" s="355">
        <v>0</v>
      </c>
      <c r="Q38" s="355">
        <v>0</v>
      </c>
      <c r="R38" s="355">
        <v>0</v>
      </c>
      <c r="S38" s="355">
        <v>0</v>
      </c>
      <c r="T38" s="355">
        <v>0</v>
      </c>
      <c r="U38" s="356">
        <v>0</v>
      </c>
      <c r="V38" s="357">
        <v>0</v>
      </c>
      <c r="W38" s="358"/>
      <c r="X38" s="359">
        <v>0</v>
      </c>
      <c r="Y38" s="360">
        <v>0</v>
      </c>
    </row>
    <row r="39" spans="5:25" collapsed="1" x14ac:dyDescent="0.3">
      <c r="E39" s="339" t="s">
        <v>944</v>
      </c>
      <c r="F39" s="340" t="s">
        <v>945</v>
      </c>
      <c r="G39" s="341"/>
      <c r="H39" s="342"/>
      <c r="I39" s="343"/>
      <c r="J39" s="344">
        <v>-197340.41100000002</v>
      </c>
      <c r="K39" s="345">
        <v>-231913.28599999999</v>
      </c>
      <c r="L39" s="345">
        <v>-257802.76699999999</v>
      </c>
      <c r="M39" s="345">
        <v>-227090.99800000002</v>
      </c>
      <c r="N39" s="345">
        <v>-223761.45699999999</v>
      </c>
      <c r="O39" s="345">
        <v>-92234.289999999979</v>
      </c>
      <c r="P39" s="345">
        <v>-228543.65599999999</v>
      </c>
      <c r="Q39" s="345">
        <v>-211919.00599999999</v>
      </c>
      <c r="R39" s="345">
        <v>-329718.79700000002</v>
      </c>
      <c r="S39" s="345">
        <v>-251503.076</v>
      </c>
      <c r="T39" s="345">
        <v>-218111.33499999999</v>
      </c>
      <c r="U39" s="346">
        <v>-989667.59700000007</v>
      </c>
      <c r="V39" s="347">
        <v>-3459606.676</v>
      </c>
      <c r="W39" s="303"/>
      <c r="X39" s="348">
        <v>-989667.59700000007</v>
      </c>
      <c r="Y39" s="349">
        <v>-3459606.676</v>
      </c>
    </row>
    <row r="40" spans="5:25" hidden="1" outlineLevel="1" x14ac:dyDescent="0.3">
      <c r="E40" s="250" t="s">
        <v>946</v>
      </c>
      <c r="F40" s="317">
        <v>4100400</v>
      </c>
      <c r="G40" s="318"/>
      <c r="H40" s="319">
        <v>4100010115</v>
      </c>
      <c r="I40" s="320"/>
      <c r="J40" s="337">
        <v>0</v>
      </c>
      <c r="K40" s="321">
        <v>0</v>
      </c>
      <c r="L40" s="321">
        <v>0</v>
      </c>
      <c r="M40" s="321">
        <v>0</v>
      </c>
      <c r="N40" s="321">
        <v>0</v>
      </c>
      <c r="O40" s="321">
        <v>0</v>
      </c>
      <c r="P40" s="321">
        <v>0</v>
      </c>
      <c r="Q40" s="321">
        <v>0</v>
      </c>
      <c r="R40" s="321">
        <v>0</v>
      </c>
      <c r="S40" s="321">
        <v>0</v>
      </c>
      <c r="T40" s="321">
        <v>0</v>
      </c>
      <c r="U40" s="322">
        <v>0</v>
      </c>
      <c r="V40" s="323">
        <v>0</v>
      </c>
      <c r="W40" s="303"/>
      <c r="X40" s="324">
        <v>0</v>
      </c>
      <c r="Y40" s="325">
        <v>0</v>
      </c>
    </row>
    <row r="41" spans="5:25" hidden="1" outlineLevel="1" x14ac:dyDescent="0.3">
      <c r="E41" s="250" t="s">
        <v>947</v>
      </c>
      <c r="F41" s="317">
        <v>4100401</v>
      </c>
      <c r="G41" s="318"/>
      <c r="H41" s="319"/>
      <c r="I41" s="320"/>
      <c r="J41" s="337">
        <v>0</v>
      </c>
      <c r="K41" s="321">
        <v>0</v>
      </c>
      <c r="L41" s="321">
        <v>0</v>
      </c>
      <c r="M41" s="321">
        <v>0</v>
      </c>
      <c r="N41" s="321">
        <v>0</v>
      </c>
      <c r="O41" s="321">
        <v>0</v>
      </c>
      <c r="P41" s="321">
        <v>0</v>
      </c>
      <c r="Q41" s="321">
        <v>0</v>
      </c>
      <c r="R41" s="321">
        <v>0</v>
      </c>
      <c r="S41" s="321">
        <v>0</v>
      </c>
      <c r="T41" s="321">
        <v>0</v>
      </c>
      <c r="U41" s="322">
        <v>0</v>
      </c>
      <c r="V41" s="323">
        <v>0</v>
      </c>
      <c r="W41" s="303"/>
      <c r="X41" s="324">
        <v>0</v>
      </c>
      <c r="Y41" s="325">
        <v>0</v>
      </c>
    </row>
    <row r="42" spans="5:25" hidden="1" outlineLevel="1" x14ac:dyDescent="0.3">
      <c r="E42" s="250" t="s">
        <v>948</v>
      </c>
      <c r="F42" s="317">
        <v>4100402</v>
      </c>
      <c r="G42" s="318"/>
      <c r="H42" s="319"/>
      <c r="I42" s="320"/>
      <c r="J42" s="337">
        <v>0</v>
      </c>
      <c r="K42" s="321">
        <v>0</v>
      </c>
      <c r="L42" s="321">
        <v>-162463.75200000001</v>
      </c>
      <c r="M42" s="321">
        <v>0</v>
      </c>
      <c r="N42" s="321">
        <v>0</v>
      </c>
      <c r="O42" s="321">
        <v>125717.49</v>
      </c>
      <c r="P42" s="321">
        <v>0</v>
      </c>
      <c r="Q42" s="321">
        <v>0</v>
      </c>
      <c r="R42" s="321">
        <v>-80658.808999999994</v>
      </c>
      <c r="S42" s="321">
        <v>0</v>
      </c>
      <c r="T42" s="321">
        <v>0</v>
      </c>
      <c r="U42" s="322">
        <v>-40519.237999999998</v>
      </c>
      <c r="V42" s="323">
        <v>-157924.30900000001</v>
      </c>
      <c r="W42" s="303"/>
      <c r="X42" s="324">
        <v>-40519.237999999998</v>
      </c>
      <c r="Y42" s="325">
        <v>-157924.30900000001</v>
      </c>
    </row>
    <row r="43" spans="5:25" hidden="1" outlineLevel="1" x14ac:dyDescent="0.3">
      <c r="E43" s="250" t="s">
        <v>949</v>
      </c>
      <c r="F43" s="317">
        <v>4100404</v>
      </c>
      <c r="G43" s="318"/>
      <c r="H43" s="319"/>
      <c r="I43" s="320"/>
      <c r="J43" s="337">
        <v>0</v>
      </c>
      <c r="K43" s="321">
        <v>0</v>
      </c>
      <c r="L43" s="321">
        <v>0</v>
      </c>
      <c r="M43" s="321">
        <v>0</v>
      </c>
      <c r="N43" s="321">
        <v>0</v>
      </c>
      <c r="O43" s="321">
        <v>0</v>
      </c>
      <c r="P43" s="321">
        <v>0</v>
      </c>
      <c r="Q43" s="321">
        <v>0</v>
      </c>
      <c r="R43" s="321">
        <v>0</v>
      </c>
      <c r="S43" s="321">
        <v>0</v>
      </c>
      <c r="T43" s="321">
        <v>0</v>
      </c>
      <c r="U43" s="322">
        <v>0</v>
      </c>
      <c r="V43" s="323">
        <v>0</v>
      </c>
      <c r="W43" s="303"/>
      <c r="X43" s="324">
        <v>0</v>
      </c>
      <c r="Y43" s="325">
        <v>0</v>
      </c>
    </row>
    <row r="44" spans="5:25" hidden="1" outlineLevel="1" x14ac:dyDescent="0.3">
      <c r="E44" s="250" t="s">
        <v>950</v>
      </c>
      <c r="F44" s="317">
        <v>4100405</v>
      </c>
      <c r="G44" s="318"/>
      <c r="H44" s="319"/>
      <c r="I44" s="320"/>
      <c r="J44" s="337">
        <v>0</v>
      </c>
      <c r="K44" s="321">
        <v>0</v>
      </c>
      <c r="L44" s="321">
        <v>0</v>
      </c>
      <c r="M44" s="321">
        <v>0</v>
      </c>
      <c r="N44" s="321">
        <v>0</v>
      </c>
      <c r="O44" s="321">
        <v>0</v>
      </c>
      <c r="P44" s="321">
        <v>0</v>
      </c>
      <c r="Q44" s="321">
        <v>0</v>
      </c>
      <c r="R44" s="321">
        <v>0</v>
      </c>
      <c r="S44" s="321">
        <v>0</v>
      </c>
      <c r="T44" s="321">
        <v>0</v>
      </c>
      <c r="U44" s="322">
        <v>0</v>
      </c>
      <c r="V44" s="323">
        <v>0</v>
      </c>
      <c r="W44" s="303"/>
      <c r="X44" s="324">
        <v>0</v>
      </c>
      <c r="Y44" s="325">
        <v>0</v>
      </c>
    </row>
    <row r="45" spans="5:25" hidden="1" outlineLevel="1" x14ac:dyDescent="0.3">
      <c r="E45" s="250" t="s">
        <v>951</v>
      </c>
      <c r="F45" s="317">
        <v>4100407</v>
      </c>
      <c r="G45" s="318"/>
      <c r="H45" s="319"/>
      <c r="I45" s="320"/>
      <c r="J45" s="337">
        <v>0</v>
      </c>
      <c r="K45" s="321">
        <v>0</v>
      </c>
      <c r="L45" s="321">
        <v>0</v>
      </c>
      <c r="M45" s="321">
        <v>0</v>
      </c>
      <c r="N45" s="321">
        <v>0</v>
      </c>
      <c r="O45" s="321">
        <v>0</v>
      </c>
      <c r="P45" s="321">
        <v>0</v>
      </c>
      <c r="Q45" s="321">
        <v>0</v>
      </c>
      <c r="R45" s="321">
        <v>0</v>
      </c>
      <c r="S45" s="321">
        <v>0</v>
      </c>
      <c r="T45" s="321">
        <v>0</v>
      </c>
      <c r="U45" s="322">
        <v>0</v>
      </c>
      <c r="V45" s="323">
        <v>0</v>
      </c>
      <c r="W45" s="303"/>
      <c r="X45" s="324">
        <v>0</v>
      </c>
      <c r="Y45" s="325">
        <v>0</v>
      </c>
    </row>
    <row r="46" spans="5:25" hidden="1" outlineLevel="1" x14ac:dyDescent="0.3">
      <c r="E46" s="250" t="s">
        <v>952</v>
      </c>
      <c r="F46" s="317">
        <v>4100409</v>
      </c>
      <c r="G46" s="318"/>
      <c r="H46" s="319"/>
      <c r="I46" s="320"/>
      <c r="J46" s="337">
        <v>-69624.713000000003</v>
      </c>
      <c r="K46" s="321">
        <v>-99519.81</v>
      </c>
      <c r="L46" s="321">
        <v>-81230.096000000005</v>
      </c>
      <c r="M46" s="321">
        <v>-84231.351999999999</v>
      </c>
      <c r="N46" s="321">
        <v>-77465.676999999996</v>
      </c>
      <c r="O46" s="321">
        <v>-75951.611999999994</v>
      </c>
      <c r="P46" s="321">
        <v>-91320.705000000002</v>
      </c>
      <c r="Q46" s="321">
        <v>-74887.805999999997</v>
      </c>
      <c r="R46" s="321">
        <v>-82676.055999999997</v>
      </c>
      <c r="S46" s="321">
        <v>-97556.32</v>
      </c>
      <c r="T46" s="321">
        <v>-84488.072</v>
      </c>
      <c r="U46" s="322">
        <v>-315914.27</v>
      </c>
      <c r="V46" s="323">
        <v>-1234866.4890000001</v>
      </c>
      <c r="W46" s="303"/>
      <c r="X46" s="324">
        <v>-315914.27</v>
      </c>
      <c r="Y46" s="325">
        <v>-1234866.4890000001</v>
      </c>
    </row>
    <row r="47" spans="5:25" hidden="1" outlineLevel="1" x14ac:dyDescent="0.3">
      <c r="E47" s="250" t="s">
        <v>953</v>
      </c>
      <c r="F47" s="317">
        <v>4100410</v>
      </c>
      <c r="G47" s="318"/>
      <c r="H47" s="319"/>
      <c r="I47" s="320"/>
      <c r="J47" s="337">
        <v>0</v>
      </c>
      <c r="K47" s="321">
        <v>0</v>
      </c>
      <c r="L47" s="321">
        <v>133306.628</v>
      </c>
      <c r="M47" s="321">
        <v>0</v>
      </c>
      <c r="N47" s="321">
        <v>0</v>
      </c>
      <c r="O47" s="321">
        <v>-13221.715</v>
      </c>
      <c r="P47" s="321">
        <v>0</v>
      </c>
      <c r="Q47" s="321">
        <v>0</v>
      </c>
      <c r="R47" s="321">
        <v>-23746.666000000001</v>
      </c>
      <c r="S47" s="321">
        <v>0</v>
      </c>
      <c r="T47" s="321">
        <v>0</v>
      </c>
      <c r="U47" s="322">
        <v>-149511.538</v>
      </c>
      <c r="V47" s="323">
        <v>-53173.290999999997</v>
      </c>
      <c r="W47" s="303"/>
      <c r="X47" s="324">
        <v>-149511.538</v>
      </c>
      <c r="Y47" s="325">
        <v>-53173.290999999997</v>
      </c>
    </row>
    <row r="48" spans="5:25" s="361" customFormat="1" hidden="1" outlineLevel="2" x14ac:dyDescent="0.3">
      <c r="E48" s="350" t="s">
        <v>954</v>
      </c>
      <c r="F48" s="306">
        <v>4100411</v>
      </c>
      <c r="G48" s="307"/>
      <c r="H48" s="308"/>
      <c r="I48" s="309"/>
      <c r="J48" s="310">
        <v>-205.547</v>
      </c>
      <c r="K48" s="311">
        <v>-83.171000000000006</v>
      </c>
      <c r="L48" s="311">
        <v>-97.447999999999993</v>
      </c>
      <c r="M48" s="311">
        <v>-113.125</v>
      </c>
      <c r="N48" s="311">
        <v>-116.19499999999999</v>
      </c>
      <c r="O48" s="311">
        <v>-108.06399999999999</v>
      </c>
      <c r="P48" s="311">
        <v>-122.059</v>
      </c>
      <c r="Q48" s="311">
        <v>-105.673</v>
      </c>
      <c r="R48" s="311">
        <v>-94.813000000000002</v>
      </c>
      <c r="S48" s="311">
        <v>-127.166</v>
      </c>
      <c r="T48" s="311">
        <v>-115.295</v>
      </c>
      <c r="U48" s="312">
        <v>-388.61799999999999</v>
      </c>
      <c r="V48" s="313">
        <v>-1677.174</v>
      </c>
      <c r="W48" s="314"/>
      <c r="X48" s="315">
        <v>-388.61799999999999</v>
      </c>
      <c r="Y48" s="316">
        <v>-1677.174</v>
      </c>
    </row>
    <row r="49" spans="1:25" s="350" customFormat="1" hidden="1" outlineLevel="2" x14ac:dyDescent="0.3">
      <c r="E49" s="350" t="s">
        <v>955</v>
      </c>
      <c r="F49" s="306">
        <v>4100412</v>
      </c>
      <c r="G49" s="307"/>
      <c r="H49" s="308"/>
      <c r="I49" s="309"/>
      <c r="J49" s="310">
        <v>-127510.151</v>
      </c>
      <c r="K49" s="311">
        <v>-132310.30499999999</v>
      </c>
      <c r="L49" s="311">
        <v>-147318.09899999999</v>
      </c>
      <c r="M49" s="311">
        <v>-142746.52100000001</v>
      </c>
      <c r="N49" s="311">
        <v>-146179.58499999999</v>
      </c>
      <c r="O49" s="311">
        <v>-128670.389</v>
      </c>
      <c r="P49" s="311">
        <v>-137100.89199999999</v>
      </c>
      <c r="Q49" s="311">
        <v>-136925.527</v>
      </c>
      <c r="R49" s="311">
        <v>-142542.45300000001</v>
      </c>
      <c r="S49" s="311">
        <v>-153819.59</v>
      </c>
      <c r="T49" s="311">
        <v>-133507.96799999999</v>
      </c>
      <c r="U49" s="312">
        <v>-483333.93300000002</v>
      </c>
      <c r="V49" s="313">
        <v>-2011965.4129999999</v>
      </c>
      <c r="W49" s="314"/>
      <c r="X49" s="315">
        <v>-483333.93300000002</v>
      </c>
      <c r="Y49" s="316">
        <v>-2011965.4129999999</v>
      </c>
    </row>
    <row r="50" spans="1:25" s="361" customFormat="1" hidden="1" outlineLevel="2" x14ac:dyDescent="0.3">
      <c r="A50" s="350"/>
      <c r="B50" s="350"/>
      <c r="E50" s="326" t="s">
        <v>935</v>
      </c>
      <c r="F50" s="351"/>
      <c r="G50" s="352"/>
      <c r="H50" s="353"/>
      <c r="I50" s="354"/>
      <c r="J50" s="337">
        <v>0</v>
      </c>
      <c r="K50" s="355">
        <v>0</v>
      </c>
      <c r="L50" s="355">
        <v>0</v>
      </c>
      <c r="M50" s="355">
        <v>0</v>
      </c>
      <c r="N50" s="355">
        <v>0</v>
      </c>
      <c r="O50" s="355">
        <v>0</v>
      </c>
      <c r="P50" s="355">
        <v>0</v>
      </c>
      <c r="Q50" s="355">
        <v>0</v>
      </c>
      <c r="R50" s="355">
        <v>0</v>
      </c>
      <c r="S50" s="355">
        <v>0</v>
      </c>
      <c r="T50" s="355">
        <v>0</v>
      </c>
      <c r="U50" s="356">
        <v>0</v>
      </c>
      <c r="V50" s="357">
        <v>0</v>
      </c>
      <c r="W50" s="358"/>
      <c r="X50" s="359">
        <v>0</v>
      </c>
      <c r="Y50" s="360">
        <v>0</v>
      </c>
    </row>
    <row r="51" spans="1:25" collapsed="1" x14ac:dyDescent="0.3">
      <c r="A51" s="233"/>
      <c r="B51" s="234" t="s">
        <v>3</v>
      </c>
      <c r="D51" s="293" t="s">
        <v>956</v>
      </c>
      <c r="E51" s="294"/>
      <c r="F51" s="295" t="s">
        <v>957</v>
      </c>
      <c r="G51" s="296"/>
      <c r="H51" s="297"/>
      <c r="I51" s="298"/>
      <c r="J51" s="299">
        <v>0</v>
      </c>
      <c r="K51" s="300">
        <v>0</v>
      </c>
      <c r="L51" s="300">
        <v>0</v>
      </c>
      <c r="M51" s="300">
        <v>0</v>
      </c>
      <c r="N51" s="300">
        <v>0</v>
      </c>
      <c r="O51" s="300">
        <v>0</v>
      </c>
      <c r="P51" s="300">
        <v>0</v>
      </c>
      <c r="Q51" s="300">
        <v>0</v>
      </c>
      <c r="R51" s="300">
        <v>0</v>
      </c>
      <c r="S51" s="300">
        <v>0</v>
      </c>
      <c r="T51" s="300">
        <v>0</v>
      </c>
      <c r="U51" s="301">
        <v>0</v>
      </c>
      <c r="V51" s="302">
        <v>0</v>
      </c>
      <c r="W51" s="303"/>
      <c r="X51" s="304">
        <v>0</v>
      </c>
      <c r="Y51" s="305">
        <v>0</v>
      </c>
    </row>
    <row r="52" spans="1:25" hidden="1" outlineLevel="1" x14ac:dyDescent="0.3">
      <c r="E52" s="250" t="s">
        <v>958</v>
      </c>
      <c r="F52" s="317">
        <v>4100501</v>
      </c>
      <c r="G52" s="318"/>
      <c r="H52" s="319">
        <v>4100030101</v>
      </c>
      <c r="I52" s="320"/>
      <c r="J52" s="337">
        <v>0</v>
      </c>
      <c r="K52" s="321">
        <v>0</v>
      </c>
      <c r="L52" s="321">
        <v>0</v>
      </c>
      <c r="M52" s="321">
        <v>0</v>
      </c>
      <c r="N52" s="321">
        <v>0</v>
      </c>
      <c r="O52" s="321">
        <v>0</v>
      </c>
      <c r="P52" s="321">
        <v>0</v>
      </c>
      <c r="Q52" s="321">
        <v>0</v>
      </c>
      <c r="R52" s="321">
        <v>0</v>
      </c>
      <c r="S52" s="321">
        <v>0</v>
      </c>
      <c r="T52" s="321">
        <v>0</v>
      </c>
      <c r="U52" s="322">
        <v>0</v>
      </c>
      <c r="V52" s="323">
        <v>0</v>
      </c>
      <c r="W52" s="303"/>
      <c r="X52" s="324">
        <v>0</v>
      </c>
      <c r="Y52" s="325">
        <v>0</v>
      </c>
    </row>
    <row r="53" spans="1:25" hidden="1" outlineLevel="1" x14ac:dyDescent="0.3">
      <c r="E53" s="250" t="s">
        <v>959</v>
      </c>
      <c r="F53" s="317">
        <v>4100502</v>
      </c>
      <c r="G53" s="318"/>
      <c r="H53" s="319">
        <v>4100030103</v>
      </c>
      <c r="I53" s="320"/>
      <c r="J53" s="337">
        <v>0</v>
      </c>
      <c r="K53" s="321">
        <v>0</v>
      </c>
      <c r="L53" s="321">
        <v>0</v>
      </c>
      <c r="M53" s="321">
        <v>0</v>
      </c>
      <c r="N53" s="321">
        <v>0</v>
      </c>
      <c r="O53" s="321">
        <v>0</v>
      </c>
      <c r="P53" s="321">
        <v>0</v>
      </c>
      <c r="Q53" s="321">
        <v>0</v>
      </c>
      <c r="R53" s="321">
        <v>0</v>
      </c>
      <c r="S53" s="321">
        <v>0</v>
      </c>
      <c r="T53" s="321">
        <v>0</v>
      </c>
      <c r="U53" s="322">
        <v>0</v>
      </c>
      <c r="V53" s="323">
        <v>0</v>
      </c>
      <c r="W53" s="303"/>
      <c r="X53" s="324">
        <v>0</v>
      </c>
      <c r="Y53" s="325">
        <v>0</v>
      </c>
    </row>
    <row r="54" spans="1:25" hidden="1" outlineLevel="1" x14ac:dyDescent="0.3">
      <c r="E54" s="250" t="s">
        <v>960</v>
      </c>
      <c r="F54" s="317">
        <v>4100510</v>
      </c>
      <c r="G54" s="318"/>
      <c r="H54" s="319">
        <v>4100030107</v>
      </c>
      <c r="I54" s="320"/>
      <c r="J54" s="337">
        <v>0</v>
      </c>
      <c r="K54" s="321">
        <v>0</v>
      </c>
      <c r="L54" s="321">
        <v>0</v>
      </c>
      <c r="M54" s="321">
        <v>0</v>
      </c>
      <c r="N54" s="321">
        <v>0</v>
      </c>
      <c r="O54" s="321">
        <v>0</v>
      </c>
      <c r="P54" s="321">
        <v>0</v>
      </c>
      <c r="Q54" s="321">
        <v>0</v>
      </c>
      <c r="R54" s="321">
        <v>0</v>
      </c>
      <c r="S54" s="321">
        <v>0</v>
      </c>
      <c r="T54" s="321">
        <v>0</v>
      </c>
      <c r="U54" s="322">
        <v>0</v>
      </c>
      <c r="V54" s="323">
        <v>0</v>
      </c>
      <c r="W54" s="303"/>
      <c r="X54" s="324">
        <v>0</v>
      </c>
      <c r="Y54" s="325">
        <v>0</v>
      </c>
    </row>
    <row r="55" spans="1:25" hidden="1" outlineLevel="1" x14ac:dyDescent="0.3">
      <c r="E55" s="250" t="s">
        <v>961</v>
      </c>
      <c r="F55" s="317">
        <v>4100511</v>
      </c>
      <c r="G55" s="318"/>
      <c r="H55" s="319">
        <v>4100030109</v>
      </c>
      <c r="I55" s="320"/>
      <c r="J55" s="337">
        <v>0</v>
      </c>
      <c r="K55" s="321">
        <v>0</v>
      </c>
      <c r="L55" s="321">
        <v>0</v>
      </c>
      <c r="M55" s="321">
        <v>0</v>
      </c>
      <c r="N55" s="321">
        <v>0</v>
      </c>
      <c r="O55" s="321">
        <v>0</v>
      </c>
      <c r="P55" s="321">
        <v>0</v>
      </c>
      <c r="Q55" s="321">
        <v>0</v>
      </c>
      <c r="R55" s="321">
        <v>0</v>
      </c>
      <c r="S55" s="321">
        <v>0</v>
      </c>
      <c r="T55" s="321">
        <v>0</v>
      </c>
      <c r="U55" s="322">
        <v>0</v>
      </c>
      <c r="V55" s="323">
        <v>0</v>
      </c>
      <c r="W55" s="303"/>
      <c r="X55" s="324">
        <v>0</v>
      </c>
      <c r="Y55" s="325">
        <v>0</v>
      </c>
    </row>
    <row r="56" spans="1:25" hidden="1" outlineLevel="1" x14ac:dyDescent="0.3">
      <c r="E56" s="250" t="s">
        <v>962</v>
      </c>
      <c r="F56" s="317">
        <v>4302608</v>
      </c>
      <c r="G56" s="318"/>
      <c r="H56" s="319"/>
      <c r="I56" s="320"/>
      <c r="J56" s="337">
        <v>0</v>
      </c>
      <c r="K56" s="321">
        <v>0</v>
      </c>
      <c r="L56" s="321">
        <v>0</v>
      </c>
      <c r="M56" s="321">
        <v>0</v>
      </c>
      <c r="N56" s="321">
        <v>0</v>
      </c>
      <c r="O56" s="321">
        <v>0</v>
      </c>
      <c r="P56" s="321">
        <v>0</v>
      </c>
      <c r="Q56" s="321">
        <v>0</v>
      </c>
      <c r="R56" s="321">
        <v>0</v>
      </c>
      <c r="S56" s="321">
        <v>0</v>
      </c>
      <c r="T56" s="321">
        <v>0</v>
      </c>
      <c r="U56" s="322">
        <v>0</v>
      </c>
      <c r="V56" s="323">
        <v>0</v>
      </c>
      <c r="W56" s="303"/>
      <c r="X56" s="324">
        <v>0</v>
      </c>
      <c r="Y56" s="325">
        <v>0</v>
      </c>
    </row>
    <row r="57" spans="1:25" s="326" customFormat="1" hidden="1" outlineLevel="2" x14ac:dyDescent="0.3">
      <c r="E57" s="326" t="s">
        <v>963</v>
      </c>
      <c r="F57" s="336"/>
      <c r="G57" s="327"/>
      <c r="H57" s="328"/>
      <c r="I57" s="329"/>
      <c r="J57" s="337">
        <v>0</v>
      </c>
      <c r="K57" s="330">
        <v>0</v>
      </c>
      <c r="L57" s="330">
        <v>0</v>
      </c>
      <c r="M57" s="330">
        <v>0</v>
      </c>
      <c r="N57" s="330">
        <v>0</v>
      </c>
      <c r="O57" s="330">
        <v>0</v>
      </c>
      <c r="P57" s="330">
        <v>0</v>
      </c>
      <c r="Q57" s="330">
        <v>0</v>
      </c>
      <c r="R57" s="330">
        <v>0</v>
      </c>
      <c r="S57" s="330">
        <v>0</v>
      </c>
      <c r="T57" s="330">
        <v>0</v>
      </c>
      <c r="U57" s="331">
        <v>0</v>
      </c>
      <c r="V57" s="332">
        <v>0</v>
      </c>
      <c r="W57" s="333"/>
      <c r="X57" s="334">
        <v>0</v>
      </c>
      <c r="Y57" s="335">
        <v>0</v>
      </c>
    </row>
    <row r="58" spans="1:25" s="326" customFormat="1" hidden="1" outlineLevel="2" x14ac:dyDescent="0.3">
      <c r="E58" s="326" t="s">
        <v>964</v>
      </c>
      <c r="F58" s="336"/>
      <c r="G58" s="327"/>
      <c r="H58" s="328"/>
      <c r="I58" s="329"/>
      <c r="J58" s="337">
        <v>0</v>
      </c>
      <c r="K58" s="330">
        <v>0</v>
      </c>
      <c r="L58" s="330">
        <v>0</v>
      </c>
      <c r="M58" s="330">
        <v>0</v>
      </c>
      <c r="N58" s="330">
        <v>0</v>
      </c>
      <c r="O58" s="330">
        <v>0</v>
      </c>
      <c r="P58" s="330">
        <v>0</v>
      </c>
      <c r="Q58" s="330">
        <v>0</v>
      </c>
      <c r="R58" s="330">
        <v>0</v>
      </c>
      <c r="S58" s="330">
        <v>0</v>
      </c>
      <c r="T58" s="330">
        <v>0</v>
      </c>
      <c r="U58" s="331">
        <v>0</v>
      </c>
      <c r="V58" s="332">
        <v>0</v>
      </c>
      <c r="W58" s="333"/>
      <c r="X58" s="334">
        <v>0</v>
      </c>
      <c r="Y58" s="335">
        <v>0</v>
      </c>
    </row>
    <row r="59" spans="1:25" s="326" customFormat="1" hidden="1" outlineLevel="2" x14ac:dyDescent="0.3">
      <c r="E59" s="326" t="s">
        <v>965</v>
      </c>
      <c r="F59" s="336"/>
      <c r="G59" s="327"/>
      <c r="H59" s="328"/>
      <c r="I59" s="329"/>
      <c r="J59" s="337">
        <v>0</v>
      </c>
      <c r="K59" s="330">
        <v>0</v>
      </c>
      <c r="L59" s="330">
        <v>0</v>
      </c>
      <c r="M59" s="330">
        <v>0</v>
      </c>
      <c r="N59" s="330">
        <v>0</v>
      </c>
      <c r="O59" s="330">
        <v>0</v>
      </c>
      <c r="P59" s="330">
        <v>0</v>
      </c>
      <c r="Q59" s="330">
        <v>0</v>
      </c>
      <c r="R59" s="330">
        <v>0</v>
      </c>
      <c r="S59" s="330">
        <v>0</v>
      </c>
      <c r="T59" s="330">
        <v>0</v>
      </c>
      <c r="U59" s="331">
        <v>0</v>
      </c>
      <c r="V59" s="332">
        <v>0</v>
      </c>
      <c r="W59" s="333"/>
      <c r="X59" s="334">
        <v>0</v>
      </c>
      <c r="Y59" s="335">
        <v>0</v>
      </c>
    </row>
    <row r="60" spans="1:25" collapsed="1" x14ac:dyDescent="0.3">
      <c r="A60" s="233"/>
      <c r="B60" s="234" t="s">
        <v>3</v>
      </c>
      <c r="D60" s="293" t="s">
        <v>966</v>
      </c>
      <c r="E60" s="294"/>
      <c r="F60" s="295" t="s">
        <v>967</v>
      </c>
      <c r="G60" s="296"/>
      <c r="H60" s="297"/>
      <c r="I60" s="298"/>
      <c r="J60" s="299">
        <v>0</v>
      </c>
      <c r="K60" s="300">
        <v>0</v>
      </c>
      <c r="L60" s="300">
        <v>0</v>
      </c>
      <c r="M60" s="300">
        <v>0</v>
      </c>
      <c r="N60" s="300">
        <v>0</v>
      </c>
      <c r="O60" s="300">
        <v>0</v>
      </c>
      <c r="P60" s="300">
        <v>0</v>
      </c>
      <c r="Q60" s="300">
        <v>0</v>
      </c>
      <c r="R60" s="300">
        <v>0</v>
      </c>
      <c r="S60" s="300">
        <v>0</v>
      </c>
      <c r="T60" s="300">
        <v>0</v>
      </c>
      <c r="U60" s="301">
        <v>0</v>
      </c>
      <c r="V60" s="302">
        <v>0</v>
      </c>
      <c r="W60" s="303"/>
      <c r="X60" s="304">
        <v>0</v>
      </c>
      <c r="Y60" s="305">
        <v>0</v>
      </c>
    </row>
    <row r="61" spans="1:25" x14ac:dyDescent="0.3">
      <c r="E61" s="339" t="s">
        <v>968</v>
      </c>
      <c r="F61" s="340" t="s">
        <v>969</v>
      </c>
      <c r="G61" s="341"/>
      <c r="H61" s="342"/>
      <c r="I61" s="343"/>
      <c r="J61" s="344">
        <v>0</v>
      </c>
      <c r="K61" s="345">
        <v>0</v>
      </c>
      <c r="L61" s="345">
        <v>0</v>
      </c>
      <c r="M61" s="345">
        <v>0</v>
      </c>
      <c r="N61" s="345">
        <v>0</v>
      </c>
      <c r="O61" s="345">
        <v>0</v>
      </c>
      <c r="P61" s="345">
        <v>0</v>
      </c>
      <c r="Q61" s="345">
        <v>0</v>
      </c>
      <c r="R61" s="345">
        <v>0</v>
      </c>
      <c r="S61" s="345">
        <v>0</v>
      </c>
      <c r="T61" s="345">
        <v>0</v>
      </c>
      <c r="U61" s="346">
        <v>0</v>
      </c>
      <c r="V61" s="347">
        <v>0</v>
      </c>
      <c r="W61" s="303"/>
      <c r="X61" s="348">
        <v>0</v>
      </c>
      <c r="Y61" s="349">
        <v>0</v>
      </c>
    </row>
    <row r="62" spans="1:25" hidden="1" outlineLevel="1" x14ac:dyDescent="0.3">
      <c r="E62" s="250" t="s">
        <v>970</v>
      </c>
      <c r="F62" s="317">
        <v>4100581</v>
      </c>
      <c r="G62" s="318"/>
      <c r="H62" s="319">
        <v>4100030111</v>
      </c>
      <c r="I62" s="320"/>
      <c r="J62" s="337">
        <v>0</v>
      </c>
      <c r="K62" s="321">
        <v>0</v>
      </c>
      <c r="L62" s="321">
        <v>0</v>
      </c>
      <c r="M62" s="321">
        <v>0</v>
      </c>
      <c r="N62" s="321">
        <v>0</v>
      </c>
      <c r="O62" s="321">
        <v>0</v>
      </c>
      <c r="P62" s="321">
        <v>0</v>
      </c>
      <c r="Q62" s="321">
        <v>0</v>
      </c>
      <c r="R62" s="321">
        <v>0</v>
      </c>
      <c r="S62" s="321">
        <v>0</v>
      </c>
      <c r="T62" s="321">
        <v>0</v>
      </c>
      <c r="U62" s="322">
        <v>0</v>
      </c>
      <c r="V62" s="323">
        <v>0</v>
      </c>
      <c r="W62" s="303"/>
      <c r="X62" s="324">
        <v>0</v>
      </c>
      <c r="Y62" s="325">
        <v>0</v>
      </c>
    </row>
    <row r="63" spans="1:25" s="326" customFormat="1" hidden="1" outlineLevel="2" x14ac:dyDescent="0.3">
      <c r="E63" s="326" t="s">
        <v>963</v>
      </c>
      <c r="F63" s="336"/>
      <c r="G63" s="327"/>
      <c r="H63" s="328"/>
      <c r="I63" s="329"/>
      <c r="J63" s="337">
        <v>0</v>
      </c>
      <c r="K63" s="330">
        <v>0</v>
      </c>
      <c r="L63" s="330">
        <v>0</v>
      </c>
      <c r="M63" s="330">
        <v>0</v>
      </c>
      <c r="N63" s="330">
        <v>0</v>
      </c>
      <c r="O63" s="330">
        <v>0</v>
      </c>
      <c r="P63" s="330">
        <v>0</v>
      </c>
      <c r="Q63" s="330">
        <v>0</v>
      </c>
      <c r="R63" s="330">
        <v>0</v>
      </c>
      <c r="S63" s="330">
        <v>0</v>
      </c>
      <c r="T63" s="330">
        <v>0</v>
      </c>
      <c r="U63" s="331">
        <v>0</v>
      </c>
      <c r="V63" s="332">
        <v>0</v>
      </c>
      <c r="W63" s="333"/>
      <c r="X63" s="334">
        <v>0</v>
      </c>
      <c r="Y63" s="335">
        <v>0</v>
      </c>
    </row>
    <row r="64" spans="1:25" s="326" customFormat="1" hidden="1" outlineLevel="2" x14ac:dyDescent="0.3">
      <c r="E64" s="326" t="s">
        <v>964</v>
      </c>
      <c r="F64" s="336"/>
      <c r="G64" s="327"/>
      <c r="H64" s="328"/>
      <c r="I64" s="329"/>
      <c r="J64" s="337">
        <v>0</v>
      </c>
      <c r="K64" s="330">
        <v>0</v>
      </c>
      <c r="L64" s="330">
        <v>0</v>
      </c>
      <c r="M64" s="330">
        <v>0</v>
      </c>
      <c r="N64" s="330">
        <v>0</v>
      </c>
      <c r="O64" s="330">
        <v>0</v>
      </c>
      <c r="P64" s="330">
        <v>0</v>
      </c>
      <c r="Q64" s="330">
        <v>0</v>
      </c>
      <c r="R64" s="330">
        <v>0</v>
      </c>
      <c r="S64" s="330">
        <v>0</v>
      </c>
      <c r="T64" s="330">
        <v>0</v>
      </c>
      <c r="U64" s="331">
        <v>0</v>
      </c>
      <c r="V64" s="332">
        <v>0</v>
      </c>
      <c r="W64" s="333"/>
      <c r="X64" s="334">
        <v>0</v>
      </c>
      <c r="Y64" s="335">
        <v>0</v>
      </c>
    </row>
    <row r="65" spans="1:25" s="326" customFormat="1" hidden="1" outlineLevel="2" x14ac:dyDescent="0.3">
      <c r="E65" s="326" t="s">
        <v>965</v>
      </c>
      <c r="F65" s="336"/>
      <c r="G65" s="327"/>
      <c r="H65" s="328"/>
      <c r="I65" s="329"/>
      <c r="J65" s="337">
        <v>0</v>
      </c>
      <c r="K65" s="330">
        <v>0</v>
      </c>
      <c r="L65" s="330">
        <v>0</v>
      </c>
      <c r="M65" s="330">
        <v>0</v>
      </c>
      <c r="N65" s="330">
        <v>0</v>
      </c>
      <c r="O65" s="330">
        <v>0</v>
      </c>
      <c r="P65" s="330">
        <v>0</v>
      </c>
      <c r="Q65" s="330">
        <v>0</v>
      </c>
      <c r="R65" s="330">
        <v>0</v>
      </c>
      <c r="S65" s="330">
        <v>0</v>
      </c>
      <c r="T65" s="330">
        <v>0</v>
      </c>
      <c r="U65" s="331">
        <v>0</v>
      </c>
      <c r="V65" s="332">
        <v>0</v>
      </c>
      <c r="W65" s="333"/>
      <c r="X65" s="334">
        <v>0</v>
      </c>
      <c r="Y65" s="335">
        <v>0</v>
      </c>
    </row>
    <row r="66" spans="1:25" collapsed="1" x14ac:dyDescent="0.3">
      <c r="E66" s="339" t="s">
        <v>971</v>
      </c>
      <c r="F66" s="340" t="s">
        <v>972</v>
      </c>
      <c r="G66" s="341"/>
      <c r="H66" s="342"/>
      <c r="I66" s="343"/>
      <c r="J66" s="344">
        <v>0</v>
      </c>
      <c r="K66" s="345">
        <v>0</v>
      </c>
      <c r="L66" s="345">
        <v>0</v>
      </c>
      <c r="M66" s="345">
        <v>0</v>
      </c>
      <c r="N66" s="345">
        <v>0</v>
      </c>
      <c r="O66" s="345">
        <v>0</v>
      </c>
      <c r="P66" s="345">
        <v>0</v>
      </c>
      <c r="Q66" s="345">
        <v>0</v>
      </c>
      <c r="R66" s="345">
        <v>0</v>
      </c>
      <c r="S66" s="345">
        <v>0</v>
      </c>
      <c r="T66" s="345">
        <v>0</v>
      </c>
      <c r="U66" s="346">
        <v>0</v>
      </c>
      <c r="V66" s="347">
        <v>0</v>
      </c>
      <c r="W66" s="303"/>
      <c r="X66" s="348">
        <v>0</v>
      </c>
      <c r="Y66" s="349">
        <v>0</v>
      </c>
    </row>
    <row r="67" spans="1:25" hidden="1" outlineLevel="1" x14ac:dyDescent="0.3">
      <c r="E67" s="250" t="s">
        <v>973</v>
      </c>
      <c r="F67" s="317">
        <v>4100591</v>
      </c>
      <c r="G67" s="318"/>
      <c r="H67" s="319"/>
      <c r="I67" s="320"/>
      <c r="J67" s="337">
        <v>0</v>
      </c>
      <c r="K67" s="321">
        <v>0</v>
      </c>
      <c r="L67" s="321">
        <v>0</v>
      </c>
      <c r="M67" s="321">
        <v>0</v>
      </c>
      <c r="N67" s="321">
        <v>0</v>
      </c>
      <c r="O67" s="321">
        <v>0</v>
      </c>
      <c r="P67" s="321">
        <v>0</v>
      </c>
      <c r="Q67" s="321">
        <v>0</v>
      </c>
      <c r="R67" s="321">
        <v>0</v>
      </c>
      <c r="S67" s="321">
        <v>0</v>
      </c>
      <c r="T67" s="321">
        <v>0</v>
      </c>
      <c r="U67" s="322">
        <v>0</v>
      </c>
      <c r="V67" s="323">
        <v>0</v>
      </c>
      <c r="W67" s="303"/>
      <c r="X67" s="324">
        <v>0</v>
      </c>
      <c r="Y67" s="325">
        <v>0</v>
      </c>
    </row>
    <row r="68" spans="1:25" hidden="1" outlineLevel="1" x14ac:dyDescent="0.3">
      <c r="E68" s="250" t="s">
        <v>974</v>
      </c>
      <c r="F68" s="317">
        <v>4100592</v>
      </c>
      <c r="G68" s="318"/>
      <c r="H68" s="319"/>
      <c r="I68" s="320"/>
      <c r="J68" s="337">
        <v>0</v>
      </c>
      <c r="K68" s="321">
        <v>0</v>
      </c>
      <c r="L68" s="321">
        <v>0</v>
      </c>
      <c r="M68" s="321">
        <v>0</v>
      </c>
      <c r="N68" s="321">
        <v>0</v>
      </c>
      <c r="O68" s="321">
        <v>0</v>
      </c>
      <c r="P68" s="321">
        <v>0</v>
      </c>
      <c r="Q68" s="321">
        <v>0</v>
      </c>
      <c r="R68" s="321">
        <v>0</v>
      </c>
      <c r="S68" s="321">
        <v>0</v>
      </c>
      <c r="T68" s="321">
        <v>0</v>
      </c>
      <c r="U68" s="322">
        <v>0</v>
      </c>
      <c r="V68" s="323">
        <v>0</v>
      </c>
      <c r="W68" s="303"/>
      <c r="X68" s="324">
        <v>0</v>
      </c>
      <c r="Y68" s="325">
        <v>0</v>
      </c>
    </row>
    <row r="69" spans="1:25" hidden="1" outlineLevel="1" x14ac:dyDescent="0.3">
      <c r="E69" s="250" t="s">
        <v>975</v>
      </c>
      <c r="F69" s="317">
        <v>4100593</v>
      </c>
      <c r="G69" s="318"/>
      <c r="H69" s="319"/>
      <c r="I69" s="320"/>
      <c r="J69" s="337">
        <v>0</v>
      </c>
      <c r="K69" s="321">
        <v>0</v>
      </c>
      <c r="L69" s="321">
        <v>0</v>
      </c>
      <c r="M69" s="321">
        <v>0</v>
      </c>
      <c r="N69" s="321">
        <v>0</v>
      </c>
      <c r="O69" s="321">
        <v>0</v>
      </c>
      <c r="P69" s="321">
        <v>0</v>
      </c>
      <c r="Q69" s="321">
        <v>0</v>
      </c>
      <c r="R69" s="321">
        <v>0</v>
      </c>
      <c r="S69" s="321">
        <v>0</v>
      </c>
      <c r="T69" s="321">
        <v>0</v>
      </c>
      <c r="U69" s="322">
        <v>0</v>
      </c>
      <c r="V69" s="323">
        <v>0</v>
      </c>
      <c r="W69" s="303"/>
      <c r="X69" s="324">
        <v>0</v>
      </c>
      <c r="Y69" s="325">
        <v>0</v>
      </c>
    </row>
    <row r="70" spans="1:25" hidden="1" outlineLevel="1" x14ac:dyDescent="0.3">
      <c r="E70" s="250" t="s">
        <v>976</v>
      </c>
      <c r="F70" s="317">
        <v>4100594</v>
      </c>
      <c r="G70" s="318"/>
      <c r="H70" s="319"/>
      <c r="I70" s="320"/>
      <c r="J70" s="337">
        <v>0</v>
      </c>
      <c r="K70" s="321">
        <v>0</v>
      </c>
      <c r="L70" s="321">
        <v>0</v>
      </c>
      <c r="M70" s="321">
        <v>0</v>
      </c>
      <c r="N70" s="321">
        <v>0</v>
      </c>
      <c r="O70" s="321">
        <v>0</v>
      </c>
      <c r="P70" s="321">
        <v>0</v>
      </c>
      <c r="Q70" s="321">
        <v>0</v>
      </c>
      <c r="R70" s="321">
        <v>0</v>
      </c>
      <c r="S70" s="321">
        <v>0</v>
      </c>
      <c r="T70" s="321">
        <v>0</v>
      </c>
      <c r="U70" s="322">
        <v>0</v>
      </c>
      <c r="V70" s="323">
        <v>0</v>
      </c>
      <c r="W70" s="303"/>
      <c r="X70" s="324">
        <v>0</v>
      </c>
      <c r="Y70" s="325">
        <v>0</v>
      </c>
    </row>
    <row r="71" spans="1:25" hidden="1" outlineLevel="1" x14ac:dyDescent="0.3">
      <c r="E71" s="250" t="s">
        <v>977</v>
      </c>
      <c r="F71" s="317">
        <v>4100595</v>
      </c>
      <c r="G71" s="318"/>
      <c r="H71" s="319"/>
      <c r="I71" s="320"/>
      <c r="J71" s="337">
        <v>0</v>
      </c>
      <c r="K71" s="321">
        <v>0</v>
      </c>
      <c r="L71" s="321">
        <v>0</v>
      </c>
      <c r="M71" s="321">
        <v>0</v>
      </c>
      <c r="N71" s="321">
        <v>0</v>
      </c>
      <c r="O71" s="321">
        <v>0</v>
      </c>
      <c r="P71" s="321">
        <v>0</v>
      </c>
      <c r="Q71" s="321">
        <v>0</v>
      </c>
      <c r="R71" s="321">
        <v>0</v>
      </c>
      <c r="S71" s="321">
        <v>0</v>
      </c>
      <c r="T71" s="321">
        <v>0</v>
      </c>
      <c r="U71" s="322">
        <v>0</v>
      </c>
      <c r="V71" s="323">
        <v>0</v>
      </c>
      <c r="W71" s="303"/>
      <c r="X71" s="324">
        <v>0</v>
      </c>
      <c r="Y71" s="325">
        <v>0</v>
      </c>
    </row>
    <row r="72" spans="1:25" hidden="1" outlineLevel="1" x14ac:dyDescent="0.3">
      <c r="E72" s="250" t="s">
        <v>978</v>
      </c>
      <c r="F72" s="317">
        <v>4100406</v>
      </c>
      <c r="G72" s="318"/>
      <c r="H72" s="319">
        <v>4100030113</v>
      </c>
      <c r="I72" s="320"/>
      <c r="J72" s="337">
        <v>0</v>
      </c>
      <c r="K72" s="321">
        <v>0</v>
      </c>
      <c r="L72" s="321">
        <v>0</v>
      </c>
      <c r="M72" s="321">
        <v>0</v>
      </c>
      <c r="N72" s="321">
        <v>0</v>
      </c>
      <c r="O72" s="321">
        <v>0</v>
      </c>
      <c r="P72" s="321">
        <v>0</v>
      </c>
      <c r="Q72" s="321">
        <v>0</v>
      </c>
      <c r="R72" s="321">
        <v>0</v>
      </c>
      <c r="S72" s="321">
        <v>0</v>
      </c>
      <c r="T72" s="321">
        <v>0</v>
      </c>
      <c r="U72" s="322">
        <v>0</v>
      </c>
      <c r="V72" s="323">
        <v>0</v>
      </c>
      <c r="W72" s="303"/>
      <c r="X72" s="324">
        <v>0</v>
      </c>
      <c r="Y72" s="325">
        <v>0</v>
      </c>
    </row>
    <row r="73" spans="1:25" s="326" customFormat="1" hidden="1" outlineLevel="2" x14ac:dyDescent="0.3">
      <c r="E73" s="250" t="s">
        <v>979</v>
      </c>
      <c r="F73" s="306">
        <v>4100596</v>
      </c>
      <c r="G73" s="307"/>
      <c r="H73" s="308"/>
      <c r="I73" s="309"/>
      <c r="J73" s="310">
        <v>0</v>
      </c>
      <c r="K73" s="311">
        <v>0</v>
      </c>
      <c r="L73" s="311">
        <v>0</v>
      </c>
      <c r="M73" s="311">
        <v>0</v>
      </c>
      <c r="N73" s="311">
        <v>0</v>
      </c>
      <c r="O73" s="311">
        <v>0</v>
      </c>
      <c r="P73" s="311">
        <v>0</v>
      </c>
      <c r="Q73" s="311">
        <v>0</v>
      </c>
      <c r="R73" s="311">
        <v>0</v>
      </c>
      <c r="S73" s="311">
        <v>0</v>
      </c>
      <c r="T73" s="311">
        <v>0</v>
      </c>
      <c r="U73" s="312">
        <v>0</v>
      </c>
      <c r="V73" s="313">
        <v>0</v>
      </c>
      <c r="W73" s="314"/>
      <c r="X73" s="315">
        <v>0</v>
      </c>
      <c r="Y73" s="316">
        <v>0</v>
      </c>
    </row>
    <row r="74" spans="1:25" s="350" customFormat="1" hidden="1" outlineLevel="2" x14ac:dyDescent="0.3">
      <c r="E74" s="350" t="s">
        <v>980</v>
      </c>
      <c r="F74" s="306">
        <v>4100597</v>
      </c>
      <c r="G74" s="307"/>
      <c r="H74" s="308"/>
      <c r="I74" s="309"/>
      <c r="J74" s="310">
        <v>0</v>
      </c>
      <c r="K74" s="311">
        <v>0</v>
      </c>
      <c r="L74" s="311">
        <v>0</v>
      </c>
      <c r="M74" s="311">
        <v>0</v>
      </c>
      <c r="N74" s="311">
        <v>0</v>
      </c>
      <c r="O74" s="311">
        <v>0</v>
      </c>
      <c r="P74" s="311">
        <v>0</v>
      </c>
      <c r="Q74" s="311">
        <v>0</v>
      </c>
      <c r="R74" s="311">
        <v>0</v>
      </c>
      <c r="S74" s="311">
        <v>0</v>
      </c>
      <c r="T74" s="311">
        <v>0</v>
      </c>
      <c r="U74" s="312">
        <v>0</v>
      </c>
      <c r="V74" s="313">
        <v>0</v>
      </c>
      <c r="W74" s="314"/>
      <c r="X74" s="315">
        <v>0</v>
      </c>
      <c r="Y74" s="316">
        <v>0</v>
      </c>
    </row>
    <row r="75" spans="1:25" s="350" customFormat="1" hidden="1" outlineLevel="2" x14ac:dyDescent="0.3">
      <c r="E75" s="350" t="s">
        <v>981</v>
      </c>
      <c r="F75" s="306">
        <v>4100598</v>
      </c>
      <c r="G75" s="307"/>
      <c r="H75" s="308"/>
      <c r="I75" s="309"/>
      <c r="J75" s="310">
        <v>0</v>
      </c>
      <c r="K75" s="311">
        <v>0</v>
      </c>
      <c r="L75" s="311">
        <v>0</v>
      </c>
      <c r="M75" s="311">
        <v>0</v>
      </c>
      <c r="N75" s="311">
        <v>0</v>
      </c>
      <c r="O75" s="311">
        <v>0</v>
      </c>
      <c r="P75" s="311">
        <v>0</v>
      </c>
      <c r="Q75" s="311">
        <v>0</v>
      </c>
      <c r="R75" s="311">
        <v>0</v>
      </c>
      <c r="S75" s="311">
        <v>0</v>
      </c>
      <c r="T75" s="311">
        <v>0</v>
      </c>
      <c r="U75" s="312">
        <v>0</v>
      </c>
      <c r="V75" s="313">
        <v>0</v>
      </c>
      <c r="W75" s="314"/>
      <c r="X75" s="315">
        <v>0</v>
      </c>
      <c r="Y75" s="316">
        <v>0</v>
      </c>
    </row>
    <row r="76" spans="1:25" collapsed="1" x14ac:dyDescent="0.3">
      <c r="A76" s="233"/>
      <c r="B76" s="234" t="s">
        <v>5</v>
      </c>
      <c r="D76" s="294" t="s">
        <v>982</v>
      </c>
      <c r="E76" s="294"/>
      <c r="F76" s="295" t="s">
        <v>983</v>
      </c>
      <c r="G76" s="296"/>
      <c r="H76" s="297"/>
      <c r="I76" s="298"/>
      <c r="J76" s="299">
        <v>50754767.364999995</v>
      </c>
      <c r="K76" s="300">
        <v>50513761.593999997</v>
      </c>
      <c r="L76" s="300">
        <v>51759950.460000008</v>
      </c>
      <c r="M76" s="300">
        <v>51972291.717999995</v>
      </c>
      <c r="N76" s="300">
        <v>52677464.078000002</v>
      </c>
      <c r="O76" s="300">
        <v>49571736.091999993</v>
      </c>
      <c r="P76" s="300">
        <v>49947804.092</v>
      </c>
      <c r="Q76" s="300">
        <v>45075190.971000001</v>
      </c>
      <c r="R76" s="300">
        <v>49313600.982999995</v>
      </c>
      <c r="S76" s="300">
        <v>49176699.400000006</v>
      </c>
      <c r="T76" s="300">
        <v>49891617.041000009</v>
      </c>
      <c r="U76" s="301">
        <v>55797594.332000002</v>
      </c>
      <c r="V76" s="302">
        <v>606452478.12600005</v>
      </c>
      <c r="W76" s="303"/>
      <c r="X76" s="304">
        <v>55797594.332000002</v>
      </c>
      <c r="Y76" s="305">
        <v>606452478.12600005</v>
      </c>
    </row>
    <row r="77" spans="1:25" hidden="1" outlineLevel="1" x14ac:dyDescent="0.3">
      <c r="E77" s="250" t="s">
        <v>984</v>
      </c>
      <c r="F77" s="317">
        <v>4100701</v>
      </c>
      <c r="G77" s="318"/>
      <c r="H77" s="319">
        <v>4100130101</v>
      </c>
      <c r="I77" s="320"/>
      <c r="J77" s="337">
        <v>35208376.267999999</v>
      </c>
      <c r="K77" s="321">
        <v>35593490.490000002</v>
      </c>
      <c r="L77" s="321">
        <v>35393693.272</v>
      </c>
      <c r="M77" s="321">
        <v>35911185.751000002</v>
      </c>
      <c r="N77" s="321">
        <v>37278563.211999997</v>
      </c>
      <c r="O77" s="321">
        <v>36098260.439999998</v>
      </c>
      <c r="P77" s="321">
        <v>35683235.457000002</v>
      </c>
      <c r="Q77" s="321">
        <v>32111127.182999998</v>
      </c>
      <c r="R77" s="321">
        <v>35444620.516999997</v>
      </c>
      <c r="S77" s="321">
        <v>36363697.188000001</v>
      </c>
      <c r="T77" s="321">
        <v>36198206.832000002</v>
      </c>
      <c r="U77" s="322">
        <v>41305508.196000002</v>
      </c>
      <c r="V77" s="323">
        <v>432589964.80600011</v>
      </c>
      <c r="W77" s="303"/>
      <c r="X77" s="324">
        <v>41305508.196000002</v>
      </c>
      <c r="Y77" s="325">
        <v>432589964.80600011</v>
      </c>
    </row>
    <row r="78" spans="1:25" hidden="1" outlineLevel="1" x14ac:dyDescent="0.3">
      <c r="E78" s="250" t="s">
        <v>985</v>
      </c>
      <c r="F78" s="317">
        <v>4100702</v>
      </c>
      <c r="G78" s="318"/>
      <c r="H78" s="319"/>
      <c r="I78" s="320"/>
      <c r="J78" s="337">
        <v>0</v>
      </c>
      <c r="K78" s="321">
        <v>0</v>
      </c>
      <c r="L78" s="321">
        <v>0</v>
      </c>
      <c r="M78" s="321">
        <v>0</v>
      </c>
      <c r="N78" s="321">
        <v>0</v>
      </c>
      <c r="O78" s="321">
        <v>0</v>
      </c>
      <c r="P78" s="321">
        <v>0</v>
      </c>
      <c r="Q78" s="321">
        <v>0</v>
      </c>
      <c r="R78" s="321">
        <v>0</v>
      </c>
      <c r="S78" s="321">
        <v>0</v>
      </c>
      <c r="T78" s="321">
        <v>0</v>
      </c>
      <c r="U78" s="322">
        <v>0</v>
      </c>
      <c r="V78" s="323">
        <v>0</v>
      </c>
      <c r="W78" s="303"/>
      <c r="X78" s="324">
        <v>0</v>
      </c>
      <c r="Y78" s="325">
        <v>0</v>
      </c>
    </row>
    <row r="79" spans="1:25" hidden="1" outlineLevel="1" x14ac:dyDescent="0.3">
      <c r="E79" s="250" t="s">
        <v>986</v>
      </c>
      <c r="F79" s="317">
        <v>4100703</v>
      </c>
      <c r="G79" s="318"/>
      <c r="H79" s="319"/>
      <c r="I79" s="320"/>
      <c r="J79" s="337">
        <v>2507629.7680000002</v>
      </c>
      <c r="K79" s="321">
        <v>3412881.86</v>
      </c>
      <c r="L79" s="321">
        <v>2714748.0010000002</v>
      </c>
      <c r="M79" s="321">
        <v>2547278.5109999999</v>
      </c>
      <c r="N79" s="321">
        <v>2400559.3489999999</v>
      </c>
      <c r="O79" s="321">
        <v>2376656.622</v>
      </c>
      <c r="P79" s="321">
        <v>2649232.9109999998</v>
      </c>
      <c r="Q79" s="321">
        <v>2495281.2459999998</v>
      </c>
      <c r="R79" s="321">
        <v>2896928.9649999999</v>
      </c>
      <c r="S79" s="321">
        <v>2306029.253</v>
      </c>
      <c r="T79" s="321">
        <v>2623591.662</v>
      </c>
      <c r="U79" s="322">
        <v>2966821.51</v>
      </c>
      <c r="V79" s="323">
        <v>31897639.658</v>
      </c>
      <c r="W79" s="303"/>
      <c r="X79" s="324">
        <v>2966821.51</v>
      </c>
      <c r="Y79" s="325">
        <v>31897639.658</v>
      </c>
    </row>
    <row r="80" spans="1:25" hidden="1" outlineLevel="1" x14ac:dyDescent="0.3">
      <c r="E80" s="250" t="s">
        <v>987</v>
      </c>
      <c r="F80" s="317">
        <v>4100704</v>
      </c>
      <c r="G80" s="318"/>
      <c r="H80" s="319"/>
      <c r="I80" s="320"/>
      <c r="J80" s="337">
        <v>0</v>
      </c>
      <c r="K80" s="321">
        <v>0</v>
      </c>
      <c r="L80" s="321">
        <v>0</v>
      </c>
      <c r="M80" s="321">
        <v>0</v>
      </c>
      <c r="N80" s="321">
        <v>0</v>
      </c>
      <c r="O80" s="321">
        <v>0</v>
      </c>
      <c r="P80" s="321">
        <v>0</v>
      </c>
      <c r="Q80" s="321">
        <v>0</v>
      </c>
      <c r="R80" s="321">
        <v>0</v>
      </c>
      <c r="S80" s="321">
        <v>0</v>
      </c>
      <c r="T80" s="321">
        <v>0</v>
      </c>
      <c r="U80" s="322">
        <v>0</v>
      </c>
      <c r="V80" s="323">
        <v>0</v>
      </c>
      <c r="W80" s="303"/>
      <c r="X80" s="324">
        <v>0</v>
      </c>
      <c r="Y80" s="325">
        <v>0</v>
      </c>
    </row>
    <row r="81" spans="1:25" hidden="1" outlineLevel="1" x14ac:dyDescent="0.3">
      <c r="E81" s="250" t="s">
        <v>988</v>
      </c>
      <c r="F81" s="317">
        <v>4100705</v>
      </c>
      <c r="G81" s="318"/>
      <c r="H81" s="319"/>
      <c r="I81" s="320"/>
      <c r="J81" s="337">
        <v>3621414.5320000001</v>
      </c>
      <c r="K81" s="321">
        <v>3319623.395</v>
      </c>
      <c r="L81" s="321">
        <v>3856884.9380000001</v>
      </c>
      <c r="M81" s="321">
        <v>3247915.7629999998</v>
      </c>
      <c r="N81" s="321">
        <v>2944314.3640000001</v>
      </c>
      <c r="O81" s="321">
        <v>2322732.7540000002</v>
      </c>
      <c r="P81" s="321">
        <v>3173397.7319999998</v>
      </c>
      <c r="Q81" s="321">
        <v>3042184.6030000001</v>
      </c>
      <c r="R81" s="321">
        <v>2668634.3250000002</v>
      </c>
      <c r="S81" s="321">
        <v>2743354.5959999999</v>
      </c>
      <c r="T81" s="321">
        <v>2577102.2209999999</v>
      </c>
      <c r="U81" s="322">
        <v>3483961.1</v>
      </c>
      <c r="V81" s="323">
        <v>37001520.322999999</v>
      </c>
      <c r="W81" s="303"/>
      <c r="X81" s="324">
        <v>3483961.1</v>
      </c>
      <c r="Y81" s="325">
        <v>37001520.322999999</v>
      </c>
    </row>
    <row r="82" spans="1:25" hidden="1" outlineLevel="1" x14ac:dyDescent="0.3">
      <c r="E82" s="250" t="s">
        <v>989</v>
      </c>
      <c r="F82" s="317">
        <v>4100706</v>
      </c>
      <c r="G82" s="318"/>
      <c r="H82" s="319"/>
      <c r="I82" s="320"/>
      <c r="J82" s="337">
        <v>4147381.1850000001</v>
      </c>
      <c r="K82" s="321">
        <v>2798013</v>
      </c>
      <c r="L82" s="321">
        <v>4464468.5999999996</v>
      </c>
      <c r="M82" s="321">
        <v>5117569.84</v>
      </c>
      <c r="N82" s="321">
        <v>4450058</v>
      </c>
      <c r="O82" s="321">
        <v>3990896.35</v>
      </c>
      <c r="P82" s="321">
        <v>3214120</v>
      </c>
      <c r="Q82" s="321">
        <v>2821050.9049999998</v>
      </c>
      <c r="R82" s="321">
        <v>3189440</v>
      </c>
      <c r="S82" s="321">
        <v>2727070</v>
      </c>
      <c r="T82" s="321">
        <v>3379170</v>
      </c>
      <c r="U82" s="322">
        <v>2908589.7</v>
      </c>
      <c r="V82" s="323">
        <v>43207827.580000006</v>
      </c>
      <c r="W82" s="303"/>
      <c r="X82" s="324">
        <v>2908589.7</v>
      </c>
      <c r="Y82" s="325">
        <v>43207827.580000006</v>
      </c>
    </row>
    <row r="83" spans="1:25" hidden="1" outlineLevel="1" x14ac:dyDescent="0.3">
      <c r="E83" s="250" t="s">
        <v>990</v>
      </c>
      <c r="F83" s="317">
        <v>4100707</v>
      </c>
      <c r="G83" s="318"/>
      <c r="H83" s="319"/>
      <c r="I83" s="320"/>
      <c r="J83" s="337">
        <v>2360881.0260000001</v>
      </c>
      <c r="K83" s="321">
        <v>2583221.7450000001</v>
      </c>
      <c r="L83" s="321">
        <v>2450269.4989999998</v>
      </c>
      <c r="M83" s="321">
        <v>2480328.0619999999</v>
      </c>
      <c r="N83" s="321">
        <v>2223146.2110000001</v>
      </c>
      <c r="O83" s="321">
        <v>1973443.219</v>
      </c>
      <c r="P83" s="321">
        <v>2295344.7149999999</v>
      </c>
      <c r="Q83" s="321">
        <v>1986335.662</v>
      </c>
      <c r="R83" s="321">
        <v>2341931.7799999998</v>
      </c>
      <c r="S83" s="321">
        <v>2204730.0819999999</v>
      </c>
      <c r="T83" s="321">
        <v>2438010.284</v>
      </c>
      <c r="U83" s="322">
        <v>2532730.0950000002</v>
      </c>
      <c r="V83" s="323">
        <v>27870372.379999995</v>
      </c>
      <c r="W83" s="303"/>
      <c r="X83" s="324">
        <v>2532730.0950000002</v>
      </c>
      <c r="Y83" s="325">
        <v>27870372.379999995</v>
      </c>
    </row>
    <row r="84" spans="1:25" hidden="1" outlineLevel="1" x14ac:dyDescent="0.3">
      <c r="E84" s="250" t="s">
        <v>991</v>
      </c>
      <c r="F84" s="317">
        <v>4100709</v>
      </c>
      <c r="G84" s="318"/>
      <c r="H84" s="319"/>
      <c r="I84" s="320"/>
      <c r="J84" s="337">
        <v>2212925.5019999999</v>
      </c>
      <c r="K84" s="321">
        <v>2118485.6490000002</v>
      </c>
      <c r="L84" s="321">
        <v>2089454.3319999999</v>
      </c>
      <c r="M84" s="321">
        <v>1965513.791</v>
      </c>
      <c r="N84" s="321">
        <v>2679345.6690000002</v>
      </c>
      <c r="O84" s="321">
        <v>2218973.98</v>
      </c>
      <c r="P84" s="321">
        <v>2365246.0040000002</v>
      </c>
      <c r="Q84" s="321">
        <v>1993143.19</v>
      </c>
      <c r="R84" s="321">
        <v>2278499.9470000002</v>
      </c>
      <c r="S84" s="321">
        <v>2392341.0079999999</v>
      </c>
      <c r="T84" s="321">
        <v>2092445.1329999999</v>
      </c>
      <c r="U84" s="322">
        <v>1996461.004</v>
      </c>
      <c r="V84" s="323">
        <v>26402835.209000006</v>
      </c>
      <c r="W84" s="303"/>
      <c r="X84" s="324">
        <v>1996461.004</v>
      </c>
      <c r="Y84" s="325">
        <v>26402835.209000006</v>
      </c>
    </row>
    <row r="85" spans="1:25" hidden="1" outlineLevel="1" x14ac:dyDescent="0.3">
      <c r="E85" s="250" t="s">
        <v>992</v>
      </c>
      <c r="F85" s="317">
        <v>4100793</v>
      </c>
      <c r="G85" s="318"/>
      <c r="H85" s="319"/>
      <c r="I85" s="320"/>
      <c r="J85" s="337">
        <v>696159.08400000003</v>
      </c>
      <c r="K85" s="321">
        <v>688045.45499999996</v>
      </c>
      <c r="L85" s="321">
        <v>790431.81799999997</v>
      </c>
      <c r="M85" s="321">
        <v>702500</v>
      </c>
      <c r="N85" s="321">
        <v>701477.27300000004</v>
      </c>
      <c r="O85" s="321">
        <v>590772.72699999996</v>
      </c>
      <c r="P85" s="321">
        <v>567227.27300000004</v>
      </c>
      <c r="Q85" s="321">
        <v>626068.18200000003</v>
      </c>
      <c r="R85" s="321">
        <v>493545.44900000002</v>
      </c>
      <c r="S85" s="321">
        <v>439477.27299999999</v>
      </c>
      <c r="T85" s="321">
        <v>583090.90899999999</v>
      </c>
      <c r="U85" s="322">
        <v>603522.72699999996</v>
      </c>
      <c r="V85" s="323">
        <v>7482318.1699999999</v>
      </c>
      <c r="W85" s="303"/>
      <c r="X85" s="324">
        <v>603522.72699999996</v>
      </c>
      <c r="Y85" s="325">
        <v>7482318.1699999999</v>
      </c>
    </row>
    <row r="86" spans="1:25" hidden="1" outlineLevel="1" x14ac:dyDescent="0.3">
      <c r="E86" s="250" t="s">
        <v>993</v>
      </c>
      <c r="F86" s="317">
        <v>4100799</v>
      </c>
      <c r="G86" s="318"/>
      <c r="H86" s="319"/>
      <c r="I86" s="320"/>
      <c r="J86" s="337">
        <v>0</v>
      </c>
      <c r="K86" s="321">
        <v>0</v>
      </c>
      <c r="L86" s="321">
        <v>0</v>
      </c>
      <c r="M86" s="321">
        <v>0</v>
      </c>
      <c r="N86" s="321">
        <v>0</v>
      </c>
      <c r="O86" s="321">
        <v>0</v>
      </c>
      <c r="P86" s="321">
        <v>0</v>
      </c>
      <c r="Q86" s="321">
        <v>0</v>
      </c>
      <c r="R86" s="321">
        <v>0</v>
      </c>
      <c r="S86" s="321">
        <v>0</v>
      </c>
      <c r="T86" s="321">
        <v>0</v>
      </c>
      <c r="U86" s="322">
        <v>0</v>
      </c>
      <c r="V86" s="323">
        <v>0</v>
      </c>
      <c r="W86" s="303"/>
      <c r="X86" s="324">
        <v>0</v>
      </c>
      <c r="Y86" s="325">
        <v>0</v>
      </c>
    </row>
    <row r="87" spans="1:25" s="361" customFormat="1" hidden="1" outlineLevel="2" x14ac:dyDescent="0.3">
      <c r="E87" s="326" t="s">
        <v>994</v>
      </c>
      <c r="F87" s="351"/>
      <c r="G87" s="352"/>
      <c r="H87" s="353"/>
      <c r="I87" s="354"/>
      <c r="J87" s="337">
        <v>0</v>
      </c>
      <c r="K87" s="355">
        <v>0</v>
      </c>
      <c r="L87" s="355">
        <v>0</v>
      </c>
      <c r="M87" s="355">
        <v>0</v>
      </c>
      <c r="N87" s="355">
        <v>0</v>
      </c>
      <c r="O87" s="355">
        <v>0</v>
      </c>
      <c r="P87" s="355">
        <v>0</v>
      </c>
      <c r="Q87" s="355">
        <v>0</v>
      </c>
      <c r="R87" s="355">
        <v>0</v>
      </c>
      <c r="S87" s="355">
        <v>0</v>
      </c>
      <c r="T87" s="355">
        <v>0</v>
      </c>
      <c r="U87" s="356">
        <v>0</v>
      </c>
      <c r="V87" s="357">
        <v>0</v>
      </c>
      <c r="W87" s="358"/>
      <c r="X87" s="359">
        <v>0</v>
      </c>
      <c r="Y87" s="360">
        <v>0</v>
      </c>
    </row>
    <row r="88" spans="1:25" s="361" customFormat="1" hidden="1" outlineLevel="2" x14ac:dyDescent="0.3">
      <c r="E88" s="326" t="s">
        <v>995</v>
      </c>
      <c r="F88" s="351"/>
      <c r="G88" s="352"/>
      <c r="H88" s="353"/>
      <c r="I88" s="354"/>
      <c r="J88" s="337">
        <v>0</v>
      </c>
      <c r="K88" s="355">
        <v>0</v>
      </c>
      <c r="L88" s="355">
        <v>0</v>
      </c>
      <c r="M88" s="355">
        <v>0</v>
      </c>
      <c r="N88" s="355">
        <v>0</v>
      </c>
      <c r="O88" s="355">
        <v>0</v>
      </c>
      <c r="P88" s="355">
        <v>0</v>
      </c>
      <c r="Q88" s="355">
        <v>0</v>
      </c>
      <c r="R88" s="355">
        <v>0</v>
      </c>
      <c r="S88" s="355">
        <v>0</v>
      </c>
      <c r="T88" s="355">
        <v>0</v>
      </c>
      <c r="U88" s="356">
        <v>0</v>
      </c>
      <c r="V88" s="357">
        <v>0</v>
      </c>
      <c r="W88" s="358"/>
      <c r="X88" s="359">
        <v>0</v>
      </c>
      <c r="Y88" s="360">
        <v>0</v>
      </c>
    </row>
    <row r="89" spans="1:25" s="361" customFormat="1" hidden="1" outlineLevel="2" x14ac:dyDescent="0.3">
      <c r="E89" s="326" t="s">
        <v>996</v>
      </c>
      <c r="F89" s="351"/>
      <c r="G89" s="352"/>
      <c r="H89" s="353"/>
      <c r="I89" s="354"/>
      <c r="J89" s="337">
        <v>0</v>
      </c>
      <c r="K89" s="355">
        <v>0</v>
      </c>
      <c r="L89" s="355">
        <v>0</v>
      </c>
      <c r="M89" s="355">
        <v>0</v>
      </c>
      <c r="N89" s="355">
        <v>0</v>
      </c>
      <c r="O89" s="355">
        <v>0</v>
      </c>
      <c r="P89" s="355">
        <v>0</v>
      </c>
      <c r="Q89" s="355">
        <v>0</v>
      </c>
      <c r="R89" s="355">
        <v>0</v>
      </c>
      <c r="S89" s="355">
        <v>0</v>
      </c>
      <c r="T89" s="355">
        <v>0</v>
      </c>
      <c r="U89" s="356">
        <v>0</v>
      </c>
      <c r="V89" s="357">
        <v>0</v>
      </c>
      <c r="W89" s="358"/>
      <c r="X89" s="359">
        <v>0</v>
      </c>
      <c r="Y89" s="360">
        <v>0</v>
      </c>
    </row>
    <row r="90" spans="1:25" collapsed="1" x14ac:dyDescent="0.3">
      <c r="A90" s="233"/>
      <c r="B90" s="234" t="s">
        <v>5</v>
      </c>
      <c r="D90" s="293" t="s">
        <v>997</v>
      </c>
      <c r="E90" s="294"/>
      <c r="F90" s="295" t="s">
        <v>998</v>
      </c>
      <c r="G90" s="296"/>
      <c r="H90" s="297"/>
      <c r="I90" s="298"/>
      <c r="J90" s="299">
        <v>-5265036.4649999999</v>
      </c>
      <c r="K90" s="300">
        <v>-4863150.432</v>
      </c>
      <c r="L90" s="300">
        <v>-4408994.7579999994</v>
      </c>
      <c r="M90" s="300">
        <v>-4891118.8400000008</v>
      </c>
      <c r="N90" s="300">
        <v>-4596557.3490000004</v>
      </c>
      <c r="O90" s="300">
        <v>-4265745.193</v>
      </c>
      <c r="P90" s="300">
        <v>-4895151.8269999996</v>
      </c>
      <c r="Q90" s="300">
        <v>-4123188.3110000002</v>
      </c>
      <c r="R90" s="300">
        <v>-7177115.8029999994</v>
      </c>
      <c r="S90" s="300">
        <v>-4360264.6109999996</v>
      </c>
      <c r="T90" s="300">
        <v>-3182627.3369999998</v>
      </c>
      <c r="U90" s="301">
        <v>-4817837.8569999998</v>
      </c>
      <c r="V90" s="302">
        <v>-56846788.783</v>
      </c>
      <c r="W90" s="303"/>
      <c r="X90" s="304">
        <v>-4817837.8569999998</v>
      </c>
      <c r="Y90" s="305">
        <v>-56846788.783</v>
      </c>
    </row>
    <row r="91" spans="1:25" hidden="1" outlineLevel="1" x14ac:dyDescent="0.3">
      <c r="E91" s="250" t="s">
        <v>999</v>
      </c>
      <c r="F91" s="317">
        <v>4100798</v>
      </c>
      <c r="G91" s="318"/>
      <c r="H91" s="319"/>
      <c r="I91" s="320"/>
      <c r="J91" s="337">
        <v>-1273635.7450000001</v>
      </c>
      <c r="K91" s="321">
        <v>-159544.158</v>
      </c>
      <c r="L91" s="321">
        <v>599183.08499999996</v>
      </c>
      <c r="M91" s="321">
        <v>-154420.402</v>
      </c>
      <c r="N91" s="321">
        <v>70832.86</v>
      </c>
      <c r="O91" s="321">
        <v>-75484.142999999996</v>
      </c>
      <c r="P91" s="321">
        <v>-171079.51199999999</v>
      </c>
      <c r="Q91" s="321">
        <v>299295.54399999999</v>
      </c>
      <c r="R91" s="321">
        <v>-2112998.037</v>
      </c>
      <c r="S91" s="321">
        <v>761565.772</v>
      </c>
      <c r="T91" s="321">
        <v>1252197.531</v>
      </c>
      <c r="U91" s="322">
        <v>34972.553</v>
      </c>
      <c r="V91" s="323">
        <v>-929114.65200000058</v>
      </c>
      <c r="W91" s="303"/>
      <c r="X91" s="324">
        <v>34972.553</v>
      </c>
      <c r="Y91" s="325">
        <v>-929114.65200000058</v>
      </c>
    </row>
    <row r="92" spans="1:25" hidden="1" outlineLevel="1" x14ac:dyDescent="0.3">
      <c r="E92" s="250" t="s">
        <v>1000</v>
      </c>
      <c r="F92" s="317">
        <v>4100796</v>
      </c>
      <c r="G92" s="318"/>
      <c r="H92" s="319"/>
      <c r="I92" s="320"/>
      <c r="J92" s="337">
        <v>0</v>
      </c>
      <c r="K92" s="321">
        <v>0</v>
      </c>
      <c r="L92" s="321">
        <v>25229.874</v>
      </c>
      <c r="M92" s="321">
        <v>0</v>
      </c>
      <c r="N92" s="321">
        <v>0</v>
      </c>
      <c r="O92" s="321">
        <v>-146818.861</v>
      </c>
      <c r="P92" s="321">
        <v>0</v>
      </c>
      <c r="Q92" s="321">
        <v>0</v>
      </c>
      <c r="R92" s="321">
        <v>16188.173000000001</v>
      </c>
      <c r="S92" s="321">
        <v>0</v>
      </c>
      <c r="T92" s="321">
        <v>0</v>
      </c>
      <c r="U92" s="322">
        <v>88773.08</v>
      </c>
      <c r="V92" s="323">
        <v>-16627.734000000011</v>
      </c>
      <c r="W92" s="303"/>
      <c r="X92" s="324">
        <v>88773.08</v>
      </c>
      <c r="Y92" s="325">
        <v>-16627.734000000011</v>
      </c>
    </row>
    <row r="93" spans="1:25" hidden="1" outlineLevel="1" x14ac:dyDescent="0.3">
      <c r="E93" s="250" t="s">
        <v>1001</v>
      </c>
      <c r="F93" s="317">
        <v>4100795</v>
      </c>
      <c r="G93" s="318"/>
      <c r="H93" s="319"/>
      <c r="I93" s="320"/>
      <c r="J93" s="337">
        <v>0</v>
      </c>
      <c r="K93" s="321">
        <v>0</v>
      </c>
      <c r="L93" s="321">
        <v>-358118.58799999999</v>
      </c>
      <c r="M93" s="321">
        <v>0</v>
      </c>
      <c r="N93" s="321">
        <v>0</v>
      </c>
      <c r="O93" s="321">
        <v>423978.25900000002</v>
      </c>
      <c r="P93" s="321">
        <v>0</v>
      </c>
      <c r="Q93" s="321">
        <v>0</v>
      </c>
      <c r="R93" s="321">
        <v>9344.09</v>
      </c>
      <c r="S93" s="321">
        <v>0</v>
      </c>
      <c r="T93" s="321">
        <v>0</v>
      </c>
      <c r="U93" s="322">
        <v>-29258.108</v>
      </c>
      <c r="V93" s="323">
        <v>45945.653000000028</v>
      </c>
      <c r="W93" s="303"/>
      <c r="X93" s="324">
        <v>-29258.108</v>
      </c>
      <c r="Y93" s="325">
        <v>45945.653000000028</v>
      </c>
    </row>
    <row r="94" spans="1:25" hidden="1" outlineLevel="1" x14ac:dyDescent="0.3">
      <c r="E94" s="250" t="s">
        <v>1002</v>
      </c>
      <c r="F94" s="317">
        <v>4100794</v>
      </c>
      <c r="G94" s="318"/>
      <c r="H94" s="319"/>
      <c r="I94" s="320"/>
      <c r="J94" s="337">
        <v>-1322869.5449999999</v>
      </c>
      <c r="K94" s="321">
        <v>-1890876.38</v>
      </c>
      <c r="L94" s="321">
        <v>-1543371.8430000001</v>
      </c>
      <c r="M94" s="321">
        <v>-1600395.656</v>
      </c>
      <c r="N94" s="321">
        <v>-1471847.8529999999</v>
      </c>
      <c r="O94" s="321">
        <v>-1443080.6459999999</v>
      </c>
      <c r="P94" s="321">
        <v>-1735093.378</v>
      </c>
      <c r="Q94" s="321">
        <v>-1422868.3149999999</v>
      </c>
      <c r="R94" s="321">
        <v>-1570845.047</v>
      </c>
      <c r="S94" s="321">
        <v>-1853570.0859999999</v>
      </c>
      <c r="T94" s="321">
        <v>-1605273.3570000001</v>
      </c>
      <c r="U94" s="322">
        <v>-1886149.5530000001</v>
      </c>
      <c r="V94" s="323">
        <v>-19346241.658999998</v>
      </c>
      <c r="W94" s="303"/>
      <c r="X94" s="324">
        <v>-1886149.5530000001</v>
      </c>
      <c r="Y94" s="325">
        <v>-19346241.658999998</v>
      </c>
    </row>
    <row r="95" spans="1:25" hidden="1" outlineLevel="1" x14ac:dyDescent="0.3">
      <c r="E95" s="250" t="s">
        <v>1003</v>
      </c>
      <c r="F95" s="317">
        <v>4100797</v>
      </c>
      <c r="G95" s="318"/>
      <c r="H95" s="319"/>
      <c r="I95" s="320"/>
      <c r="J95" s="337">
        <v>-241932.9</v>
      </c>
      <c r="K95" s="321">
        <v>-290374.50099999999</v>
      </c>
      <c r="L95" s="321">
        <v>-172135.03899999999</v>
      </c>
      <c r="M95" s="321">
        <v>-311740.45</v>
      </c>
      <c r="N95" s="321">
        <v>-306806.2</v>
      </c>
      <c r="O95" s="321">
        <v>-527055.478</v>
      </c>
      <c r="P95" s="321">
        <v>-322095.75099999999</v>
      </c>
      <c r="Q95" s="321">
        <v>-267798.7</v>
      </c>
      <c r="R95" s="321">
        <v>-738954.26699999999</v>
      </c>
      <c r="S95" s="321">
        <v>-273314.32500000001</v>
      </c>
      <c r="T95" s="321">
        <v>-269670.59999999998</v>
      </c>
      <c r="U95" s="322">
        <v>-498516.641</v>
      </c>
      <c r="V95" s="323">
        <v>-4220394.8520000009</v>
      </c>
      <c r="W95" s="303"/>
      <c r="X95" s="324">
        <v>-498516.641</v>
      </c>
      <c r="Y95" s="325">
        <v>-4220394.8520000009</v>
      </c>
    </row>
    <row r="96" spans="1:25" s="361" customFormat="1" hidden="1" outlineLevel="2" x14ac:dyDescent="0.3">
      <c r="E96" s="350" t="s">
        <v>1004</v>
      </c>
      <c r="F96" s="306">
        <v>4100792</v>
      </c>
      <c r="G96" s="307"/>
      <c r="H96" s="308"/>
      <c r="I96" s="309"/>
      <c r="J96" s="310">
        <v>-3905.3969999999999</v>
      </c>
      <c r="K96" s="311">
        <v>-1580.2660000000001</v>
      </c>
      <c r="L96" s="311">
        <v>-1851.499</v>
      </c>
      <c r="M96" s="311">
        <v>-2149.3739999999998</v>
      </c>
      <c r="N96" s="311">
        <v>-2207.7249999999999</v>
      </c>
      <c r="O96" s="311">
        <v>-2053.2260000000001</v>
      </c>
      <c r="P96" s="311">
        <v>-2319.116</v>
      </c>
      <c r="Q96" s="311">
        <v>-2007.7760000000001</v>
      </c>
      <c r="R96" s="311">
        <v>-1801.46</v>
      </c>
      <c r="S96" s="311">
        <v>-2416.1709999999998</v>
      </c>
      <c r="T96" s="311">
        <v>-2190.6260000000002</v>
      </c>
      <c r="U96" s="312">
        <v>-1793.0640000000001</v>
      </c>
      <c r="V96" s="313">
        <v>-26275.699999999997</v>
      </c>
      <c r="W96" s="314"/>
      <c r="X96" s="315">
        <v>-1793.0640000000001</v>
      </c>
      <c r="Y96" s="316">
        <v>-26275.699999999997</v>
      </c>
    </row>
    <row r="97" spans="1:25" s="350" customFormat="1" hidden="1" outlineLevel="2" x14ac:dyDescent="0.3">
      <c r="E97" s="350" t="s">
        <v>1005</v>
      </c>
      <c r="F97" s="306">
        <v>4100791</v>
      </c>
      <c r="G97" s="307"/>
      <c r="H97" s="308"/>
      <c r="I97" s="309"/>
      <c r="J97" s="310">
        <v>-2422692.878</v>
      </c>
      <c r="K97" s="311">
        <v>-2513895.798</v>
      </c>
      <c r="L97" s="311">
        <v>-2799043.8849999998</v>
      </c>
      <c r="M97" s="311">
        <v>-2712183.8930000002</v>
      </c>
      <c r="N97" s="311">
        <v>-2777412.1170000001</v>
      </c>
      <c r="O97" s="311">
        <v>-2444737.398</v>
      </c>
      <c r="P97" s="311">
        <v>-2604916.9559999998</v>
      </c>
      <c r="Q97" s="311">
        <v>-2601585.0180000002</v>
      </c>
      <c r="R97" s="311">
        <v>-2708306.608</v>
      </c>
      <c r="S97" s="311">
        <v>-2922572.2149999999</v>
      </c>
      <c r="T97" s="311">
        <v>-2536651.3939999999</v>
      </c>
      <c r="U97" s="312">
        <v>-2476793.324</v>
      </c>
      <c r="V97" s="313">
        <v>-31520791.484000001</v>
      </c>
      <c r="W97" s="314"/>
      <c r="X97" s="315">
        <v>-2476793.324</v>
      </c>
      <c r="Y97" s="316">
        <v>-31520791.484000001</v>
      </c>
    </row>
    <row r="98" spans="1:25" s="350" customFormat="1" hidden="1" outlineLevel="2" x14ac:dyDescent="0.3">
      <c r="E98" s="350" t="s">
        <v>1006</v>
      </c>
      <c r="F98" s="306">
        <v>4100781</v>
      </c>
      <c r="G98" s="307">
        <v>4100783</v>
      </c>
      <c r="H98" s="308"/>
      <c r="I98" s="309"/>
      <c r="J98" s="310">
        <v>0</v>
      </c>
      <c r="K98" s="311">
        <v>-6879.3289999999997</v>
      </c>
      <c r="L98" s="311">
        <v>-158886.86300000001</v>
      </c>
      <c r="M98" s="311">
        <v>-110229.065</v>
      </c>
      <c r="N98" s="311">
        <v>-109116.31400000001</v>
      </c>
      <c r="O98" s="311">
        <v>-50493.7</v>
      </c>
      <c r="P98" s="311">
        <v>-59647.113999999994</v>
      </c>
      <c r="Q98" s="311">
        <v>-128224.046</v>
      </c>
      <c r="R98" s="311">
        <v>-69742.646999999997</v>
      </c>
      <c r="S98" s="311">
        <v>-69957.58600000001</v>
      </c>
      <c r="T98" s="311">
        <v>-21038.891</v>
      </c>
      <c r="U98" s="312">
        <v>-49072.799999999996</v>
      </c>
      <c r="V98" s="313">
        <v>-833288.35499999998</v>
      </c>
      <c r="W98" s="314"/>
      <c r="X98" s="315">
        <v>-49072.799999999996</v>
      </c>
      <c r="Y98" s="316">
        <v>-833288.35499999998</v>
      </c>
    </row>
    <row r="99" spans="1:25" collapsed="1" x14ac:dyDescent="0.3">
      <c r="A99" s="233"/>
      <c r="B99" s="234" t="s">
        <v>61</v>
      </c>
      <c r="D99" s="293" t="s">
        <v>1007</v>
      </c>
      <c r="E99" s="294"/>
      <c r="F99" s="295" t="s">
        <v>1008</v>
      </c>
      <c r="G99" s="296"/>
      <c r="H99" s="297"/>
      <c r="I99" s="298"/>
      <c r="J99" s="299">
        <v>21043067.659000002</v>
      </c>
      <c r="K99" s="300">
        <v>19481965.782000002</v>
      </c>
      <c r="L99" s="300">
        <v>21294211.842</v>
      </c>
      <c r="M99" s="300">
        <v>20889814.809</v>
      </c>
      <c r="N99" s="300">
        <v>22176374.409000002</v>
      </c>
      <c r="O99" s="300">
        <v>21774812.807</v>
      </c>
      <c r="P99" s="300">
        <v>22952974.544</v>
      </c>
      <c r="Q99" s="300">
        <v>21420652.886</v>
      </c>
      <c r="R99" s="300">
        <v>21222199.385000002</v>
      </c>
      <c r="S99" s="300">
        <v>21022509.804000001</v>
      </c>
      <c r="T99" s="300">
        <v>22939789.208000001</v>
      </c>
      <c r="U99" s="301">
        <v>23377028.138</v>
      </c>
      <c r="V99" s="302">
        <v>259595401.273</v>
      </c>
      <c r="W99" s="303"/>
      <c r="X99" s="304">
        <v>23377028.138</v>
      </c>
      <c r="Y99" s="305">
        <v>259595401.273</v>
      </c>
    </row>
    <row r="100" spans="1:25" hidden="1" outlineLevel="1" x14ac:dyDescent="0.3">
      <c r="E100" s="250" t="s">
        <v>1009</v>
      </c>
      <c r="F100" s="317">
        <v>4100801</v>
      </c>
      <c r="G100" s="318"/>
      <c r="H100" s="319">
        <v>4100070101</v>
      </c>
      <c r="I100" s="320"/>
      <c r="J100" s="337">
        <v>21043067.659000002</v>
      </c>
      <c r="K100" s="321">
        <v>19481965.782000002</v>
      </c>
      <c r="L100" s="321">
        <v>21294211.842</v>
      </c>
      <c r="M100" s="321">
        <v>20889814.809</v>
      </c>
      <c r="N100" s="321">
        <v>22176374.409000002</v>
      </c>
      <c r="O100" s="321">
        <v>21774812.807</v>
      </c>
      <c r="P100" s="321">
        <v>22952974.544</v>
      </c>
      <c r="Q100" s="321">
        <v>21420652.886</v>
      </c>
      <c r="R100" s="321">
        <v>21222199.385000002</v>
      </c>
      <c r="S100" s="321">
        <v>21022509.804000001</v>
      </c>
      <c r="T100" s="321">
        <v>22939789.208000001</v>
      </c>
      <c r="U100" s="322">
        <v>23377028.138</v>
      </c>
      <c r="V100" s="323">
        <v>259595401.273</v>
      </c>
      <c r="W100" s="303"/>
      <c r="X100" s="324">
        <v>23377028.138</v>
      </c>
      <c r="Y100" s="325">
        <v>259595401.273</v>
      </c>
    </row>
    <row r="101" spans="1:25" s="326" customFormat="1" hidden="1" outlineLevel="2" x14ac:dyDescent="0.3">
      <c r="E101" s="326" t="s">
        <v>1010</v>
      </c>
      <c r="F101" s="336"/>
      <c r="G101" s="327"/>
      <c r="H101" s="328"/>
      <c r="I101" s="329"/>
      <c r="J101" s="337">
        <v>0</v>
      </c>
      <c r="K101" s="330">
        <v>0</v>
      </c>
      <c r="L101" s="330">
        <v>0</v>
      </c>
      <c r="M101" s="330">
        <v>0</v>
      </c>
      <c r="N101" s="330">
        <v>0</v>
      </c>
      <c r="O101" s="330">
        <v>0</v>
      </c>
      <c r="P101" s="330">
        <v>0</v>
      </c>
      <c r="Q101" s="330">
        <v>0</v>
      </c>
      <c r="R101" s="330">
        <v>0</v>
      </c>
      <c r="S101" s="330">
        <v>0</v>
      </c>
      <c r="T101" s="330">
        <v>0</v>
      </c>
      <c r="U101" s="331">
        <v>0</v>
      </c>
      <c r="V101" s="332">
        <v>0</v>
      </c>
      <c r="W101" s="333"/>
      <c r="X101" s="334">
        <v>0</v>
      </c>
      <c r="Y101" s="335">
        <v>0</v>
      </c>
    </row>
    <row r="102" spans="1:25" s="326" customFormat="1" hidden="1" outlineLevel="2" x14ac:dyDescent="0.3">
      <c r="E102" s="326" t="s">
        <v>1011</v>
      </c>
      <c r="F102" s="336"/>
      <c r="G102" s="327"/>
      <c r="H102" s="328"/>
      <c r="I102" s="329"/>
      <c r="J102" s="337">
        <v>0</v>
      </c>
      <c r="K102" s="330">
        <v>0</v>
      </c>
      <c r="L102" s="330">
        <v>0</v>
      </c>
      <c r="M102" s="330">
        <v>0</v>
      </c>
      <c r="N102" s="330">
        <v>0</v>
      </c>
      <c r="O102" s="330">
        <v>0</v>
      </c>
      <c r="P102" s="330">
        <v>0</v>
      </c>
      <c r="Q102" s="330">
        <v>0</v>
      </c>
      <c r="R102" s="330">
        <v>0</v>
      </c>
      <c r="S102" s="330">
        <v>0</v>
      </c>
      <c r="T102" s="330">
        <v>0</v>
      </c>
      <c r="U102" s="331">
        <v>0</v>
      </c>
      <c r="V102" s="332">
        <v>0</v>
      </c>
      <c r="W102" s="333"/>
      <c r="X102" s="334">
        <v>0</v>
      </c>
      <c r="Y102" s="335">
        <v>0</v>
      </c>
    </row>
    <row r="103" spans="1:25" s="326" customFormat="1" hidden="1" outlineLevel="2" x14ac:dyDescent="0.3">
      <c r="E103" s="326" t="s">
        <v>1012</v>
      </c>
      <c r="F103" s="336"/>
      <c r="G103" s="327"/>
      <c r="H103" s="328"/>
      <c r="I103" s="329"/>
      <c r="J103" s="337">
        <v>0</v>
      </c>
      <c r="K103" s="330">
        <v>0</v>
      </c>
      <c r="L103" s="330">
        <v>0</v>
      </c>
      <c r="M103" s="330">
        <v>0</v>
      </c>
      <c r="N103" s="330">
        <v>0</v>
      </c>
      <c r="O103" s="330">
        <v>0</v>
      </c>
      <c r="P103" s="330">
        <v>0</v>
      </c>
      <c r="Q103" s="330">
        <v>0</v>
      </c>
      <c r="R103" s="330">
        <v>0</v>
      </c>
      <c r="S103" s="330">
        <v>0</v>
      </c>
      <c r="T103" s="330">
        <v>0</v>
      </c>
      <c r="U103" s="331">
        <v>0</v>
      </c>
      <c r="V103" s="332">
        <v>0</v>
      </c>
      <c r="W103" s="333"/>
      <c r="X103" s="334">
        <v>0</v>
      </c>
      <c r="Y103" s="335">
        <v>0</v>
      </c>
    </row>
    <row r="104" spans="1:25" collapsed="1" x14ac:dyDescent="0.3">
      <c r="A104" s="233"/>
      <c r="B104" s="234" t="s">
        <v>4</v>
      </c>
      <c r="D104" s="294" t="s">
        <v>1013</v>
      </c>
      <c r="E104" s="294"/>
      <c r="F104" s="295" t="s">
        <v>1014</v>
      </c>
      <c r="G104" s="296"/>
      <c r="H104" s="297"/>
      <c r="I104" s="298"/>
      <c r="J104" s="299">
        <v>283902.24200000003</v>
      </c>
      <c r="K104" s="300">
        <v>268675.13500000001</v>
      </c>
      <c r="L104" s="300">
        <v>205460.16700000002</v>
      </c>
      <c r="M104" s="300">
        <v>263687.58799999999</v>
      </c>
      <c r="N104" s="300">
        <v>262873.772</v>
      </c>
      <c r="O104" s="300">
        <v>262979.19900000002</v>
      </c>
      <c r="P104" s="300">
        <v>264681.93800000002</v>
      </c>
      <c r="Q104" s="300">
        <v>265773.82299999997</v>
      </c>
      <c r="R104" s="300">
        <v>265331.21799999999</v>
      </c>
      <c r="S104" s="300">
        <v>263657.745</v>
      </c>
      <c r="T104" s="300">
        <v>263662.82400000002</v>
      </c>
      <c r="U104" s="301">
        <v>265705.67200000002</v>
      </c>
      <c r="V104" s="302">
        <v>3136391.3230000003</v>
      </c>
      <c r="W104" s="303"/>
      <c r="X104" s="304">
        <v>265705.67200000002</v>
      </c>
      <c r="Y104" s="305">
        <v>3136391.3230000003</v>
      </c>
    </row>
    <row r="105" spans="1:25" hidden="1" outlineLevel="1" x14ac:dyDescent="0.3">
      <c r="E105" s="250" t="s">
        <v>1015</v>
      </c>
      <c r="F105" s="317">
        <v>4101001</v>
      </c>
      <c r="G105" s="318"/>
      <c r="H105" s="319">
        <v>4100050101</v>
      </c>
      <c r="I105" s="320"/>
      <c r="J105" s="337">
        <v>220194.61600000001</v>
      </c>
      <c r="K105" s="321">
        <v>207130.1</v>
      </c>
      <c r="L105" s="321">
        <v>146901.1</v>
      </c>
      <c r="M105" s="321">
        <v>207355.1</v>
      </c>
      <c r="N105" s="321">
        <v>207130.1</v>
      </c>
      <c r="O105" s="321">
        <v>207130.1</v>
      </c>
      <c r="P105" s="321">
        <v>207130.1</v>
      </c>
      <c r="Q105" s="321">
        <v>207130.1</v>
      </c>
      <c r="R105" s="321">
        <v>207130.1</v>
      </c>
      <c r="S105" s="321">
        <v>207130.1</v>
      </c>
      <c r="T105" s="321">
        <v>207884.44</v>
      </c>
      <c r="U105" s="322">
        <v>208544.5</v>
      </c>
      <c r="V105" s="323">
        <v>2440790.4560000002</v>
      </c>
      <c r="W105" s="303"/>
      <c r="X105" s="324">
        <v>208544.5</v>
      </c>
      <c r="Y105" s="325">
        <v>2440790.4560000002</v>
      </c>
    </row>
    <row r="106" spans="1:25" hidden="1" outlineLevel="1" x14ac:dyDescent="0.3">
      <c r="E106" s="250" t="s">
        <v>1016</v>
      </c>
      <c r="F106" s="317">
        <v>4101002</v>
      </c>
      <c r="G106" s="318"/>
      <c r="H106" s="319"/>
      <c r="I106" s="320"/>
      <c r="J106" s="337">
        <v>0</v>
      </c>
      <c r="K106" s="321">
        <v>0</v>
      </c>
      <c r="L106" s="321">
        <v>0</v>
      </c>
      <c r="M106" s="321">
        <v>0</v>
      </c>
      <c r="N106" s="321">
        <v>0</v>
      </c>
      <c r="O106" s="321">
        <v>0</v>
      </c>
      <c r="P106" s="321">
        <v>0</v>
      </c>
      <c r="Q106" s="321">
        <v>0</v>
      </c>
      <c r="R106" s="321">
        <v>0</v>
      </c>
      <c r="S106" s="321">
        <v>0</v>
      </c>
      <c r="T106" s="321">
        <v>0</v>
      </c>
      <c r="U106" s="322">
        <v>0</v>
      </c>
      <c r="V106" s="323">
        <v>0</v>
      </c>
      <c r="W106" s="303"/>
      <c r="X106" s="324">
        <v>0</v>
      </c>
      <c r="Y106" s="325">
        <v>0</v>
      </c>
    </row>
    <row r="107" spans="1:25" hidden="1" outlineLevel="1" x14ac:dyDescent="0.3">
      <c r="E107" s="250" t="s">
        <v>1017</v>
      </c>
      <c r="F107" s="317">
        <v>4101003</v>
      </c>
      <c r="G107" s="318"/>
      <c r="H107" s="319">
        <v>4100050103</v>
      </c>
      <c r="I107" s="320"/>
      <c r="J107" s="337">
        <v>63707.625999999997</v>
      </c>
      <c r="K107" s="321">
        <v>61545.035000000003</v>
      </c>
      <c r="L107" s="321">
        <v>58559.067000000003</v>
      </c>
      <c r="M107" s="321">
        <v>56332.487999999998</v>
      </c>
      <c r="N107" s="321">
        <v>55743.671999999999</v>
      </c>
      <c r="O107" s="321">
        <v>55849.099000000002</v>
      </c>
      <c r="P107" s="321">
        <v>57551.838000000003</v>
      </c>
      <c r="Q107" s="321">
        <v>58643.722999999998</v>
      </c>
      <c r="R107" s="321">
        <v>58201.118000000002</v>
      </c>
      <c r="S107" s="321">
        <v>56527.644999999997</v>
      </c>
      <c r="T107" s="321">
        <v>55778.383999999998</v>
      </c>
      <c r="U107" s="322">
        <v>57161.171999999999</v>
      </c>
      <c r="V107" s="323">
        <v>695600.86699999997</v>
      </c>
      <c r="W107" s="303"/>
      <c r="X107" s="324">
        <v>57161.171999999999</v>
      </c>
      <c r="Y107" s="325">
        <v>695600.86699999997</v>
      </c>
    </row>
    <row r="108" spans="1:25" hidden="1" outlineLevel="1" x14ac:dyDescent="0.3">
      <c r="E108" s="250" t="s">
        <v>1018</v>
      </c>
      <c r="F108" s="317">
        <v>4101099</v>
      </c>
      <c r="G108" s="318"/>
      <c r="H108" s="319">
        <v>4100050105</v>
      </c>
      <c r="I108" s="320"/>
      <c r="J108" s="337">
        <v>0</v>
      </c>
      <c r="K108" s="321">
        <v>0</v>
      </c>
      <c r="L108" s="321">
        <v>0</v>
      </c>
      <c r="M108" s="321">
        <v>0</v>
      </c>
      <c r="N108" s="321">
        <v>0</v>
      </c>
      <c r="O108" s="321">
        <v>0</v>
      </c>
      <c r="P108" s="321">
        <v>0</v>
      </c>
      <c r="Q108" s="321">
        <v>0</v>
      </c>
      <c r="R108" s="321">
        <v>0</v>
      </c>
      <c r="S108" s="321">
        <v>0</v>
      </c>
      <c r="T108" s="321">
        <v>0</v>
      </c>
      <c r="U108" s="322">
        <v>0</v>
      </c>
      <c r="V108" s="323">
        <v>0</v>
      </c>
      <c r="W108" s="303"/>
      <c r="X108" s="324">
        <v>0</v>
      </c>
      <c r="Y108" s="325">
        <v>0</v>
      </c>
    </row>
    <row r="109" spans="1:25" s="361" customFormat="1" hidden="1" outlineLevel="2" x14ac:dyDescent="0.3">
      <c r="E109" s="326" t="s">
        <v>1019</v>
      </c>
      <c r="F109" s="351"/>
      <c r="G109" s="352"/>
      <c r="H109" s="353"/>
      <c r="I109" s="354"/>
      <c r="J109" s="337">
        <v>0</v>
      </c>
      <c r="K109" s="355">
        <v>0</v>
      </c>
      <c r="L109" s="355">
        <v>0</v>
      </c>
      <c r="M109" s="355">
        <v>0</v>
      </c>
      <c r="N109" s="355">
        <v>0</v>
      </c>
      <c r="O109" s="355">
        <v>0</v>
      </c>
      <c r="P109" s="355">
        <v>0</v>
      </c>
      <c r="Q109" s="355">
        <v>0</v>
      </c>
      <c r="R109" s="355">
        <v>0</v>
      </c>
      <c r="S109" s="355">
        <v>0</v>
      </c>
      <c r="T109" s="355">
        <v>0</v>
      </c>
      <c r="U109" s="356">
        <v>0</v>
      </c>
      <c r="V109" s="357">
        <v>0</v>
      </c>
      <c r="W109" s="358"/>
      <c r="X109" s="359">
        <v>0</v>
      </c>
      <c r="Y109" s="360">
        <v>0</v>
      </c>
    </row>
    <row r="110" spans="1:25" s="361" customFormat="1" hidden="1" outlineLevel="2" x14ac:dyDescent="0.3">
      <c r="E110" s="326" t="s">
        <v>1020</v>
      </c>
      <c r="F110" s="351"/>
      <c r="G110" s="352"/>
      <c r="H110" s="353"/>
      <c r="I110" s="354"/>
      <c r="J110" s="337">
        <v>0</v>
      </c>
      <c r="K110" s="355">
        <v>0</v>
      </c>
      <c r="L110" s="355">
        <v>0</v>
      </c>
      <c r="M110" s="355">
        <v>0</v>
      </c>
      <c r="N110" s="355">
        <v>0</v>
      </c>
      <c r="O110" s="355">
        <v>0</v>
      </c>
      <c r="P110" s="355">
        <v>0</v>
      </c>
      <c r="Q110" s="355">
        <v>0</v>
      </c>
      <c r="R110" s="355">
        <v>0</v>
      </c>
      <c r="S110" s="355">
        <v>0</v>
      </c>
      <c r="T110" s="355">
        <v>0</v>
      </c>
      <c r="U110" s="356">
        <v>0</v>
      </c>
      <c r="V110" s="357">
        <v>0</v>
      </c>
      <c r="W110" s="358"/>
      <c r="X110" s="359">
        <v>0</v>
      </c>
      <c r="Y110" s="360">
        <v>0</v>
      </c>
    </row>
    <row r="111" spans="1:25" s="361" customFormat="1" hidden="1" outlineLevel="2" x14ac:dyDescent="0.3">
      <c r="E111" s="326" t="s">
        <v>1021</v>
      </c>
      <c r="F111" s="351"/>
      <c r="G111" s="352"/>
      <c r="H111" s="353"/>
      <c r="I111" s="354"/>
      <c r="J111" s="337">
        <v>0</v>
      </c>
      <c r="K111" s="355">
        <v>0</v>
      </c>
      <c r="L111" s="355">
        <v>0</v>
      </c>
      <c r="M111" s="355">
        <v>0</v>
      </c>
      <c r="N111" s="355">
        <v>0</v>
      </c>
      <c r="O111" s="355">
        <v>0</v>
      </c>
      <c r="P111" s="355">
        <v>0</v>
      </c>
      <c r="Q111" s="355">
        <v>0</v>
      </c>
      <c r="R111" s="355">
        <v>0</v>
      </c>
      <c r="S111" s="355">
        <v>0</v>
      </c>
      <c r="T111" s="355">
        <v>0</v>
      </c>
      <c r="U111" s="356">
        <v>0</v>
      </c>
      <c r="V111" s="357">
        <v>0</v>
      </c>
      <c r="W111" s="358"/>
      <c r="X111" s="359">
        <v>0</v>
      </c>
      <c r="Y111" s="360">
        <v>0</v>
      </c>
    </row>
    <row r="112" spans="1:25" s="361" customFormat="1" hidden="1" outlineLevel="2" x14ac:dyDescent="0.3">
      <c r="E112" s="326" t="s">
        <v>1022</v>
      </c>
      <c r="F112" s="351"/>
      <c r="G112" s="352"/>
      <c r="H112" s="353"/>
      <c r="I112" s="354"/>
      <c r="J112" s="337">
        <v>0</v>
      </c>
      <c r="K112" s="355">
        <v>0</v>
      </c>
      <c r="L112" s="355">
        <v>0</v>
      </c>
      <c r="M112" s="355">
        <v>0</v>
      </c>
      <c r="N112" s="355">
        <v>0</v>
      </c>
      <c r="O112" s="355">
        <v>0</v>
      </c>
      <c r="P112" s="355">
        <v>0</v>
      </c>
      <c r="Q112" s="355">
        <v>0</v>
      </c>
      <c r="R112" s="355">
        <v>0</v>
      </c>
      <c r="S112" s="355">
        <v>0</v>
      </c>
      <c r="T112" s="355">
        <v>0</v>
      </c>
      <c r="U112" s="356">
        <v>0</v>
      </c>
      <c r="V112" s="357">
        <v>0</v>
      </c>
      <c r="W112" s="358"/>
      <c r="X112" s="359">
        <v>0</v>
      </c>
      <c r="Y112" s="360">
        <v>0</v>
      </c>
    </row>
    <row r="113" spans="1:25" s="361" customFormat="1" hidden="1" outlineLevel="2" x14ac:dyDescent="0.3">
      <c r="E113" s="326" t="s">
        <v>1023</v>
      </c>
      <c r="F113" s="351"/>
      <c r="G113" s="352"/>
      <c r="H113" s="353"/>
      <c r="I113" s="354"/>
      <c r="J113" s="337">
        <v>0</v>
      </c>
      <c r="K113" s="355">
        <v>0</v>
      </c>
      <c r="L113" s="355">
        <v>0</v>
      </c>
      <c r="M113" s="355">
        <v>0</v>
      </c>
      <c r="N113" s="355">
        <v>0</v>
      </c>
      <c r="O113" s="355">
        <v>0</v>
      </c>
      <c r="P113" s="355">
        <v>0</v>
      </c>
      <c r="Q113" s="355">
        <v>0</v>
      </c>
      <c r="R113" s="355">
        <v>0</v>
      </c>
      <c r="S113" s="355">
        <v>0</v>
      </c>
      <c r="T113" s="355">
        <v>0</v>
      </c>
      <c r="U113" s="356">
        <v>0</v>
      </c>
      <c r="V113" s="357">
        <v>0</v>
      </c>
      <c r="W113" s="358"/>
      <c r="X113" s="359">
        <v>0</v>
      </c>
      <c r="Y113" s="360">
        <v>0</v>
      </c>
    </row>
    <row r="114" spans="1:25" collapsed="1" x14ac:dyDescent="0.3">
      <c r="A114" s="233"/>
      <c r="B114" s="234" t="s">
        <v>4</v>
      </c>
      <c r="D114" s="293" t="s">
        <v>1024</v>
      </c>
      <c r="E114" s="294"/>
      <c r="F114" s="295" t="s">
        <v>1025</v>
      </c>
      <c r="G114" s="296"/>
      <c r="H114" s="297"/>
      <c r="I114" s="298"/>
      <c r="J114" s="299">
        <v>1539.5719999999999</v>
      </c>
      <c r="K114" s="300">
        <v>1542.8630000000001</v>
      </c>
      <c r="L114" s="300">
        <v>1546.1610000000001</v>
      </c>
      <c r="M114" s="300">
        <v>1549.4649999999999</v>
      </c>
      <c r="N114" s="300">
        <v>1552.778</v>
      </c>
      <c r="O114" s="300">
        <v>1556.098</v>
      </c>
      <c r="P114" s="300">
        <v>1559.4259999999999</v>
      </c>
      <c r="Q114" s="300">
        <v>1562.7619999999999</v>
      </c>
      <c r="R114" s="300">
        <v>1566.104</v>
      </c>
      <c r="S114" s="300">
        <v>1569.4570000000001</v>
      </c>
      <c r="T114" s="300">
        <v>1579.6220000000001</v>
      </c>
      <c r="U114" s="301">
        <v>1582.9960000000001</v>
      </c>
      <c r="V114" s="302">
        <v>18707.304</v>
      </c>
      <c r="W114" s="303"/>
      <c r="X114" s="304">
        <v>1582.9960000000001</v>
      </c>
      <c r="Y114" s="305">
        <v>18707.304</v>
      </c>
    </row>
    <row r="115" spans="1:25" hidden="1" outlineLevel="1" x14ac:dyDescent="0.3">
      <c r="E115" s="250" t="s">
        <v>1026</v>
      </c>
      <c r="F115" s="317">
        <v>4409882</v>
      </c>
      <c r="G115" s="318"/>
      <c r="H115" s="319">
        <v>4100050107</v>
      </c>
      <c r="I115" s="320"/>
      <c r="J115" s="337">
        <v>1539.5719999999999</v>
      </c>
      <c r="K115" s="321">
        <v>1542.8630000000001</v>
      </c>
      <c r="L115" s="321">
        <v>1546.1610000000001</v>
      </c>
      <c r="M115" s="321">
        <v>1549.4649999999999</v>
      </c>
      <c r="N115" s="321">
        <v>1552.778</v>
      </c>
      <c r="O115" s="321">
        <v>1556.098</v>
      </c>
      <c r="P115" s="321">
        <v>1559.4259999999999</v>
      </c>
      <c r="Q115" s="321">
        <v>1562.7619999999999</v>
      </c>
      <c r="R115" s="321">
        <v>1566.104</v>
      </c>
      <c r="S115" s="321">
        <v>1569.4570000000001</v>
      </c>
      <c r="T115" s="321">
        <v>1579.6220000000001</v>
      </c>
      <c r="U115" s="322">
        <v>1582.9960000000001</v>
      </c>
      <c r="V115" s="323">
        <v>18707.304</v>
      </c>
      <c r="W115" s="303"/>
      <c r="X115" s="324">
        <v>1582.9960000000001</v>
      </c>
      <c r="Y115" s="325">
        <v>18707.304</v>
      </c>
    </row>
    <row r="116" spans="1:25" s="326" customFormat="1" hidden="1" outlineLevel="2" x14ac:dyDescent="0.3">
      <c r="E116" s="326" t="s">
        <v>1027</v>
      </c>
      <c r="F116" s="336"/>
      <c r="G116" s="327"/>
      <c r="H116" s="328"/>
      <c r="I116" s="329"/>
      <c r="J116" s="337">
        <v>0</v>
      </c>
      <c r="K116" s="330">
        <v>0</v>
      </c>
      <c r="L116" s="330">
        <v>0</v>
      </c>
      <c r="M116" s="330">
        <v>0</v>
      </c>
      <c r="N116" s="330">
        <v>0</v>
      </c>
      <c r="O116" s="330">
        <v>0</v>
      </c>
      <c r="P116" s="330">
        <v>0</v>
      </c>
      <c r="Q116" s="330">
        <v>0</v>
      </c>
      <c r="R116" s="330">
        <v>0</v>
      </c>
      <c r="S116" s="330">
        <v>0</v>
      </c>
      <c r="T116" s="330">
        <v>0</v>
      </c>
      <c r="U116" s="331">
        <v>0</v>
      </c>
      <c r="V116" s="332">
        <v>0</v>
      </c>
      <c r="W116" s="333"/>
      <c r="X116" s="334">
        <v>0</v>
      </c>
      <c r="Y116" s="335">
        <v>0</v>
      </c>
    </row>
    <row r="117" spans="1:25" s="326" customFormat="1" hidden="1" outlineLevel="2" x14ac:dyDescent="0.3">
      <c r="E117" s="326" t="s">
        <v>1028</v>
      </c>
      <c r="F117" s="336"/>
      <c r="G117" s="327"/>
      <c r="H117" s="328"/>
      <c r="I117" s="329"/>
      <c r="J117" s="337">
        <v>0</v>
      </c>
      <c r="K117" s="330">
        <v>0</v>
      </c>
      <c r="L117" s="330">
        <v>0</v>
      </c>
      <c r="M117" s="330">
        <v>0</v>
      </c>
      <c r="N117" s="330">
        <v>0</v>
      </c>
      <c r="O117" s="330">
        <v>0</v>
      </c>
      <c r="P117" s="330">
        <v>0</v>
      </c>
      <c r="Q117" s="330">
        <v>0</v>
      </c>
      <c r="R117" s="330">
        <v>0</v>
      </c>
      <c r="S117" s="330">
        <v>0</v>
      </c>
      <c r="T117" s="330">
        <v>0</v>
      </c>
      <c r="U117" s="331">
        <v>0</v>
      </c>
      <c r="V117" s="332">
        <v>0</v>
      </c>
      <c r="W117" s="333"/>
      <c r="X117" s="334">
        <v>0</v>
      </c>
      <c r="Y117" s="335">
        <v>0</v>
      </c>
    </row>
    <row r="118" spans="1:25" s="326" customFormat="1" hidden="1" outlineLevel="2" x14ac:dyDescent="0.3">
      <c r="E118" s="326" t="s">
        <v>1029</v>
      </c>
      <c r="F118" s="336"/>
      <c r="G118" s="327"/>
      <c r="H118" s="328"/>
      <c r="I118" s="329"/>
      <c r="J118" s="337">
        <v>0</v>
      </c>
      <c r="K118" s="330">
        <v>0</v>
      </c>
      <c r="L118" s="330">
        <v>0</v>
      </c>
      <c r="M118" s="330">
        <v>0</v>
      </c>
      <c r="N118" s="330">
        <v>0</v>
      </c>
      <c r="O118" s="330">
        <v>0</v>
      </c>
      <c r="P118" s="330">
        <v>0</v>
      </c>
      <c r="Q118" s="330">
        <v>0</v>
      </c>
      <c r="R118" s="330">
        <v>0</v>
      </c>
      <c r="S118" s="330">
        <v>0</v>
      </c>
      <c r="T118" s="330">
        <v>0</v>
      </c>
      <c r="U118" s="331">
        <v>0</v>
      </c>
      <c r="V118" s="332">
        <v>0</v>
      </c>
      <c r="W118" s="333"/>
      <c r="X118" s="334">
        <v>0</v>
      </c>
      <c r="Y118" s="335">
        <v>0</v>
      </c>
    </row>
    <row r="119" spans="1:25" collapsed="1" x14ac:dyDescent="0.3">
      <c r="A119" s="233"/>
      <c r="B119" s="234" t="s">
        <v>5</v>
      </c>
      <c r="D119" s="294" t="s">
        <v>1030</v>
      </c>
      <c r="E119" s="294"/>
      <c r="F119" s="295" t="s">
        <v>1031</v>
      </c>
      <c r="G119" s="296"/>
      <c r="H119" s="297"/>
      <c r="I119" s="298"/>
      <c r="J119" s="299">
        <v>124511.622</v>
      </c>
      <c r="K119" s="300">
        <v>134267.32</v>
      </c>
      <c r="L119" s="300">
        <v>98114.264999999999</v>
      </c>
      <c r="M119" s="300">
        <v>68648.558999999994</v>
      </c>
      <c r="N119" s="300">
        <v>64538.23</v>
      </c>
      <c r="O119" s="300">
        <v>115704.254</v>
      </c>
      <c r="P119" s="300">
        <v>206016.24299999999</v>
      </c>
      <c r="Q119" s="300">
        <v>183946.524</v>
      </c>
      <c r="R119" s="300">
        <v>130541.63</v>
      </c>
      <c r="S119" s="300">
        <v>173078.69399999999</v>
      </c>
      <c r="T119" s="300">
        <v>194628.967</v>
      </c>
      <c r="U119" s="301">
        <v>147931.921</v>
      </c>
      <c r="V119" s="302">
        <v>1641928.2290000001</v>
      </c>
      <c r="W119" s="303"/>
      <c r="X119" s="304">
        <v>147931.921</v>
      </c>
      <c r="Y119" s="305">
        <v>1641928.2290000001</v>
      </c>
    </row>
    <row r="120" spans="1:25" ht="17.45" hidden="1" customHeight="1" outlineLevel="1" x14ac:dyDescent="0.3">
      <c r="E120" s="250" t="s">
        <v>1032</v>
      </c>
      <c r="F120" s="317">
        <v>4109001</v>
      </c>
      <c r="G120" s="318"/>
      <c r="H120" s="319">
        <v>4100990109</v>
      </c>
      <c r="I120" s="320"/>
      <c r="J120" s="337">
        <v>0</v>
      </c>
      <c r="K120" s="321">
        <v>0</v>
      </c>
      <c r="L120" s="321">
        <v>0</v>
      </c>
      <c r="M120" s="321">
        <v>0</v>
      </c>
      <c r="N120" s="321">
        <v>0</v>
      </c>
      <c r="O120" s="321">
        <v>0</v>
      </c>
      <c r="P120" s="321">
        <v>0</v>
      </c>
      <c r="Q120" s="321">
        <v>0</v>
      </c>
      <c r="R120" s="321">
        <v>0</v>
      </c>
      <c r="S120" s="321">
        <v>0</v>
      </c>
      <c r="T120" s="321">
        <v>0</v>
      </c>
      <c r="U120" s="322">
        <v>0</v>
      </c>
      <c r="V120" s="323">
        <v>0</v>
      </c>
      <c r="W120" s="303"/>
      <c r="X120" s="324">
        <v>0</v>
      </c>
      <c r="Y120" s="325">
        <v>0</v>
      </c>
    </row>
    <row r="121" spans="1:25" ht="17.45" hidden="1" customHeight="1" outlineLevel="1" x14ac:dyDescent="0.3">
      <c r="E121" s="250" t="s">
        <v>1033</v>
      </c>
      <c r="F121" s="317">
        <v>4109002</v>
      </c>
      <c r="G121" s="318">
        <v>4109022</v>
      </c>
      <c r="H121" s="319"/>
      <c r="I121" s="320"/>
      <c r="J121" s="337">
        <v>0</v>
      </c>
      <c r="K121" s="321">
        <v>0</v>
      </c>
      <c r="L121" s="321">
        <v>0</v>
      </c>
      <c r="M121" s="321">
        <v>0</v>
      </c>
      <c r="N121" s="321">
        <v>0</v>
      </c>
      <c r="O121" s="321">
        <v>0</v>
      </c>
      <c r="P121" s="321">
        <v>0</v>
      </c>
      <c r="Q121" s="321">
        <v>0</v>
      </c>
      <c r="R121" s="321">
        <v>0</v>
      </c>
      <c r="S121" s="321">
        <v>0</v>
      </c>
      <c r="T121" s="321">
        <v>0</v>
      </c>
      <c r="U121" s="322">
        <v>0</v>
      </c>
      <c r="V121" s="323">
        <v>0</v>
      </c>
      <c r="W121" s="303"/>
      <c r="X121" s="324">
        <v>0</v>
      </c>
      <c r="Y121" s="325">
        <v>0</v>
      </c>
    </row>
    <row r="122" spans="1:25" ht="17.45" hidden="1" customHeight="1" outlineLevel="1" x14ac:dyDescent="0.3">
      <c r="E122" s="250" t="s">
        <v>1034</v>
      </c>
      <c r="F122" s="317">
        <v>4109003</v>
      </c>
      <c r="G122" s="318"/>
      <c r="H122" s="319">
        <v>4100990101</v>
      </c>
      <c r="I122" s="320"/>
      <c r="J122" s="337">
        <v>0</v>
      </c>
      <c r="K122" s="321">
        <v>0</v>
      </c>
      <c r="L122" s="321">
        <v>0</v>
      </c>
      <c r="M122" s="321">
        <v>0</v>
      </c>
      <c r="N122" s="321">
        <v>0</v>
      </c>
      <c r="O122" s="321">
        <v>0</v>
      </c>
      <c r="P122" s="321">
        <v>0</v>
      </c>
      <c r="Q122" s="321">
        <v>0</v>
      </c>
      <c r="R122" s="321">
        <v>0</v>
      </c>
      <c r="S122" s="321">
        <v>0</v>
      </c>
      <c r="T122" s="321">
        <v>0</v>
      </c>
      <c r="U122" s="322">
        <v>0</v>
      </c>
      <c r="V122" s="323">
        <v>0</v>
      </c>
      <c r="W122" s="303"/>
      <c r="X122" s="324">
        <v>0</v>
      </c>
      <c r="Y122" s="325">
        <v>0</v>
      </c>
    </row>
    <row r="123" spans="1:25" ht="17.45" hidden="1" customHeight="1" outlineLevel="1" x14ac:dyDescent="0.3">
      <c r="E123" s="250" t="s">
        <v>1035</v>
      </c>
      <c r="F123" s="317">
        <v>4109004</v>
      </c>
      <c r="G123" s="318"/>
      <c r="H123" s="319"/>
      <c r="I123" s="320"/>
      <c r="J123" s="337">
        <v>0</v>
      </c>
      <c r="K123" s="321">
        <v>0</v>
      </c>
      <c r="L123" s="321">
        <v>0</v>
      </c>
      <c r="M123" s="321">
        <v>0</v>
      </c>
      <c r="N123" s="321">
        <v>0</v>
      </c>
      <c r="O123" s="321">
        <v>0</v>
      </c>
      <c r="P123" s="321">
        <v>0</v>
      </c>
      <c r="Q123" s="321">
        <v>0</v>
      </c>
      <c r="R123" s="321">
        <v>0</v>
      </c>
      <c r="S123" s="321">
        <v>0</v>
      </c>
      <c r="T123" s="321">
        <v>0</v>
      </c>
      <c r="U123" s="322">
        <v>0</v>
      </c>
      <c r="V123" s="323">
        <v>0</v>
      </c>
      <c r="W123" s="303"/>
      <c r="X123" s="324">
        <v>0</v>
      </c>
      <c r="Y123" s="325">
        <v>0</v>
      </c>
    </row>
    <row r="124" spans="1:25" ht="17.45" hidden="1" customHeight="1" outlineLevel="1" x14ac:dyDescent="0.3">
      <c r="E124" s="250" t="s">
        <v>1036</v>
      </c>
      <c r="F124" s="317">
        <v>4109005</v>
      </c>
      <c r="G124" s="318"/>
      <c r="H124" s="319"/>
      <c r="I124" s="320"/>
      <c r="J124" s="337">
        <v>0</v>
      </c>
      <c r="K124" s="321">
        <v>0</v>
      </c>
      <c r="L124" s="321">
        <v>0</v>
      </c>
      <c r="M124" s="321">
        <v>0</v>
      </c>
      <c r="N124" s="321">
        <v>0</v>
      </c>
      <c r="O124" s="321">
        <v>0</v>
      </c>
      <c r="P124" s="321">
        <v>0</v>
      </c>
      <c r="Q124" s="321">
        <v>0</v>
      </c>
      <c r="R124" s="321">
        <v>0</v>
      </c>
      <c r="S124" s="321">
        <v>0</v>
      </c>
      <c r="T124" s="321">
        <v>0</v>
      </c>
      <c r="U124" s="322">
        <v>0</v>
      </c>
      <c r="V124" s="323">
        <v>0</v>
      </c>
      <c r="W124" s="303"/>
      <c r="X124" s="324">
        <v>0</v>
      </c>
      <c r="Y124" s="325">
        <v>0</v>
      </c>
    </row>
    <row r="125" spans="1:25" ht="17.45" hidden="1" customHeight="1" outlineLevel="1" x14ac:dyDescent="0.3">
      <c r="E125" s="250" t="s">
        <v>1037</v>
      </c>
      <c r="F125" s="317">
        <v>4109006</v>
      </c>
      <c r="G125" s="318"/>
      <c r="H125" s="319"/>
      <c r="I125" s="320"/>
      <c r="J125" s="337">
        <v>0</v>
      </c>
      <c r="K125" s="321">
        <v>0</v>
      </c>
      <c r="L125" s="321">
        <v>0</v>
      </c>
      <c r="M125" s="321">
        <v>0</v>
      </c>
      <c r="N125" s="321">
        <v>0</v>
      </c>
      <c r="O125" s="321">
        <v>0</v>
      </c>
      <c r="P125" s="321">
        <v>0</v>
      </c>
      <c r="Q125" s="321">
        <v>0</v>
      </c>
      <c r="R125" s="321">
        <v>0</v>
      </c>
      <c r="S125" s="321">
        <v>0</v>
      </c>
      <c r="T125" s="321">
        <v>0</v>
      </c>
      <c r="U125" s="322">
        <v>0</v>
      </c>
      <c r="V125" s="323">
        <v>0</v>
      </c>
      <c r="W125" s="303"/>
      <c r="X125" s="324">
        <v>0</v>
      </c>
      <c r="Y125" s="325">
        <v>0</v>
      </c>
    </row>
    <row r="126" spans="1:25" ht="17.45" hidden="1" customHeight="1" outlineLevel="1" x14ac:dyDescent="0.3">
      <c r="E126" s="250" t="s">
        <v>1038</v>
      </c>
      <c r="F126" s="317">
        <v>4109008</v>
      </c>
      <c r="G126" s="318"/>
      <c r="H126" s="319"/>
      <c r="I126" s="320"/>
      <c r="J126" s="337">
        <v>0</v>
      </c>
      <c r="K126" s="321">
        <v>0</v>
      </c>
      <c r="L126" s="321">
        <v>0</v>
      </c>
      <c r="M126" s="321">
        <v>0</v>
      </c>
      <c r="N126" s="321">
        <v>0</v>
      </c>
      <c r="O126" s="321">
        <v>0</v>
      </c>
      <c r="P126" s="321">
        <v>0</v>
      </c>
      <c r="Q126" s="321">
        <v>0</v>
      </c>
      <c r="R126" s="321">
        <v>0</v>
      </c>
      <c r="S126" s="321">
        <v>0</v>
      </c>
      <c r="T126" s="321">
        <v>0</v>
      </c>
      <c r="U126" s="322">
        <v>0</v>
      </c>
      <c r="V126" s="323">
        <v>0</v>
      </c>
      <c r="W126" s="303"/>
      <c r="X126" s="324">
        <v>0</v>
      </c>
      <c r="Y126" s="325">
        <v>0</v>
      </c>
    </row>
    <row r="127" spans="1:25" ht="17.45" hidden="1" customHeight="1" outlineLevel="1" x14ac:dyDescent="0.3">
      <c r="E127" s="250" t="s">
        <v>1039</v>
      </c>
      <c r="F127" s="317">
        <v>4109010</v>
      </c>
      <c r="G127" s="318"/>
      <c r="H127" s="319"/>
      <c r="I127" s="320"/>
      <c r="J127" s="337">
        <v>0</v>
      </c>
      <c r="K127" s="321">
        <v>0</v>
      </c>
      <c r="L127" s="321">
        <v>0</v>
      </c>
      <c r="M127" s="321">
        <v>0</v>
      </c>
      <c r="N127" s="321">
        <v>0</v>
      </c>
      <c r="O127" s="321">
        <v>0</v>
      </c>
      <c r="P127" s="321">
        <v>0</v>
      </c>
      <c r="Q127" s="321">
        <v>0</v>
      </c>
      <c r="R127" s="321">
        <v>0</v>
      </c>
      <c r="S127" s="321">
        <v>0</v>
      </c>
      <c r="T127" s="321">
        <v>0</v>
      </c>
      <c r="U127" s="322">
        <v>0</v>
      </c>
      <c r="V127" s="323">
        <v>0</v>
      </c>
      <c r="W127" s="303"/>
      <c r="X127" s="324">
        <v>0</v>
      </c>
      <c r="Y127" s="325">
        <v>0</v>
      </c>
    </row>
    <row r="128" spans="1:25" ht="17.45" hidden="1" customHeight="1" outlineLevel="1" x14ac:dyDescent="0.3">
      <c r="E128" s="250" t="s">
        <v>1040</v>
      </c>
      <c r="F128" s="317">
        <v>4109011</v>
      </c>
      <c r="G128" s="318"/>
      <c r="H128" s="319"/>
      <c r="I128" s="320"/>
      <c r="J128" s="337">
        <v>0</v>
      </c>
      <c r="K128" s="321">
        <v>0</v>
      </c>
      <c r="L128" s="321">
        <v>0</v>
      </c>
      <c r="M128" s="321">
        <v>0</v>
      </c>
      <c r="N128" s="321">
        <v>0</v>
      </c>
      <c r="O128" s="321">
        <v>0</v>
      </c>
      <c r="P128" s="321">
        <v>0</v>
      </c>
      <c r="Q128" s="321">
        <v>0</v>
      </c>
      <c r="R128" s="321">
        <v>0</v>
      </c>
      <c r="S128" s="321">
        <v>0</v>
      </c>
      <c r="T128" s="321">
        <v>0</v>
      </c>
      <c r="U128" s="322">
        <v>0</v>
      </c>
      <c r="V128" s="323">
        <v>0</v>
      </c>
      <c r="W128" s="303"/>
      <c r="X128" s="324">
        <v>0</v>
      </c>
      <c r="Y128" s="325">
        <v>0</v>
      </c>
    </row>
    <row r="129" spans="1:25" ht="17.45" hidden="1" customHeight="1" outlineLevel="1" x14ac:dyDescent="0.3">
      <c r="E129" s="250" t="s">
        <v>1041</v>
      </c>
      <c r="F129" s="317">
        <v>4109012</v>
      </c>
      <c r="G129" s="318"/>
      <c r="H129" s="319"/>
      <c r="I129" s="320"/>
      <c r="J129" s="337">
        <v>0</v>
      </c>
      <c r="K129" s="321">
        <v>0</v>
      </c>
      <c r="L129" s="321">
        <v>0</v>
      </c>
      <c r="M129" s="321">
        <v>0</v>
      </c>
      <c r="N129" s="321">
        <v>0</v>
      </c>
      <c r="O129" s="321">
        <v>0</v>
      </c>
      <c r="P129" s="321">
        <v>0</v>
      </c>
      <c r="Q129" s="321">
        <v>0</v>
      </c>
      <c r="R129" s="321">
        <v>0</v>
      </c>
      <c r="S129" s="321">
        <v>0</v>
      </c>
      <c r="T129" s="321">
        <v>0</v>
      </c>
      <c r="U129" s="322">
        <v>0</v>
      </c>
      <c r="V129" s="323">
        <v>0</v>
      </c>
      <c r="W129" s="303"/>
      <c r="X129" s="324">
        <v>0</v>
      </c>
      <c r="Y129" s="325">
        <v>0</v>
      </c>
    </row>
    <row r="130" spans="1:25" ht="17.45" hidden="1" customHeight="1" outlineLevel="1" x14ac:dyDescent="0.3">
      <c r="E130" s="250" t="s">
        <v>1042</v>
      </c>
      <c r="F130" s="317">
        <v>4109013</v>
      </c>
      <c r="G130" s="318"/>
      <c r="H130" s="319">
        <v>4100990105</v>
      </c>
      <c r="I130" s="320"/>
      <c r="J130" s="337">
        <v>0</v>
      </c>
      <c r="K130" s="321">
        <v>0</v>
      </c>
      <c r="L130" s="321">
        <v>0</v>
      </c>
      <c r="M130" s="321">
        <v>0</v>
      </c>
      <c r="N130" s="321">
        <v>0</v>
      </c>
      <c r="O130" s="321">
        <v>0</v>
      </c>
      <c r="P130" s="321">
        <v>0</v>
      </c>
      <c r="Q130" s="321">
        <v>0</v>
      </c>
      <c r="R130" s="321">
        <v>0</v>
      </c>
      <c r="S130" s="321">
        <v>0</v>
      </c>
      <c r="T130" s="321">
        <v>0</v>
      </c>
      <c r="U130" s="322">
        <v>0</v>
      </c>
      <c r="V130" s="323">
        <v>0</v>
      </c>
      <c r="W130" s="303"/>
      <c r="X130" s="324">
        <v>0</v>
      </c>
      <c r="Y130" s="325">
        <v>0</v>
      </c>
    </row>
    <row r="131" spans="1:25" ht="17.45" hidden="1" customHeight="1" outlineLevel="1" x14ac:dyDescent="0.3">
      <c r="E131" s="250" t="s">
        <v>1043</v>
      </c>
      <c r="F131" s="317">
        <v>4109014</v>
      </c>
      <c r="G131" s="318"/>
      <c r="H131" s="319"/>
      <c r="I131" s="320"/>
      <c r="J131" s="337">
        <v>0</v>
      </c>
      <c r="K131" s="321">
        <v>0</v>
      </c>
      <c r="L131" s="321">
        <v>0</v>
      </c>
      <c r="M131" s="321">
        <v>0</v>
      </c>
      <c r="N131" s="321">
        <v>0</v>
      </c>
      <c r="O131" s="321">
        <v>0</v>
      </c>
      <c r="P131" s="321">
        <v>0</v>
      </c>
      <c r="Q131" s="321">
        <v>0</v>
      </c>
      <c r="R131" s="321">
        <v>0</v>
      </c>
      <c r="S131" s="321">
        <v>0</v>
      </c>
      <c r="T131" s="321">
        <v>0</v>
      </c>
      <c r="U131" s="322">
        <v>0</v>
      </c>
      <c r="V131" s="323">
        <v>0</v>
      </c>
      <c r="W131" s="303"/>
      <c r="X131" s="324">
        <v>0</v>
      </c>
      <c r="Y131" s="325">
        <v>0</v>
      </c>
    </row>
    <row r="132" spans="1:25" ht="17.45" hidden="1" customHeight="1" outlineLevel="1" x14ac:dyDescent="0.3">
      <c r="E132" s="250" t="s">
        <v>1044</v>
      </c>
      <c r="F132" s="317">
        <v>4109016</v>
      </c>
      <c r="G132" s="318"/>
      <c r="H132" s="319">
        <v>4100990107</v>
      </c>
      <c r="I132" s="320"/>
      <c r="J132" s="337">
        <v>0</v>
      </c>
      <c r="K132" s="321">
        <v>0</v>
      </c>
      <c r="L132" s="321">
        <v>0</v>
      </c>
      <c r="M132" s="321">
        <v>0</v>
      </c>
      <c r="N132" s="321">
        <v>0</v>
      </c>
      <c r="O132" s="321">
        <v>0</v>
      </c>
      <c r="P132" s="321">
        <v>0</v>
      </c>
      <c r="Q132" s="321">
        <v>0</v>
      </c>
      <c r="R132" s="321">
        <v>0</v>
      </c>
      <c r="S132" s="321">
        <v>0</v>
      </c>
      <c r="T132" s="321">
        <v>0</v>
      </c>
      <c r="U132" s="322">
        <v>0</v>
      </c>
      <c r="V132" s="323">
        <v>0</v>
      </c>
      <c r="W132" s="303"/>
      <c r="X132" s="324">
        <v>0</v>
      </c>
      <c r="Y132" s="325">
        <v>0</v>
      </c>
    </row>
    <row r="133" spans="1:25" ht="17.45" hidden="1" customHeight="1" outlineLevel="1" x14ac:dyDescent="0.3">
      <c r="E133" s="250" t="s">
        <v>1045</v>
      </c>
      <c r="F133" s="317">
        <v>4109017</v>
      </c>
      <c r="G133" s="318"/>
      <c r="H133" s="319"/>
      <c r="I133" s="320"/>
      <c r="J133" s="337">
        <v>0</v>
      </c>
      <c r="K133" s="321">
        <v>0</v>
      </c>
      <c r="L133" s="321">
        <v>0</v>
      </c>
      <c r="M133" s="321">
        <v>0</v>
      </c>
      <c r="N133" s="321">
        <v>0</v>
      </c>
      <c r="O133" s="321">
        <v>0</v>
      </c>
      <c r="P133" s="321">
        <v>0</v>
      </c>
      <c r="Q133" s="321">
        <v>0</v>
      </c>
      <c r="R133" s="321">
        <v>0</v>
      </c>
      <c r="S133" s="321">
        <v>0</v>
      </c>
      <c r="T133" s="321">
        <v>0</v>
      </c>
      <c r="U133" s="322">
        <v>0</v>
      </c>
      <c r="V133" s="323">
        <v>0</v>
      </c>
      <c r="W133" s="303"/>
      <c r="X133" s="324">
        <v>0</v>
      </c>
      <c r="Y133" s="325">
        <v>0</v>
      </c>
    </row>
    <row r="134" spans="1:25" ht="17.45" hidden="1" customHeight="1" outlineLevel="1" x14ac:dyDescent="0.3">
      <c r="E134" s="250" t="s">
        <v>1046</v>
      </c>
      <c r="F134" s="317">
        <v>4109019</v>
      </c>
      <c r="G134" s="318"/>
      <c r="H134" s="319"/>
      <c r="I134" s="320"/>
      <c r="J134" s="337">
        <v>0</v>
      </c>
      <c r="K134" s="321">
        <v>0</v>
      </c>
      <c r="L134" s="321">
        <v>0</v>
      </c>
      <c r="M134" s="321">
        <v>0</v>
      </c>
      <c r="N134" s="321">
        <v>0</v>
      </c>
      <c r="O134" s="321">
        <v>0</v>
      </c>
      <c r="P134" s="321">
        <v>0</v>
      </c>
      <c r="Q134" s="321">
        <v>0</v>
      </c>
      <c r="R134" s="321">
        <v>0</v>
      </c>
      <c r="S134" s="321">
        <v>0</v>
      </c>
      <c r="T134" s="321">
        <v>0</v>
      </c>
      <c r="U134" s="322">
        <v>0</v>
      </c>
      <c r="V134" s="323">
        <v>0</v>
      </c>
      <c r="W134" s="303"/>
      <c r="X134" s="324">
        <v>0</v>
      </c>
      <c r="Y134" s="325">
        <v>0</v>
      </c>
    </row>
    <row r="135" spans="1:25" ht="17.45" hidden="1" customHeight="1" outlineLevel="1" x14ac:dyDescent="0.3">
      <c r="E135" s="250" t="s">
        <v>1047</v>
      </c>
      <c r="F135" s="317">
        <v>4109021</v>
      </c>
      <c r="G135" s="318"/>
      <c r="H135" s="319"/>
      <c r="I135" s="320"/>
      <c r="J135" s="337">
        <v>21319.204000000002</v>
      </c>
      <c r="K135" s="321">
        <v>12053.700999999999</v>
      </c>
      <c r="L135" s="321">
        <v>10444.673000000001</v>
      </c>
      <c r="M135" s="321">
        <v>7391.6030000000001</v>
      </c>
      <c r="N135" s="321">
        <v>1710</v>
      </c>
      <c r="O135" s="321">
        <v>1710</v>
      </c>
      <c r="P135" s="321">
        <v>1710</v>
      </c>
      <c r="Q135" s="321">
        <v>1710</v>
      </c>
      <c r="R135" s="321">
        <v>1710</v>
      </c>
      <c r="S135" s="321">
        <v>1710</v>
      </c>
      <c r="T135" s="321">
        <v>1710</v>
      </c>
      <c r="U135" s="322">
        <v>1710</v>
      </c>
      <c r="V135" s="323">
        <v>64889.181000000004</v>
      </c>
      <c r="W135" s="303"/>
      <c r="X135" s="324">
        <v>1710</v>
      </c>
      <c r="Y135" s="325">
        <v>64889.181000000004</v>
      </c>
    </row>
    <row r="136" spans="1:25" ht="17.45" hidden="1" customHeight="1" outlineLevel="1" x14ac:dyDescent="0.3">
      <c r="E136" s="250" t="s">
        <v>1048</v>
      </c>
      <c r="F136" s="317">
        <v>4109080</v>
      </c>
      <c r="G136" s="318"/>
      <c r="H136" s="319">
        <v>4100990111</v>
      </c>
      <c r="I136" s="320"/>
      <c r="J136" s="337">
        <v>0</v>
      </c>
      <c r="K136" s="321">
        <v>0</v>
      </c>
      <c r="L136" s="321">
        <v>0</v>
      </c>
      <c r="M136" s="321">
        <v>0</v>
      </c>
      <c r="N136" s="321">
        <v>0</v>
      </c>
      <c r="O136" s="321">
        <v>0</v>
      </c>
      <c r="P136" s="321">
        <v>0</v>
      </c>
      <c r="Q136" s="321">
        <v>0</v>
      </c>
      <c r="R136" s="321">
        <v>0</v>
      </c>
      <c r="S136" s="321">
        <v>0</v>
      </c>
      <c r="T136" s="321">
        <v>0</v>
      </c>
      <c r="U136" s="322">
        <v>0</v>
      </c>
      <c r="V136" s="323">
        <v>0</v>
      </c>
      <c r="W136" s="303"/>
      <c r="X136" s="324">
        <v>0</v>
      </c>
      <c r="Y136" s="325">
        <v>0</v>
      </c>
    </row>
    <row r="137" spans="1:25" ht="17.45" hidden="1" customHeight="1" outlineLevel="1" x14ac:dyDescent="0.3">
      <c r="E137" s="250" t="s">
        <v>1049</v>
      </c>
      <c r="F137" s="317">
        <v>4109099</v>
      </c>
      <c r="G137" s="318"/>
      <c r="H137" s="319"/>
      <c r="I137" s="320"/>
      <c r="J137" s="337">
        <v>103192.41800000001</v>
      </c>
      <c r="K137" s="321">
        <v>122213.61900000001</v>
      </c>
      <c r="L137" s="321">
        <v>87669.592000000004</v>
      </c>
      <c r="M137" s="321">
        <v>61256.955999999998</v>
      </c>
      <c r="N137" s="321">
        <v>62828.23</v>
      </c>
      <c r="O137" s="321">
        <v>113994.254</v>
      </c>
      <c r="P137" s="321">
        <v>204306.24299999999</v>
      </c>
      <c r="Q137" s="321">
        <v>182236.524</v>
      </c>
      <c r="R137" s="321">
        <v>128831.63</v>
      </c>
      <c r="S137" s="321">
        <v>171368.69399999999</v>
      </c>
      <c r="T137" s="321">
        <v>192918.967</v>
      </c>
      <c r="U137" s="322">
        <v>146221.921</v>
      </c>
      <c r="V137" s="323">
        <v>1577039.048</v>
      </c>
      <c r="W137" s="303"/>
      <c r="X137" s="324">
        <v>146221.921</v>
      </c>
      <c r="Y137" s="325">
        <v>1577039.048</v>
      </c>
    </row>
    <row r="138" spans="1:25" ht="17.45" hidden="1" customHeight="1" outlineLevel="1" x14ac:dyDescent="0.3">
      <c r="E138" s="250" t="s">
        <v>1050</v>
      </c>
      <c r="F138" s="317">
        <v>4409883</v>
      </c>
      <c r="G138" s="318"/>
      <c r="H138" s="319">
        <v>4100990113</v>
      </c>
      <c r="I138" s="320"/>
      <c r="J138" s="337">
        <v>0</v>
      </c>
      <c r="K138" s="321">
        <v>0</v>
      </c>
      <c r="L138" s="321">
        <v>0</v>
      </c>
      <c r="M138" s="321">
        <v>0</v>
      </c>
      <c r="N138" s="321">
        <v>0</v>
      </c>
      <c r="O138" s="321">
        <v>0</v>
      </c>
      <c r="P138" s="321">
        <v>0</v>
      </c>
      <c r="Q138" s="321">
        <v>0</v>
      </c>
      <c r="R138" s="321">
        <v>0</v>
      </c>
      <c r="S138" s="321">
        <v>0</v>
      </c>
      <c r="T138" s="321">
        <v>0</v>
      </c>
      <c r="U138" s="322">
        <v>0</v>
      </c>
      <c r="V138" s="323">
        <v>0</v>
      </c>
      <c r="W138" s="303"/>
      <c r="X138" s="324">
        <v>0</v>
      </c>
      <c r="Y138" s="325">
        <v>0</v>
      </c>
    </row>
    <row r="139" spans="1:25" s="361" customFormat="1" ht="17.45" hidden="1" customHeight="1" outlineLevel="2" x14ac:dyDescent="0.3">
      <c r="E139" s="350" t="s">
        <v>1051</v>
      </c>
      <c r="F139" s="306"/>
      <c r="G139" s="307"/>
      <c r="H139" s="308">
        <v>4100110100</v>
      </c>
      <c r="I139" s="309"/>
      <c r="J139" s="310">
        <v>0</v>
      </c>
      <c r="K139" s="311">
        <v>0</v>
      </c>
      <c r="L139" s="311">
        <v>0</v>
      </c>
      <c r="M139" s="311">
        <v>0</v>
      </c>
      <c r="N139" s="311">
        <v>0</v>
      </c>
      <c r="O139" s="311">
        <v>0</v>
      </c>
      <c r="P139" s="311">
        <v>0</v>
      </c>
      <c r="Q139" s="311">
        <v>0</v>
      </c>
      <c r="R139" s="311">
        <v>0</v>
      </c>
      <c r="S139" s="311">
        <v>0</v>
      </c>
      <c r="T139" s="311">
        <v>0</v>
      </c>
      <c r="U139" s="312">
        <v>0</v>
      </c>
      <c r="V139" s="313">
        <v>0</v>
      </c>
      <c r="W139" s="314"/>
      <c r="X139" s="315">
        <v>0</v>
      </c>
      <c r="Y139" s="316">
        <v>0</v>
      </c>
    </row>
    <row r="140" spans="1:25" s="361" customFormat="1" ht="17.45" hidden="1" customHeight="1" outlineLevel="2" x14ac:dyDescent="0.3">
      <c r="E140" s="350" t="s">
        <v>1052</v>
      </c>
      <c r="F140" s="306"/>
      <c r="G140" s="307"/>
      <c r="H140" s="308">
        <v>4100090101</v>
      </c>
      <c r="I140" s="309"/>
      <c r="J140" s="310">
        <v>0</v>
      </c>
      <c r="K140" s="311">
        <v>0</v>
      </c>
      <c r="L140" s="311">
        <v>0</v>
      </c>
      <c r="M140" s="311">
        <v>0</v>
      </c>
      <c r="N140" s="311">
        <v>0</v>
      </c>
      <c r="O140" s="311">
        <v>0</v>
      </c>
      <c r="P140" s="311">
        <v>0</v>
      </c>
      <c r="Q140" s="311">
        <v>0</v>
      </c>
      <c r="R140" s="311">
        <v>0</v>
      </c>
      <c r="S140" s="311">
        <v>0</v>
      </c>
      <c r="T140" s="311">
        <v>0</v>
      </c>
      <c r="U140" s="312">
        <v>0</v>
      </c>
      <c r="V140" s="313">
        <v>0</v>
      </c>
      <c r="W140" s="314"/>
      <c r="X140" s="315">
        <v>0</v>
      </c>
      <c r="Y140" s="316">
        <v>0</v>
      </c>
    </row>
    <row r="141" spans="1:25" s="361" customFormat="1" ht="17.45" hidden="1" customHeight="1" outlineLevel="2" x14ac:dyDescent="0.3">
      <c r="E141" s="326" t="s">
        <v>1053</v>
      </c>
      <c r="F141" s="351"/>
      <c r="G141" s="352"/>
      <c r="H141" s="353"/>
      <c r="I141" s="354"/>
      <c r="J141" s="337">
        <v>0</v>
      </c>
      <c r="K141" s="355">
        <v>0</v>
      </c>
      <c r="L141" s="355">
        <v>0</v>
      </c>
      <c r="M141" s="355">
        <v>0</v>
      </c>
      <c r="N141" s="355">
        <v>0</v>
      </c>
      <c r="O141" s="355">
        <v>0</v>
      </c>
      <c r="P141" s="355">
        <v>0</v>
      </c>
      <c r="Q141" s="355">
        <v>0</v>
      </c>
      <c r="R141" s="355">
        <v>0</v>
      </c>
      <c r="S141" s="355">
        <v>0</v>
      </c>
      <c r="T141" s="355">
        <v>0</v>
      </c>
      <c r="U141" s="356">
        <v>0</v>
      </c>
      <c r="V141" s="357">
        <v>0</v>
      </c>
      <c r="W141" s="358"/>
      <c r="X141" s="359">
        <v>0</v>
      </c>
      <c r="Y141" s="360">
        <v>0</v>
      </c>
    </row>
    <row r="142" spans="1:25" collapsed="1" x14ac:dyDescent="0.3">
      <c r="A142" s="233"/>
      <c r="B142" s="234" t="s">
        <v>5</v>
      </c>
      <c r="D142" s="293" t="s">
        <v>1054</v>
      </c>
      <c r="E142" s="294"/>
      <c r="F142" s="295" t="s">
        <v>1055</v>
      </c>
      <c r="G142" s="296"/>
      <c r="H142" s="297"/>
      <c r="I142" s="298"/>
      <c r="J142" s="299">
        <v>132451.163</v>
      </c>
      <c r="K142" s="300">
        <v>85935.592000000004</v>
      </c>
      <c r="L142" s="300">
        <v>165481.52600000001</v>
      </c>
      <c r="M142" s="300">
        <v>103995.382</v>
      </c>
      <c r="N142" s="300">
        <v>44012.383000000002</v>
      </c>
      <c r="O142" s="300">
        <v>18059.304</v>
      </c>
      <c r="P142" s="300">
        <v>21476.136999999999</v>
      </c>
      <c r="Q142" s="300">
        <v>125561.039</v>
      </c>
      <c r="R142" s="300">
        <v>96289.016000000003</v>
      </c>
      <c r="S142" s="300">
        <v>42664.332000000002</v>
      </c>
      <c r="T142" s="300">
        <v>20200.8</v>
      </c>
      <c r="U142" s="301">
        <v>25855.233</v>
      </c>
      <c r="V142" s="302">
        <v>881981.90700000001</v>
      </c>
      <c r="W142" s="303"/>
      <c r="X142" s="304">
        <v>25855.233</v>
      </c>
      <c r="Y142" s="305">
        <v>881981.90700000001</v>
      </c>
    </row>
    <row r="143" spans="1:25" ht="17.45" hidden="1" customHeight="1" outlineLevel="1" x14ac:dyDescent="0.3">
      <c r="E143" s="250" t="s">
        <v>1056</v>
      </c>
      <c r="F143" s="317">
        <v>4109098</v>
      </c>
      <c r="G143" s="318"/>
      <c r="H143" s="319">
        <v>4100990115</v>
      </c>
      <c r="I143" s="320"/>
      <c r="J143" s="337">
        <v>132451.163</v>
      </c>
      <c r="K143" s="321">
        <v>85935.592000000004</v>
      </c>
      <c r="L143" s="321">
        <v>165481.52600000001</v>
      </c>
      <c r="M143" s="321">
        <v>103995.382</v>
      </c>
      <c r="N143" s="321">
        <v>44012.383000000002</v>
      </c>
      <c r="O143" s="321">
        <v>18059.304</v>
      </c>
      <c r="P143" s="321">
        <v>21476.136999999999</v>
      </c>
      <c r="Q143" s="321">
        <v>125561.039</v>
      </c>
      <c r="R143" s="321">
        <v>96289.016000000003</v>
      </c>
      <c r="S143" s="321">
        <v>42664.332000000002</v>
      </c>
      <c r="T143" s="321">
        <v>20200.8</v>
      </c>
      <c r="U143" s="322">
        <v>25855.233</v>
      </c>
      <c r="V143" s="323">
        <v>881981.90700000001</v>
      </c>
      <c r="W143" s="303"/>
      <c r="X143" s="324">
        <v>25855.233</v>
      </c>
      <c r="Y143" s="325">
        <v>881981.90700000001</v>
      </c>
    </row>
    <row r="144" spans="1:25" s="326" customFormat="1" ht="17.45" hidden="1" customHeight="1" outlineLevel="2" x14ac:dyDescent="0.3">
      <c r="E144" s="326" t="s">
        <v>1057</v>
      </c>
      <c r="F144" s="336"/>
      <c r="G144" s="327"/>
      <c r="H144" s="328"/>
      <c r="I144" s="329"/>
      <c r="J144" s="338">
        <v>0</v>
      </c>
      <c r="K144" s="330">
        <v>0</v>
      </c>
      <c r="L144" s="330">
        <v>0</v>
      </c>
      <c r="M144" s="330">
        <v>0</v>
      </c>
      <c r="N144" s="330">
        <v>0</v>
      </c>
      <c r="O144" s="330">
        <v>0</v>
      </c>
      <c r="P144" s="330">
        <v>0</v>
      </c>
      <c r="Q144" s="330">
        <v>0</v>
      </c>
      <c r="R144" s="330">
        <v>0</v>
      </c>
      <c r="S144" s="330">
        <v>0</v>
      </c>
      <c r="T144" s="330">
        <v>0</v>
      </c>
      <c r="U144" s="331">
        <v>0</v>
      </c>
      <c r="V144" s="332">
        <v>0</v>
      </c>
      <c r="W144" s="333"/>
      <c r="X144" s="334">
        <v>0</v>
      </c>
      <c r="Y144" s="335">
        <v>0</v>
      </c>
    </row>
    <row r="145" spans="1:25" s="326" customFormat="1" ht="17.45" hidden="1" customHeight="1" outlineLevel="2" x14ac:dyDescent="0.3">
      <c r="E145" s="326" t="s">
        <v>1058</v>
      </c>
      <c r="F145" s="336"/>
      <c r="G145" s="327"/>
      <c r="H145" s="328"/>
      <c r="I145" s="329"/>
      <c r="J145" s="338">
        <v>0</v>
      </c>
      <c r="K145" s="330">
        <v>0</v>
      </c>
      <c r="L145" s="330">
        <v>0</v>
      </c>
      <c r="M145" s="330">
        <v>0</v>
      </c>
      <c r="N145" s="330">
        <v>0</v>
      </c>
      <c r="O145" s="330">
        <v>0</v>
      </c>
      <c r="P145" s="330">
        <v>0</v>
      </c>
      <c r="Q145" s="330">
        <v>0</v>
      </c>
      <c r="R145" s="330">
        <v>0</v>
      </c>
      <c r="S145" s="330">
        <v>0</v>
      </c>
      <c r="T145" s="330">
        <v>0</v>
      </c>
      <c r="U145" s="331">
        <v>0</v>
      </c>
      <c r="V145" s="332">
        <v>0</v>
      </c>
      <c r="W145" s="333"/>
      <c r="X145" s="334">
        <v>0</v>
      </c>
      <c r="Y145" s="335">
        <v>0</v>
      </c>
    </row>
    <row r="146" spans="1:25" s="326" customFormat="1" ht="17.45" hidden="1" customHeight="1" outlineLevel="2" x14ac:dyDescent="0.3">
      <c r="E146" s="326" t="s">
        <v>1059</v>
      </c>
      <c r="F146" s="336"/>
      <c r="G146" s="327"/>
      <c r="H146" s="328"/>
      <c r="I146" s="329"/>
      <c r="J146" s="338">
        <v>0</v>
      </c>
      <c r="K146" s="330">
        <v>0</v>
      </c>
      <c r="L146" s="330">
        <v>0</v>
      </c>
      <c r="M146" s="330">
        <v>0</v>
      </c>
      <c r="N146" s="330">
        <v>0</v>
      </c>
      <c r="O146" s="330">
        <v>0</v>
      </c>
      <c r="P146" s="330">
        <v>0</v>
      </c>
      <c r="Q146" s="330">
        <v>0</v>
      </c>
      <c r="R146" s="330">
        <v>0</v>
      </c>
      <c r="S146" s="330">
        <v>0</v>
      </c>
      <c r="T146" s="330">
        <v>0</v>
      </c>
      <c r="U146" s="331">
        <v>0</v>
      </c>
      <c r="V146" s="332">
        <v>0</v>
      </c>
      <c r="W146" s="333"/>
      <c r="X146" s="334">
        <v>0</v>
      </c>
      <c r="Y146" s="335">
        <v>0</v>
      </c>
    </row>
    <row r="147" spans="1:25" s="326" customFormat="1" ht="17.45" hidden="1" customHeight="1" outlineLevel="2" x14ac:dyDescent="0.3">
      <c r="E147" s="326" t="s">
        <v>1060</v>
      </c>
      <c r="F147" s="336"/>
      <c r="G147" s="327"/>
      <c r="H147" s="328"/>
      <c r="I147" s="329"/>
      <c r="J147" s="338">
        <v>0</v>
      </c>
      <c r="K147" s="330">
        <v>0</v>
      </c>
      <c r="L147" s="330">
        <v>0</v>
      </c>
      <c r="M147" s="330">
        <v>0</v>
      </c>
      <c r="N147" s="330">
        <v>0</v>
      </c>
      <c r="O147" s="330">
        <v>0</v>
      </c>
      <c r="P147" s="330">
        <v>0</v>
      </c>
      <c r="Q147" s="330">
        <v>0</v>
      </c>
      <c r="R147" s="330">
        <v>0</v>
      </c>
      <c r="S147" s="330">
        <v>0</v>
      </c>
      <c r="T147" s="330">
        <v>0</v>
      </c>
      <c r="U147" s="331">
        <v>0</v>
      </c>
      <c r="V147" s="332">
        <v>0</v>
      </c>
      <c r="W147" s="333"/>
      <c r="X147" s="334">
        <v>0</v>
      </c>
      <c r="Y147" s="335">
        <v>0</v>
      </c>
    </row>
    <row r="148" spans="1:25" s="326" customFormat="1" ht="17.45" hidden="1" customHeight="1" outlineLevel="2" x14ac:dyDescent="0.3">
      <c r="E148" s="326" t="s">
        <v>1061</v>
      </c>
      <c r="F148" s="336"/>
      <c r="G148" s="327"/>
      <c r="H148" s="328"/>
      <c r="I148" s="329"/>
      <c r="J148" s="338">
        <v>0</v>
      </c>
      <c r="K148" s="330">
        <v>0</v>
      </c>
      <c r="L148" s="330">
        <v>0</v>
      </c>
      <c r="M148" s="330">
        <v>0</v>
      </c>
      <c r="N148" s="330">
        <v>0</v>
      </c>
      <c r="O148" s="330">
        <v>0</v>
      </c>
      <c r="P148" s="330">
        <v>0</v>
      </c>
      <c r="Q148" s="330">
        <v>0</v>
      </c>
      <c r="R148" s="330">
        <v>0</v>
      </c>
      <c r="S148" s="330">
        <v>0</v>
      </c>
      <c r="T148" s="330">
        <v>0</v>
      </c>
      <c r="U148" s="331">
        <v>0</v>
      </c>
      <c r="V148" s="332">
        <v>0</v>
      </c>
      <c r="W148" s="333"/>
      <c r="X148" s="334">
        <v>0</v>
      </c>
      <c r="Y148" s="335">
        <v>0</v>
      </c>
    </row>
    <row r="149" spans="1:25" ht="33" customHeight="1" collapsed="1" x14ac:dyDescent="0.3">
      <c r="A149" s="930" t="s">
        <v>6</v>
      </c>
      <c r="B149" s="248"/>
      <c r="C149" s="280" t="s">
        <v>1062</v>
      </c>
      <c r="D149" s="281"/>
      <c r="E149" s="282"/>
      <c r="F149" s="283" t="s">
        <v>1063</v>
      </c>
      <c r="G149" s="284"/>
      <c r="H149" s="285"/>
      <c r="I149" s="286"/>
      <c r="J149" s="287">
        <v>16924034.354000002</v>
      </c>
      <c r="K149" s="288">
        <v>18487413.283</v>
      </c>
      <c r="L149" s="288">
        <v>20860192.547000002</v>
      </c>
      <c r="M149" s="288">
        <v>19650214.997000001</v>
      </c>
      <c r="N149" s="288">
        <v>19337491.504000001</v>
      </c>
      <c r="O149" s="288">
        <v>18340888.965</v>
      </c>
      <c r="P149" s="288">
        <v>19530234.637000002</v>
      </c>
      <c r="Q149" s="288">
        <v>17311007.615000002</v>
      </c>
      <c r="R149" s="288">
        <v>20404279.181000002</v>
      </c>
      <c r="S149" s="288">
        <v>19880775.969000001</v>
      </c>
      <c r="T149" s="288">
        <v>19908641.958000001</v>
      </c>
      <c r="U149" s="289">
        <v>20553272.443999998</v>
      </c>
      <c r="V149" s="290">
        <v>231188447.45399997</v>
      </c>
      <c r="W149" s="277"/>
      <c r="X149" s="291">
        <v>20553272.443999998</v>
      </c>
      <c r="Y149" s="292">
        <v>231188447.45399997</v>
      </c>
    </row>
    <row r="150" spans="1:25" x14ac:dyDescent="0.3">
      <c r="A150" s="233"/>
      <c r="B150" s="234" t="s">
        <v>7</v>
      </c>
      <c r="D150" s="293" t="s">
        <v>1064</v>
      </c>
      <c r="E150" s="294"/>
      <c r="F150" s="295" t="s">
        <v>1065</v>
      </c>
      <c r="G150" s="296"/>
      <c r="H150" s="297"/>
      <c r="I150" s="298"/>
      <c r="J150" s="299">
        <v>9348420.8400000017</v>
      </c>
      <c r="K150" s="300">
        <v>10200699.303000001</v>
      </c>
      <c r="L150" s="300">
        <v>13218873.726</v>
      </c>
      <c r="M150" s="300">
        <v>11857051.495000001</v>
      </c>
      <c r="N150" s="300">
        <v>11388964.961999999</v>
      </c>
      <c r="O150" s="300">
        <v>11044481.654000001</v>
      </c>
      <c r="P150" s="300">
        <v>11646447.879000001</v>
      </c>
      <c r="Q150" s="300">
        <v>10145286.347000001</v>
      </c>
      <c r="R150" s="300">
        <v>12964933.746999998</v>
      </c>
      <c r="S150" s="300">
        <v>12664929.419</v>
      </c>
      <c r="T150" s="300">
        <v>12551659.133000001</v>
      </c>
      <c r="U150" s="301">
        <v>12448598.855</v>
      </c>
      <c r="V150" s="302">
        <v>139480347.35999998</v>
      </c>
      <c r="W150" s="303"/>
      <c r="X150" s="304">
        <v>12448598.855</v>
      </c>
      <c r="Y150" s="305">
        <v>139480347.35999998</v>
      </c>
    </row>
    <row r="151" spans="1:25" hidden="1" outlineLevel="1" x14ac:dyDescent="0.3">
      <c r="E151" s="250" t="s">
        <v>1066</v>
      </c>
      <c r="F151" s="317">
        <v>4201001</v>
      </c>
      <c r="G151" s="318"/>
      <c r="H151" s="319">
        <v>4500010101</v>
      </c>
      <c r="I151" s="320"/>
      <c r="J151" s="337">
        <v>9056709.9590000007</v>
      </c>
      <c r="K151" s="321">
        <v>9774191.8900000006</v>
      </c>
      <c r="L151" s="321">
        <v>12852229.636</v>
      </c>
      <c r="M151" s="321">
        <v>11475882.863</v>
      </c>
      <c r="N151" s="321">
        <v>10986040.959000001</v>
      </c>
      <c r="O151" s="321">
        <v>10471308.289000001</v>
      </c>
      <c r="P151" s="321">
        <v>11720245.923</v>
      </c>
      <c r="Q151" s="321">
        <v>10043681.786</v>
      </c>
      <c r="R151" s="321">
        <v>12825234.942</v>
      </c>
      <c r="S151" s="321">
        <v>12410835.645</v>
      </c>
      <c r="T151" s="321">
        <v>12772036.698000001</v>
      </c>
      <c r="U151" s="322">
        <v>11805141.986</v>
      </c>
      <c r="V151" s="323">
        <v>136193540.57599998</v>
      </c>
      <c r="W151" s="303"/>
      <c r="X151" s="324">
        <v>11805141.986</v>
      </c>
      <c r="Y151" s="325">
        <v>136193540.57599998</v>
      </c>
    </row>
    <row r="152" spans="1:25" hidden="1" outlineLevel="1" x14ac:dyDescent="0.3">
      <c r="E152" s="250" t="s">
        <v>1067</v>
      </c>
      <c r="F152" s="317">
        <v>4201002</v>
      </c>
      <c r="G152" s="318"/>
      <c r="H152" s="319">
        <v>4500010105</v>
      </c>
      <c r="I152" s="320"/>
      <c r="J152" s="337">
        <v>0</v>
      </c>
      <c r="K152" s="321">
        <v>0</v>
      </c>
      <c r="L152" s="321">
        <v>0</v>
      </c>
      <c r="M152" s="321">
        <v>0</v>
      </c>
      <c r="N152" s="321">
        <v>0</v>
      </c>
      <c r="O152" s="321">
        <v>0</v>
      </c>
      <c r="P152" s="321">
        <v>0</v>
      </c>
      <c r="Q152" s="321">
        <v>0</v>
      </c>
      <c r="R152" s="321">
        <v>0</v>
      </c>
      <c r="S152" s="321">
        <v>0</v>
      </c>
      <c r="T152" s="321">
        <v>0</v>
      </c>
      <c r="U152" s="322">
        <v>0</v>
      </c>
      <c r="V152" s="323">
        <v>0</v>
      </c>
      <c r="W152" s="303"/>
      <c r="X152" s="324">
        <v>0</v>
      </c>
      <c r="Y152" s="325">
        <v>0</v>
      </c>
    </row>
    <row r="153" spans="1:25" hidden="1" outlineLevel="1" x14ac:dyDescent="0.3">
      <c r="E153" s="250" t="s">
        <v>1068</v>
      </c>
      <c r="F153" s="317">
        <v>4201004</v>
      </c>
      <c r="G153" s="318"/>
      <c r="H153" s="319">
        <v>4500010103</v>
      </c>
      <c r="I153" s="320"/>
      <c r="J153" s="337">
        <v>0</v>
      </c>
      <c r="K153" s="321">
        <v>0</v>
      </c>
      <c r="L153" s="321">
        <v>0</v>
      </c>
      <c r="M153" s="321">
        <v>0</v>
      </c>
      <c r="N153" s="321">
        <v>0</v>
      </c>
      <c r="O153" s="321">
        <v>0</v>
      </c>
      <c r="P153" s="321">
        <v>0</v>
      </c>
      <c r="Q153" s="321">
        <v>0</v>
      </c>
      <c r="R153" s="321">
        <v>0</v>
      </c>
      <c r="S153" s="321">
        <v>0</v>
      </c>
      <c r="T153" s="321">
        <v>0</v>
      </c>
      <c r="U153" s="322">
        <v>0</v>
      </c>
      <c r="V153" s="323">
        <v>0</v>
      </c>
      <c r="W153" s="303"/>
      <c r="X153" s="324">
        <v>0</v>
      </c>
      <c r="Y153" s="325">
        <v>0</v>
      </c>
    </row>
    <row r="154" spans="1:25" hidden="1" outlineLevel="1" x14ac:dyDescent="0.3">
      <c r="E154" s="250" t="s">
        <v>1069</v>
      </c>
      <c r="F154" s="317">
        <v>4201005</v>
      </c>
      <c r="G154" s="318"/>
      <c r="H154" s="319"/>
      <c r="I154" s="320"/>
      <c r="J154" s="337">
        <v>0</v>
      </c>
      <c r="K154" s="321">
        <v>0</v>
      </c>
      <c r="L154" s="321">
        <v>0</v>
      </c>
      <c r="M154" s="321">
        <v>0</v>
      </c>
      <c r="N154" s="321">
        <v>0</v>
      </c>
      <c r="O154" s="321">
        <v>0</v>
      </c>
      <c r="P154" s="321">
        <v>0</v>
      </c>
      <c r="Q154" s="321">
        <v>0</v>
      </c>
      <c r="R154" s="321">
        <v>0</v>
      </c>
      <c r="S154" s="321">
        <v>0</v>
      </c>
      <c r="T154" s="321">
        <v>0</v>
      </c>
      <c r="U154" s="322">
        <v>0</v>
      </c>
      <c r="V154" s="323">
        <v>0</v>
      </c>
      <c r="W154" s="303"/>
      <c r="X154" s="324">
        <v>0</v>
      </c>
      <c r="Y154" s="325">
        <v>0</v>
      </c>
    </row>
    <row r="155" spans="1:25" hidden="1" outlineLevel="1" x14ac:dyDescent="0.3">
      <c r="E155" s="250" t="s">
        <v>1070</v>
      </c>
      <c r="F155" s="317">
        <v>4201007</v>
      </c>
      <c r="G155" s="318"/>
      <c r="H155" s="319">
        <v>4500010107</v>
      </c>
      <c r="I155" s="320"/>
      <c r="J155" s="337">
        <v>281320.80900000001</v>
      </c>
      <c r="K155" s="321">
        <v>415324.33399999997</v>
      </c>
      <c r="L155" s="321">
        <v>440022.32299999997</v>
      </c>
      <c r="M155" s="321">
        <v>369715.288</v>
      </c>
      <c r="N155" s="321">
        <v>389241.37099999998</v>
      </c>
      <c r="O155" s="321">
        <v>514286.07500000001</v>
      </c>
      <c r="P155" s="321">
        <v>-80527.899000000005</v>
      </c>
      <c r="Q155" s="321">
        <v>97626.985000000001</v>
      </c>
      <c r="R155" s="321">
        <v>200626.80499999999</v>
      </c>
      <c r="S155" s="321">
        <v>248748.853</v>
      </c>
      <c r="T155" s="321">
        <v>-226562.70800000001</v>
      </c>
      <c r="U155" s="322">
        <v>603946.152</v>
      </c>
      <c r="V155" s="323">
        <v>3253768.3880000003</v>
      </c>
      <c r="W155" s="303"/>
      <c r="X155" s="324">
        <v>603946.152</v>
      </c>
      <c r="Y155" s="325">
        <v>3253768.3880000003</v>
      </c>
    </row>
    <row r="156" spans="1:25" hidden="1" outlineLevel="1" x14ac:dyDescent="0.3">
      <c r="E156" s="250" t="s">
        <v>1071</v>
      </c>
      <c r="F156" s="317">
        <v>4201008</v>
      </c>
      <c r="G156" s="318"/>
      <c r="H156" s="319"/>
      <c r="I156" s="320"/>
      <c r="J156" s="337">
        <v>0</v>
      </c>
      <c r="K156" s="321">
        <v>0</v>
      </c>
      <c r="L156" s="321">
        <v>0</v>
      </c>
      <c r="M156" s="321">
        <v>0</v>
      </c>
      <c r="N156" s="321">
        <v>0</v>
      </c>
      <c r="O156" s="321">
        <v>0</v>
      </c>
      <c r="P156" s="321">
        <v>0</v>
      </c>
      <c r="Q156" s="321">
        <v>0</v>
      </c>
      <c r="R156" s="321">
        <v>0</v>
      </c>
      <c r="S156" s="321">
        <v>0</v>
      </c>
      <c r="T156" s="321">
        <v>0</v>
      </c>
      <c r="U156" s="322">
        <v>0</v>
      </c>
      <c r="V156" s="323">
        <v>0</v>
      </c>
      <c r="W156" s="303"/>
      <c r="X156" s="324">
        <v>0</v>
      </c>
      <c r="Y156" s="325">
        <v>0</v>
      </c>
    </row>
    <row r="157" spans="1:25" hidden="1" outlineLevel="1" x14ac:dyDescent="0.3">
      <c r="E157" s="250" t="s">
        <v>1072</v>
      </c>
      <c r="F157" s="317">
        <v>4201091</v>
      </c>
      <c r="G157" s="318"/>
      <c r="H157" s="319">
        <v>4500010109</v>
      </c>
      <c r="I157" s="320"/>
      <c r="J157" s="337">
        <v>0</v>
      </c>
      <c r="K157" s="321">
        <v>0</v>
      </c>
      <c r="L157" s="321">
        <v>0</v>
      </c>
      <c r="M157" s="321">
        <v>0</v>
      </c>
      <c r="N157" s="321">
        <v>0</v>
      </c>
      <c r="O157" s="321">
        <v>0</v>
      </c>
      <c r="P157" s="321">
        <v>0</v>
      </c>
      <c r="Q157" s="321">
        <v>0</v>
      </c>
      <c r="R157" s="321">
        <v>0</v>
      </c>
      <c r="S157" s="321">
        <v>0</v>
      </c>
      <c r="T157" s="321">
        <v>0</v>
      </c>
      <c r="U157" s="322">
        <v>0</v>
      </c>
      <c r="V157" s="323">
        <v>0</v>
      </c>
      <c r="W157" s="303"/>
      <c r="X157" s="324">
        <v>0</v>
      </c>
      <c r="Y157" s="325">
        <v>0</v>
      </c>
    </row>
    <row r="158" spans="1:25" hidden="1" outlineLevel="1" x14ac:dyDescent="0.3">
      <c r="E158" s="250" t="s">
        <v>1073</v>
      </c>
      <c r="F158" s="317">
        <v>4201095</v>
      </c>
      <c r="G158" s="318"/>
      <c r="H158" s="319"/>
      <c r="I158" s="320"/>
      <c r="J158" s="337">
        <v>1195.7090000000001</v>
      </c>
      <c r="K158" s="321">
        <v>1268.0160000000001</v>
      </c>
      <c r="L158" s="321">
        <v>1610.4079999999999</v>
      </c>
      <c r="M158" s="321">
        <v>1993.4459999999999</v>
      </c>
      <c r="N158" s="321">
        <v>1554.384</v>
      </c>
      <c r="O158" s="321">
        <v>1681.096</v>
      </c>
      <c r="P158" s="321">
        <v>1636.164</v>
      </c>
      <c r="Q158" s="321">
        <v>73.707999999999998</v>
      </c>
      <c r="R158" s="321">
        <v>3786.8139999999999</v>
      </c>
      <c r="S158" s="321">
        <v>1270.8800000000001</v>
      </c>
      <c r="T158" s="321">
        <v>1218.992</v>
      </c>
      <c r="U158" s="322">
        <v>5708.0569999999998</v>
      </c>
      <c r="V158" s="323">
        <v>22997.673999999999</v>
      </c>
      <c r="W158" s="303"/>
      <c r="X158" s="324">
        <v>5708.0569999999998</v>
      </c>
      <c r="Y158" s="325">
        <v>22997.673999999999</v>
      </c>
    </row>
    <row r="159" spans="1:25" hidden="1" outlineLevel="1" x14ac:dyDescent="0.3">
      <c r="E159" s="250" t="s">
        <v>1074</v>
      </c>
      <c r="F159" s="317">
        <v>4201096</v>
      </c>
      <c r="G159" s="318"/>
      <c r="H159" s="319"/>
      <c r="I159" s="320"/>
      <c r="J159" s="337">
        <v>0</v>
      </c>
      <c r="K159" s="321">
        <v>0</v>
      </c>
      <c r="L159" s="321">
        <v>0</v>
      </c>
      <c r="M159" s="321">
        <v>0</v>
      </c>
      <c r="N159" s="321">
        <v>0</v>
      </c>
      <c r="O159" s="321">
        <v>0</v>
      </c>
      <c r="P159" s="321">
        <v>0</v>
      </c>
      <c r="Q159" s="321">
        <v>0</v>
      </c>
      <c r="R159" s="321">
        <v>0</v>
      </c>
      <c r="S159" s="321">
        <v>0</v>
      </c>
      <c r="T159" s="321">
        <v>0</v>
      </c>
      <c r="U159" s="322">
        <v>0</v>
      </c>
      <c r="V159" s="323">
        <v>0</v>
      </c>
      <c r="W159" s="303"/>
      <c r="X159" s="324">
        <v>0</v>
      </c>
      <c r="Y159" s="325">
        <v>0</v>
      </c>
    </row>
    <row r="160" spans="1:25" hidden="1" outlineLevel="1" x14ac:dyDescent="0.3">
      <c r="E160" s="250" t="s">
        <v>1075</v>
      </c>
      <c r="F160" s="317">
        <v>4201097</v>
      </c>
      <c r="G160" s="318"/>
      <c r="H160" s="319"/>
      <c r="I160" s="320"/>
      <c r="J160" s="337">
        <v>0</v>
      </c>
      <c r="K160" s="321">
        <v>0</v>
      </c>
      <c r="L160" s="321">
        <v>-80057.25</v>
      </c>
      <c r="M160" s="321">
        <v>0</v>
      </c>
      <c r="N160" s="321">
        <v>0</v>
      </c>
      <c r="O160" s="321">
        <v>48473.767</v>
      </c>
      <c r="P160" s="321">
        <v>0</v>
      </c>
      <c r="Q160" s="321">
        <v>0</v>
      </c>
      <c r="R160" s="321">
        <v>-71500.5</v>
      </c>
      <c r="S160" s="321">
        <v>0</v>
      </c>
      <c r="T160" s="321">
        <v>0</v>
      </c>
      <c r="U160" s="322">
        <v>7625.5659999999998</v>
      </c>
      <c r="V160" s="323">
        <v>-95458.417000000001</v>
      </c>
      <c r="W160" s="303"/>
      <c r="X160" s="324">
        <v>7625.5659999999998</v>
      </c>
      <c r="Y160" s="325">
        <v>-95458.417000000001</v>
      </c>
    </row>
    <row r="161" spans="1:25" hidden="1" outlineLevel="1" x14ac:dyDescent="0.3">
      <c r="E161" s="250" t="s">
        <v>1076</v>
      </c>
      <c r="F161" s="317">
        <v>4201098</v>
      </c>
      <c r="G161" s="318"/>
      <c r="H161" s="319"/>
      <c r="I161" s="320"/>
      <c r="J161" s="337">
        <v>10317.866</v>
      </c>
      <c r="K161" s="321">
        <v>9915.0630000000001</v>
      </c>
      <c r="L161" s="321">
        <v>5068.6090000000004</v>
      </c>
      <c r="M161" s="321">
        <v>9459.8979999999992</v>
      </c>
      <c r="N161" s="321">
        <v>12128.248</v>
      </c>
      <c r="O161" s="321">
        <v>8732.4269999999997</v>
      </c>
      <c r="P161" s="321">
        <v>5093.6909999999998</v>
      </c>
      <c r="Q161" s="321">
        <v>3903.8679999999999</v>
      </c>
      <c r="R161" s="321">
        <v>6732.6459999999997</v>
      </c>
      <c r="S161" s="321">
        <v>4074.0410000000002</v>
      </c>
      <c r="T161" s="321">
        <v>4966.1509999999998</v>
      </c>
      <c r="U161" s="322">
        <v>26177.094000000001</v>
      </c>
      <c r="V161" s="323">
        <v>106569.602</v>
      </c>
      <c r="W161" s="303"/>
      <c r="X161" s="324">
        <v>26177.094000000001</v>
      </c>
      <c r="Y161" s="325">
        <v>106569.602</v>
      </c>
    </row>
    <row r="162" spans="1:25" s="250" customFormat="1" hidden="1" outlineLevel="2" x14ac:dyDescent="0.3">
      <c r="E162" s="250" t="s">
        <v>1077</v>
      </c>
      <c r="F162" s="306">
        <v>4201094</v>
      </c>
      <c r="G162" s="307"/>
      <c r="H162" s="308"/>
      <c r="I162" s="309"/>
      <c r="J162" s="310">
        <v>-1123.5029999999999</v>
      </c>
      <c r="K162" s="311">
        <v>0</v>
      </c>
      <c r="L162" s="311">
        <v>0</v>
      </c>
      <c r="M162" s="311">
        <v>0</v>
      </c>
      <c r="N162" s="311">
        <v>0</v>
      </c>
      <c r="O162" s="311">
        <v>0</v>
      </c>
      <c r="P162" s="311">
        <v>0</v>
      </c>
      <c r="Q162" s="311">
        <v>0</v>
      </c>
      <c r="R162" s="311">
        <v>53.04</v>
      </c>
      <c r="S162" s="311">
        <v>0</v>
      </c>
      <c r="T162" s="311">
        <v>0</v>
      </c>
      <c r="U162" s="312">
        <v>0</v>
      </c>
      <c r="V162" s="313">
        <v>-1070.463</v>
      </c>
      <c r="W162" s="314"/>
      <c r="X162" s="315">
        <v>0</v>
      </c>
      <c r="Y162" s="316">
        <v>-1070.463</v>
      </c>
    </row>
    <row r="163" spans="1:25" s="326" customFormat="1" hidden="1" outlineLevel="2" x14ac:dyDescent="0.3">
      <c r="E163" s="326" t="s">
        <v>1078</v>
      </c>
      <c r="F163" s="336"/>
      <c r="G163" s="327"/>
      <c r="H163" s="328"/>
      <c r="I163" s="329"/>
      <c r="J163" s="338">
        <v>0</v>
      </c>
      <c r="K163" s="330">
        <v>0</v>
      </c>
      <c r="L163" s="330">
        <v>0</v>
      </c>
      <c r="M163" s="330">
        <v>0</v>
      </c>
      <c r="N163" s="330">
        <v>0</v>
      </c>
      <c r="O163" s="330">
        <v>0</v>
      </c>
      <c r="P163" s="330">
        <v>0</v>
      </c>
      <c r="Q163" s="330">
        <v>0</v>
      </c>
      <c r="R163" s="330">
        <v>0</v>
      </c>
      <c r="S163" s="330">
        <v>0</v>
      </c>
      <c r="T163" s="330">
        <v>0</v>
      </c>
      <c r="U163" s="331">
        <v>0</v>
      </c>
      <c r="V163" s="332">
        <v>0</v>
      </c>
      <c r="W163" s="333"/>
      <c r="X163" s="334">
        <v>0</v>
      </c>
      <c r="Y163" s="335">
        <v>0</v>
      </c>
    </row>
    <row r="164" spans="1:25" s="326" customFormat="1" hidden="1" outlineLevel="2" x14ac:dyDescent="0.3">
      <c r="E164" s="326" t="s">
        <v>1079</v>
      </c>
      <c r="F164" s="336"/>
      <c r="G164" s="327"/>
      <c r="H164" s="328"/>
      <c r="I164" s="329"/>
      <c r="J164" s="338">
        <v>0</v>
      </c>
      <c r="K164" s="330">
        <v>0</v>
      </c>
      <c r="L164" s="330">
        <v>0</v>
      </c>
      <c r="M164" s="330">
        <v>0</v>
      </c>
      <c r="N164" s="330">
        <v>0</v>
      </c>
      <c r="O164" s="330">
        <v>0</v>
      </c>
      <c r="P164" s="330">
        <v>0</v>
      </c>
      <c r="Q164" s="330">
        <v>0</v>
      </c>
      <c r="R164" s="330">
        <v>0</v>
      </c>
      <c r="S164" s="330">
        <v>0</v>
      </c>
      <c r="T164" s="330">
        <v>0</v>
      </c>
      <c r="U164" s="331">
        <v>0</v>
      </c>
      <c r="V164" s="332">
        <v>0</v>
      </c>
      <c r="W164" s="333"/>
      <c r="X164" s="334">
        <v>0</v>
      </c>
      <c r="Y164" s="335">
        <v>0</v>
      </c>
    </row>
    <row r="165" spans="1:25" s="326" customFormat="1" hidden="1" outlineLevel="2" x14ac:dyDescent="0.3">
      <c r="E165" s="326" t="s">
        <v>1080</v>
      </c>
      <c r="F165" s="336"/>
      <c r="G165" s="327"/>
      <c r="H165" s="328"/>
      <c r="I165" s="329"/>
      <c r="J165" s="338">
        <v>0</v>
      </c>
      <c r="K165" s="330">
        <v>0</v>
      </c>
      <c r="L165" s="330">
        <v>0</v>
      </c>
      <c r="M165" s="330">
        <v>0</v>
      </c>
      <c r="N165" s="330">
        <v>0</v>
      </c>
      <c r="O165" s="330">
        <v>0</v>
      </c>
      <c r="P165" s="330">
        <v>0</v>
      </c>
      <c r="Q165" s="330">
        <v>0</v>
      </c>
      <c r="R165" s="330">
        <v>0</v>
      </c>
      <c r="S165" s="330">
        <v>0</v>
      </c>
      <c r="T165" s="330">
        <v>0</v>
      </c>
      <c r="U165" s="331">
        <v>0</v>
      </c>
      <c r="V165" s="332">
        <v>0</v>
      </c>
      <c r="W165" s="333"/>
      <c r="X165" s="334">
        <v>0</v>
      </c>
      <c r="Y165" s="335">
        <v>0</v>
      </c>
    </row>
    <row r="166" spans="1:25" collapsed="1" x14ac:dyDescent="0.3">
      <c r="A166" s="233"/>
      <c r="B166" s="234" t="s">
        <v>62</v>
      </c>
      <c r="D166" s="293" t="s">
        <v>1081</v>
      </c>
      <c r="E166" s="294"/>
      <c r="F166" s="295" t="s">
        <v>1082</v>
      </c>
      <c r="G166" s="296"/>
      <c r="H166" s="297"/>
      <c r="I166" s="298"/>
      <c r="J166" s="299">
        <v>0</v>
      </c>
      <c r="K166" s="300">
        <v>0</v>
      </c>
      <c r="L166" s="300">
        <v>0</v>
      </c>
      <c r="M166" s="300">
        <v>0</v>
      </c>
      <c r="N166" s="300">
        <v>0</v>
      </c>
      <c r="O166" s="300">
        <v>0</v>
      </c>
      <c r="P166" s="300">
        <v>0</v>
      </c>
      <c r="Q166" s="300">
        <v>0</v>
      </c>
      <c r="R166" s="300">
        <v>0</v>
      </c>
      <c r="S166" s="300">
        <v>0</v>
      </c>
      <c r="T166" s="300">
        <v>0</v>
      </c>
      <c r="U166" s="301">
        <v>0</v>
      </c>
      <c r="V166" s="302">
        <v>0</v>
      </c>
      <c r="W166" s="303"/>
      <c r="X166" s="304">
        <v>0</v>
      </c>
      <c r="Y166" s="305">
        <v>0</v>
      </c>
    </row>
    <row r="167" spans="1:25" x14ac:dyDescent="0.3">
      <c r="A167" s="326"/>
      <c r="B167" s="326"/>
      <c r="E167" s="339" t="s">
        <v>1083</v>
      </c>
      <c r="F167" s="340" t="s">
        <v>1084</v>
      </c>
      <c r="G167" s="341"/>
      <c r="H167" s="342"/>
      <c r="I167" s="343"/>
      <c r="J167" s="344">
        <v>0</v>
      </c>
      <c r="K167" s="345">
        <v>0</v>
      </c>
      <c r="L167" s="345">
        <v>0</v>
      </c>
      <c r="M167" s="345">
        <v>0</v>
      </c>
      <c r="N167" s="345">
        <v>0</v>
      </c>
      <c r="O167" s="345">
        <v>0</v>
      </c>
      <c r="P167" s="345">
        <v>0</v>
      </c>
      <c r="Q167" s="345">
        <v>0</v>
      </c>
      <c r="R167" s="345">
        <v>0</v>
      </c>
      <c r="S167" s="345">
        <v>0</v>
      </c>
      <c r="T167" s="345">
        <v>0</v>
      </c>
      <c r="U167" s="346">
        <v>0</v>
      </c>
      <c r="V167" s="347">
        <v>0</v>
      </c>
      <c r="W167" s="303"/>
      <c r="X167" s="348">
        <v>0</v>
      </c>
      <c r="Y167" s="349">
        <v>0</v>
      </c>
    </row>
    <row r="168" spans="1:25" hidden="1" outlineLevel="1" x14ac:dyDescent="0.3">
      <c r="E168" s="250" t="s">
        <v>1085</v>
      </c>
      <c r="F168" s="317">
        <v>4201401</v>
      </c>
      <c r="G168" s="318"/>
      <c r="H168" s="319">
        <v>4500010111</v>
      </c>
      <c r="I168" s="320"/>
      <c r="J168" s="337">
        <v>0</v>
      </c>
      <c r="K168" s="321">
        <v>0</v>
      </c>
      <c r="L168" s="321">
        <v>0</v>
      </c>
      <c r="M168" s="321">
        <v>0</v>
      </c>
      <c r="N168" s="321">
        <v>0</v>
      </c>
      <c r="O168" s="321">
        <v>0</v>
      </c>
      <c r="P168" s="321">
        <v>0</v>
      </c>
      <c r="Q168" s="321">
        <v>0</v>
      </c>
      <c r="R168" s="321">
        <v>0</v>
      </c>
      <c r="S168" s="321">
        <v>0</v>
      </c>
      <c r="T168" s="321">
        <v>0</v>
      </c>
      <c r="U168" s="322">
        <v>0</v>
      </c>
      <c r="V168" s="323">
        <v>0</v>
      </c>
      <c r="W168" s="303"/>
      <c r="X168" s="324">
        <v>0</v>
      </c>
      <c r="Y168" s="325">
        <v>0</v>
      </c>
    </row>
    <row r="169" spans="1:25" hidden="1" outlineLevel="1" x14ac:dyDescent="0.3">
      <c r="E169" s="250" t="s">
        <v>1086</v>
      </c>
      <c r="F169" s="317">
        <v>4201402</v>
      </c>
      <c r="G169" s="318"/>
      <c r="H169" s="319"/>
      <c r="I169" s="320"/>
      <c r="J169" s="337">
        <v>0</v>
      </c>
      <c r="K169" s="321">
        <v>0</v>
      </c>
      <c r="L169" s="321">
        <v>0</v>
      </c>
      <c r="M169" s="321">
        <v>0</v>
      </c>
      <c r="N169" s="321">
        <v>0</v>
      </c>
      <c r="O169" s="321">
        <v>0</v>
      </c>
      <c r="P169" s="321">
        <v>0</v>
      </c>
      <c r="Q169" s="321">
        <v>0</v>
      </c>
      <c r="R169" s="321">
        <v>0</v>
      </c>
      <c r="S169" s="321">
        <v>0</v>
      </c>
      <c r="T169" s="321">
        <v>0</v>
      </c>
      <c r="U169" s="322">
        <v>0</v>
      </c>
      <c r="V169" s="323">
        <v>0</v>
      </c>
      <c r="W169" s="303"/>
      <c r="X169" s="324">
        <v>0</v>
      </c>
      <c r="Y169" s="325">
        <v>0</v>
      </c>
    </row>
    <row r="170" spans="1:25" hidden="1" outlineLevel="1" x14ac:dyDescent="0.3">
      <c r="E170" s="250" t="s">
        <v>1087</v>
      </c>
      <c r="F170" s="317">
        <v>4201403</v>
      </c>
      <c r="G170" s="318"/>
      <c r="H170" s="319"/>
      <c r="I170" s="320"/>
      <c r="J170" s="337">
        <v>0</v>
      </c>
      <c r="K170" s="321">
        <v>0</v>
      </c>
      <c r="L170" s="321">
        <v>0</v>
      </c>
      <c r="M170" s="321">
        <v>0</v>
      </c>
      <c r="N170" s="321">
        <v>0</v>
      </c>
      <c r="O170" s="321">
        <v>0</v>
      </c>
      <c r="P170" s="321">
        <v>0</v>
      </c>
      <c r="Q170" s="321">
        <v>0</v>
      </c>
      <c r="R170" s="321">
        <v>0</v>
      </c>
      <c r="S170" s="321">
        <v>0</v>
      </c>
      <c r="T170" s="321">
        <v>0</v>
      </c>
      <c r="U170" s="322">
        <v>0</v>
      </c>
      <c r="V170" s="323">
        <v>0</v>
      </c>
      <c r="W170" s="303"/>
      <c r="X170" s="324">
        <v>0</v>
      </c>
      <c r="Y170" s="325">
        <v>0</v>
      </c>
    </row>
    <row r="171" spans="1:25" hidden="1" outlineLevel="1" x14ac:dyDescent="0.3">
      <c r="E171" s="250" t="s">
        <v>1088</v>
      </c>
      <c r="F171" s="317">
        <v>4201404</v>
      </c>
      <c r="G171" s="318"/>
      <c r="H171" s="319"/>
      <c r="I171" s="320"/>
      <c r="J171" s="337">
        <v>0</v>
      </c>
      <c r="K171" s="321">
        <v>0</v>
      </c>
      <c r="L171" s="321">
        <v>0</v>
      </c>
      <c r="M171" s="321">
        <v>0</v>
      </c>
      <c r="N171" s="321">
        <v>0</v>
      </c>
      <c r="O171" s="321">
        <v>0</v>
      </c>
      <c r="P171" s="321">
        <v>0</v>
      </c>
      <c r="Q171" s="321">
        <v>0</v>
      </c>
      <c r="R171" s="321">
        <v>0</v>
      </c>
      <c r="S171" s="321">
        <v>0</v>
      </c>
      <c r="T171" s="321">
        <v>0</v>
      </c>
      <c r="U171" s="322">
        <v>0</v>
      </c>
      <c r="V171" s="323">
        <v>0</v>
      </c>
      <c r="W171" s="303"/>
      <c r="X171" s="324">
        <v>0</v>
      </c>
      <c r="Y171" s="325">
        <v>0</v>
      </c>
    </row>
    <row r="172" spans="1:25" hidden="1" outlineLevel="1" x14ac:dyDescent="0.3">
      <c r="E172" s="250" t="s">
        <v>1089</v>
      </c>
      <c r="F172" s="317">
        <v>4201405</v>
      </c>
      <c r="G172" s="318"/>
      <c r="H172" s="319"/>
      <c r="I172" s="320"/>
      <c r="J172" s="337">
        <v>0</v>
      </c>
      <c r="K172" s="321">
        <v>0</v>
      </c>
      <c r="L172" s="321">
        <v>0</v>
      </c>
      <c r="M172" s="321">
        <v>0</v>
      </c>
      <c r="N172" s="321">
        <v>0</v>
      </c>
      <c r="O172" s="321">
        <v>0</v>
      </c>
      <c r="P172" s="321">
        <v>0</v>
      </c>
      <c r="Q172" s="321">
        <v>0</v>
      </c>
      <c r="R172" s="321">
        <v>0</v>
      </c>
      <c r="S172" s="321">
        <v>0</v>
      </c>
      <c r="T172" s="321">
        <v>0</v>
      </c>
      <c r="U172" s="322">
        <v>0</v>
      </c>
      <c r="V172" s="323">
        <v>0</v>
      </c>
      <c r="W172" s="303"/>
      <c r="X172" s="324">
        <v>0</v>
      </c>
      <c r="Y172" s="325">
        <v>0</v>
      </c>
    </row>
    <row r="173" spans="1:25" hidden="1" outlineLevel="1" x14ac:dyDescent="0.3">
      <c r="E173" s="250" t="s">
        <v>1090</v>
      </c>
      <c r="F173" s="317">
        <v>4201406</v>
      </c>
      <c r="G173" s="318"/>
      <c r="H173" s="319"/>
      <c r="I173" s="320"/>
      <c r="J173" s="337">
        <v>0</v>
      </c>
      <c r="K173" s="321">
        <v>0</v>
      </c>
      <c r="L173" s="321">
        <v>0</v>
      </c>
      <c r="M173" s="321">
        <v>0</v>
      </c>
      <c r="N173" s="321">
        <v>0</v>
      </c>
      <c r="O173" s="321">
        <v>0</v>
      </c>
      <c r="P173" s="321">
        <v>0</v>
      </c>
      <c r="Q173" s="321">
        <v>0</v>
      </c>
      <c r="R173" s="321">
        <v>0</v>
      </c>
      <c r="S173" s="321">
        <v>0</v>
      </c>
      <c r="T173" s="321">
        <v>0</v>
      </c>
      <c r="U173" s="322">
        <v>0</v>
      </c>
      <c r="V173" s="323">
        <v>0</v>
      </c>
      <c r="W173" s="303"/>
      <c r="X173" s="324">
        <v>0</v>
      </c>
      <c r="Y173" s="325">
        <v>0</v>
      </c>
    </row>
    <row r="174" spans="1:25" hidden="1" outlineLevel="1" x14ac:dyDescent="0.3">
      <c r="E174" s="250" t="s">
        <v>1091</v>
      </c>
      <c r="F174" s="317">
        <v>4201407</v>
      </c>
      <c r="G174" s="318"/>
      <c r="H174" s="319"/>
      <c r="I174" s="320"/>
      <c r="J174" s="337">
        <v>0</v>
      </c>
      <c r="K174" s="321">
        <v>0</v>
      </c>
      <c r="L174" s="321">
        <v>0</v>
      </c>
      <c r="M174" s="321">
        <v>0</v>
      </c>
      <c r="N174" s="321">
        <v>0</v>
      </c>
      <c r="O174" s="321">
        <v>0</v>
      </c>
      <c r="P174" s="321">
        <v>0</v>
      </c>
      <c r="Q174" s="321">
        <v>0</v>
      </c>
      <c r="R174" s="321">
        <v>0</v>
      </c>
      <c r="S174" s="321">
        <v>0</v>
      </c>
      <c r="T174" s="321">
        <v>0</v>
      </c>
      <c r="U174" s="322">
        <v>0</v>
      </c>
      <c r="V174" s="323">
        <v>0</v>
      </c>
      <c r="W174" s="303"/>
      <c r="X174" s="324">
        <v>0</v>
      </c>
      <c r="Y174" s="325">
        <v>0</v>
      </c>
    </row>
    <row r="175" spans="1:25" s="361" customFormat="1" hidden="1" outlineLevel="2" x14ac:dyDescent="0.3">
      <c r="E175" s="326" t="s">
        <v>1092</v>
      </c>
      <c r="F175" s="351"/>
      <c r="G175" s="352"/>
      <c r="H175" s="353"/>
      <c r="I175" s="354"/>
      <c r="J175" s="362">
        <v>0</v>
      </c>
      <c r="K175" s="355">
        <v>0</v>
      </c>
      <c r="L175" s="355">
        <v>0</v>
      </c>
      <c r="M175" s="355">
        <v>0</v>
      </c>
      <c r="N175" s="355">
        <v>0</v>
      </c>
      <c r="O175" s="355">
        <v>0</v>
      </c>
      <c r="P175" s="355">
        <v>0</v>
      </c>
      <c r="Q175" s="355">
        <v>0</v>
      </c>
      <c r="R175" s="355">
        <v>0</v>
      </c>
      <c r="S175" s="355">
        <v>0</v>
      </c>
      <c r="T175" s="355">
        <v>0</v>
      </c>
      <c r="U175" s="356">
        <v>0</v>
      </c>
      <c r="V175" s="357">
        <v>0</v>
      </c>
      <c r="W175" s="358"/>
      <c r="X175" s="359">
        <v>0</v>
      </c>
      <c r="Y175" s="360">
        <v>0</v>
      </c>
    </row>
    <row r="176" spans="1:25" s="361" customFormat="1" hidden="1" outlineLevel="2" x14ac:dyDescent="0.3">
      <c r="E176" s="326" t="s">
        <v>1093</v>
      </c>
      <c r="F176" s="351"/>
      <c r="G176" s="352"/>
      <c r="H176" s="353"/>
      <c r="I176" s="354"/>
      <c r="J176" s="362">
        <v>0</v>
      </c>
      <c r="K176" s="355">
        <v>0</v>
      </c>
      <c r="L176" s="355">
        <v>0</v>
      </c>
      <c r="M176" s="355">
        <v>0</v>
      </c>
      <c r="N176" s="355">
        <v>0</v>
      </c>
      <c r="O176" s="355">
        <v>0</v>
      </c>
      <c r="P176" s="355">
        <v>0</v>
      </c>
      <c r="Q176" s="355">
        <v>0</v>
      </c>
      <c r="R176" s="355">
        <v>0</v>
      </c>
      <c r="S176" s="355">
        <v>0</v>
      </c>
      <c r="T176" s="355">
        <v>0</v>
      </c>
      <c r="U176" s="356">
        <v>0</v>
      </c>
      <c r="V176" s="357">
        <v>0</v>
      </c>
      <c r="W176" s="358"/>
      <c r="X176" s="359">
        <v>0</v>
      </c>
      <c r="Y176" s="360">
        <v>0</v>
      </c>
    </row>
    <row r="177" spans="1:25" s="361" customFormat="1" hidden="1" outlineLevel="2" x14ac:dyDescent="0.3">
      <c r="E177" s="326" t="s">
        <v>1094</v>
      </c>
      <c r="F177" s="351"/>
      <c r="G177" s="352"/>
      <c r="H177" s="353"/>
      <c r="I177" s="354"/>
      <c r="J177" s="362">
        <v>0</v>
      </c>
      <c r="K177" s="355">
        <v>0</v>
      </c>
      <c r="L177" s="355">
        <v>0</v>
      </c>
      <c r="M177" s="355">
        <v>0</v>
      </c>
      <c r="N177" s="355">
        <v>0</v>
      </c>
      <c r="O177" s="355">
        <v>0</v>
      </c>
      <c r="P177" s="355">
        <v>0</v>
      </c>
      <c r="Q177" s="355">
        <v>0</v>
      </c>
      <c r="R177" s="355">
        <v>0</v>
      </c>
      <c r="S177" s="355">
        <v>0</v>
      </c>
      <c r="T177" s="355">
        <v>0</v>
      </c>
      <c r="U177" s="356">
        <v>0</v>
      </c>
      <c r="V177" s="357">
        <v>0</v>
      </c>
      <c r="W177" s="358"/>
      <c r="X177" s="359">
        <v>0</v>
      </c>
      <c r="Y177" s="360">
        <v>0</v>
      </c>
    </row>
    <row r="178" spans="1:25" collapsed="1" x14ac:dyDescent="0.3">
      <c r="A178" s="233"/>
      <c r="B178" s="234" t="s">
        <v>8</v>
      </c>
      <c r="D178" s="293" t="s">
        <v>1095</v>
      </c>
      <c r="E178" s="294"/>
      <c r="F178" s="295" t="s">
        <v>1096</v>
      </c>
      <c r="G178" s="296"/>
      <c r="H178" s="297"/>
      <c r="I178" s="298"/>
      <c r="J178" s="299">
        <v>0</v>
      </c>
      <c r="K178" s="300">
        <v>0</v>
      </c>
      <c r="L178" s="300">
        <v>0</v>
      </c>
      <c r="M178" s="300">
        <v>0</v>
      </c>
      <c r="N178" s="300">
        <v>0</v>
      </c>
      <c r="O178" s="300">
        <v>0</v>
      </c>
      <c r="P178" s="300">
        <v>0</v>
      </c>
      <c r="Q178" s="300">
        <v>0</v>
      </c>
      <c r="R178" s="300">
        <v>0</v>
      </c>
      <c r="S178" s="300">
        <v>0</v>
      </c>
      <c r="T178" s="300">
        <v>0</v>
      </c>
      <c r="U178" s="301">
        <v>0</v>
      </c>
      <c r="V178" s="302">
        <v>0</v>
      </c>
      <c r="W178" s="303"/>
      <c r="X178" s="304">
        <v>0</v>
      </c>
      <c r="Y178" s="305">
        <v>0</v>
      </c>
    </row>
    <row r="179" spans="1:25" hidden="1" outlineLevel="1" x14ac:dyDescent="0.3">
      <c r="A179" s="361"/>
      <c r="B179" s="361"/>
      <c r="E179" s="250" t="s">
        <v>1097</v>
      </c>
      <c r="F179" s="317">
        <v>4203001</v>
      </c>
      <c r="G179" s="318"/>
      <c r="H179" s="319">
        <v>4500030101</v>
      </c>
      <c r="I179" s="320"/>
      <c r="J179" s="337">
        <v>0</v>
      </c>
      <c r="K179" s="321">
        <v>0</v>
      </c>
      <c r="L179" s="321">
        <v>0</v>
      </c>
      <c r="M179" s="321">
        <v>0</v>
      </c>
      <c r="N179" s="321">
        <v>0</v>
      </c>
      <c r="O179" s="321">
        <v>0</v>
      </c>
      <c r="P179" s="321">
        <v>0</v>
      </c>
      <c r="Q179" s="321">
        <v>0</v>
      </c>
      <c r="R179" s="321">
        <v>0</v>
      </c>
      <c r="S179" s="321">
        <v>0</v>
      </c>
      <c r="T179" s="321">
        <v>0</v>
      </c>
      <c r="U179" s="322">
        <v>0</v>
      </c>
      <c r="V179" s="323">
        <v>0</v>
      </c>
      <c r="W179" s="303"/>
      <c r="X179" s="324">
        <v>0</v>
      </c>
      <c r="Y179" s="325">
        <v>0</v>
      </c>
    </row>
    <row r="180" spans="1:25" s="326" customFormat="1" hidden="1" outlineLevel="2" x14ac:dyDescent="0.3">
      <c r="E180" s="326" t="s">
        <v>1098</v>
      </c>
      <c r="F180" s="336"/>
      <c r="G180" s="327"/>
      <c r="H180" s="328"/>
      <c r="I180" s="329"/>
      <c r="J180" s="338">
        <v>0</v>
      </c>
      <c r="K180" s="330">
        <v>0</v>
      </c>
      <c r="L180" s="330">
        <v>0</v>
      </c>
      <c r="M180" s="330">
        <v>0</v>
      </c>
      <c r="N180" s="330">
        <v>0</v>
      </c>
      <c r="O180" s="330">
        <v>0</v>
      </c>
      <c r="P180" s="330">
        <v>0</v>
      </c>
      <c r="Q180" s="330">
        <v>0</v>
      </c>
      <c r="R180" s="330">
        <v>0</v>
      </c>
      <c r="S180" s="330">
        <v>0</v>
      </c>
      <c r="T180" s="330">
        <v>0</v>
      </c>
      <c r="U180" s="331">
        <v>0</v>
      </c>
      <c r="V180" s="332">
        <v>0</v>
      </c>
      <c r="W180" s="333"/>
      <c r="X180" s="334">
        <v>0</v>
      </c>
      <c r="Y180" s="335">
        <v>0</v>
      </c>
    </row>
    <row r="181" spans="1:25" s="326" customFormat="1" hidden="1" outlineLevel="2" x14ac:dyDescent="0.3">
      <c r="E181" s="326" t="s">
        <v>1099</v>
      </c>
      <c r="F181" s="336"/>
      <c r="G181" s="327"/>
      <c r="H181" s="328"/>
      <c r="I181" s="329"/>
      <c r="J181" s="338">
        <v>0</v>
      </c>
      <c r="K181" s="330">
        <v>0</v>
      </c>
      <c r="L181" s="330">
        <v>0</v>
      </c>
      <c r="M181" s="330">
        <v>0</v>
      </c>
      <c r="N181" s="330">
        <v>0</v>
      </c>
      <c r="O181" s="330">
        <v>0</v>
      </c>
      <c r="P181" s="330">
        <v>0</v>
      </c>
      <c r="Q181" s="330">
        <v>0</v>
      </c>
      <c r="R181" s="330">
        <v>0</v>
      </c>
      <c r="S181" s="330">
        <v>0</v>
      </c>
      <c r="T181" s="330">
        <v>0</v>
      </c>
      <c r="U181" s="331">
        <v>0</v>
      </c>
      <c r="V181" s="332">
        <v>0</v>
      </c>
      <c r="W181" s="333"/>
      <c r="X181" s="334">
        <v>0</v>
      </c>
      <c r="Y181" s="335">
        <v>0</v>
      </c>
    </row>
    <row r="182" spans="1:25" s="326" customFormat="1" hidden="1" outlineLevel="2" x14ac:dyDescent="0.3">
      <c r="E182" s="326" t="s">
        <v>1100</v>
      </c>
      <c r="F182" s="336"/>
      <c r="G182" s="327"/>
      <c r="H182" s="328"/>
      <c r="I182" s="329"/>
      <c r="J182" s="338">
        <v>0</v>
      </c>
      <c r="K182" s="330">
        <v>0</v>
      </c>
      <c r="L182" s="330">
        <v>0</v>
      </c>
      <c r="M182" s="330">
        <v>0</v>
      </c>
      <c r="N182" s="330">
        <v>0</v>
      </c>
      <c r="O182" s="330">
        <v>0</v>
      </c>
      <c r="P182" s="330">
        <v>0</v>
      </c>
      <c r="Q182" s="330">
        <v>0</v>
      </c>
      <c r="R182" s="330">
        <v>0</v>
      </c>
      <c r="S182" s="330">
        <v>0</v>
      </c>
      <c r="T182" s="330">
        <v>0</v>
      </c>
      <c r="U182" s="331">
        <v>0</v>
      </c>
      <c r="V182" s="332">
        <v>0</v>
      </c>
      <c r="W182" s="333"/>
      <c r="X182" s="334">
        <v>0</v>
      </c>
      <c r="Y182" s="335">
        <v>0</v>
      </c>
    </row>
    <row r="183" spans="1:25" collapsed="1" x14ac:dyDescent="0.3">
      <c r="A183" s="233"/>
      <c r="B183" s="234" t="s">
        <v>10</v>
      </c>
      <c r="D183" s="293" t="s">
        <v>1101</v>
      </c>
      <c r="E183" s="294"/>
      <c r="F183" s="295" t="s">
        <v>1102</v>
      </c>
      <c r="G183" s="296"/>
      <c r="H183" s="297"/>
      <c r="I183" s="298"/>
      <c r="J183" s="299">
        <v>7443232.9739999995</v>
      </c>
      <c r="K183" s="300">
        <v>8200834.3079999993</v>
      </c>
      <c r="L183" s="300">
        <v>7475926.5209999997</v>
      </c>
      <c r="M183" s="300">
        <v>7689217.3420000002</v>
      </c>
      <c r="N183" s="300">
        <v>7904538.2819999997</v>
      </c>
      <c r="O183" s="300">
        <v>7278350.3439999996</v>
      </c>
      <c r="P183" s="300">
        <v>7862313.4080000008</v>
      </c>
      <c r="Q183" s="300">
        <v>7040180.7180000003</v>
      </c>
      <c r="R183" s="300">
        <v>7343066.0840000007</v>
      </c>
      <c r="S183" s="300">
        <v>7173182.436999999</v>
      </c>
      <c r="T183" s="300">
        <v>7336779.5249999994</v>
      </c>
      <c r="U183" s="301">
        <v>8078819.0930000003</v>
      </c>
      <c r="V183" s="302">
        <v>90826441.035999984</v>
      </c>
      <c r="W183" s="303"/>
      <c r="X183" s="304">
        <v>8078819.0930000003</v>
      </c>
      <c r="Y183" s="305">
        <v>90826441.035999984</v>
      </c>
    </row>
    <row r="184" spans="1:25" hidden="1" outlineLevel="1" x14ac:dyDescent="0.3">
      <c r="E184" s="250" t="s">
        <v>1103</v>
      </c>
      <c r="F184" s="317">
        <v>4204001</v>
      </c>
      <c r="G184" s="318"/>
      <c r="H184" s="319">
        <v>4500130101</v>
      </c>
      <c r="I184" s="320"/>
      <c r="J184" s="337">
        <v>3614042.5830000001</v>
      </c>
      <c r="K184" s="321">
        <v>3775155.6630000002</v>
      </c>
      <c r="L184" s="321">
        <v>3792301.1379999998</v>
      </c>
      <c r="M184" s="321">
        <v>4187255.1009999998</v>
      </c>
      <c r="N184" s="321">
        <v>4388157.818</v>
      </c>
      <c r="O184" s="321">
        <v>4211099.55</v>
      </c>
      <c r="P184" s="321">
        <v>4228396.0279999999</v>
      </c>
      <c r="Q184" s="321">
        <v>3625690.9309999999</v>
      </c>
      <c r="R184" s="321">
        <v>3578721.4559999998</v>
      </c>
      <c r="S184" s="321">
        <v>4069023.5329999998</v>
      </c>
      <c r="T184" s="321">
        <v>4052452.1979999999</v>
      </c>
      <c r="U184" s="322">
        <v>4311910.9730000002</v>
      </c>
      <c r="V184" s="323">
        <v>47834206.971999995</v>
      </c>
      <c r="W184" s="303"/>
      <c r="X184" s="324">
        <v>4311910.9730000002</v>
      </c>
      <c r="Y184" s="325">
        <v>47834206.971999995</v>
      </c>
    </row>
    <row r="185" spans="1:25" hidden="1" outlineLevel="1" x14ac:dyDescent="0.3">
      <c r="E185" s="250" t="s">
        <v>1104</v>
      </c>
      <c r="F185" s="317">
        <v>4204002</v>
      </c>
      <c r="G185" s="318"/>
      <c r="H185" s="319"/>
      <c r="I185" s="320"/>
      <c r="J185" s="337">
        <v>553582.39199999999</v>
      </c>
      <c r="K185" s="321">
        <v>451634.20600000001</v>
      </c>
      <c r="L185" s="321">
        <v>297307.973</v>
      </c>
      <c r="M185" s="321">
        <v>375217.92099999997</v>
      </c>
      <c r="N185" s="321">
        <v>573647.88500000001</v>
      </c>
      <c r="O185" s="321">
        <v>430296.402</v>
      </c>
      <c r="P185" s="321">
        <v>416844.93900000001</v>
      </c>
      <c r="Q185" s="321">
        <v>443257.54200000002</v>
      </c>
      <c r="R185" s="321">
        <v>469422.34499999997</v>
      </c>
      <c r="S185" s="321">
        <v>375349.96399999998</v>
      </c>
      <c r="T185" s="321">
        <v>372018.34399999998</v>
      </c>
      <c r="U185" s="322">
        <v>426897.96399999998</v>
      </c>
      <c r="V185" s="323">
        <v>5185477.8769999994</v>
      </c>
      <c r="W185" s="303"/>
      <c r="X185" s="324">
        <v>426897.96399999998</v>
      </c>
      <c r="Y185" s="325">
        <v>5185477.8769999994</v>
      </c>
    </row>
    <row r="186" spans="1:25" hidden="1" outlineLevel="1" x14ac:dyDescent="0.3">
      <c r="E186" s="250" t="s">
        <v>1105</v>
      </c>
      <c r="F186" s="317">
        <v>4204004</v>
      </c>
      <c r="G186" s="318"/>
      <c r="H186" s="319"/>
      <c r="I186" s="320"/>
      <c r="J186" s="337">
        <v>22718.478999999999</v>
      </c>
      <c r="K186" s="321">
        <v>24092.304</v>
      </c>
      <c r="L186" s="321">
        <v>30597.752</v>
      </c>
      <c r="M186" s="321">
        <v>37875.478999999999</v>
      </c>
      <c r="N186" s="321">
        <v>29533.295999999998</v>
      </c>
      <c r="O186" s="321">
        <v>31940.824000000001</v>
      </c>
      <c r="P186" s="321">
        <v>31087.116000000002</v>
      </c>
      <c r="Q186" s="321">
        <v>1400.4469999999999</v>
      </c>
      <c r="R186" s="321">
        <v>71949.456000000006</v>
      </c>
      <c r="S186" s="321">
        <v>24146.720000000001</v>
      </c>
      <c r="T186" s="321">
        <v>23160.848000000002</v>
      </c>
      <c r="U186" s="322">
        <v>31794.183000000001</v>
      </c>
      <c r="V186" s="323">
        <v>360296.90400000004</v>
      </c>
      <c r="W186" s="303"/>
      <c r="X186" s="324">
        <v>31794.183000000001</v>
      </c>
      <c r="Y186" s="325">
        <v>360296.90400000004</v>
      </c>
    </row>
    <row r="187" spans="1:25" hidden="1" outlineLevel="1" x14ac:dyDescent="0.3">
      <c r="E187" s="250" t="s">
        <v>1106</v>
      </c>
      <c r="F187" s="317">
        <v>4204005</v>
      </c>
      <c r="G187" s="318"/>
      <c r="H187" s="319"/>
      <c r="I187" s="320"/>
      <c r="J187" s="337">
        <v>0</v>
      </c>
      <c r="K187" s="321">
        <v>0</v>
      </c>
      <c r="L187" s="321">
        <v>0</v>
      </c>
      <c r="M187" s="321">
        <v>0</v>
      </c>
      <c r="N187" s="321">
        <v>0</v>
      </c>
      <c r="O187" s="321">
        <v>0</v>
      </c>
      <c r="P187" s="321">
        <v>0</v>
      </c>
      <c r="Q187" s="321">
        <v>0</v>
      </c>
      <c r="R187" s="321">
        <v>0</v>
      </c>
      <c r="S187" s="321">
        <v>0</v>
      </c>
      <c r="T187" s="321">
        <v>0</v>
      </c>
      <c r="U187" s="322">
        <v>0</v>
      </c>
      <c r="V187" s="323">
        <v>0</v>
      </c>
      <c r="W187" s="303"/>
      <c r="X187" s="324">
        <v>0</v>
      </c>
      <c r="Y187" s="325">
        <v>0</v>
      </c>
    </row>
    <row r="188" spans="1:25" hidden="1" outlineLevel="1" x14ac:dyDescent="0.3">
      <c r="E188" s="250" t="s">
        <v>1107</v>
      </c>
      <c r="F188" s="317">
        <v>4204003</v>
      </c>
      <c r="G188" s="318"/>
      <c r="H188" s="319"/>
      <c r="I188" s="320"/>
      <c r="J188" s="337">
        <v>3252889.52</v>
      </c>
      <c r="K188" s="321">
        <v>3949952.1349999998</v>
      </c>
      <c r="L188" s="321">
        <v>3355719.6579999998</v>
      </c>
      <c r="M188" s="321">
        <v>3088868.841</v>
      </c>
      <c r="N188" s="321">
        <v>2913199.2829999998</v>
      </c>
      <c r="O188" s="321">
        <v>2605013.568</v>
      </c>
      <c r="P188" s="321">
        <v>3185985.3250000002</v>
      </c>
      <c r="Q188" s="321">
        <v>2969831.798</v>
      </c>
      <c r="R188" s="321">
        <v>3222972.827</v>
      </c>
      <c r="S188" s="321">
        <v>2704662.22</v>
      </c>
      <c r="T188" s="321">
        <v>2889148.1349999998</v>
      </c>
      <c r="U188" s="322">
        <v>3308215.9730000002</v>
      </c>
      <c r="V188" s="323">
        <v>37446459.282999992</v>
      </c>
      <c r="W188" s="303"/>
      <c r="X188" s="324">
        <v>3308215.9730000002</v>
      </c>
      <c r="Y188" s="325">
        <v>37446459.282999992</v>
      </c>
    </row>
    <row r="189" spans="1:25" s="326" customFormat="1" hidden="1" outlineLevel="2" x14ac:dyDescent="0.3">
      <c r="E189" s="326" t="s">
        <v>1108</v>
      </c>
      <c r="F189" s="336"/>
      <c r="G189" s="327"/>
      <c r="H189" s="328"/>
      <c r="I189" s="329"/>
      <c r="J189" s="338">
        <v>0</v>
      </c>
      <c r="K189" s="330">
        <v>0</v>
      </c>
      <c r="L189" s="330">
        <v>0</v>
      </c>
      <c r="M189" s="330">
        <v>0</v>
      </c>
      <c r="N189" s="330">
        <v>0</v>
      </c>
      <c r="O189" s="330">
        <v>0</v>
      </c>
      <c r="P189" s="330">
        <v>0</v>
      </c>
      <c r="Q189" s="330">
        <v>0</v>
      </c>
      <c r="R189" s="330">
        <v>0</v>
      </c>
      <c r="S189" s="330">
        <v>0</v>
      </c>
      <c r="T189" s="330">
        <v>0</v>
      </c>
      <c r="U189" s="331">
        <v>0</v>
      </c>
      <c r="V189" s="332">
        <v>0</v>
      </c>
      <c r="W189" s="333"/>
      <c r="X189" s="334">
        <v>0</v>
      </c>
      <c r="Y189" s="335">
        <v>0</v>
      </c>
    </row>
    <row r="190" spans="1:25" s="326" customFormat="1" hidden="1" outlineLevel="2" x14ac:dyDescent="0.3">
      <c r="E190" s="326" t="s">
        <v>1109</v>
      </c>
      <c r="F190" s="336"/>
      <c r="G190" s="327"/>
      <c r="H190" s="328"/>
      <c r="I190" s="329"/>
      <c r="J190" s="338">
        <v>0</v>
      </c>
      <c r="K190" s="330">
        <v>0</v>
      </c>
      <c r="L190" s="330">
        <v>0</v>
      </c>
      <c r="M190" s="330">
        <v>0</v>
      </c>
      <c r="N190" s="330">
        <v>0</v>
      </c>
      <c r="O190" s="330">
        <v>0</v>
      </c>
      <c r="P190" s="330">
        <v>0</v>
      </c>
      <c r="Q190" s="330">
        <v>0</v>
      </c>
      <c r="R190" s="330">
        <v>0</v>
      </c>
      <c r="S190" s="330">
        <v>0</v>
      </c>
      <c r="T190" s="330">
        <v>0</v>
      </c>
      <c r="U190" s="331">
        <v>0</v>
      </c>
      <c r="V190" s="332">
        <v>0</v>
      </c>
      <c r="W190" s="333"/>
      <c r="X190" s="334">
        <v>0</v>
      </c>
      <c r="Y190" s="335">
        <v>0</v>
      </c>
    </row>
    <row r="191" spans="1:25" s="326" customFormat="1" hidden="1" outlineLevel="2" x14ac:dyDescent="0.3">
      <c r="E191" s="326" t="s">
        <v>1110</v>
      </c>
      <c r="F191" s="336"/>
      <c r="G191" s="327"/>
      <c r="H191" s="328"/>
      <c r="I191" s="329"/>
      <c r="J191" s="338">
        <v>0</v>
      </c>
      <c r="K191" s="330">
        <v>0</v>
      </c>
      <c r="L191" s="330">
        <v>0</v>
      </c>
      <c r="M191" s="330">
        <v>0</v>
      </c>
      <c r="N191" s="330">
        <v>0</v>
      </c>
      <c r="O191" s="330">
        <v>0</v>
      </c>
      <c r="P191" s="330">
        <v>0</v>
      </c>
      <c r="Q191" s="330">
        <v>0</v>
      </c>
      <c r="R191" s="330">
        <v>0</v>
      </c>
      <c r="S191" s="330">
        <v>0</v>
      </c>
      <c r="T191" s="330">
        <v>0</v>
      </c>
      <c r="U191" s="331">
        <v>0</v>
      </c>
      <c r="V191" s="332">
        <v>0</v>
      </c>
      <c r="W191" s="333"/>
      <c r="X191" s="334">
        <v>0</v>
      </c>
      <c r="Y191" s="335">
        <v>0</v>
      </c>
    </row>
    <row r="192" spans="1:25" collapsed="1" x14ac:dyDescent="0.3">
      <c r="A192" s="233"/>
      <c r="B192" s="234" t="s">
        <v>9</v>
      </c>
      <c r="D192" s="293" t="s">
        <v>1111</v>
      </c>
      <c r="E192" s="294"/>
      <c r="F192" s="295" t="s">
        <v>1112</v>
      </c>
      <c r="G192" s="296"/>
      <c r="H192" s="297"/>
      <c r="I192" s="298"/>
      <c r="J192" s="299">
        <v>0</v>
      </c>
      <c r="K192" s="300">
        <v>0</v>
      </c>
      <c r="L192" s="300">
        <v>0</v>
      </c>
      <c r="M192" s="300">
        <v>0</v>
      </c>
      <c r="N192" s="300">
        <v>0</v>
      </c>
      <c r="O192" s="300">
        <v>0</v>
      </c>
      <c r="P192" s="300">
        <v>0</v>
      </c>
      <c r="Q192" s="300">
        <v>0</v>
      </c>
      <c r="R192" s="300">
        <v>0</v>
      </c>
      <c r="S192" s="300">
        <v>0</v>
      </c>
      <c r="T192" s="300">
        <v>0</v>
      </c>
      <c r="U192" s="301">
        <v>0</v>
      </c>
      <c r="V192" s="302">
        <v>0</v>
      </c>
      <c r="W192" s="303"/>
      <c r="X192" s="304">
        <v>0</v>
      </c>
      <c r="Y192" s="305">
        <v>0</v>
      </c>
    </row>
    <row r="193" spans="1:25" hidden="1" outlineLevel="1" x14ac:dyDescent="0.3">
      <c r="E193" s="250" t="s">
        <v>1113</v>
      </c>
      <c r="F193" s="317">
        <v>4205004</v>
      </c>
      <c r="G193" s="318"/>
      <c r="H193" s="319"/>
      <c r="I193" s="320"/>
      <c r="J193" s="337">
        <v>0</v>
      </c>
      <c r="K193" s="321">
        <v>0</v>
      </c>
      <c r="L193" s="321">
        <v>0</v>
      </c>
      <c r="M193" s="321">
        <v>0</v>
      </c>
      <c r="N193" s="321">
        <v>0</v>
      </c>
      <c r="O193" s="321">
        <v>0</v>
      </c>
      <c r="P193" s="321">
        <v>0</v>
      </c>
      <c r="Q193" s="321">
        <v>0</v>
      </c>
      <c r="R193" s="321">
        <v>0</v>
      </c>
      <c r="S193" s="321">
        <v>0</v>
      </c>
      <c r="T193" s="321">
        <v>0</v>
      </c>
      <c r="U193" s="322">
        <v>0</v>
      </c>
      <c r="V193" s="323">
        <v>0</v>
      </c>
      <c r="W193" s="303"/>
      <c r="X193" s="324">
        <v>0</v>
      </c>
      <c r="Y193" s="325">
        <v>0</v>
      </c>
    </row>
    <row r="194" spans="1:25" hidden="1" outlineLevel="1" x14ac:dyDescent="0.3">
      <c r="E194" s="350" t="s">
        <v>1114</v>
      </c>
      <c r="F194" s="317">
        <v>4205001</v>
      </c>
      <c r="G194" s="318"/>
      <c r="H194" s="319">
        <v>4500050101</v>
      </c>
      <c r="I194" s="320"/>
      <c r="J194" s="337">
        <v>0</v>
      </c>
      <c r="K194" s="321">
        <v>0</v>
      </c>
      <c r="L194" s="321">
        <v>0</v>
      </c>
      <c r="M194" s="321">
        <v>0</v>
      </c>
      <c r="N194" s="321">
        <v>0</v>
      </c>
      <c r="O194" s="321">
        <v>0</v>
      </c>
      <c r="P194" s="321">
        <v>0</v>
      </c>
      <c r="Q194" s="321">
        <v>0</v>
      </c>
      <c r="R194" s="321">
        <v>0</v>
      </c>
      <c r="S194" s="321">
        <v>0</v>
      </c>
      <c r="T194" s="321">
        <v>0</v>
      </c>
      <c r="U194" s="322">
        <v>0</v>
      </c>
      <c r="V194" s="323">
        <v>0</v>
      </c>
      <c r="W194" s="303"/>
      <c r="X194" s="324">
        <v>0</v>
      </c>
      <c r="Y194" s="325">
        <v>0</v>
      </c>
    </row>
    <row r="195" spans="1:25" hidden="1" outlineLevel="1" x14ac:dyDescent="0.3">
      <c r="E195" s="350" t="s">
        <v>1115</v>
      </c>
      <c r="F195" s="317">
        <v>4205002</v>
      </c>
      <c r="G195" s="318"/>
      <c r="H195" s="319"/>
      <c r="I195" s="320"/>
      <c r="J195" s="337">
        <v>0</v>
      </c>
      <c r="K195" s="321">
        <v>0</v>
      </c>
      <c r="L195" s="321">
        <v>0</v>
      </c>
      <c r="M195" s="321">
        <v>0</v>
      </c>
      <c r="N195" s="321">
        <v>0</v>
      </c>
      <c r="O195" s="321">
        <v>0</v>
      </c>
      <c r="P195" s="321">
        <v>0</v>
      </c>
      <c r="Q195" s="321">
        <v>0</v>
      </c>
      <c r="R195" s="321">
        <v>0</v>
      </c>
      <c r="S195" s="321">
        <v>0</v>
      </c>
      <c r="T195" s="321">
        <v>0</v>
      </c>
      <c r="U195" s="322">
        <v>0</v>
      </c>
      <c r="V195" s="323">
        <v>0</v>
      </c>
      <c r="W195" s="303"/>
      <c r="X195" s="324">
        <v>0</v>
      </c>
      <c r="Y195" s="325">
        <v>0</v>
      </c>
    </row>
    <row r="196" spans="1:25" hidden="1" outlineLevel="1" x14ac:dyDescent="0.3">
      <c r="E196" s="350" t="s">
        <v>1116</v>
      </c>
      <c r="F196" s="317">
        <v>4205083</v>
      </c>
      <c r="G196" s="318"/>
      <c r="H196" s="319"/>
      <c r="I196" s="320"/>
      <c r="J196" s="337">
        <v>0</v>
      </c>
      <c r="K196" s="321">
        <v>0</v>
      </c>
      <c r="L196" s="321">
        <v>0</v>
      </c>
      <c r="M196" s="321">
        <v>0</v>
      </c>
      <c r="N196" s="321">
        <v>0</v>
      </c>
      <c r="O196" s="321">
        <v>0</v>
      </c>
      <c r="P196" s="321">
        <v>0</v>
      </c>
      <c r="Q196" s="321">
        <v>0</v>
      </c>
      <c r="R196" s="321">
        <v>0</v>
      </c>
      <c r="S196" s="321">
        <v>0</v>
      </c>
      <c r="T196" s="321">
        <v>0</v>
      </c>
      <c r="U196" s="322">
        <v>0</v>
      </c>
      <c r="V196" s="323">
        <v>0</v>
      </c>
      <c r="W196" s="303"/>
      <c r="X196" s="324">
        <v>0</v>
      </c>
      <c r="Y196" s="325">
        <v>0</v>
      </c>
    </row>
    <row r="197" spans="1:25" hidden="1" outlineLevel="1" x14ac:dyDescent="0.3">
      <c r="E197" s="350" t="s">
        <v>1117</v>
      </c>
      <c r="F197" s="317">
        <v>4205084</v>
      </c>
      <c r="G197" s="318"/>
      <c r="H197" s="319"/>
      <c r="I197" s="320"/>
      <c r="J197" s="337">
        <v>0</v>
      </c>
      <c r="K197" s="321">
        <v>0</v>
      </c>
      <c r="L197" s="321">
        <v>0</v>
      </c>
      <c r="M197" s="321">
        <v>0</v>
      </c>
      <c r="N197" s="321">
        <v>0</v>
      </c>
      <c r="O197" s="321">
        <v>0</v>
      </c>
      <c r="P197" s="321">
        <v>0</v>
      </c>
      <c r="Q197" s="321">
        <v>0</v>
      </c>
      <c r="R197" s="321">
        <v>0</v>
      </c>
      <c r="S197" s="321">
        <v>0</v>
      </c>
      <c r="T197" s="321">
        <v>0</v>
      </c>
      <c r="U197" s="322">
        <v>0</v>
      </c>
      <c r="V197" s="323">
        <v>0</v>
      </c>
      <c r="W197" s="303"/>
      <c r="X197" s="324">
        <v>0</v>
      </c>
      <c r="Y197" s="325">
        <v>0</v>
      </c>
    </row>
    <row r="198" spans="1:25" s="326" customFormat="1" hidden="1" outlineLevel="2" x14ac:dyDescent="0.3">
      <c r="E198" s="326" t="s">
        <v>1118</v>
      </c>
      <c r="F198" s="336"/>
      <c r="G198" s="327"/>
      <c r="H198" s="328"/>
      <c r="I198" s="329"/>
      <c r="J198" s="338">
        <v>0</v>
      </c>
      <c r="K198" s="330">
        <v>0</v>
      </c>
      <c r="L198" s="330">
        <v>0</v>
      </c>
      <c r="M198" s="330">
        <v>0</v>
      </c>
      <c r="N198" s="330">
        <v>0</v>
      </c>
      <c r="O198" s="330">
        <v>0</v>
      </c>
      <c r="P198" s="330">
        <v>0</v>
      </c>
      <c r="Q198" s="330">
        <v>0</v>
      </c>
      <c r="R198" s="330">
        <v>0</v>
      </c>
      <c r="S198" s="330">
        <v>0</v>
      </c>
      <c r="T198" s="330">
        <v>0</v>
      </c>
      <c r="U198" s="331">
        <v>0</v>
      </c>
      <c r="V198" s="332">
        <v>0</v>
      </c>
      <c r="W198" s="333"/>
      <c r="X198" s="334">
        <v>0</v>
      </c>
      <c r="Y198" s="335">
        <v>0</v>
      </c>
    </row>
    <row r="199" spans="1:25" s="326" customFormat="1" hidden="1" outlineLevel="2" x14ac:dyDescent="0.3">
      <c r="E199" s="326" t="s">
        <v>1119</v>
      </c>
      <c r="F199" s="336"/>
      <c r="G199" s="327"/>
      <c r="H199" s="328"/>
      <c r="I199" s="329"/>
      <c r="J199" s="338">
        <v>0</v>
      </c>
      <c r="K199" s="330">
        <v>0</v>
      </c>
      <c r="L199" s="330">
        <v>0</v>
      </c>
      <c r="M199" s="330">
        <v>0</v>
      </c>
      <c r="N199" s="330">
        <v>0</v>
      </c>
      <c r="O199" s="330">
        <v>0</v>
      </c>
      <c r="P199" s="330">
        <v>0</v>
      </c>
      <c r="Q199" s="330">
        <v>0</v>
      </c>
      <c r="R199" s="330">
        <v>0</v>
      </c>
      <c r="S199" s="330">
        <v>0</v>
      </c>
      <c r="T199" s="330">
        <v>0</v>
      </c>
      <c r="U199" s="331">
        <v>0</v>
      </c>
      <c r="V199" s="332">
        <v>0</v>
      </c>
      <c r="W199" s="333"/>
      <c r="X199" s="334">
        <v>0</v>
      </c>
      <c r="Y199" s="335">
        <v>0</v>
      </c>
    </row>
    <row r="200" spans="1:25" s="326" customFormat="1" hidden="1" outlineLevel="2" x14ac:dyDescent="0.3">
      <c r="E200" s="326" t="s">
        <v>1120</v>
      </c>
      <c r="F200" s="336"/>
      <c r="G200" s="327"/>
      <c r="H200" s="328"/>
      <c r="I200" s="329"/>
      <c r="J200" s="338">
        <v>0</v>
      </c>
      <c r="K200" s="330">
        <v>0</v>
      </c>
      <c r="L200" s="330">
        <v>0</v>
      </c>
      <c r="M200" s="330">
        <v>0</v>
      </c>
      <c r="N200" s="330">
        <v>0</v>
      </c>
      <c r="O200" s="330">
        <v>0</v>
      </c>
      <c r="P200" s="330">
        <v>0</v>
      </c>
      <c r="Q200" s="330">
        <v>0</v>
      </c>
      <c r="R200" s="330">
        <v>0</v>
      </c>
      <c r="S200" s="330">
        <v>0</v>
      </c>
      <c r="T200" s="330">
        <v>0</v>
      </c>
      <c r="U200" s="331">
        <v>0</v>
      </c>
      <c r="V200" s="332">
        <v>0</v>
      </c>
      <c r="W200" s="333"/>
      <c r="X200" s="334">
        <v>0</v>
      </c>
      <c r="Y200" s="335">
        <v>0</v>
      </c>
    </row>
    <row r="201" spans="1:25" collapsed="1" x14ac:dyDescent="0.3">
      <c r="A201" s="233"/>
      <c r="B201" s="234" t="s">
        <v>10</v>
      </c>
      <c r="D201" s="293" t="s">
        <v>1121</v>
      </c>
      <c r="E201" s="294"/>
      <c r="F201" s="295" t="s">
        <v>1122</v>
      </c>
      <c r="G201" s="296"/>
      <c r="H201" s="297"/>
      <c r="I201" s="298"/>
      <c r="J201" s="299">
        <v>132380.54</v>
      </c>
      <c r="K201" s="300">
        <v>85879.672000000006</v>
      </c>
      <c r="L201" s="300">
        <v>165392.29999999999</v>
      </c>
      <c r="M201" s="300">
        <v>103946.16</v>
      </c>
      <c r="N201" s="300">
        <v>43988.26</v>
      </c>
      <c r="O201" s="300">
        <v>18056.967000000001</v>
      </c>
      <c r="P201" s="300">
        <v>21473.35</v>
      </c>
      <c r="Q201" s="300">
        <v>125540.55</v>
      </c>
      <c r="R201" s="300">
        <v>96279.35</v>
      </c>
      <c r="S201" s="300">
        <v>42664.112999999998</v>
      </c>
      <c r="T201" s="300">
        <v>20203.3</v>
      </c>
      <c r="U201" s="301">
        <v>25854.495999999999</v>
      </c>
      <c r="V201" s="302">
        <v>881659.05800000008</v>
      </c>
      <c r="W201" s="303"/>
      <c r="X201" s="304">
        <v>25854.495999999999</v>
      </c>
      <c r="Y201" s="305">
        <v>881659.05800000008</v>
      </c>
    </row>
    <row r="202" spans="1:25" hidden="1" outlineLevel="1" x14ac:dyDescent="0.3">
      <c r="E202" s="250" t="s">
        <v>1123</v>
      </c>
      <c r="F202" s="317">
        <v>4209001</v>
      </c>
      <c r="G202" s="318"/>
      <c r="H202" s="319"/>
      <c r="I202" s="320"/>
      <c r="J202" s="337">
        <v>0</v>
      </c>
      <c r="K202" s="321">
        <v>0</v>
      </c>
      <c r="L202" s="321">
        <v>0</v>
      </c>
      <c r="M202" s="321">
        <v>0</v>
      </c>
      <c r="N202" s="321">
        <v>0</v>
      </c>
      <c r="O202" s="321">
        <v>0</v>
      </c>
      <c r="P202" s="321">
        <v>0</v>
      </c>
      <c r="Q202" s="321">
        <v>0</v>
      </c>
      <c r="R202" s="321">
        <v>0</v>
      </c>
      <c r="S202" s="321">
        <v>0</v>
      </c>
      <c r="T202" s="321">
        <v>0</v>
      </c>
      <c r="U202" s="322">
        <v>0</v>
      </c>
      <c r="V202" s="323">
        <v>0</v>
      </c>
      <c r="W202" s="303"/>
      <c r="X202" s="324">
        <v>0</v>
      </c>
      <c r="Y202" s="325">
        <v>0</v>
      </c>
    </row>
    <row r="203" spans="1:25" hidden="1" outlineLevel="1" x14ac:dyDescent="0.3">
      <c r="E203" s="250" t="s">
        <v>1124</v>
      </c>
      <c r="F203" s="317">
        <v>4209002</v>
      </c>
      <c r="G203" s="318">
        <v>4209022</v>
      </c>
      <c r="H203" s="319">
        <v>4500090101</v>
      </c>
      <c r="I203" s="320"/>
      <c r="J203" s="337">
        <v>0</v>
      </c>
      <c r="K203" s="321">
        <v>0</v>
      </c>
      <c r="L203" s="321">
        <v>0</v>
      </c>
      <c r="M203" s="321">
        <v>0</v>
      </c>
      <c r="N203" s="321">
        <v>0</v>
      </c>
      <c r="O203" s="321">
        <v>0</v>
      </c>
      <c r="P203" s="321">
        <v>0</v>
      </c>
      <c r="Q203" s="321">
        <v>0</v>
      </c>
      <c r="R203" s="321">
        <v>0</v>
      </c>
      <c r="S203" s="321">
        <v>0</v>
      </c>
      <c r="T203" s="321">
        <v>0</v>
      </c>
      <c r="U203" s="322">
        <v>0</v>
      </c>
      <c r="V203" s="323">
        <v>0</v>
      </c>
      <c r="W203" s="303"/>
      <c r="X203" s="324">
        <v>0</v>
      </c>
      <c r="Y203" s="325">
        <v>0</v>
      </c>
    </row>
    <row r="204" spans="1:25" hidden="1" outlineLevel="1" x14ac:dyDescent="0.3">
      <c r="E204" s="250" t="s">
        <v>1125</v>
      </c>
      <c r="F204" s="317">
        <v>4209003</v>
      </c>
      <c r="G204" s="318"/>
      <c r="H204" s="319">
        <v>4500990101</v>
      </c>
      <c r="I204" s="320"/>
      <c r="J204" s="337">
        <v>0</v>
      </c>
      <c r="K204" s="321">
        <v>0</v>
      </c>
      <c r="L204" s="321">
        <v>0</v>
      </c>
      <c r="M204" s="321">
        <v>0</v>
      </c>
      <c r="N204" s="321">
        <v>0</v>
      </c>
      <c r="O204" s="321">
        <v>0</v>
      </c>
      <c r="P204" s="321">
        <v>0</v>
      </c>
      <c r="Q204" s="321">
        <v>0</v>
      </c>
      <c r="R204" s="321">
        <v>0</v>
      </c>
      <c r="S204" s="321">
        <v>0</v>
      </c>
      <c r="T204" s="321">
        <v>0</v>
      </c>
      <c r="U204" s="322">
        <v>0</v>
      </c>
      <c r="V204" s="323">
        <v>0</v>
      </c>
      <c r="W204" s="303"/>
      <c r="X204" s="324">
        <v>0</v>
      </c>
      <c r="Y204" s="325">
        <v>0</v>
      </c>
    </row>
    <row r="205" spans="1:25" hidden="1" outlineLevel="1" x14ac:dyDescent="0.3">
      <c r="E205" s="250" t="s">
        <v>1126</v>
      </c>
      <c r="F205" s="317">
        <v>4209006</v>
      </c>
      <c r="G205" s="318"/>
      <c r="H205" s="319">
        <v>4500070101</v>
      </c>
      <c r="I205" s="320"/>
      <c r="J205" s="337">
        <v>0</v>
      </c>
      <c r="K205" s="321">
        <v>0</v>
      </c>
      <c r="L205" s="321">
        <v>0</v>
      </c>
      <c r="M205" s="321">
        <v>0</v>
      </c>
      <c r="N205" s="321">
        <v>0</v>
      </c>
      <c r="O205" s="321">
        <v>0</v>
      </c>
      <c r="P205" s="321">
        <v>0</v>
      </c>
      <c r="Q205" s="321">
        <v>0</v>
      </c>
      <c r="R205" s="321">
        <v>0</v>
      </c>
      <c r="S205" s="321">
        <v>0</v>
      </c>
      <c r="T205" s="321">
        <v>0</v>
      </c>
      <c r="U205" s="322">
        <v>0</v>
      </c>
      <c r="V205" s="323">
        <v>0</v>
      </c>
      <c r="W205" s="303"/>
      <c r="X205" s="324">
        <v>0</v>
      </c>
      <c r="Y205" s="325">
        <v>0</v>
      </c>
    </row>
    <row r="206" spans="1:25" hidden="1" outlineLevel="1" x14ac:dyDescent="0.3">
      <c r="E206" s="250" t="s">
        <v>1127</v>
      </c>
      <c r="F206" s="317">
        <v>4209007</v>
      </c>
      <c r="G206" s="318"/>
      <c r="H206" s="319"/>
      <c r="I206" s="320"/>
      <c r="J206" s="337">
        <v>0</v>
      </c>
      <c r="K206" s="321">
        <v>0</v>
      </c>
      <c r="L206" s="321">
        <v>0</v>
      </c>
      <c r="M206" s="321">
        <v>0</v>
      </c>
      <c r="N206" s="321">
        <v>0</v>
      </c>
      <c r="O206" s="321">
        <v>0</v>
      </c>
      <c r="P206" s="321">
        <v>0</v>
      </c>
      <c r="Q206" s="321">
        <v>0</v>
      </c>
      <c r="R206" s="321">
        <v>0</v>
      </c>
      <c r="S206" s="321">
        <v>0</v>
      </c>
      <c r="T206" s="321">
        <v>0</v>
      </c>
      <c r="U206" s="322">
        <v>0</v>
      </c>
      <c r="V206" s="323">
        <v>0</v>
      </c>
      <c r="W206" s="303"/>
      <c r="X206" s="324">
        <v>0</v>
      </c>
      <c r="Y206" s="325">
        <v>0</v>
      </c>
    </row>
    <row r="207" spans="1:25" hidden="1" outlineLevel="1" x14ac:dyDescent="0.3">
      <c r="E207" s="250" t="s">
        <v>1128</v>
      </c>
      <c r="F207" s="317">
        <v>4209008</v>
      </c>
      <c r="G207" s="318"/>
      <c r="H207" s="319"/>
      <c r="I207" s="320"/>
      <c r="J207" s="337">
        <v>0</v>
      </c>
      <c r="K207" s="321">
        <v>0</v>
      </c>
      <c r="L207" s="321">
        <v>0</v>
      </c>
      <c r="M207" s="321">
        <v>0</v>
      </c>
      <c r="N207" s="321">
        <v>0</v>
      </c>
      <c r="O207" s="321">
        <v>0</v>
      </c>
      <c r="P207" s="321">
        <v>0</v>
      </c>
      <c r="Q207" s="321">
        <v>0</v>
      </c>
      <c r="R207" s="321">
        <v>0</v>
      </c>
      <c r="S207" s="321">
        <v>0</v>
      </c>
      <c r="T207" s="321">
        <v>0</v>
      </c>
      <c r="U207" s="322">
        <v>0</v>
      </c>
      <c r="V207" s="323">
        <v>0</v>
      </c>
      <c r="W207" s="303"/>
      <c r="X207" s="324">
        <v>0</v>
      </c>
      <c r="Y207" s="325">
        <v>0</v>
      </c>
    </row>
    <row r="208" spans="1:25" hidden="1" outlineLevel="1" x14ac:dyDescent="0.3">
      <c r="E208" s="250" t="s">
        <v>1129</v>
      </c>
      <c r="F208" s="317">
        <v>4209011</v>
      </c>
      <c r="G208" s="318"/>
      <c r="H208" s="319"/>
      <c r="I208" s="320"/>
      <c r="J208" s="337">
        <v>0</v>
      </c>
      <c r="K208" s="321">
        <v>0</v>
      </c>
      <c r="L208" s="321">
        <v>0</v>
      </c>
      <c r="M208" s="321">
        <v>0</v>
      </c>
      <c r="N208" s="321">
        <v>0</v>
      </c>
      <c r="O208" s="321">
        <v>0</v>
      </c>
      <c r="P208" s="321">
        <v>0</v>
      </c>
      <c r="Q208" s="321">
        <v>0</v>
      </c>
      <c r="R208" s="321">
        <v>0</v>
      </c>
      <c r="S208" s="321">
        <v>0</v>
      </c>
      <c r="T208" s="321">
        <v>0</v>
      </c>
      <c r="U208" s="322">
        <v>0</v>
      </c>
      <c r="V208" s="323">
        <v>0</v>
      </c>
      <c r="W208" s="303"/>
      <c r="X208" s="324">
        <v>0</v>
      </c>
      <c r="Y208" s="325">
        <v>0</v>
      </c>
    </row>
    <row r="209" spans="1:25" hidden="1" outlineLevel="1" x14ac:dyDescent="0.3">
      <c r="E209" s="250" t="s">
        <v>1130</v>
      </c>
      <c r="F209" s="317">
        <v>4209012</v>
      </c>
      <c r="G209" s="318"/>
      <c r="H209" s="319"/>
      <c r="I209" s="320"/>
      <c r="J209" s="337">
        <v>0</v>
      </c>
      <c r="K209" s="321">
        <v>0</v>
      </c>
      <c r="L209" s="321">
        <v>0</v>
      </c>
      <c r="M209" s="321">
        <v>0</v>
      </c>
      <c r="N209" s="321">
        <v>0</v>
      </c>
      <c r="O209" s="321">
        <v>0</v>
      </c>
      <c r="P209" s="321">
        <v>0</v>
      </c>
      <c r="Q209" s="321">
        <v>0</v>
      </c>
      <c r="R209" s="321">
        <v>0</v>
      </c>
      <c r="S209" s="321">
        <v>0</v>
      </c>
      <c r="T209" s="321">
        <v>0</v>
      </c>
      <c r="U209" s="322">
        <v>0</v>
      </c>
      <c r="V209" s="323">
        <v>0</v>
      </c>
      <c r="W209" s="303"/>
      <c r="X209" s="324">
        <v>0</v>
      </c>
      <c r="Y209" s="325">
        <v>0</v>
      </c>
    </row>
    <row r="210" spans="1:25" hidden="1" outlineLevel="1" x14ac:dyDescent="0.3">
      <c r="E210" s="250" t="s">
        <v>1131</v>
      </c>
      <c r="F210" s="317">
        <v>4209014</v>
      </c>
      <c r="G210" s="318"/>
      <c r="H210" s="319">
        <v>4500990109</v>
      </c>
      <c r="I210" s="320"/>
      <c r="J210" s="337">
        <v>132380.54</v>
      </c>
      <c r="K210" s="321">
        <v>85879.672000000006</v>
      </c>
      <c r="L210" s="321">
        <v>165392.29999999999</v>
      </c>
      <c r="M210" s="321">
        <v>103946.16</v>
      </c>
      <c r="N210" s="321">
        <v>43988.26</v>
      </c>
      <c r="O210" s="321">
        <v>18056.967000000001</v>
      </c>
      <c r="P210" s="321">
        <v>21473.35</v>
      </c>
      <c r="Q210" s="321">
        <v>125540.55</v>
      </c>
      <c r="R210" s="321">
        <v>96279.35</v>
      </c>
      <c r="S210" s="321">
        <v>42664.112999999998</v>
      </c>
      <c r="T210" s="321">
        <v>20203.3</v>
      </c>
      <c r="U210" s="322">
        <v>25854.495999999999</v>
      </c>
      <c r="V210" s="323">
        <v>881659.05800000008</v>
      </c>
      <c r="W210" s="303"/>
      <c r="X210" s="324">
        <v>25854.495999999999</v>
      </c>
      <c r="Y210" s="325">
        <v>881659.05800000008</v>
      </c>
    </row>
    <row r="211" spans="1:25" hidden="1" outlineLevel="1" x14ac:dyDescent="0.3">
      <c r="E211" s="250" t="s">
        <v>1132</v>
      </c>
      <c r="F211" s="317">
        <v>4209016</v>
      </c>
      <c r="G211" s="318"/>
      <c r="H211" s="319"/>
      <c r="I211" s="320"/>
      <c r="J211" s="337">
        <v>0</v>
      </c>
      <c r="K211" s="321">
        <v>0</v>
      </c>
      <c r="L211" s="321">
        <v>0</v>
      </c>
      <c r="M211" s="321">
        <v>0</v>
      </c>
      <c r="N211" s="321">
        <v>0</v>
      </c>
      <c r="O211" s="321">
        <v>0</v>
      </c>
      <c r="P211" s="321">
        <v>0</v>
      </c>
      <c r="Q211" s="321">
        <v>0</v>
      </c>
      <c r="R211" s="321">
        <v>0</v>
      </c>
      <c r="S211" s="321">
        <v>0</v>
      </c>
      <c r="T211" s="321">
        <v>0</v>
      </c>
      <c r="U211" s="322">
        <v>0</v>
      </c>
      <c r="V211" s="323">
        <v>0</v>
      </c>
      <c r="W211" s="303"/>
      <c r="X211" s="324">
        <v>0</v>
      </c>
      <c r="Y211" s="325">
        <v>0</v>
      </c>
    </row>
    <row r="212" spans="1:25" hidden="1" outlineLevel="1" x14ac:dyDescent="0.3">
      <c r="E212" s="250" t="s">
        <v>1133</v>
      </c>
      <c r="F212" s="317">
        <v>4209017</v>
      </c>
      <c r="G212" s="318"/>
      <c r="H212" s="319"/>
      <c r="I212" s="320"/>
      <c r="J212" s="337">
        <v>0</v>
      </c>
      <c r="K212" s="321">
        <v>0</v>
      </c>
      <c r="L212" s="321">
        <v>0</v>
      </c>
      <c r="M212" s="321">
        <v>0</v>
      </c>
      <c r="N212" s="321">
        <v>0</v>
      </c>
      <c r="O212" s="321">
        <v>0</v>
      </c>
      <c r="P212" s="321">
        <v>0</v>
      </c>
      <c r="Q212" s="321">
        <v>0</v>
      </c>
      <c r="R212" s="321">
        <v>0</v>
      </c>
      <c r="S212" s="321">
        <v>0</v>
      </c>
      <c r="T212" s="321">
        <v>0</v>
      </c>
      <c r="U212" s="322">
        <v>0</v>
      </c>
      <c r="V212" s="323">
        <v>0</v>
      </c>
      <c r="W212" s="303"/>
      <c r="X212" s="324">
        <v>0</v>
      </c>
      <c r="Y212" s="325">
        <v>0</v>
      </c>
    </row>
    <row r="213" spans="1:25" hidden="1" outlineLevel="1" x14ac:dyDescent="0.3">
      <c r="E213" s="250" t="s">
        <v>1134</v>
      </c>
      <c r="F213" s="317">
        <v>4209019</v>
      </c>
      <c r="G213" s="318"/>
      <c r="H213" s="319"/>
      <c r="I213" s="320"/>
      <c r="J213" s="337">
        <v>0</v>
      </c>
      <c r="K213" s="321">
        <v>0</v>
      </c>
      <c r="L213" s="321">
        <v>0</v>
      </c>
      <c r="M213" s="321">
        <v>0</v>
      </c>
      <c r="N213" s="321">
        <v>0</v>
      </c>
      <c r="O213" s="321">
        <v>0</v>
      </c>
      <c r="P213" s="321">
        <v>0</v>
      </c>
      <c r="Q213" s="321">
        <v>0</v>
      </c>
      <c r="R213" s="321">
        <v>0</v>
      </c>
      <c r="S213" s="321">
        <v>0</v>
      </c>
      <c r="T213" s="321">
        <v>0</v>
      </c>
      <c r="U213" s="322">
        <v>0</v>
      </c>
      <c r="V213" s="323">
        <v>0</v>
      </c>
      <c r="W213" s="303"/>
      <c r="X213" s="324">
        <v>0</v>
      </c>
      <c r="Y213" s="325">
        <v>0</v>
      </c>
    </row>
    <row r="214" spans="1:25" hidden="1" outlineLevel="1" x14ac:dyDescent="0.3">
      <c r="E214" s="250" t="s">
        <v>1135</v>
      </c>
      <c r="F214" s="317">
        <v>4209099</v>
      </c>
      <c r="G214" s="318"/>
      <c r="H214" s="319">
        <v>4500990199</v>
      </c>
      <c r="I214" s="320"/>
      <c r="J214" s="337">
        <v>0</v>
      </c>
      <c r="K214" s="321">
        <v>0</v>
      </c>
      <c r="L214" s="321">
        <v>0</v>
      </c>
      <c r="M214" s="321">
        <v>0</v>
      </c>
      <c r="N214" s="321">
        <v>0</v>
      </c>
      <c r="O214" s="321">
        <v>0</v>
      </c>
      <c r="P214" s="321">
        <v>0</v>
      </c>
      <c r="Q214" s="321">
        <v>0</v>
      </c>
      <c r="R214" s="321">
        <v>0</v>
      </c>
      <c r="S214" s="321">
        <v>0</v>
      </c>
      <c r="T214" s="321">
        <v>0</v>
      </c>
      <c r="U214" s="322">
        <v>0</v>
      </c>
      <c r="V214" s="323">
        <v>0</v>
      </c>
      <c r="W214" s="303"/>
      <c r="X214" s="324">
        <v>0</v>
      </c>
      <c r="Y214" s="325">
        <v>0</v>
      </c>
    </row>
    <row r="215" spans="1:25" s="361" customFormat="1" hidden="1" outlineLevel="2" x14ac:dyDescent="0.3">
      <c r="E215" s="350" t="s">
        <v>1136</v>
      </c>
      <c r="F215" s="306"/>
      <c r="G215" s="307"/>
      <c r="H215" s="308">
        <v>4500110101</v>
      </c>
      <c r="I215" s="309"/>
      <c r="J215" s="310">
        <v>0</v>
      </c>
      <c r="K215" s="311">
        <v>0</v>
      </c>
      <c r="L215" s="311">
        <v>0</v>
      </c>
      <c r="M215" s="311">
        <v>0</v>
      </c>
      <c r="N215" s="311">
        <v>0</v>
      </c>
      <c r="O215" s="311">
        <v>0</v>
      </c>
      <c r="P215" s="311">
        <v>0</v>
      </c>
      <c r="Q215" s="311">
        <v>0</v>
      </c>
      <c r="R215" s="311">
        <v>0</v>
      </c>
      <c r="S215" s="311">
        <v>0</v>
      </c>
      <c r="T215" s="311">
        <v>0</v>
      </c>
      <c r="U215" s="312">
        <v>0</v>
      </c>
      <c r="V215" s="313">
        <v>0</v>
      </c>
      <c r="W215" s="314"/>
      <c r="X215" s="315">
        <v>0</v>
      </c>
      <c r="Y215" s="316">
        <v>0</v>
      </c>
    </row>
    <row r="216" spans="1:25" s="361" customFormat="1" hidden="1" outlineLevel="2" x14ac:dyDescent="0.3">
      <c r="E216" s="326" t="s">
        <v>1137</v>
      </c>
      <c r="F216" s="351"/>
      <c r="G216" s="352"/>
      <c r="H216" s="353"/>
      <c r="I216" s="354"/>
      <c r="J216" s="362">
        <v>0</v>
      </c>
      <c r="K216" s="355">
        <v>0</v>
      </c>
      <c r="L216" s="355">
        <v>0</v>
      </c>
      <c r="M216" s="355">
        <v>0</v>
      </c>
      <c r="N216" s="355">
        <v>0</v>
      </c>
      <c r="O216" s="355">
        <v>0</v>
      </c>
      <c r="P216" s="355">
        <v>0</v>
      </c>
      <c r="Q216" s="355">
        <v>0</v>
      </c>
      <c r="R216" s="355">
        <v>0</v>
      </c>
      <c r="S216" s="355">
        <v>0</v>
      </c>
      <c r="T216" s="355">
        <v>0</v>
      </c>
      <c r="U216" s="356">
        <v>0</v>
      </c>
      <c r="V216" s="357">
        <v>0</v>
      </c>
      <c r="W216" s="358"/>
      <c r="X216" s="359">
        <v>0</v>
      </c>
      <c r="Y216" s="360">
        <v>0</v>
      </c>
    </row>
    <row r="217" spans="1:25" s="361" customFormat="1" hidden="1" outlineLevel="2" x14ac:dyDescent="0.3">
      <c r="E217" s="326" t="s">
        <v>1138</v>
      </c>
      <c r="F217" s="351"/>
      <c r="G217" s="352"/>
      <c r="H217" s="353"/>
      <c r="I217" s="354"/>
      <c r="J217" s="362">
        <v>0</v>
      </c>
      <c r="K217" s="355">
        <v>0</v>
      </c>
      <c r="L217" s="355">
        <v>0</v>
      </c>
      <c r="M217" s="355">
        <v>0</v>
      </c>
      <c r="N217" s="355">
        <v>0</v>
      </c>
      <c r="O217" s="355">
        <v>0</v>
      </c>
      <c r="P217" s="355">
        <v>0</v>
      </c>
      <c r="Q217" s="355">
        <v>0</v>
      </c>
      <c r="R217" s="355">
        <v>0</v>
      </c>
      <c r="S217" s="355">
        <v>0</v>
      </c>
      <c r="T217" s="355">
        <v>0</v>
      </c>
      <c r="U217" s="356">
        <v>0</v>
      </c>
      <c r="V217" s="357">
        <v>0</v>
      </c>
      <c r="W217" s="358"/>
      <c r="X217" s="359">
        <v>0</v>
      </c>
      <c r="Y217" s="360">
        <v>0</v>
      </c>
    </row>
    <row r="218" spans="1:25" ht="33" customHeight="1" collapsed="1" x14ac:dyDescent="0.3">
      <c r="A218" s="930" t="s">
        <v>11</v>
      </c>
      <c r="B218" s="248"/>
      <c r="C218" s="280" t="s">
        <v>1139</v>
      </c>
      <c r="D218" s="281"/>
      <c r="E218" s="282"/>
      <c r="F218" s="283" t="s">
        <v>1140</v>
      </c>
      <c r="G218" s="284"/>
      <c r="H218" s="285"/>
      <c r="I218" s="286"/>
      <c r="J218" s="287">
        <v>65446608.666999981</v>
      </c>
      <c r="K218" s="288">
        <v>64701211.933999993</v>
      </c>
      <c r="L218" s="288">
        <v>71340896.656000003</v>
      </c>
      <c r="M218" s="288">
        <v>69904799.583999991</v>
      </c>
      <c r="N218" s="288">
        <v>71917171.706</v>
      </c>
      <c r="O218" s="288">
        <v>66667865.735999987</v>
      </c>
      <c r="P218" s="288">
        <v>65944525.181999974</v>
      </c>
      <c r="Q218" s="288">
        <v>61207030.111000009</v>
      </c>
      <c r="R218" s="288">
        <v>63138043.081999995</v>
      </c>
      <c r="S218" s="288">
        <v>69761432.959000021</v>
      </c>
      <c r="T218" s="288">
        <v>74360653.088999987</v>
      </c>
      <c r="U218" s="289">
        <v>73531501.546000034</v>
      </c>
      <c r="V218" s="290">
        <v>817921740.25199997</v>
      </c>
      <c r="W218" s="277"/>
      <c r="X218" s="291">
        <v>73531501.546000034</v>
      </c>
      <c r="Y218" s="292">
        <v>817921740.25199997</v>
      </c>
    </row>
    <row r="219" spans="1:25" ht="33" customHeight="1" collapsed="1" x14ac:dyDescent="0.3">
      <c r="A219" s="930" t="s">
        <v>12</v>
      </c>
      <c r="B219" s="248"/>
      <c r="C219" s="280" t="s">
        <v>1141</v>
      </c>
      <c r="D219" s="281"/>
      <c r="E219" s="282"/>
      <c r="F219" s="283" t="s">
        <v>1142</v>
      </c>
      <c r="G219" s="284"/>
      <c r="H219" s="285"/>
      <c r="I219" s="286"/>
      <c r="J219" s="287">
        <v>59346409.714999996</v>
      </c>
      <c r="K219" s="288">
        <v>59777723.152000003</v>
      </c>
      <c r="L219" s="288">
        <v>59926242.227000013</v>
      </c>
      <c r="M219" s="288">
        <v>61568506.853</v>
      </c>
      <c r="N219" s="288">
        <v>61344724.507999972</v>
      </c>
      <c r="O219" s="288">
        <v>60363759.736999974</v>
      </c>
      <c r="P219" s="288">
        <v>60931115.843000017</v>
      </c>
      <c r="Q219" s="288">
        <v>58171413.109000005</v>
      </c>
      <c r="R219" s="288">
        <v>59538650.321999997</v>
      </c>
      <c r="S219" s="288">
        <v>60591705.126000017</v>
      </c>
      <c r="T219" s="288">
        <v>59399800.761000007</v>
      </c>
      <c r="U219" s="289">
        <v>63949036.827999994</v>
      </c>
      <c r="V219" s="290">
        <v>724909088.18100011</v>
      </c>
      <c r="W219" s="277"/>
      <c r="X219" s="291">
        <v>63949036.827999994</v>
      </c>
      <c r="Y219" s="292">
        <v>724909088.18100011</v>
      </c>
    </row>
    <row r="220" spans="1:25" s="3" customFormat="1" x14ac:dyDescent="0.3">
      <c r="B220" s="240" t="s">
        <v>66</v>
      </c>
      <c r="D220" s="363" t="s">
        <v>1143</v>
      </c>
      <c r="E220" s="364"/>
      <c r="F220" s="365"/>
      <c r="G220" s="366"/>
      <c r="H220" s="367"/>
      <c r="I220" s="368"/>
      <c r="J220" s="369">
        <v>6967938.7910000002</v>
      </c>
      <c r="K220" s="370">
        <v>6973248.8649999993</v>
      </c>
      <c r="L220" s="370">
        <v>6411954.2660000017</v>
      </c>
      <c r="M220" s="370">
        <v>7401130.4540000008</v>
      </c>
      <c r="N220" s="370">
        <v>7300483.7039999999</v>
      </c>
      <c r="O220" s="370">
        <v>5596625.5639999993</v>
      </c>
      <c r="P220" s="370">
        <v>7232189.2030000007</v>
      </c>
      <c r="Q220" s="370">
        <v>7208034.4579999996</v>
      </c>
      <c r="R220" s="370">
        <v>7237347.2999999998</v>
      </c>
      <c r="S220" s="370">
        <v>7130679.4450000003</v>
      </c>
      <c r="T220" s="370">
        <v>6674184.4809999997</v>
      </c>
      <c r="U220" s="371">
        <v>9771958.4940000009</v>
      </c>
      <c r="V220" s="372">
        <v>85905775.024999991</v>
      </c>
      <c r="W220" s="277"/>
      <c r="X220" s="373">
        <v>9771958.4940000009</v>
      </c>
      <c r="Y220" s="374">
        <v>85905775.024999991</v>
      </c>
    </row>
    <row r="221" spans="1:25" x14ac:dyDescent="0.3">
      <c r="A221" s="233"/>
      <c r="B221" s="234" t="s">
        <v>13</v>
      </c>
      <c r="D221" s="293" t="s">
        <v>1144</v>
      </c>
      <c r="E221" s="294"/>
      <c r="F221" s="295" t="s">
        <v>1145</v>
      </c>
      <c r="G221" s="296"/>
      <c r="H221" s="297"/>
      <c r="I221" s="298"/>
      <c r="J221" s="299">
        <v>4893465.9080000008</v>
      </c>
      <c r="K221" s="300">
        <v>4980245.8309999993</v>
      </c>
      <c r="L221" s="300">
        <v>5103001.1860000007</v>
      </c>
      <c r="M221" s="300">
        <v>5067425.0160000008</v>
      </c>
      <c r="N221" s="300">
        <v>5131959.6890000002</v>
      </c>
      <c r="O221" s="300">
        <v>4950444.2339999992</v>
      </c>
      <c r="P221" s="300">
        <v>5156621.6270000003</v>
      </c>
      <c r="Q221" s="300">
        <v>5165092.0049999999</v>
      </c>
      <c r="R221" s="300">
        <v>4974815.2129999995</v>
      </c>
      <c r="S221" s="300">
        <v>5344629.8</v>
      </c>
      <c r="T221" s="300">
        <v>4970466.1179999998</v>
      </c>
      <c r="U221" s="301">
        <v>5718363.8900000006</v>
      </c>
      <c r="V221" s="302">
        <v>61456530.516999997</v>
      </c>
      <c r="W221" s="303"/>
      <c r="X221" s="304">
        <v>5718363.8900000006</v>
      </c>
      <c r="Y221" s="305">
        <v>61456530.516999997</v>
      </c>
    </row>
    <row r="222" spans="1:25" hidden="1" outlineLevel="1" x14ac:dyDescent="0.3">
      <c r="E222" s="250" t="s">
        <v>1146</v>
      </c>
      <c r="F222" s="317">
        <v>4300101</v>
      </c>
      <c r="G222" s="318"/>
      <c r="H222" s="319">
        <v>5101010101</v>
      </c>
      <c r="I222" s="320"/>
      <c r="J222" s="337">
        <v>400920.44</v>
      </c>
      <c r="K222" s="321">
        <v>395882</v>
      </c>
      <c r="L222" s="321">
        <v>395882</v>
      </c>
      <c r="M222" s="321">
        <v>346874</v>
      </c>
      <c r="N222" s="321">
        <v>346874</v>
      </c>
      <c r="O222" s="321">
        <v>346874</v>
      </c>
      <c r="P222" s="321">
        <v>548550</v>
      </c>
      <c r="Q222" s="321">
        <v>335415</v>
      </c>
      <c r="R222" s="321">
        <v>335415</v>
      </c>
      <c r="S222" s="321">
        <v>335352.484</v>
      </c>
      <c r="T222" s="321">
        <v>335301</v>
      </c>
      <c r="U222" s="322">
        <v>323850</v>
      </c>
      <c r="V222" s="323">
        <v>4447189.9240000006</v>
      </c>
      <c r="W222" s="303"/>
      <c r="X222" s="324">
        <v>323850</v>
      </c>
      <c r="Y222" s="325">
        <v>4447189.9240000006</v>
      </c>
    </row>
    <row r="223" spans="1:25" hidden="1" outlineLevel="1" x14ac:dyDescent="0.3">
      <c r="E223" s="250" t="s">
        <v>1147</v>
      </c>
      <c r="F223" s="317">
        <v>4300102</v>
      </c>
      <c r="G223" s="318"/>
      <c r="H223" s="319">
        <v>5101010103</v>
      </c>
      <c r="I223" s="320"/>
      <c r="J223" s="337">
        <v>0</v>
      </c>
      <c r="K223" s="321">
        <v>0</v>
      </c>
      <c r="L223" s="321">
        <v>0</v>
      </c>
      <c r="M223" s="321">
        <v>0</v>
      </c>
      <c r="N223" s="321">
        <v>2E-3</v>
      </c>
      <c r="O223" s="321">
        <v>0</v>
      </c>
      <c r="P223" s="321">
        <v>0</v>
      </c>
      <c r="Q223" s="321">
        <v>0</v>
      </c>
      <c r="R223" s="321">
        <v>0</v>
      </c>
      <c r="S223" s="321">
        <v>0</v>
      </c>
      <c r="T223" s="321">
        <v>0</v>
      </c>
      <c r="U223" s="322">
        <v>2372.3220000000001</v>
      </c>
      <c r="V223" s="323">
        <v>2372.3240000000001</v>
      </c>
      <c r="W223" s="303"/>
      <c r="X223" s="324">
        <v>2372.3220000000001</v>
      </c>
      <c r="Y223" s="325">
        <v>2372.3240000000001</v>
      </c>
    </row>
    <row r="224" spans="1:25" hidden="1" outlineLevel="1" x14ac:dyDescent="0.3">
      <c r="E224" s="250" t="s">
        <v>1148</v>
      </c>
      <c r="F224" s="317">
        <v>4300103</v>
      </c>
      <c r="G224" s="318"/>
      <c r="H224" s="319">
        <v>5101010105</v>
      </c>
      <c r="I224" s="320"/>
      <c r="J224" s="337">
        <v>0</v>
      </c>
      <c r="K224" s="321">
        <v>0</v>
      </c>
      <c r="L224" s="321">
        <v>0</v>
      </c>
      <c r="M224" s="321">
        <v>0</v>
      </c>
      <c r="N224" s="321">
        <v>4401.6000000000004</v>
      </c>
      <c r="O224" s="321">
        <v>4401.6000000000004</v>
      </c>
      <c r="P224" s="321">
        <v>4401.6000000000004</v>
      </c>
      <c r="Q224" s="321">
        <v>4401.6000000000004</v>
      </c>
      <c r="R224" s="321">
        <v>4401.6000000000004</v>
      </c>
      <c r="S224" s="321">
        <v>4401.6000000000004</v>
      </c>
      <c r="T224" s="321">
        <v>4401.6000000000004</v>
      </c>
      <c r="U224" s="322">
        <v>4401.6000000000004</v>
      </c>
      <c r="V224" s="323">
        <v>35212.799999999996</v>
      </c>
      <c r="W224" s="303"/>
      <c r="X224" s="324">
        <v>4401.6000000000004</v>
      </c>
      <c r="Y224" s="325">
        <v>35212.799999999996</v>
      </c>
    </row>
    <row r="225" spans="1:25" hidden="1" outlineLevel="1" x14ac:dyDescent="0.3">
      <c r="E225" s="250" t="s">
        <v>1149</v>
      </c>
      <c r="F225" s="317">
        <v>4300104</v>
      </c>
      <c r="G225" s="318"/>
      <c r="H225" s="319"/>
      <c r="I225" s="320"/>
      <c r="J225" s="337">
        <v>4372984.2680000002</v>
      </c>
      <c r="K225" s="321">
        <v>4461714.6109999996</v>
      </c>
      <c r="L225" s="321">
        <v>4595679.8260000004</v>
      </c>
      <c r="M225" s="321">
        <v>4605699.9960000003</v>
      </c>
      <c r="N225" s="321">
        <v>4672886.3660000004</v>
      </c>
      <c r="O225" s="321">
        <v>4484594.2539999997</v>
      </c>
      <c r="P225" s="321">
        <v>4496365.2740000002</v>
      </c>
      <c r="Q225" s="321">
        <v>4707499.1040000003</v>
      </c>
      <c r="R225" s="321">
        <v>4499451.8279999997</v>
      </c>
      <c r="S225" s="321">
        <v>4908161.4850000003</v>
      </c>
      <c r="T225" s="321">
        <v>4522546.8109999998</v>
      </c>
      <c r="U225" s="322">
        <v>5282020.9330000002</v>
      </c>
      <c r="V225" s="323">
        <v>55609604.755999997</v>
      </c>
      <c r="W225" s="303"/>
      <c r="X225" s="324">
        <v>5282020.9330000002</v>
      </c>
      <c r="Y225" s="325">
        <v>55609604.755999997</v>
      </c>
    </row>
    <row r="226" spans="1:25" hidden="1" outlineLevel="1" x14ac:dyDescent="0.3">
      <c r="E226" s="250" t="s">
        <v>1150</v>
      </c>
      <c r="F226" s="317">
        <v>4300105</v>
      </c>
      <c r="G226" s="318"/>
      <c r="H226" s="319"/>
      <c r="I226" s="320"/>
      <c r="J226" s="337">
        <v>96723</v>
      </c>
      <c r="K226" s="321">
        <v>93598</v>
      </c>
      <c r="L226" s="321">
        <v>86260</v>
      </c>
      <c r="M226" s="321">
        <v>91159.2</v>
      </c>
      <c r="N226" s="321">
        <v>83641.850999999995</v>
      </c>
      <c r="O226" s="321">
        <v>89638.59</v>
      </c>
      <c r="P226" s="321">
        <v>84407.172999999995</v>
      </c>
      <c r="Q226" s="321">
        <v>91397.301000000007</v>
      </c>
      <c r="R226" s="321">
        <v>88368.304999999993</v>
      </c>
      <c r="S226" s="321">
        <v>96714.231</v>
      </c>
      <c r="T226" s="321">
        <v>85001.256999999998</v>
      </c>
      <c r="U226" s="322">
        <v>87492.074999999997</v>
      </c>
      <c r="V226" s="323">
        <v>1074400.983</v>
      </c>
      <c r="W226" s="303"/>
      <c r="X226" s="324">
        <v>87492.074999999997</v>
      </c>
      <c r="Y226" s="325">
        <v>1074400.983</v>
      </c>
    </row>
    <row r="227" spans="1:25" hidden="1" outlineLevel="1" x14ac:dyDescent="0.3">
      <c r="E227" s="250" t="s">
        <v>1151</v>
      </c>
      <c r="F227" s="317">
        <v>4300106</v>
      </c>
      <c r="G227" s="318"/>
      <c r="H227" s="319"/>
      <c r="I227" s="320"/>
      <c r="J227" s="337">
        <v>0</v>
      </c>
      <c r="K227" s="321">
        <v>0</v>
      </c>
      <c r="L227" s="321">
        <v>0</v>
      </c>
      <c r="M227" s="321">
        <v>0</v>
      </c>
      <c r="N227" s="321">
        <v>0</v>
      </c>
      <c r="O227" s="321">
        <v>0</v>
      </c>
      <c r="P227" s="321">
        <v>0</v>
      </c>
      <c r="Q227" s="321">
        <v>0</v>
      </c>
      <c r="R227" s="321">
        <v>0</v>
      </c>
      <c r="S227" s="321">
        <v>0</v>
      </c>
      <c r="T227" s="321">
        <v>0</v>
      </c>
      <c r="U227" s="322">
        <v>0</v>
      </c>
      <c r="V227" s="323">
        <v>0</v>
      </c>
      <c r="W227" s="303"/>
      <c r="X227" s="324">
        <v>0</v>
      </c>
      <c r="Y227" s="325">
        <v>0</v>
      </c>
    </row>
    <row r="228" spans="1:25" hidden="1" outlineLevel="1" x14ac:dyDescent="0.3">
      <c r="E228" s="250" t="s">
        <v>1152</v>
      </c>
      <c r="F228" s="317">
        <v>4300107</v>
      </c>
      <c r="G228" s="318"/>
      <c r="H228" s="319"/>
      <c r="I228" s="320"/>
      <c r="J228" s="337">
        <v>0</v>
      </c>
      <c r="K228" s="321">
        <v>0</v>
      </c>
      <c r="L228" s="321">
        <v>0</v>
      </c>
      <c r="M228" s="321">
        <v>0</v>
      </c>
      <c r="N228" s="321">
        <v>0</v>
      </c>
      <c r="O228" s="321">
        <v>0</v>
      </c>
      <c r="P228" s="321">
        <v>0</v>
      </c>
      <c r="Q228" s="321">
        <v>0</v>
      </c>
      <c r="R228" s="321">
        <v>0</v>
      </c>
      <c r="S228" s="321">
        <v>0</v>
      </c>
      <c r="T228" s="321">
        <v>0</v>
      </c>
      <c r="U228" s="322">
        <v>0</v>
      </c>
      <c r="V228" s="323">
        <v>0</v>
      </c>
      <c r="W228" s="303"/>
      <c r="X228" s="324">
        <v>0</v>
      </c>
      <c r="Y228" s="325">
        <v>0</v>
      </c>
    </row>
    <row r="229" spans="1:25" hidden="1" outlineLevel="1" x14ac:dyDescent="0.3">
      <c r="E229" s="250" t="s">
        <v>1153</v>
      </c>
      <c r="F229" s="317">
        <v>4300199</v>
      </c>
      <c r="G229" s="318"/>
      <c r="H229" s="319"/>
      <c r="I229" s="320"/>
      <c r="J229" s="337">
        <v>22838.2</v>
      </c>
      <c r="K229" s="321">
        <v>29051.22</v>
      </c>
      <c r="L229" s="321">
        <v>25179.360000000001</v>
      </c>
      <c r="M229" s="321">
        <v>23691.82</v>
      </c>
      <c r="N229" s="321">
        <v>24155.87</v>
      </c>
      <c r="O229" s="321">
        <v>24935.79</v>
      </c>
      <c r="P229" s="321">
        <v>22897.58</v>
      </c>
      <c r="Q229" s="321">
        <v>26379</v>
      </c>
      <c r="R229" s="321">
        <v>47178.48</v>
      </c>
      <c r="S229" s="321">
        <v>0</v>
      </c>
      <c r="T229" s="321">
        <v>23215.45</v>
      </c>
      <c r="U229" s="322">
        <v>18226.96</v>
      </c>
      <c r="V229" s="323">
        <v>287749.73000000004</v>
      </c>
      <c r="W229" s="303"/>
      <c r="X229" s="324">
        <v>18226.96</v>
      </c>
      <c r="Y229" s="325">
        <v>287749.73000000004</v>
      </c>
    </row>
    <row r="230" spans="1:25" s="326" customFormat="1" hidden="1" outlineLevel="2" x14ac:dyDescent="0.3">
      <c r="E230" s="326" t="s">
        <v>1154</v>
      </c>
      <c r="F230" s="336"/>
      <c r="G230" s="327"/>
      <c r="H230" s="328"/>
      <c r="I230" s="329"/>
      <c r="J230" s="338">
        <v>0</v>
      </c>
      <c r="K230" s="330">
        <v>0</v>
      </c>
      <c r="L230" s="330">
        <v>0</v>
      </c>
      <c r="M230" s="330">
        <v>0</v>
      </c>
      <c r="N230" s="330">
        <v>0</v>
      </c>
      <c r="O230" s="330">
        <v>0</v>
      </c>
      <c r="P230" s="330">
        <v>0</v>
      </c>
      <c r="Q230" s="330">
        <v>0</v>
      </c>
      <c r="R230" s="330">
        <v>0</v>
      </c>
      <c r="S230" s="330">
        <v>0</v>
      </c>
      <c r="T230" s="330">
        <v>0</v>
      </c>
      <c r="U230" s="331">
        <v>0</v>
      </c>
      <c r="V230" s="332">
        <v>0</v>
      </c>
      <c r="W230" s="333"/>
      <c r="X230" s="334">
        <v>0</v>
      </c>
      <c r="Y230" s="335">
        <v>0</v>
      </c>
    </row>
    <row r="231" spans="1:25" s="326" customFormat="1" hidden="1" outlineLevel="2" x14ac:dyDescent="0.3">
      <c r="E231" s="326" t="s">
        <v>1155</v>
      </c>
      <c r="F231" s="336"/>
      <c r="G231" s="327"/>
      <c r="H231" s="328"/>
      <c r="I231" s="329"/>
      <c r="J231" s="338">
        <v>0</v>
      </c>
      <c r="K231" s="330">
        <v>0</v>
      </c>
      <c r="L231" s="330">
        <v>0</v>
      </c>
      <c r="M231" s="330">
        <v>0</v>
      </c>
      <c r="N231" s="330">
        <v>0</v>
      </c>
      <c r="O231" s="330">
        <v>0</v>
      </c>
      <c r="P231" s="330">
        <v>0</v>
      </c>
      <c r="Q231" s="330">
        <v>0</v>
      </c>
      <c r="R231" s="330">
        <v>0</v>
      </c>
      <c r="S231" s="330">
        <v>0</v>
      </c>
      <c r="T231" s="330">
        <v>0</v>
      </c>
      <c r="U231" s="331">
        <v>0</v>
      </c>
      <c r="V231" s="332">
        <v>0</v>
      </c>
      <c r="W231" s="333"/>
      <c r="X231" s="334">
        <v>0</v>
      </c>
      <c r="Y231" s="335">
        <v>0</v>
      </c>
    </row>
    <row r="232" spans="1:25" s="326" customFormat="1" hidden="1" outlineLevel="2" x14ac:dyDescent="0.3">
      <c r="E232" s="326" t="s">
        <v>1156</v>
      </c>
      <c r="F232" s="336"/>
      <c r="G232" s="327"/>
      <c r="H232" s="328"/>
      <c r="I232" s="329"/>
      <c r="J232" s="338">
        <v>0</v>
      </c>
      <c r="K232" s="330">
        <v>0</v>
      </c>
      <c r="L232" s="330">
        <v>0</v>
      </c>
      <c r="M232" s="330">
        <v>0</v>
      </c>
      <c r="N232" s="330">
        <v>0</v>
      </c>
      <c r="O232" s="330">
        <v>0</v>
      </c>
      <c r="P232" s="330">
        <v>0</v>
      </c>
      <c r="Q232" s="330">
        <v>0</v>
      </c>
      <c r="R232" s="330">
        <v>0</v>
      </c>
      <c r="S232" s="330">
        <v>0</v>
      </c>
      <c r="T232" s="330">
        <v>0</v>
      </c>
      <c r="U232" s="331">
        <v>0</v>
      </c>
      <c r="V232" s="332">
        <v>0</v>
      </c>
      <c r="W232" s="333"/>
      <c r="X232" s="334">
        <v>0</v>
      </c>
      <c r="Y232" s="335">
        <v>0</v>
      </c>
    </row>
    <row r="233" spans="1:25" collapsed="1" x14ac:dyDescent="0.3">
      <c r="A233" s="233"/>
      <c r="B233" s="234" t="s">
        <v>67</v>
      </c>
      <c r="D233" s="293" t="s">
        <v>1157</v>
      </c>
      <c r="E233" s="294"/>
      <c r="F233" s="295" t="s">
        <v>1158</v>
      </c>
      <c r="G233" s="296"/>
      <c r="H233" s="297"/>
      <c r="I233" s="298"/>
      <c r="J233" s="299">
        <v>472394.59600000002</v>
      </c>
      <c r="K233" s="300">
        <v>459106.283</v>
      </c>
      <c r="L233" s="300">
        <v>-226564.00400000002</v>
      </c>
      <c r="M233" s="300">
        <v>713196.60700000008</v>
      </c>
      <c r="N233" s="300">
        <v>713196.60900000005</v>
      </c>
      <c r="O233" s="300">
        <v>-300669.66799999995</v>
      </c>
      <c r="P233" s="300">
        <v>714508.17700000003</v>
      </c>
      <c r="Q233" s="300">
        <v>713196.60699999996</v>
      </c>
      <c r="R233" s="300">
        <v>586907.80300000007</v>
      </c>
      <c r="S233" s="300">
        <v>333824.17699999997</v>
      </c>
      <c r="T233" s="300">
        <v>333824.17699999997</v>
      </c>
      <c r="U233" s="301">
        <v>956883.58899999992</v>
      </c>
      <c r="V233" s="302">
        <v>5469804.9530000007</v>
      </c>
      <c r="W233" s="303"/>
      <c r="X233" s="304">
        <v>956883.58899999992</v>
      </c>
      <c r="Y233" s="305">
        <v>5469804.9530000007</v>
      </c>
    </row>
    <row r="234" spans="1:25" hidden="1" outlineLevel="1" x14ac:dyDescent="0.3">
      <c r="E234" s="250" t="s">
        <v>1159</v>
      </c>
      <c r="F234" s="317">
        <v>4300201</v>
      </c>
      <c r="G234" s="318"/>
      <c r="H234" s="319">
        <v>5101010301</v>
      </c>
      <c r="I234" s="320"/>
      <c r="J234" s="337">
        <v>131597.15700000001</v>
      </c>
      <c r="K234" s="321">
        <v>131597.15700000001</v>
      </c>
      <c r="L234" s="321">
        <v>-830957.08900000004</v>
      </c>
      <c r="M234" s="321">
        <v>153982.361</v>
      </c>
      <c r="N234" s="321">
        <v>153982.361</v>
      </c>
      <c r="O234" s="321">
        <v>-488873.41</v>
      </c>
      <c r="P234" s="321">
        <v>153982.361</v>
      </c>
      <c r="Q234" s="321">
        <v>153982.361</v>
      </c>
      <c r="R234" s="321">
        <v>153982.361</v>
      </c>
      <c r="S234" s="321">
        <v>-99101.264999999999</v>
      </c>
      <c r="T234" s="321">
        <v>-99101.264999999999</v>
      </c>
      <c r="U234" s="322">
        <v>903176.92299999995</v>
      </c>
      <c r="V234" s="323">
        <v>418250.01300000004</v>
      </c>
      <c r="W234" s="303"/>
      <c r="X234" s="324">
        <v>903176.92299999995</v>
      </c>
      <c r="Y234" s="325">
        <v>418250.01300000004</v>
      </c>
    </row>
    <row r="235" spans="1:25" hidden="1" outlineLevel="1" x14ac:dyDescent="0.3">
      <c r="E235" s="250" t="s">
        <v>1160</v>
      </c>
      <c r="F235" s="317">
        <v>4300202</v>
      </c>
      <c r="G235" s="318"/>
      <c r="H235" s="319">
        <v>5101010303</v>
      </c>
      <c r="I235" s="320"/>
      <c r="J235" s="337">
        <v>0</v>
      </c>
      <c r="K235" s="321">
        <v>0</v>
      </c>
      <c r="L235" s="321">
        <v>0</v>
      </c>
      <c r="M235" s="321">
        <v>0</v>
      </c>
      <c r="N235" s="321">
        <v>0</v>
      </c>
      <c r="O235" s="321">
        <v>0</v>
      </c>
      <c r="P235" s="321">
        <v>0</v>
      </c>
      <c r="Q235" s="321">
        <v>0</v>
      </c>
      <c r="R235" s="321">
        <v>0</v>
      </c>
      <c r="S235" s="321">
        <v>0</v>
      </c>
      <c r="T235" s="321">
        <v>0</v>
      </c>
      <c r="U235" s="322">
        <v>0</v>
      </c>
      <c r="V235" s="323">
        <v>0</v>
      </c>
      <c r="W235" s="303"/>
      <c r="X235" s="324">
        <v>0</v>
      </c>
      <c r="Y235" s="325">
        <v>0</v>
      </c>
    </row>
    <row r="236" spans="1:25" hidden="1" outlineLevel="1" x14ac:dyDescent="0.3">
      <c r="E236" s="250" t="s">
        <v>1161</v>
      </c>
      <c r="F236" s="317">
        <v>4300203</v>
      </c>
      <c r="G236" s="318"/>
      <c r="H236" s="319">
        <v>5101010305</v>
      </c>
      <c r="I236" s="320"/>
      <c r="J236" s="337">
        <v>0</v>
      </c>
      <c r="K236" s="321">
        <v>0</v>
      </c>
      <c r="L236" s="321">
        <v>0</v>
      </c>
      <c r="M236" s="321">
        <v>0</v>
      </c>
      <c r="N236" s="321">
        <v>0</v>
      </c>
      <c r="O236" s="321">
        <v>0</v>
      </c>
      <c r="P236" s="321">
        <v>0</v>
      </c>
      <c r="Q236" s="321">
        <v>0</v>
      </c>
      <c r="R236" s="321">
        <v>0</v>
      </c>
      <c r="S236" s="321">
        <v>0</v>
      </c>
      <c r="T236" s="321">
        <v>0</v>
      </c>
      <c r="U236" s="322">
        <v>0</v>
      </c>
      <c r="V236" s="323">
        <v>0</v>
      </c>
      <c r="W236" s="303"/>
      <c r="X236" s="324">
        <v>0</v>
      </c>
      <c r="Y236" s="325">
        <v>0</v>
      </c>
    </row>
    <row r="237" spans="1:25" hidden="1" outlineLevel="1" x14ac:dyDescent="0.3">
      <c r="E237" s="250" t="s">
        <v>1162</v>
      </c>
      <c r="F237" s="317">
        <v>4300204</v>
      </c>
      <c r="G237" s="318"/>
      <c r="H237" s="319">
        <v>5101010307</v>
      </c>
      <c r="I237" s="320"/>
      <c r="J237" s="337">
        <v>0</v>
      </c>
      <c r="K237" s="321">
        <v>0</v>
      </c>
      <c r="L237" s="321">
        <v>0</v>
      </c>
      <c r="M237" s="321">
        <v>0</v>
      </c>
      <c r="N237" s="321">
        <v>0</v>
      </c>
      <c r="O237" s="321">
        <v>0</v>
      </c>
      <c r="P237" s="321">
        <v>0</v>
      </c>
      <c r="Q237" s="321">
        <v>0</v>
      </c>
      <c r="R237" s="321">
        <v>0</v>
      </c>
      <c r="S237" s="321">
        <v>0</v>
      </c>
      <c r="T237" s="321">
        <v>0</v>
      </c>
      <c r="U237" s="322">
        <v>0</v>
      </c>
      <c r="V237" s="323">
        <v>0</v>
      </c>
      <c r="W237" s="303"/>
      <c r="X237" s="324">
        <v>0</v>
      </c>
      <c r="Y237" s="325">
        <v>0</v>
      </c>
    </row>
    <row r="238" spans="1:25" hidden="1" outlineLevel="1" x14ac:dyDescent="0.3">
      <c r="E238" s="250" t="s">
        <v>1163</v>
      </c>
      <c r="F238" s="317">
        <v>4300205</v>
      </c>
      <c r="G238" s="318"/>
      <c r="H238" s="319"/>
      <c r="I238" s="320"/>
      <c r="J238" s="337">
        <v>279377.65999999997</v>
      </c>
      <c r="K238" s="321">
        <v>324722.40999999997</v>
      </c>
      <c r="L238" s="321">
        <v>534505.98800000001</v>
      </c>
      <c r="M238" s="321">
        <v>554455.99300000002</v>
      </c>
      <c r="N238" s="321">
        <v>554455.99100000004</v>
      </c>
      <c r="O238" s="321">
        <v>191507.103</v>
      </c>
      <c r="P238" s="321">
        <v>555767.56200000003</v>
      </c>
      <c r="Q238" s="321">
        <v>554455.99199999997</v>
      </c>
      <c r="R238" s="321">
        <v>429241.75699999998</v>
      </c>
      <c r="S238" s="321">
        <v>429241.75699999998</v>
      </c>
      <c r="T238" s="321">
        <v>429241.75699999998</v>
      </c>
      <c r="U238" s="322">
        <v>53249.686000000002</v>
      </c>
      <c r="V238" s="323">
        <v>4890223.6560000004</v>
      </c>
      <c r="W238" s="303"/>
      <c r="X238" s="324">
        <v>53249.686000000002</v>
      </c>
      <c r="Y238" s="325">
        <v>4890223.6560000004</v>
      </c>
    </row>
    <row r="239" spans="1:25" hidden="1" outlineLevel="1" x14ac:dyDescent="0.3">
      <c r="E239" s="250" t="s">
        <v>1164</v>
      </c>
      <c r="F239" s="317">
        <v>4300206</v>
      </c>
      <c r="G239" s="318"/>
      <c r="H239" s="319"/>
      <c r="I239" s="320"/>
      <c r="J239" s="337">
        <v>5161.3789999999999</v>
      </c>
      <c r="K239" s="321">
        <v>2786.7159999999999</v>
      </c>
      <c r="L239" s="321">
        <v>9705.0969999999998</v>
      </c>
      <c r="M239" s="321">
        <v>4758.2529999999997</v>
      </c>
      <c r="N239" s="321">
        <v>4758.2569999999996</v>
      </c>
      <c r="O239" s="321">
        <v>-3303.3609999999999</v>
      </c>
      <c r="P239" s="321">
        <v>4758.2539999999999</v>
      </c>
      <c r="Q239" s="321">
        <v>4758.2539999999999</v>
      </c>
      <c r="R239" s="321">
        <v>3683.6849999999999</v>
      </c>
      <c r="S239" s="321">
        <v>3683.6849999999999</v>
      </c>
      <c r="T239" s="321">
        <v>3683.6849999999999</v>
      </c>
      <c r="U239" s="322">
        <v>456.98</v>
      </c>
      <c r="V239" s="323">
        <v>44890.883999999991</v>
      </c>
      <c r="W239" s="303"/>
      <c r="X239" s="324">
        <v>456.98</v>
      </c>
      <c r="Y239" s="325">
        <v>44890.883999999991</v>
      </c>
    </row>
    <row r="240" spans="1:25" s="350" customFormat="1" hidden="1" outlineLevel="2" x14ac:dyDescent="0.3">
      <c r="E240" s="350" t="s">
        <v>1165</v>
      </c>
      <c r="F240" s="306">
        <v>4300207</v>
      </c>
      <c r="G240" s="307"/>
      <c r="H240" s="308"/>
      <c r="I240" s="309"/>
      <c r="J240" s="310">
        <v>56258.400000000001</v>
      </c>
      <c r="K240" s="311">
        <v>0</v>
      </c>
      <c r="L240" s="311">
        <v>60182</v>
      </c>
      <c r="M240" s="311">
        <v>0</v>
      </c>
      <c r="N240" s="311">
        <v>0</v>
      </c>
      <c r="O240" s="311">
        <v>0</v>
      </c>
      <c r="P240" s="311">
        <v>0</v>
      </c>
      <c r="Q240" s="311">
        <v>0</v>
      </c>
      <c r="R240" s="311">
        <v>0</v>
      </c>
      <c r="S240" s="311">
        <v>0</v>
      </c>
      <c r="T240" s="311">
        <v>0</v>
      </c>
      <c r="U240" s="312">
        <v>0</v>
      </c>
      <c r="V240" s="313">
        <v>116440.4</v>
      </c>
      <c r="W240" s="314"/>
      <c r="X240" s="315">
        <v>0</v>
      </c>
      <c r="Y240" s="316">
        <v>116440.4</v>
      </c>
    </row>
    <row r="241" spans="1:25" s="326" customFormat="1" hidden="1" outlineLevel="2" x14ac:dyDescent="0.3">
      <c r="E241" s="326" t="s">
        <v>1166</v>
      </c>
      <c r="F241" s="336"/>
      <c r="G241" s="327"/>
      <c r="H241" s="328"/>
      <c r="I241" s="329"/>
      <c r="J241" s="338">
        <v>0</v>
      </c>
      <c r="K241" s="330">
        <v>0</v>
      </c>
      <c r="L241" s="330">
        <v>0</v>
      </c>
      <c r="M241" s="330">
        <v>0</v>
      </c>
      <c r="N241" s="330">
        <v>0</v>
      </c>
      <c r="O241" s="330">
        <v>0</v>
      </c>
      <c r="P241" s="330">
        <v>0</v>
      </c>
      <c r="Q241" s="330">
        <v>0</v>
      </c>
      <c r="R241" s="330">
        <v>0</v>
      </c>
      <c r="S241" s="330">
        <v>0</v>
      </c>
      <c r="T241" s="330">
        <v>0</v>
      </c>
      <c r="U241" s="331">
        <v>0</v>
      </c>
      <c r="V241" s="332">
        <v>0</v>
      </c>
      <c r="W241" s="333"/>
      <c r="X241" s="334">
        <v>0</v>
      </c>
      <c r="Y241" s="335">
        <v>0</v>
      </c>
    </row>
    <row r="242" spans="1:25" s="326" customFormat="1" hidden="1" outlineLevel="2" x14ac:dyDescent="0.3">
      <c r="E242" s="326" t="s">
        <v>1167</v>
      </c>
      <c r="F242" s="336"/>
      <c r="G242" s="327"/>
      <c r="H242" s="328"/>
      <c r="I242" s="329"/>
      <c r="J242" s="338">
        <v>0</v>
      </c>
      <c r="K242" s="330">
        <v>0</v>
      </c>
      <c r="L242" s="330">
        <v>0</v>
      </c>
      <c r="M242" s="330">
        <v>0</v>
      </c>
      <c r="N242" s="330">
        <v>0</v>
      </c>
      <c r="O242" s="330">
        <v>0</v>
      </c>
      <c r="P242" s="330">
        <v>0</v>
      </c>
      <c r="Q242" s="330">
        <v>0</v>
      </c>
      <c r="R242" s="330">
        <v>0</v>
      </c>
      <c r="S242" s="330">
        <v>0</v>
      </c>
      <c r="T242" s="330">
        <v>0</v>
      </c>
      <c r="U242" s="331">
        <v>0</v>
      </c>
      <c r="V242" s="332">
        <v>0</v>
      </c>
      <c r="W242" s="333"/>
      <c r="X242" s="334">
        <v>0</v>
      </c>
      <c r="Y242" s="335">
        <v>0</v>
      </c>
    </row>
    <row r="243" spans="1:25" collapsed="1" x14ac:dyDescent="0.3">
      <c r="A243" s="233"/>
      <c r="B243" s="234" t="s">
        <v>68</v>
      </c>
      <c r="D243" s="293" t="s">
        <v>1168</v>
      </c>
      <c r="E243" s="294"/>
      <c r="F243" s="295" t="s">
        <v>1169</v>
      </c>
      <c r="G243" s="296"/>
      <c r="H243" s="297"/>
      <c r="I243" s="298"/>
      <c r="J243" s="299">
        <v>440137.04900000006</v>
      </c>
      <c r="K243" s="300">
        <v>436339.43799999997</v>
      </c>
      <c r="L243" s="300">
        <v>438388.10300000006</v>
      </c>
      <c r="M243" s="300">
        <v>443847.05300000001</v>
      </c>
      <c r="N243" s="300">
        <v>442063.70900000003</v>
      </c>
      <c r="O243" s="300">
        <v>446922.30600000004</v>
      </c>
      <c r="P243" s="300">
        <v>460682.77300000004</v>
      </c>
      <c r="Q243" s="300">
        <v>444819.31400000001</v>
      </c>
      <c r="R243" s="300">
        <v>442502.89899999998</v>
      </c>
      <c r="S243" s="300">
        <v>451222.04499999998</v>
      </c>
      <c r="T243" s="300">
        <v>444743.02</v>
      </c>
      <c r="U243" s="301">
        <v>569186.62</v>
      </c>
      <c r="V243" s="302">
        <v>5460854.3289999999</v>
      </c>
      <c r="W243" s="303"/>
      <c r="X243" s="304">
        <v>569186.62</v>
      </c>
      <c r="Y243" s="305">
        <v>5460854.3289999999</v>
      </c>
    </row>
    <row r="244" spans="1:25" hidden="1" outlineLevel="1" x14ac:dyDescent="0.3">
      <c r="E244" s="250" t="s">
        <v>1170</v>
      </c>
      <c r="F244" s="317">
        <v>4300481</v>
      </c>
      <c r="G244" s="318"/>
      <c r="H244" s="319">
        <v>5101030101</v>
      </c>
      <c r="I244" s="320"/>
      <c r="J244" s="337">
        <v>388184.62800000003</v>
      </c>
      <c r="K244" s="321">
        <v>383484.68599999999</v>
      </c>
      <c r="L244" s="321">
        <v>388184.63900000002</v>
      </c>
      <c r="M244" s="321">
        <v>392884.60100000002</v>
      </c>
      <c r="N244" s="321">
        <v>388184.63699999999</v>
      </c>
      <c r="O244" s="321">
        <v>388184.63699999999</v>
      </c>
      <c r="P244" s="321">
        <v>388184.63699999999</v>
      </c>
      <c r="Q244" s="321">
        <v>387734.26400000002</v>
      </c>
      <c r="R244" s="321">
        <v>387534.609</v>
      </c>
      <c r="S244" s="321">
        <v>387534.609</v>
      </c>
      <c r="T244" s="321">
        <v>387534.609</v>
      </c>
      <c r="U244" s="322">
        <v>471404.08299999998</v>
      </c>
      <c r="V244" s="323">
        <v>4739034.6390000004</v>
      </c>
      <c r="W244" s="303"/>
      <c r="X244" s="324">
        <v>471404.08299999998</v>
      </c>
      <c r="Y244" s="325">
        <v>4739034.6390000004</v>
      </c>
    </row>
    <row r="245" spans="1:25" hidden="1" outlineLevel="1" x14ac:dyDescent="0.3">
      <c r="E245" s="250" t="s">
        <v>1171</v>
      </c>
      <c r="F245" s="317">
        <v>4300482</v>
      </c>
      <c r="G245" s="318"/>
      <c r="H245" s="319">
        <v>5101030103</v>
      </c>
      <c r="I245" s="320"/>
      <c r="J245" s="337">
        <v>142072.17499999999</v>
      </c>
      <c r="K245" s="321">
        <v>140352.02299999999</v>
      </c>
      <c r="L245" s="321">
        <v>142072.17300000001</v>
      </c>
      <c r="M245" s="321">
        <v>143792.31599999999</v>
      </c>
      <c r="N245" s="321">
        <v>142072.17300000001</v>
      </c>
      <c r="O245" s="321">
        <v>142072.17300000001</v>
      </c>
      <c r="P245" s="321">
        <v>142072.17300000001</v>
      </c>
      <c r="Q245" s="321">
        <v>141857.614</v>
      </c>
      <c r="R245" s="321">
        <v>141684.31</v>
      </c>
      <c r="S245" s="321">
        <v>141684.31</v>
      </c>
      <c r="T245" s="321">
        <v>141684.31</v>
      </c>
      <c r="U245" s="322">
        <v>143450.326</v>
      </c>
      <c r="V245" s="323">
        <v>1704866.0759999999</v>
      </c>
      <c r="W245" s="303"/>
      <c r="X245" s="324">
        <v>143450.326</v>
      </c>
      <c r="Y245" s="325">
        <v>1704866.0759999999</v>
      </c>
    </row>
    <row r="246" spans="1:25" hidden="1" outlineLevel="1" x14ac:dyDescent="0.3">
      <c r="E246" s="250" t="s">
        <v>1172</v>
      </c>
      <c r="F246" s="317">
        <v>4300483</v>
      </c>
      <c r="G246" s="318"/>
      <c r="H246" s="319">
        <v>5101030105</v>
      </c>
      <c r="I246" s="320"/>
      <c r="J246" s="337">
        <v>-147892.712</v>
      </c>
      <c r="K246" s="321">
        <v>-146102.07199999999</v>
      </c>
      <c r="L246" s="321">
        <v>-147892.71299999999</v>
      </c>
      <c r="M246" s="321">
        <v>-149683.32699999999</v>
      </c>
      <c r="N246" s="321">
        <v>-147892.709</v>
      </c>
      <c r="O246" s="321">
        <v>-147892.709</v>
      </c>
      <c r="P246" s="321">
        <v>-147892.709</v>
      </c>
      <c r="Q246" s="321">
        <v>-147669.152</v>
      </c>
      <c r="R246" s="321">
        <v>-147488.83199999999</v>
      </c>
      <c r="S246" s="321">
        <v>-147488.83199999999</v>
      </c>
      <c r="T246" s="321">
        <v>-147488.83199999999</v>
      </c>
      <c r="U246" s="322">
        <v>-147392.234</v>
      </c>
      <c r="V246" s="323">
        <v>-1772776.8329999999</v>
      </c>
      <c r="W246" s="303"/>
      <c r="X246" s="324">
        <v>-147392.234</v>
      </c>
      <c r="Y246" s="325">
        <v>-1772776.8329999999</v>
      </c>
    </row>
    <row r="247" spans="1:25" hidden="1" outlineLevel="1" x14ac:dyDescent="0.3">
      <c r="E247" s="250" t="s">
        <v>1173</v>
      </c>
      <c r="F247" s="317">
        <v>4300484</v>
      </c>
      <c r="G247" s="318"/>
      <c r="H247" s="319"/>
      <c r="I247" s="320"/>
      <c r="J247" s="337">
        <v>57772.957999999999</v>
      </c>
      <c r="K247" s="321">
        <v>58604.800999999999</v>
      </c>
      <c r="L247" s="321">
        <v>56024.004000000001</v>
      </c>
      <c r="M247" s="321">
        <v>56853.463000000003</v>
      </c>
      <c r="N247" s="321">
        <v>59699.608</v>
      </c>
      <c r="O247" s="321">
        <v>64558.205000000002</v>
      </c>
      <c r="P247" s="321">
        <v>78318.672000000006</v>
      </c>
      <c r="Q247" s="321">
        <v>62896.588000000003</v>
      </c>
      <c r="R247" s="321">
        <v>60772.811999999998</v>
      </c>
      <c r="S247" s="321">
        <v>69491.957999999999</v>
      </c>
      <c r="T247" s="321">
        <v>63012.932999999997</v>
      </c>
      <c r="U247" s="322">
        <v>101724.44500000001</v>
      </c>
      <c r="V247" s="323">
        <v>789730.44699999993</v>
      </c>
      <c r="W247" s="303"/>
      <c r="X247" s="324">
        <v>101724.44500000001</v>
      </c>
      <c r="Y247" s="325">
        <v>789730.44699999993</v>
      </c>
    </row>
    <row r="248" spans="1:25" s="326" customFormat="1" hidden="1" outlineLevel="2" x14ac:dyDescent="0.3">
      <c r="E248" s="326" t="s">
        <v>1174</v>
      </c>
      <c r="F248" s="336"/>
      <c r="G248" s="327"/>
      <c r="H248" s="328"/>
      <c r="I248" s="329"/>
      <c r="J248" s="338">
        <v>0</v>
      </c>
      <c r="K248" s="330">
        <v>0</v>
      </c>
      <c r="L248" s="330">
        <v>0</v>
      </c>
      <c r="M248" s="330">
        <v>0</v>
      </c>
      <c r="N248" s="330">
        <v>0</v>
      </c>
      <c r="O248" s="330">
        <v>0</v>
      </c>
      <c r="P248" s="330">
        <v>0</v>
      </c>
      <c r="Q248" s="330">
        <v>0</v>
      </c>
      <c r="R248" s="330">
        <v>0</v>
      </c>
      <c r="S248" s="330">
        <v>0</v>
      </c>
      <c r="T248" s="330">
        <v>0</v>
      </c>
      <c r="U248" s="331">
        <v>0</v>
      </c>
      <c r="V248" s="332">
        <v>0</v>
      </c>
      <c r="W248" s="333"/>
      <c r="X248" s="334">
        <v>0</v>
      </c>
      <c r="Y248" s="335">
        <v>0</v>
      </c>
    </row>
    <row r="249" spans="1:25" s="326" customFormat="1" hidden="1" outlineLevel="2" x14ac:dyDescent="0.3">
      <c r="E249" s="326" t="s">
        <v>1175</v>
      </c>
      <c r="F249" s="336"/>
      <c r="G249" s="327"/>
      <c r="H249" s="328"/>
      <c r="I249" s="329"/>
      <c r="J249" s="338">
        <v>0</v>
      </c>
      <c r="K249" s="330">
        <v>0</v>
      </c>
      <c r="L249" s="330">
        <v>0</v>
      </c>
      <c r="M249" s="330">
        <v>0</v>
      </c>
      <c r="N249" s="330">
        <v>0</v>
      </c>
      <c r="O249" s="330">
        <v>0</v>
      </c>
      <c r="P249" s="330">
        <v>0</v>
      </c>
      <c r="Q249" s="330">
        <v>0</v>
      </c>
      <c r="R249" s="330">
        <v>0</v>
      </c>
      <c r="S249" s="330">
        <v>0</v>
      </c>
      <c r="T249" s="330">
        <v>0</v>
      </c>
      <c r="U249" s="331">
        <v>0</v>
      </c>
      <c r="V249" s="332">
        <v>0</v>
      </c>
      <c r="W249" s="333"/>
      <c r="X249" s="334">
        <v>0</v>
      </c>
      <c r="Y249" s="335">
        <v>0</v>
      </c>
    </row>
    <row r="250" spans="1:25" s="326" customFormat="1" hidden="1" outlineLevel="2" x14ac:dyDescent="0.3">
      <c r="E250" s="326" t="s">
        <v>1176</v>
      </c>
      <c r="F250" s="336"/>
      <c r="G250" s="327"/>
      <c r="H250" s="328"/>
      <c r="I250" s="329"/>
      <c r="J250" s="338">
        <v>0</v>
      </c>
      <c r="K250" s="330">
        <v>0</v>
      </c>
      <c r="L250" s="330">
        <v>0</v>
      </c>
      <c r="M250" s="330">
        <v>0</v>
      </c>
      <c r="N250" s="330">
        <v>0</v>
      </c>
      <c r="O250" s="330">
        <v>0</v>
      </c>
      <c r="P250" s="330">
        <v>0</v>
      </c>
      <c r="Q250" s="330">
        <v>0</v>
      </c>
      <c r="R250" s="330">
        <v>0</v>
      </c>
      <c r="S250" s="330">
        <v>0</v>
      </c>
      <c r="T250" s="330">
        <v>0</v>
      </c>
      <c r="U250" s="331">
        <v>0</v>
      </c>
      <c r="V250" s="332">
        <v>0</v>
      </c>
      <c r="W250" s="333"/>
      <c r="X250" s="334">
        <v>0</v>
      </c>
      <c r="Y250" s="335">
        <v>0</v>
      </c>
    </row>
    <row r="251" spans="1:25" collapsed="1" x14ac:dyDescent="0.3">
      <c r="A251" s="233"/>
      <c r="B251" s="234" t="s">
        <v>15</v>
      </c>
      <c r="D251" s="293" t="s">
        <v>1177</v>
      </c>
      <c r="E251" s="294"/>
      <c r="F251" s="295" t="s">
        <v>1178</v>
      </c>
      <c r="G251" s="296"/>
      <c r="H251" s="297"/>
      <c r="I251" s="298"/>
      <c r="J251" s="299">
        <v>1161941.2379999999</v>
      </c>
      <c r="K251" s="300">
        <v>1097557.3129999998</v>
      </c>
      <c r="L251" s="300">
        <v>1097128.9810000004</v>
      </c>
      <c r="M251" s="300">
        <v>1176661.7780000002</v>
      </c>
      <c r="N251" s="300">
        <v>1013263.6970000002</v>
      </c>
      <c r="O251" s="300">
        <v>499928.69199999992</v>
      </c>
      <c r="P251" s="300">
        <v>900376.62600000028</v>
      </c>
      <c r="Q251" s="300">
        <v>884926.53199999989</v>
      </c>
      <c r="R251" s="300">
        <v>1233121.385</v>
      </c>
      <c r="S251" s="300">
        <v>1001003.4230000002</v>
      </c>
      <c r="T251" s="300">
        <v>925151.16600000008</v>
      </c>
      <c r="U251" s="301">
        <v>2527524.395</v>
      </c>
      <c r="V251" s="302">
        <v>13518585.225999996</v>
      </c>
      <c r="W251" s="303"/>
      <c r="X251" s="304">
        <v>2527524.395</v>
      </c>
      <c r="Y251" s="305">
        <v>13518585.225999996</v>
      </c>
    </row>
    <row r="252" spans="1:25" hidden="1" outlineLevel="1" x14ac:dyDescent="0.3">
      <c r="E252" s="250" t="s">
        <v>1179</v>
      </c>
      <c r="F252" s="317">
        <v>4300601</v>
      </c>
      <c r="G252" s="318"/>
      <c r="H252" s="319">
        <v>5101050101</v>
      </c>
      <c r="I252" s="320"/>
      <c r="J252" s="337">
        <v>481.12700000000001</v>
      </c>
      <c r="K252" s="321">
        <v>2470.1999999999998</v>
      </c>
      <c r="L252" s="321">
        <v>2233.6</v>
      </c>
      <c r="M252" s="321">
        <v>1266.8</v>
      </c>
      <c r="N252" s="321">
        <v>1183.4000000000001</v>
      </c>
      <c r="O252" s="321">
        <v>600.1</v>
      </c>
      <c r="P252" s="321">
        <v>166.7</v>
      </c>
      <c r="Q252" s="321">
        <v>1283.5</v>
      </c>
      <c r="R252" s="321">
        <v>2811.4</v>
      </c>
      <c r="S252" s="321">
        <v>1750.2</v>
      </c>
      <c r="T252" s="321">
        <v>1933.6</v>
      </c>
      <c r="U252" s="322">
        <v>1475.2</v>
      </c>
      <c r="V252" s="323">
        <v>17655.827000000001</v>
      </c>
      <c r="W252" s="303"/>
      <c r="X252" s="324">
        <v>1475.2</v>
      </c>
      <c r="Y252" s="325">
        <v>17655.827000000001</v>
      </c>
    </row>
    <row r="253" spans="1:25" hidden="1" outlineLevel="1" x14ac:dyDescent="0.3">
      <c r="E253" s="250" t="s">
        <v>1180</v>
      </c>
      <c r="F253" s="317">
        <v>4300602</v>
      </c>
      <c r="G253" s="318"/>
      <c r="H253" s="319">
        <v>5101050103</v>
      </c>
      <c r="I253" s="320"/>
      <c r="J253" s="337">
        <v>4950</v>
      </c>
      <c r="K253" s="321">
        <v>5625</v>
      </c>
      <c r="L253" s="321">
        <v>1000</v>
      </c>
      <c r="M253" s="321">
        <v>1200</v>
      </c>
      <c r="N253" s="321">
        <v>16104.421</v>
      </c>
      <c r="O253" s="321">
        <v>4100</v>
      </c>
      <c r="P253" s="321">
        <v>22142</v>
      </c>
      <c r="Q253" s="321">
        <v>25087.4</v>
      </c>
      <c r="R253" s="321">
        <v>20250</v>
      </c>
      <c r="S253" s="321">
        <v>1556.9</v>
      </c>
      <c r="T253" s="321">
        <v>23100</v>
      </c>
      <c r="U253" s="322">
        <v>47698.35</v>
      </c>
      <c r="V253" s="323">
        <v>172814.071</v>
      </c>
      <c r="W253" s="303"/>
      <c r="X253" s="324">
        <v>47698.35</v>
      </c>
      <c r="Y253" s="325">
        <v>172814.071</v>
      </c>
    </row>
    <row r="254" spans="1:25" hidden="1" outlineLevel="1" x14ac:dyDescent="0.3">
      <c r="E254" s="250" t="s">
        <v>1181</v>
      </c>
      <c r="F254" s="317">
        <v>4300603</v>
      </c>
      <c r="G254" s="318"/>
      <c r="H254" s="319">
        <v>5101050105</v>
      </c>
      <c r="I254" s="320"/>
      <c r="J254" s="337">
        <v>3599</v>
      </c>
      <c r="K254" s="321">
        <v>50621.4</v>
      </c>
      <c r="L254" s="321">
        <v>137802.28</v>
      </c>
      <c r="M254" s="321">
        <v>17351.03</v>
      </c>
      <c r="N254" s="321">
        <v>8363.1</v>
      </c>
      <c r="O254" s="321">
        <v>16210.53</v>
      </c>
      <c r="P254" s="321">
        <v>0</v>
      </c>
      <c r="Q254" s="321">
        <v>8351</v>
      </c>
      <c r="R254" s="321">
        <v>180122.75</v>
      </c>
      <c r="S254" s="321">
        <v>21513.8</v>
      </c>
      <c r="T254" s="321">
        <v>4181.1000000000004</v>
      </c>
      <c r="U254" s="322">
        <v>19101.23</v>
      </c>
      <c r="V254" s="323">
        <v>467217.21999999991</v>
      </c>
      <c r="W254" s="303"/>
      <c r="X254" s="324">
        <v>19101.23</v>
      </c>
      <c r="Y254" s="325">
        <v>467217.21999999991</v>
      </c>
    </row>
    <row r="255" spans="1:25" hidden="1" outlineLevel="1" x14ac:dyDescent="0.3">
      <c r="E255" s="250" t="s">
        <v>1182</v>
      </c>
      <c r="F255" s="317">
        <v>4300604</v>
      </c>
      <c r="G255" s="318"/>
      <c r="H255" s="319">
        <v>5101050199</v>
      </c>
      <c r="I255" s="320"/>
      <c r="J255" s="337">
        <v>-218.79</v>
      </c>
      <c r="K255" s="321">
        <v>0</v>
      </c>
      <c r="L255" s="321">
        <v>0</v>
      </c>
      <c r="M255" s="321">
        <v>0</v>
      </c>
      <c r="N255" s="321">
        <v>0</v>
      </c>
      <c r="O255" s="321">
        <v>0</v>
      </c>
      <c r="P255" s="321">
        <v>0</v>
      </c>
      <c r="Q255" s="321">
        <v>0</v>
      </c>
      <c r="R255" s="321">
        <v>0</v>
      </c>
      <c r="S255" s="321">
        <v>27000</v>
      </c>
      <c r="T255" s="321">
        <v>0</v>
      </c>
      <c r="U255" s="322">
        <v>13719</v>
      </c>
      <c r="V255" s="323">
        <v>40500.21</v>
      </c>
      <c r="W255" s="303"/>
      <c r="X255" s="324">
        <v>13719</v>
      </c>
      <c r="Y255" s="325">
        <v>40500.21</v>
      </c>
    </row>
    <row r="256" spans="1:25" hidden="1" outlineLevel="1" x14ac:dyDescent="0.3">
      <c r="E256" s="250" t="s">
        <v>1183</v>
      </c>
      <c r="F256" s="317">
        <v>4300605</v>
      </c>
      <c r="G256" s="318"/>
      <c r="H256" s="319">
        <v>5101050119</v>
      </c>
      <c r="I256" s="320"/>
      <c r="J256" s="337">
        <v>49313.002999999997</v>
      </c>
      <c r="K256" s="321">
        <v>62500.389000000003</v>
      </c>
      <c r="L256" s="321">
        <v>52573.338000000003</v>
      </c>
      <c r="M256" s="321">
        <v>59638.413</v>
      </c>
      <c r="N256" s="321">
        <v>56867.114000000001</v>
      </c>
      <c r="O256" s="321">
        <v>54726.864000000001</v>
      </c>
      <c r="P256" s="321">
        <v>57795.042999999998</v>
      </c>
      <c r="Q256" s="321">
        <v>53647.745999999999</v>
      </c>
      <c r="R256" s="321">
        <v>59323.351999999999</v>
      </c>
      <c r="S256" s="321">
        <v>62188.665999999997</v>
      </c>
      <c r="T256" s="321">
        <v>51944.5</v>
      </c>
      <c r="U256" s="322">
        <v>58347.273000000001</v>
      </c>
      <c r="V256" s="323">
        <v>678865.701</v>
      </c>
      <c r="W256" s="303"/>
      <c r="X256" s="324">
        <v>58347.273000000001</v>
      </c>
      <c r="Y256" s="325">
        <v>678865.701</v>
      </c>
    </row>
    <row r="257" spans="5:25" hidden="1" outlineLevel="1" x14ac:dyDescent="0.3">
      <c r="E257" s="250" t="s">
        <v>1184</v>
      </c>
      <c r="F257" s="317">
        <v>4300606</v>
      </c>
      <c r="G257" s="318"/>
      <c r="H257" s="319">
        <v>5101050107</v>
      </c>
      <c r="I257" s="320"/>
      <c r="J257" s="337">
        <v>102681.27800000001</v>
      </c>
      <c r="K257" s="321">
        <v>107404.99</v>
      </c>
      <c r="L257" s="321">
        <v>102981.958</v>
      </c>
      <c r="M257" s="321">
        <v>111077.879</v>
      </c>
      <c r="N257" s="321">
        <v>99932.774999999994</v>
      </c>
      <c r="O257" s="321">
        <v>104951.40700000001</v>
      </c>
      <c r="P257" s="321">
        <v>110473.327</v>
      </c>
      <c r="Q257" s="321">
        <v>104940.82</v>
      </c>
      <c r="R257" s="321">
        <v>109475.345</v>
      </c>
      <c r="S257" s="321">
        <v>101727.755</v>
      </c>
      <c r="T257" s="321">
        <v>107556.69100000001</v>
      </c>
      <c r="U257" s="322">
        <v>109478.454</v>
      </c>
      <c r="V257" s="323">
        <v>1272682.679</v>
      </c>
      <c r="W257" s="303"/>
      <c r="X257" s="324">
        <v>109478.454</v>
      </c>
      <c r="Y257" s="325">
        <v>1272682.679</v>
      </c>
    </row>
    <row r="258" spans="5:25" hidden="1" outlineLevel="1" x14ac:dyDescent="0.3">
      <c r="E258" s="250" t="s">
        <v>1185</v>
      </c>
      <c r="F258" s="317">
        <v>4300607</v>
      </c>
      <c r="G258" s="318"/>
      <c r="H258" s="319"/>
      <c r="I258" s="320"/>
      <c r="J258" s="337">
        <v>0</v>
      </c>
      <c r="K258" s="321">
        <v>0</v>
      </c>
      <c r="L258" s="321">
        <v>0</v>
      </c>
      <c r="M258" s="321">
        <v>0</v>
      </c>
      <c r="N258" s="321">
        <v>0</v>
      </c>
      <c r="O258" s="321">
        <v>0</v>
      </c>
      <c r="P258" s="321">
        <v>0</v>
      </c>
      <c r="Q258" s="321">
        <v>0</v>
      </c>
      <c r="R258" s="321">
        <v>0</v>
      </c>
      <c r="S258" s="321">
        <v>0</v>
      </c>
      <c r="T258" s="321">
        <v>0</v>
      </c>
      <c r="U258" s="322">
        <v>0</v>
      </c>
      <c r="V258" s="323">
        <v>0</v>
      </c>
      <c r="W258" s="303"/>
      <c r="X258" s="324">
        <v>0</v>
      </c>
      <c r="Y258" s="325">
        <v>0</v>
      </c>
    </row>
    <row r="259" spans="5:25" hidden="1" outlineLevel="1" x14ac:dyDescent="0.3">
      <c r="E259" s="250" t="s">
        <v>1186</v>
      </c>
      <c r="F259" s="317">
        <v>4300608</v>
      </c>
      <c r="G259" s="318"/>
      <c r="H259" s="319">
        <v>5101050113</v>
      </c>
      <c r="I259" s="320"/>
      <c r="J259" s="337">
        <v>87770</v>
      </c>
      <c r="K259" s="321">
        <v>900</v>
      </c>
      <c r="L259" s="321">
        <v>900</v>
      </c>
      <c r="M259" s="321">
        <v>400</v>
      </c>
      <c r="N259" s="321">
        <v>400</v>
      </c>
      <c r="O259" s="321">
        <v>8250</v>
      </c>
      <c r="P259" s="321">
        <v>900</v>
      </c>
      <c r="Q259" s="321">
        <v>0</v>
      </c>
      <c r="R259" s="321">
        <v>81760</v>
      </c>
      <c r="S259" s="321">
        <v>1100</v>
      </c>
      <c r="T259" s="321">
        <v>-1700</v>
      </c>
      <c r="U259" s="322">
        <v>8700</v>
      </c>
      <c r="V259" s="323">
        <v>189380</v>
      </c>
      <c r="W259" s="303"/>
      <c r="X259" s="324">
        <v>8700</v>
      </c>
      <c r="Y259" s="325">
        <v>189380</v>
      </c>
    </row>
    <row r="260" spans="5:25" hidden="1" outlineLevel="1" x14ac:dyDescent="0.3">
      <c r="E260" s="250" t="s">
        <v>1187</v>
      </c>
      <c r="F260" s="317">
        <v>4300609</v>
      </c>
      <c r="G260" s="318"/>
      <c r="H260" s="319">
        <v>5101050121</v>
      </c>
      <c r="I260" s="320"/>
      <c r="J260" s="337">
        <v>76906.763999999996</v>
      </c>
      <c r="K260" s="321">
        <v>93320.043000000005</v>
      </c>
      <c r="L260" s="321">
        <v>88163.096000000005</v>
      </c>
      <c r="M260" s="321">
        <v>96266.638000000006</v>
      </c>
      <c r="N260" s="321">
        <v>87337.986999999994</v>
      </c>
      <c r="O260" s="321">
        <v>85880.225999999995</v>
      </c>
      <c r="P260" s="321">
        <v>96038.145999999993</v>
      </c>
      <c r="Q260" s="321">
        <v>83332.754000000001</v>
      </c>
      <c r="R260" s="321">
        <v>93557.682000000001</v>
      </c>
      <c r="S260" s="321">
        <v>87100.695999999996</v>
      </c>
      <c r="T260" s="321">
        <v>105507.88499999999</v>
      </c>
      <c r="U260" s="322">
        <v>130531.05899999999</v>
      </c>
      <c r="V260" s="323">
        <v>1123942.9759999998</v>
      </c>
      <c r="W260" s="303"/>
      <c r="X260" s="324">
        <v>130531.05899999999</v>
      </c>
      <c r="Y260" s="325">
        <v>1123942.9759999998</v>
      </c>
    </row>
    <row r="261" spans="5:25" hidden="1" outlineLevel="1" x14ac:dyDescent="0.3">
      <c r="E261" s="250" t="s">
        <v>1188</v>
      </c>
      <c r="F261" s="317">
        <v>4300610</v>
      </c>
      <c r="G261" s="318"/>
      <c r="H261" s="319">
        <v>5101050115</v>
      </c>
      <c r="I261" s="320"/>
      <c r="J261" s="337">
        <v>227316.3</v>
      </c>
      <c r="K261" s="321">
        <v>215952.17</v>
      </c>
      <c r="L261" s="321">
        <v>208624.18</v>
      </c>
      <c r="M261" s="321">
        <v>377053.37599999999</v>
      </c>
      <c r="N261" s="321">
        <v>234670.41</v>
      </c>
      <c r="O261" s="321">
        <v>230669.74</v>
      </c>
      <c r="P261" s="321">
        <v>229030.71</v>
      </c>
      <c r="Q261" s="321">
        <v>219276.45</v>
      </c>
      <c r="R261" s="321">
        <v>219632.46</v>
      </c>
      <c r="S261" s="321">
        <v>219462.2</v>
      </c>
      <c r="T261" s="321">
        <v>220749.84</v>
      </c>
      <c r="U261" s="322">
        <v>219786.62</v>
      </c>
      <c r="V261" s="323">
        <v>2822224.4559999998</v>
      </c>
      <c r="W261" s="303"/>
      <c r="X261" s="324">
        <v>219786.62</v>
      </c>
      <c r="Y261" s="325">
        <v>2822224.4559999998</v>
      </c>
    </row>
    <row r="262" spans="5:25" hidden="1" outlineLevel="1" x14ac:dyDescent="0.3">
      <c r="E262" s="250" t="s">
        <v>1189</v>
      </c>
      <c r="F262" s="317">
        <v>4300611</v>
      </c>
      <c r="G262" s="318"/>
      <c r="H262" s="319"/>
      <c r="I262" s="320"/>
      <c r="J262" s="337">
        <v>36492.553</v>
      </c>
      <c r="K262" s="321">
        <v>36543.364000000001</v>
      </c>
      <c r="L262" s="321">
        <v>44570.398000000001</v>
      </c>
      <c r="M262" s="321">
        <v>77654.175000000003</v>
      </c>
      <c r="N262" s="321">
        <v>41323.25</v>
      </c>
      <c r="O262" s="321">
        <v>41647.46</v>
      </c>
      <c r="P262" s="321">
        <v>3005.0859999999998</v>
      </c>
      <c r="Q262" s="321">
        <v>39777.279999999999</v>
      </c>
      <c r="R262" s="321">
        <v>41288.86</v>
      </c>
      <c r="S262" s="321">
        <v>41394.129999999997</v>
      </c>
      <c r="T262" s="321">
        <v>38951.370000000003</v>
      </c>
      <c r="U262" s="322">
        <v>56171.040000000001</v>
      </c>
      <c r="V262" s="323">
        <v>498818.96599999996</v>
      </c>
      <c r="W262" s="303"/>
      <c r="X262" s="324">
        <v>56171.040000000001</v>
      </c>
      <c r="Y262" s="325">
        <v>498818.96599999996</v>
      </c>
    </row>
    <row r="263" spans="5:25" hidden="1" outlineLevel="1" x14ac:dyDescent="0.3">
      <c r="E263" s="250" t="s">
        <v>1190</v>
      </c>
      <c r="F263" s="317">
        <v>4300612</v>
      </c>
      <c r="G263" s="318"/>
      <c r="H263" s="319"/>
      <c r="I263" s="320"/>
      <c r="J263" s="337">
        <v>83648.675000000003</v>
      </c>
      <c r="K263" s="321">
        <v>78893.551999999996</v>
      </c>
      <c r="L263" s="321">
        <v>107839.51</v>
      </c>
      <c r="M263" s="321">
        <v>227776.97200000001</v>
      </c>
      <c r="N263" s="321">
        <v>96184.18</v>
      </c>
      <c r="O263" s="321">
        <v>102636.7</v>
      </c>
      <c r="P263" s="321">
        <v>10110.451999999999</v>
      </c>
      <c r="Q263" s="321">
        <v>99116.97</v>
      </c>
      <c r="R263" s="321">
        <v>102425.04</v>
      </c>
      <c r="S263" s="321">
        <v>103044.01</v>
      </c>
      <c r="T263" s="321">
        <v>97611.12</v>
      </c>
      <c r="U263" s="322">
        <v>140462.96</v>
      </c>
      <c r="V263" s="323">
        <v>1249750.1409999998</v>
      </c>
      <c r="W263" s="303"/>
      <c r="X263" s="324">
        <v>140462.96</v>
      </c>
      <c r="Y263" s="325">
        <v>1249750.1409999998</v>
      </c>
    </row>
    <row r="264" spans="5:25" hidden="1" outlineLevel="1" x14ac:dyDescent="0.3">
      <c r="E264" s="250" t="s">
        <v>1191</v>
      </c>
      <c r="F264" s="317">
        <v>4300613</v>
      </c>
      <c r="G264" s="318"/>
      <c r="H264" s="319">
        <v>5101050117</v>
      </c>
      <c r="I264" s="320"/>
      <c r="J264" s="337">
        <v>302054.08399999997</v>
      </c>
      <c r="K264" s="321">
        <v>267351.25900000002</v>
      </c>
      <c r="L264" s="321">
        <v>253594.83300000001</v>
      </c>
      <c r="M264" s="321">
        <v>631.36199999999997</v>
      </c>
      <c r="N264" s="321">
        <v>172695.38</v>
      </c>
      <c r="O264" s="321">
        <v>-296448.973</v>
      </c>
      <c r="P264" s="321">
        <v>185335.829</v>
      </c>
      <c r="Q264" s="321">
        <v>-38451.360999999997</v>
      </c>
      <c r="R264" s="321">
        <v>-50099.722999999998</v>
      </c>
      <c r="S264" s="321">
        <v>-42140.45</v>
      </c>
      <c r="T264" s="321">
        <v>-47753.97</v>
      </c>
      <c r="U264" s="322">
        <v>2180330.932</v>
      </c>
      <c r="V264" s="323">
        <v>2887099.202</v>
      </c>
      <c r="W264" s="303"/>
      <c r="X264" s="324">
        <v>2180330.932</v>
      </c>
      <c r="Y264" s="325">
        <v>2887099.202</v>
      </c>
    </row>
    <row r="265" spans="5:25" hidden="1" outlineLevel="1" x14ac:dyDescent="0.3">
      <c r="E265" s="250" t="s">
        <v>1192</v>
      </c>
      <c r="F265" s="317">
        <v>4300614</v>
      </c>
      <c r="G265" s="318"/>
      <c r="H265" s="319"/>
      <c r="I265" s="320"/>
      <c r="J265" s="337">
        <v>0</v>
      </c>
      <c r="K265" s="321">
        <v>0</v>
      </c>
      <c r="L265" s="321">
        <v>0</v>
      </c>
      <c r="M265" s="321">
        <v>0</v>
      </c>
      <c r="N265" s="321">
        <v>42400</v>
      </c>
      <c r="O265" s="321">
        <v>139.07</v>
      </c>
      <c r="P265" s="321">
        <v>1250</v>
      </c>
      <c r="Q265" s="321">
        <v>3933.4</v>
      </c>
      <c r="R265" s="321">
        <v>11285.01</v>
      </c>
      <c r="S265" s="321">
        <v>0</v>
      </c>
      <c r="T265" s="321">
        <v>15200</v>
      </c>
      <c r="U265" s="322">
        <v>231667.62</v>
      </c>
      <c r="V265" s="323">
        <v>305875.09999999998</v>
      </c>
      <c r="W265" s="303"/>
      <c r="X265" s="324">
        <v>231667.62</v>
      </c>
      <c r="Y265" s="325">
        <v>305875.09999999998</v>
      </c>
    </row>
    <row r="266" spans="5:25" hidden="1" outlineLevel="1" x14ac:dyDescent="0.3">
      <c r="E266" s="250" t="s">
        <v>1193</v>
      </c>
      <c r="F266" s="317">
        <v>4300618</v>
      </c>
      <c r="G266" s="318"/>
      <c r="H266" s="319"/>
      <c r="I266" s="320"/>
      <c r="J266" s="337">
        <v>6118.3</v>
      </c>
      <c r="K266" s="321">
        <v>1418.7</v>
      </c>
      <c r="L266" s="321">
        <v>1782.45</v>
      </c>
      <c r="M266" s="321">
        <v>8732.3169999999991</v>
      </c>
      <c r="N266" s="321">
        <v>9391.59</v>
      </c>
      <c r="O266" s="321">
        <v>12672.96</v>
      </c>
      <c r="P266" s="321">
        <v>2725.723</v>
      </c>
      <c r="Q266" s="321">
        <v>16618.651999999998</v>
      </c>
      <c r="R266" s="321">
        <v>18826.650000000001</v>
      </c>
      <c r="S266" s="321">
        <v>1468.27</v>
      </c>
      <c r="T266" s="321">
        <v>2689.9</v>
      </c>
      <c r="U266" s="322">
        <v>12390.471</v>
      </c>
      <c r="V266" s="323">
        <v>94835.983000000007</v>
      </c>
      <c r="W266" s="303"/>
      <c r="X266" s="324">
        <v>12390.471</v>
      </c>
      <c r="Y266" s="325">
        <v>94835.983000000007</v>
      </c>
    </row>
    <row r="267" spans="5:25" hidden="1" outlineLevel="1" x14ac:dyDescent="0.3">
      <c r="E267" s="250" t="s">
        <v>1194</v>
      </c>
      <c r="F267" s="317">
        <v>4300620</v>
      </c>
      <c r="G267" s="318"/>
      <c r="H267" s="319"/>
      <c r="I267" s="320"/>
      <c r="J267" s="337">
        <v>0</v>
      </c>
      <c r="K267" s="321">
        <v>4000</v>
      </c>
      <c r="L267" s="321">
        <v>0</v>
      </c>
      <c r="M267" s="321">
        <v>0</v>
      </c>
      <c r="N267" s="321">
        <v>0</v>
      </c>
      <c r="O267" s="321">
        <v>0</v>
      </c>
      <c r="P267" s="321">
        <v>0</v>
      </c>
      <c r="Q267" s="321">
        <v>0</v>
      </c>
      <c r="R267" s="321">
        <v>0</v>
      </c>
      <c r="S267" s="321">
        <v>1600</v>
      </c>
      <c r="T267" s="321">
        <v>0</v>
      </c>
      <c r="U267" s="322">
        <v>0</v>
      </c>
      <c r="V267" s="323">
        <v>5600</v>
      </c>
      <c r="W267" s="303"/>
      <c r="X267" s="324">
        <v>0</v>
      </c>
      <c r="Y267" s="325">
        <v>5600</v>
      </c>
    </row>
    <row r="268" spans="5:25" hidden="1" outlineLevel="1" x14ac:dyDescent="0.3">
      <c r="E268" s="250" t="s">
        <v>1195</v>
      </c>
      <c r="F268" s="317">
        <v>4300621</v>
      </c>
      <c r="G268" s="318"/>
      <c r="H268" s="319"/>
      <c r="I268" s="320"/>
      <c r="J268" s="337">
        <v>272.57</v>
      </c>
      <c r="K268" s="321">
        <v>428.8</v>
      </c>
      <c r="L268" s="321">
        <v>543.56200000000001</v>
      </c>
      <c r="M268" s="321">
        <v>182.547</v>
      </c>
      <c r="N268" s="321">
        <v>270.67200000000003</v>
      </c>
      <c r="O268" s="321">
        <v>854.17200000000003</v>
      </c>
      <c r="P268" s="321">
        <v>688.49900000000002</v>
      </c>
      <c r="Q268" s="321">
        <v>484.06299999999999</v>
      </c>
      <c r="R268" s="321">
        <v>407.964</v>
      </c>
      <c r="S268" s="321">
        <v>1128.7629999999999</v>
      </c>
      <c r="T268" s="321">
        <v>182.16900000000001</v>
      </c>
      <c r="U268" s="322">
        <v>386.56900000000002</v>
      </c>
      <c r="V268" s="323">
        <v>5830.35</v>
      </c>
      <c r="W268" s="303"/>
      <c r="X268" s="324">
        <v>386.56900000000002</v>
      </c>
      <c r="Y268" s="325">
        <v>5830.35</v>
      </c>
    </row>
    <row r="269" spans="5:25" hidden="1" outlineLevel="1" x14ac:dyDescent="0.3">
      <c r="E269" s="250" t="s">
        <v>1196</v>
      </c>
      <c r="F269" s="317">
        <v>4300622</v>
      </c>
      <c r="G269" s="318"/>
      <c r="H269" s="319">
        <v>5101050109</v>
      </c>
      <c r="I269" s="320"/>
      <c r="J269" s="337">
        <v>0</v>
      </c>
      <c r="K269" s="321">
        <v>0</v>
      </c>
      <c r="L269" s="321">
        <v>0</v>
      </c>
      <c r="M269" s="321">
        <v>0</v>
      </c>
      <c r="N269" s="321">
        <v>0</v>
      </c>
      <c r="O269" s="321">
        <v>0</v>
      </c>
      <c r="P269" s="321">
        <v>0</v>
      </c>
      <c r="Q269" s="321">
        <v>0</v>
      </c>
      <c r="R269" s="321">
        <v>0</v>
      </c>
      <c r="S269" s="321">
        <v>0</v>
      </c>
      <c r="T269" s="321">
        <v>0</v>
      </c>
      <c r="U269" s="322">
        <v>0</v>
      </c>
      <c r="V269" s="323">
        <v>0</v>
      </c>
      <c r="W269" s="303"/>
      <c r="X269" s="324">
        <v>0</v>
      </c>
      <c r="Y269" s="325">
        <v>0</v>
      </c>
    </row>
    <row r="270" spans="5:25" hidden="1" outlineLevel="1" x14ac:dyDescent="0.3">
      <c r="E270" s="250" t="s">
        <v>1197</v>
      </c>
      <c r="F270" s="317">
        <v>4300623</v>
      </c>
      <c r="G270" s="318"/>
      <c r="H270" s="319"/>
      <c r="I270" s="320"/>
      <c r="J270" s="337">
        <v>0</v>
      </c>
      <c r="K270" s="321">
        <v>0</v>
      </c>
      <c r="L270" s="321">
        <v>0</v>
      </c>
      <c r="M270" s="321">
        <v>0</v>
      </c>
      <c r="N270" s="321">
        <v>0</v>
      </c>
      <c r="O270" s="321">
        <v>0</v>
      </c>
      <c r="P270" s="321">
        <v>0</v>
      </c>
      <c r="Q270" s="321">
        <v>0</v>
      </c>
      <c r="R270" s="321">
        <v>0</v>
      </c>
      <c r="S270" s="321">
        <v>0</v>
      </c>
      <c r="T270" s="321">
        <v>0</v>
      </c>
      <c r="U270" s="322">
        <v>0</v>
      </c>
      <c r="V270" s="323">
        <v>0</v>
      </c>
      <c r="W270" s="303"/>
      <c r="X270" s="324">
        <v>0</v>
      </c>
      <c r="Y270" s="325">
        <v>0</v>
      </c>
    </row>
    <row r="271" spans="5:25" hidden="1" outlineLevel="1" x14ac:dyDescent="0.3">
      <c r="E271" s="250" t="s">
        <v>1198</v>
      </c>
      <c r="F271" s="317">
        <v>4300624</v>
      </c>
      <c r="G271" s="318"/>
      <c r="H271" s="319"/>
      <c r="I271" s="320"/>
      <c r="J271" s="337">
        <v>421.22500000000002</v>
      </c>
      <c r="K271" s="321">
        <v>151.47499999999999</v>
      </c>
      <c r="L271" s="321">
        <v>51.024999999999999</v>
      </c>
      <c r="M271" s="321">
        <v>134.03</v>
      </c>
      <c r="N271" s="321">
        <v>117.80500000000001</v>
      </c>
      <c r="O271" s="321">
        <v>103.35</v>
      </c>
      <c r="P271" s="321">
        <v>61.274999999999999</v>
      </c>
      <c r="Q271" s="321">
        <v>0</v>
      </c>
      <c r="R271" s="321">
        <v>108.1</v>
      </c>
      <c r="S271" s="321">
        <v>119.22499999999999</v>
      </c>
      <c r="T271" s="321">
        <v>86.3</v>
      </c>
      <c r="U271" s="322">
        <v>52.75</v>
      </c>
      <c r="V271" s="323">
        <v>1406.5599999999997</v>
      </c>
      <c r="W271" s="303"/>
      <c r="X271" s="324">
        <v>52.75</v>
      </c>
      <c r="Y271" s="325">
        <v>1406.5599999999997</v>
      </c>
    </row>
    <row r="272" spans="5:25" hidden="1" outlineLevel="1" x14ac:dyDescent="0.3">
      <c r="E272" s="250" t="s">
        <v>1199</v>
      </c>
      <c r="F272" s="317">
        <v>4300626</v>
      </c>
      <c r="G272" s="318"/>
      <c r="H272" s="319">
        <v>5101050111</v>
      </c>
      <c r="I272" s="320"/>
      <c r="J272" s="337">
        <v>3081.1439999999998</v>
      </c>
      <c r="K272" s="321">
        <v>3417.72</v>
      </c>
      <c r="L272" s="321">
        <v>3047.77</v>
      </c>
      <c r="M272" s="321">
        <v>3191.4560000000001</v>
      </c>
      <c r="N272" s="321">
        <v>2857.11</v>
      </c>
      <c r="O272" s="321">
        <v>2967.7289999999998</v>
      </c>
      <c r="P272" s="321">
        <v>2783.837</v>
      </c>
      <c r="Q272" s="321">
        <v>2644.4810000000002</v>
      </c>
      <c r="R272" s="321">
        <v>2785.567</v>
      </c>
      <c r="S272" s="321">
        <v>2362</v>
      </c>
      <c r="T272" s="321">
        <v>2605.9479999999999</v>
      </c>
      <c r="U272" s="322">
        <v>2915.8490000000002</v>
      </c>
      <c r="V272" s="323">
        <v>34660.610999999997</v>
      </c>
      <c r="W272" s="303"/>
      <c r="X272" s="324">
        <v>2915.8490000000002</v>
      </c>
      <c r="Y272" s="325">
        <v>34660.610999999997</v>
      </c>
    </row>
    <row r="273" spans="5:25" hidden="1" outlineLevel="1" x14ac:dyDescent="0.3">
      <c r="E273" s="250" t="s">
        <v>1200</v>
      </c>
      <c r="F273" s="317">
        <v>4300627</v>
      </c>
      <c r="G273" s="318"/>
      <c r="H273" s="319"/>
      <c r="I273" s="320"/>
      <c r="J273" s="337">
        <v>4427.8999999999996</v>
      </c>
      <c r="K273" s="321">
        <v>5433</v>
      </c>
      <c r="L273" s="321">
        <v>2829</v>
      </c>
      <c r="M273" s="321">
        <v>4259</v>
      </c>
      <c r="N273" s="321">
        <v>3814.5</v>
      </c>
      <c r="O273" s="321">
        <v>1674</v>
      </c>
      <c r="P273" s="321">
        <v>1149</v>
      </c>
      <c r="Q273" s="321">
        <v>116</v>
      </c>
      <c r="R273" s="321">
        <v>583.29999999999995</v>
      </c>
      <c r="S273" s="321">
        <v>1534.04</v>
      </c>
      <c r="T273" s="321">
        <v>384</v>
      </c>
      <c r="U273" s="322">
        <v>1861</v>
      </c>
      <c r="V273" s="323">
        <v>28064.74</v>
      </c>
      <c r="W273" s="303"/>
      <c r="X273" s="324">
        <v>1861</v>
      </c>
      <c r="Y273" s="325">
        <v>28064.74</v>
      </c>
    </row>
    <row r="274" spans="5:25" hidden="1" outlineLevel="1" x14ac:dyDescent="0.3">
      <c r="E274" s="250" t="s">
        <v>1201</v>
      </c>
      <c r="F274" s="317">
        <v>4300628</v>
      </c>
      <c r="G274" s="318"/>
      <c r="H274" s="319"/>
      <c r="I274" s="320"/>
      <c r="J274" s="337">
        <v>5969.6369999999997</v>
      </c>
      <c r="K274" s="321">
        <v>5959.89</v>
      </c>
      <c r="L274" s="321">
        <v>5484.8</v>
      </c>
      <c r="M274" s="321">
        <v>5815.76</v>
      </c>
      <c r="N274" s="321">
        <v>5258.97</v>
      </c>
      <c r="O274" s="321">
        <v>5616.3310000000001</v>
      </c>
      <c r="P274" s="321">
        <v>7219.38</v>
      </c>
      <c r="Q274" s="321">
        <v>6216.59</v>
      </c>
      <c r="R274" s="321">
        <v>6315.6670000000004</v>
      </c>
      <c r="S274" s="321">
        <v>5136.3389999999999</v>
      </c>
      <c r="T274" s="321">
        <v>6085.8519999999999</v>
      </c>
      <c r="U274" s="322">
        <v>6090.0739999999996</v>
      </c>
      <c r="V274" s="323">
        <v>71169.289999999994</v>
      </c>
      <c r="W274" s="303"/>
      <c r="X274" s="324">
        <v>6090.0739999999996</v>
      </c>
      <c r="Y274" s="325">
        <v>71169.289999999994</v>
      </c>
    </row>
    <row r="275" spans="5:25" hidden="1" outlineLevel="1" x14ac:dyDescent="0.3">
      <c r="E275" s="250" t="s">
        <v>1202</v>
      </c>
      <c r="F275" s="317">
        <v>4300629</v>
      </c>
      <c r="G275" s="318"/>
      <c r="H275" s="319"/>
      <c r="I275" s="320"/>
      <c r="J275" s="337">
        <v>0</v>
      </c>
      <c r="K275" s="321">
        <v>0</v>
      </c>
      <c r="L275" s="321">
        <v>0</v>
      </c>
      <c r="M275" s="321">
        <v>0</v>
      </c>
      <c r="N275" s="321">
        <v>0</v>
      </c>
      <c r="O275" s="321">
        <v>0</v>
      </c>
      <c r="P275" s="321">
        <v>0</v>
      </c>
      <c r="Q275" s="321">
        <v>0</v>
      </c>
      <c r="R275" s="321">
        <v>0</v>
      </c>
      <c r="S275" s="321">
        <v>0</v>
      </c>
      <c r="T275" s="321">
        <v>0</v>
      </c>
      <c r="U275" s="322">
        <v>0</v>
      </c>
      <c r="V275" s="323">
        <v>0</v>
      </c>
      <c r="W275" s="303"/>
      <c r="X275" s="324">
        <v>0</v>
      </c>
      <c r="Y275" s="325">
        <v>0</v>
      </c>
    </row>
    <row r="276" spans="5:25" hidden="1" outlineLevel="1" x14ac:dyDescent="0.3">
      <c r="E276" s="250" t="s">
        <v>1203</v>
      </c>
      <c r="F276" s="317">
        <v>4300633</v>
      </c>
      <c r="G276" s="318"/>
      <c r="H276" s="319"/>
      <c r="I276" s="320"/>
      <c r="J276" s="337">
        <v>19172.118999999999</v>
      </c>
      <c r="K276" s="321">
        <v>17875.817999999999</v>
      </c>
      <c r="L276" s="321">
        <v>16946.954000000002</v>
      </c>
      <c r="M276" s="321">
        <v>22192.506000000001</v>
      </c>
      <c r="N276" s="321">
        <v>27756.636999999999</v>
      </c>
      <c r="O276" s="321">
        <v>25394.128000000001</v>
      </c>
      <c r="P276" s="321">
        <v>29142.92</v>
      </c>
      <c r="Q276" s="321">
        <v>24928.414000000001</v>
      </c>
      <c r="R276" s="321">
        <v>28400.205999999998</v>
      </c>
      <c r="S276" s="321">
        <v>24787.439999999999</v>
      </c>
      <c r="T276" s="321">
        <v>22606.866000000002</v>
      </c>
      <c r="U276" s="322">
        <v>29701.93</v>
      </c>
      <c r="V276" s="323">
        <v>288905.93800000002</v>
      </c>
      <c r="W276" s="303"/>
      <c r="X276" s="324">
        <v>29701.93</v>
      </c>
      <c r="Y276" s="325">
        <v>288905.93800000002</v>
      </c>
    </row>
    <row r="277" spans="5:25" hidden="1" outlineLevel="1" x14ac:dyDescent="0.3">
      <c r="E277" s="250" t="s">
        <v>1204</v>
      </c>
      <c r="F277" s="317">
        <v>4300640</v>
      </c>
      <c r="G277" s="318"/>
      <c r="H277" s="319"/>
      <c r="I277" s="320"/>
      <c r="J277" s="337">
        <v>23312</v>
      </c>
      <c r="K277" s="321">
        <v>99993</v>
      </c>
      <c r="L277" s="321">
        <v>30171</v>
      </c>
      <c r="M277" s="321">
        <v>62355</v>
      </c>
      <c r="N277" s="321">
        <v>69394.5</v>
      </c>
      <c r="O277" s="321">
        <v>62703.75</v>
      </c>
      <c r="P277" s="321">
        <v>45631.75</v>
      </c>
      <c r="Q277" s="321">
        <v>34698.5</v>
      </c>
      <c r="R277" s="321">
        <v>97432.48</v>
      </c>
      <c r="S277" s="321">
        <v>80740.75</v>
      </c>
      <c r="T277" s="321">
        <v>74016.25</v>
      </c>
      <c r="U277" s="322">
        <v>51560</v>
      </c>
      <c r="V277" s="323">
        <v>732008.98</v>
      </c>
      <c r="W277" s="303"/>
      <c r="X277" s="324">
        <v>51560</v>
      </c>
      <c r="Y277" s="325">
        <v>732008.98</v>
      </c>
    </row>
    <row r="278" spans="5:25" hidden="1" outlineLevel="1" x14ac:dyDescent="0.3">
      <c r="E278" s="250" t="s">
        <v>1205</v>
      </c>
      <c r="F278" s="317">
        <v>4300641</v>
      </c>
      <c r="G278" s="318"/>
      <c r="H278" s="319"/>
      <c r="I278" s="320"/>
      <c r="J278" s="337">
        <v>0</v>
      </c>
      <c r="K278" s="321">
        <v>0</v>
      </c>
      <c r="L278" s="321">
        <v>0</v>
      </c>
      <c r="M278" s="321">
        <v>0</v>
      </c>
      <c r="N278" s="321">
        <v>0</v>
      </c>
      <c r="O278" s="321">
        <v>0</v>
      </c>
      <c r="P278" s="321">
        <v>0</v>
      </c>
      <c r="Q278" s="321">
        <v>0</v>
      </c>
      <c r="R278" s="321">
        <v>0</v>
      </c>
      <c r="S278" s="321">
        <v>0</v>
      </c>
      <c r="T278" s="321">
        <v>0</v>
      </c>
      <c r="U278" s="322">
        <v>0</v>
      </c>
      <c r="V278" s="323">
        <v>0</v>
      </c>
      <c r="W278" s="303"/>
      <c r="X278" s="324">
        <v>0</v>
      </c>
      <c r="Y278" s="325">
        <v>0</v>
      </c>
    </row>
    <row r="279" spans="5:25" hidden="1" outlineLevel="1" x14ac:dyDescent="0.3">
      <c r="E279" s="250" t="s">
        <v>1206</v>
      </c>
      <c r="F279" s="317">
        <v>4300642</v>
      </c>
      <c r="G279" s="318"/>
      <c r="H279" s="319"/>
      <c r="I279" s="320"/>
      <c r="J279" s="337">
        <v>0</v>
      </c>
      <c r="K279" s="321">
        <v>0</v>
      </c>
      <c r="L279" s="321">
        <v>0</v>
      </c>
      <c r="M279" s="321">
        <v>0</v>
      </c>
      <c r="N279" s="321">
        <v>0</v>
      </c>
      <c r="O279" s="321">
        <v>0</v>
      </c>
      <c r="P279" s="321">
        <v>0</v>
      </c>
      <c r="Q279" s="321">
        <v>0</v>
      </c>
      <c r="R279" s="321">
        <v>0</v>
      </c>
      <c r="S279" s="321">
        <v>0</v>
      </c>
      <c r="T279" s="321">
        <v>0</v>
      </c>
      <c r="U279" s="322">
        <v>0</v>
      </c>
      <c r="V279" s="323">
        <v>0</v>
      </c>
      <c r="W279" s="303"/>
      <c r="X279" s="324">
        <v>0</v>
      </c>
      <c r="Y279" s="325">
        <v>0</v>
      </c>
    </row>
    <row r="280" spans="5:25" hidden="1" outlineLevel="1" x14ac:dyDescent="0.3">
      <c r="E280" s="250" t="s">
        <v>1207</v>
      </c>
      <c r="F280" s="317">
        <v>4300643</v>
      </c>
      <c r="G280" s="318"/>
      <c r="H280" s="319"/>
      <c r="I280" s="320"/>
      <c r="J280" s="337">
        <v>6468.14</v>
      </c>
      <c r="K280" s="321">
        <v>10414.741</v>
      </c>
      <c r="L280" s="321">
        <v>7053.37</v>
      </c>
      <c r="M280" s="321">
        <v>5631.7</v>
      </c>
      <c r="N280" s="321">
        <v>8047.67</v>
      </c>
      <c r="O280" s="321">
        <v>5051.96</v>
      </c>
      <c r="P280" s="321">
        <v>4037.3</v>
      </c>
      <c r="Q280" s="321">
        <v>8274.61</v>
      </c>
      <c r="R280" s="321">
        <v>5403.11</v>
      </c>
      <c r="S280" s="321">
        <v>4125.3</v>
      </c>
      <c r="T280" s="321">
        <v>6812.87</v>
      </c>
      <c r="U280" s="322">
        <v>10282.709999999999</v>
      </c>
      <c r="V280" s="323">
        <v>81603.481</v>
      </c>
      <c r="W280" s="303"/>
      <c r="X280" s="324">
        <v>10282.709999999999</v>
      </c>
      <c r="Y280" s="325">
        <v>81603.481</v>
      </c>
    </row>
    <row r="281" spans="5:25" hidden="1" outlineLevel="1" x14ac:dyDescent="0.3">
      <c r="E281" s="250" t="s">
        <v>1208</v>
      </c>
      <c r="F281" s="317">
        <v>4300644</v>
      </c>
      <c r="G281" s="318"/>
      <c r="H281" s="319"/>
      <c r="I281" s="320"/>
      <c r="J281" s="337">
        <v>0</v>
      </c>
      <c r="K281" s="321">
        <v>0</v>
      </c>
      <c r="L281" s="321">
        <v>0</v>
      </c>
      <c r="M281" s="321">
        <v>-1166.1489999999999</v>
      </c>
      <c r="N281" s="321">
        <v>0</v>
      </c>
      <c r="O281" s="321">
        <v>0</v>
      </c>
      <c r="P281" s="321">
        <v>-939.29399999999998</v>
      </c>
      <c r="Q281" s="321">
        <v>0</v>
      </c>
      <c r="R281" s="321">
        <v>0</v>
      </c>
      <c r="S281" s="321">
        <v>-931.70600000000002</v>
      </c>
      <c r="T281" s="321">
        <v>0</v>
      </c>
      <c r="U281" s="322">
        <v>-1185.885</v>
      </c>
      <c r="V281" s="323">
        <v>-4223.0339999999997</v>
      </c>
      <c r="W281" s="303"/>
      <c r="X281" s="324">
        <v>-1185.885</v>
      </c>
      <c r="Y281" s="325">
        <v>-4223.0339999999997</v>
      </c>
    </row>
    <row r="282" spans="5:25" hidden="1" outlineLevel="1" x14ac:dyDescent="0.3">
      <c r="E282" s="250" t="s">
        <v>1209</v>
      </c>
      <c r="F282" s="317">
        <v>4300651</v>
      </c>
      <c r="G282" s="318"/>
      <c r="H282" s="319"/>
      <c r="I282" s="320"/>
      <c r="J282" s="337">
        <v>0</v>
      </c>
      <c r="K282" s="321">
        <v>0</v>
      </c>
      <c r="L282" s="321">
        <v>0</v>
      </c>
      <c r="M282" s="321">
        <v>-11186.453</v>
      </c>
      <c r="N282" s="321">
        <v>0</v>
      </c>
      <c r="O282" s="321">
        <v>0</v>
      </c>
      <c r="P282" s="321">
        <v>-16559.453000000001</v>
      </c>
      <c r="Q282" s="321">
        <v>0</v>
      </c>
      <c r="R282" s="321">
        <v>0</v>
      </c>
      <c r="S282" s="321">
        <v>-17177.522000000001</v>
      </c>
      <c r="T282" s="321">
        <v>0</v>
      </c>
      <c r="U282" s="322">
        <v>-18678.93</v>
      </c>
      <c r="V282" s="323">
        <v>-63602.358</v>
      </c>
      <c r="W282" s="303"/>
      <c r="X282" s="324">
        <v>-18678.93</v>
      </c>
      <c r="Y282" s="325">
        <v>-63602.358</v>
      </c>
    </row>
    <row r="283" spans="5:25" hidden="1" outlineLevel="1" x14ac:dyDescent="0.3">
      <c r="E283" s="250" t="s">
        <v>1210</v>
      </c>
      <c r="F283" s="317">
        <v>4300652</v>
      </c>
      <c r="G283" s="318"/>
      <c r="H283" s="319"/>
      <c r="I283" s="320"/>
      <c r="J283" s="337">
        <v>0</v>
      </c>
      <c r="K283" s="321">
        <v>0</v>
      </c>
      <c r="L283" s="321">
        <v>0</v>
      </c>
      <c r="M283" s="321">
        <v>-93.652000000000001</v>
      </c>
      <c r="N283" s="321">
        <v>0</v>
      </c>
      <c r="O283" s="321">
        <v>0</v>
      </c>
      <c r="P283" s="321">
        <v>-149.02199999999999</v>
      </c>
      <c r="Q283" s="321">
        <v>0</v>
      </c>
      <c r="R283" s="321">
        <v>0</v>
      </c>
      <c r="S283" s="321">
        <v>-128.19999999999999</v>
      </c>
      <c r="T283" s="321">
        <v>0</v>
      </c>
      <c r="U283" s="322">
        <v>-105.995</v>
      </c>
      <c r="V283" s="323">
        <v>-476.86899999999997</v>
      </c>
      <c r="W283" s="303"/>
      <c r="X283" s="324">
        <v>-105.995</v>
      </c>
      <c r="Y283" s="325">
        <v>-476.86899999999997</v>
      </c>
    </row>
    <row r="284" spans="5:25" hidden="1" outlineLevel="1" x14ac:dyDescent="0.3">
      <c r="E284" s="250" t="s">
        <v>1211</v>
      </c>
      <c r="F284" s="317">
        <v>4300655</v>
      </c>
      <c r="G284" s="318"/>
      <c r="H284" s="319"/>
      <c r="I284" s="320"/>
      <c r="J284" s="337">
        <v>3229.2</v>
      </c>
      <c r="K284" s="321">
        <v>3229.2</v>
      </c>
      <c r="L284" s="321">
        <v>3205.8</v>
      </c>
      <c r="M284" s="321">
        <v>3378.15</v>
      </c>
      <c r="N284" s="321">
        <v>3607.95</v>
      </c>
      <c r="O284" s="321">
        <v>4004.1</v>
      </c>
      <c r="P284" s="321">
        <v>4119</v>
      </c>
      <c r="Q284" s="321">
        <v>4176.45</v>
      </c>
      <c r="R284" s="321">
        <v>4262.7</v>
      </c>
      <c r="S284" s="321">
        <v>4320.1499999999996</v>
      </c>
      <c r="T284" s="321">
        <v>4377.6000000000004</v>
      </c>
      <c r="U284" s="322">
        <v>4607.3999999999996</v>
      </c>
      <c r="V284" s="323">
        <v>46517.7</v>
      </c>
      <c r="W284" s="303"/>
      <c r="X284" s="324">
        <v>4607.3999999999996</v>
      </c>
      <c r="Y284" s="325">
        <v>46517.7</v>
      </c>
    </row>
    <row r="285" spans="5:25" hidden="1" outlineLevel="1" x14ac:dyDescent="0.3">
      <c r="E285" s="250" t="s">
        <v>1212</v>
      </c>
      <c r="F285" s="317">
        <v>4300656</v>
      </c>
      <c r="G285" s="318"/>
      <c r="H285" s="319"/>
      <c r="I285" s="320"/>
      <c r="J285" s="337">
        <v>2700</v>
      </c>
      <c r="K285" s="321">
        <v>2700</v>
      </c>
      <c r="L285" s="321">
        <v>3100</v>
      </c>
      <c r="M285" s="321">
        <v>3100</v>
      </c>
      <c r="N285" s="321">
        <v>3100</v>
      </c>
      <c r="O285" s="321">
        <v>3200</v>
      </c>
      <c r="P285" s="321">
        <v>3200</v>
      </c>
      <c r="Q285" s="321">
        <v>3200</v>
      </c>
      <c r="R285" s="321">
        <v>3200</v>
      </c>
      <c r="S285" s="321">
        <v>3300</v>
      </c>
      <c r="T285" s="321">
        <v>3300</v>
      </c>
      <c r="U285" s="322">
        <v>3300</v>
      </c>
      <c r="V285" s="323">
        <v>37400</v>
      </c>
      <c r="W285" s="303"/>
      <c r="X285" s="324">
        <v>3300</v>
      </c>
      <c r="Y285" s="325">
        <v>37400</v>
      </c>
    </row>
    <row r="286" spans="5:25" hidden="1" outlineLevel="1" x14ac:dyDescent="0.3">
      <c r="E286" s="250" t="s">
        <v>1213</v>
      </c>
      <c r="F286" s="317">
        <v>4300657</v>
      </c>
      <c r="G286" s="318"/>
      <c r="H286" s="319"/>
      <c r="I286" s="320"/>
      <c r="J286" s="337">
        <v>100</v>
      </c>
      <c r="K286" s="321">
        <v>100</v>
      </c>
      <c r="L286" s="321">
        <v>100</v>
      </c>
      <c r="M286" s="321">
        <v>100</v>
      </c>
      <c r="N286" s="321">
        <v>100</v>
      </c>
      <c r="O286" s="321">
        <v>100</v>
      </c>
      <c r="P286" s="321">
        <v>100</v>
      </c>
      <c r="Q286" s="321">
        <v>100</v>
      </c>
      <c r="R286" s="321">
        <v>100</v>
      </c>
      <c r="S286" s="321">
        <v>100</v>
      </c>
      <c r="T286" s="321">
        <v>100</v>
      </c>
      <c r="U286" s="322">
        <v>100</v>
      </c>
      <c r="V286" s="323">
        <v>1200</v>
      </c>
      <c r="W286" s="303"/>
      <c r="X286" s="324">
        <v>100</v>
      </c>
      <c r="Y286" s="325">
        <v>1200</v>
      </c>
    </row>
    <row r="287" spans="5:25" hidden="1" outlineLevel="1" x14ac:dyDescent="0.3">
      <c r="E287" s="250" t="s">
        <v>1214</v>
      </c>
      <c r="F287" s="317">
        <v>4300658</v>
      </c>
      <c r="G287" s="318"/>
      <c r="H287" s="319"/>
      <c r="I287" s="320"/>
      <c r="J287" s="337">
        <v>12510.272999999999</v>
      </c>
      <c r="K287" s="321">
        <v>12777.272999999999</v>
      </c>
      <c r="L287" s="321">
        <v>12049.272999999999</v>
      </c>
      <c r="M287" s="321">
        <v>13638.272999999999</v>
      </c>
      <c r="N287" s="321">
        <v>11977.272999999999</v>
      </c>
      <c r="O287" s="321">
        <v>11569.772999999999</v>
      </c>
      <c r="P287" s="321">
        <v>13742.772999999999</v>
      </c>
      <c r="Q287" s="321">
        <v>11033.272999999999</v>
      </c>
      <c r="R287" s="321">
        <v>11766.272999999999</v>
      </c>
      <c r="S287" s="321">
        <v>9928.2729999999992</v>
      </c>
      <c r="T287" s="321">
        <v>11113.272999999999</v>
      </c>
      <c r="U287" s="322">
        <v>11806.272999999999</v>
      </c>
      <c r="V287" s="323">
        <v>143912.27599999998</v>
      </c>
      <c r="W287" s="303"/>
      <c r="X287" s="324">
        <v>11806.272999999999</v>
      </c>
      <c r="Y287" s="325">
        <v>143912.27599999998</v>
      </c>
    </row>
    <row r="288" spans="5:25" hidden="1" outlineLevel="1" x14ac:dyDescent="0.3">
      <c r="E288" s="250" t="s">
        <v>1215</v>
      </c>
      <c r="F288" s="317">
        <v>4300659</v>
      </c>
      <c r="G288" s="318"/>
      <c r="H288" s="319"/>
      <c r="I288" s="320"/>
      <c r="J288" s="337">
        <v>5883.8959999999997</v>
      </c>
      <c r="K288" s="321">
        <v>5542.1989999999996</v>
      </c>
      <c r="L288" s="321">
        <v>4846.1040000000003</v>
      </c>
      <c r="M288" s="321">
        <v>5445.5029999999997</v>
      </c>
      <c r="N288" s="321">
        <v>5129.893</v>
      </c>
      <c r="O288" s="321">
        <v>5273.8249999999998</v>
      </c>
      <c r="P288" s="321">
        <v>5105.8710000000001</v>
      </c>
      <c r="Q288" s="321">
        <v>5103.7730000000001</v>
      </c>
      <c r="R288" s="321">
        <v>5147.567</v>
      </c>
      <c r="S288" s="321">
        <v>4967.6279999999997</v>
      </c>
      <c r="T288" s="321">
        <v>5220.7690000000002</v>
      </c>
      <c r="U288" s="322">
        <v>5015.8119999999999</v>
      </c>
      <c r="V288" s="323">
        <v>62682.840000000004</v>
      </c>
      <c r="W288" s="303"/>
      <c r="X288" s="324">
        <v>5015.8119999999999</v>
      </c>
      <c r="Y288" s="325">
        <v>62682.840000000004</v>
      </c>
    </row>
    <row r="289" spans="1:25" hidden="1" outlineLevel="1" x14ac:dyDescent="0.3">
      <c r="E289" s="250" t="s">
        <v>1216</v>
      </c>
      <c r="F289" s="317">
        <v>4300681</v>
      </c>
      <c r="G289" s="318"/>
      <c r="H289" s="319"/>
      <c r="I289" s="320"/>
      <c r="J289" s="337">
        <v>0</v>
      </c>
      <c r="K289" s="321">
        <v>0</v>
      </c>
      <c r="L289" s="321">
        <v>0</v>
      </c>
      <c r="M289" s="321">
        <v>0</v>
      </c>
      <c r="N289" s="321">
        <v>0</v>
      </c>
      <c r="O289" s="321">
        <v>0</v>
      </c>
      <c r="P289" s="321">
        <v>0</v>
      </c>
      <c r="Q289" s="321">
        <v>160048.992</v>
      </c>
      <c r="R289" s="321">
        <v>171964.58300000001</v>
      </c>
      <c r="S289" s="321">
        <v>168089.92800000001</v>
      </c>
      <c r="T289" s="321">
        <v>162615.101</v>
      </c>
      <c r="U289" s="322">
        <v>-1813098.22</v>
      </c>
      <c r="V289" s="323">
        <v>-1150379.6159999999</v>
      </c>
      <c r="W289" s="303"/>
      <c r="X289" s="324">
        <v>-1813098.22</v>
      </c>
      <c r="Y289" s="325">
        <v>-1150379.6159999999</v>
      </c>
    </row>
    <row r="290" spans="1:25" hidden="1" outlineLevel="1" x14ac:dyDescent="0.3">
      <c r="E290" s="250" t="s">
        <v>1217</v>
      </c>
      <c r="F290" s="317">
        <v>4300682</v>
      </c>
      <c r="G290" s="318"/>
      <c r="H290" s="319"/>
      <c r="I290" s="320"/>
      <c r="J290" s="337">
        <v>0</v>
      </c>
      <c r="K290" s="321">
        <v>0</v>
      </c>
      <c r="L290" s="321">
        <v>0</v>
      </c>
      <c r="M290" s="321">
        <v>0</v>
      </c>
      <c r="N290" s="321">
        <v>0</v>
      </c>
      <c r="O290" s="321">
        <v>0</v>
      </c>
      <c r="P290" s="321">
        <v>0</v>
      </c>
      <c r="Q290" s="321">
        <v>210.602</v>
      </c>
      <c r="R290" s="321">
        <v>210.602</v>
      </c>
      <c r="S290" s="321">
        <v>210.602</v>
      </c>
      <c r="T290" s="321">
        <v>210.602</v>
      </c>
      <c r="U290" s="322">
        <v>0</v>
      </c>
      <c r="V290" s="323">
        <v>842.40800000000002</v>
      </c>
      <c r="W290" s="303"/>
      <c r="X290" s="324">
        <v>0</v>
      </c>
      <c r="Y290" s="325">
        <v>842.40800000000002</v>
      </c>
    </row>
    <row r="291" spans="1:25" hidden="1" outlineLevel="1" x14ac:dyDescent="0.3">
      <c r="E291" s="250" t="s">
        <v>1218</v>
      </c>
      <c r="F291" s="317">
        <v>4300689</v>
      </c>
      <c r="G291" s="318"/>
      <c r="H291" s="319">
        <v>5101050123</v>
      </c>
      <c r="I291" s="320"/>
      <c r="J291" s="337">
        <v>0</v>
      </c>
      <c r="K291" s="321">
        <v>0</v>
      </c>
      <c r="L291" s="321">
        <v>0</v>
      </c>
      <c r="M291" s="321">
        <v>0</v>
      </c>
      <c r="N291" s="321">
        <v>0</v>
      </c>
      <c r="O291" s="321">
        <v>0</v>
      </c>
      <c r="P291" s="321">
        <v>0</v>
      </c>
      <c r="Q291" s="321">
        <v>0</v>
      </c>
      <c r="R291" s="321">
        <v>0</v>
      </c>
      <c r="S291" s="321">
        <v>0</v>
      </c>
      <c r="T291" s="321">
        <v>0</v>
      </c>
      <c r="U291" s="322">
        <v>204000</v>
      </c>
      <c r="V291" s="323">
        <v>204000</v>
      </c>
      <c r="W291" s="303"/>
      <c r="X291" s="324">
        <v>204000</v>
      </c>
      <c r="Y291" s="325">
        <v>204000</v>
      </c>
    </row>
    <row r="292" spans="1:25" hidden="1" outlineLevel="1" x14ac:dyDescent="0.3">
      <c r="E292" s="250" t="s">
        <v>1219</v>
      </c>
      <c r="F292" s="317">
        <v>4300691</v>
      </c>
      <c r="G292" s="318"/>
      <c r="H292" s="319"/>
      <c r="I292" s="320"/>
      <c r="J292" s="337">
        <v>0</v>
      </c>
      <c r="K292" s="321">
        <v>0</v>
      </c>
      <c r="L292" s="321">
        <v>0</v>
      </c>
      <c r="M292" s="321">
        <v>0</v>
      </c>
      <c r="N292" s="321">
        <v>0</v>
      </c>
      <c r="O292" s="321">
        <v>0</v>
      </c>
      <c r="P292" s="321">
        <v>0</v>
      </c>
      <c r="Q292" s="321">
        <v>0</v>
      </c>
      <c r="R292" s="321">
        <v>0</v>
      </c>
      <c r="S292" s="321">
        <v>0</v>
      </c>
      <c r="T292" s="321">
        <v>0</v>
      </c>
      <c r="U292" s="322">
        <v>0</v>
      </c>
      <c r="V292" s="323">
        <v>0</v>
      </c>
      <c r="W292" s="303"/>
      <c r="X292" s="324">
        <v>0</v>
      </c>
      <c r="Y292" s="325">
        <v>0</v>
      </c>
    </row>
    <row r="293" spans="1:25" hidden="1" outlineLevel="1" x14ac:dyDescent="0.3">
      <c r="E293" s="250" t="s">
        <v>1220</v>
      </c>
      <c r="F293" s="317">
        <v>4300698</v>
      </c>
      <c r="G293" s="318"/>
      <c r="H293" s="319"/>
      <c r="I293" s="320"/>
      <c r="J293" s="337">
        <v>0</v>
      </c>
      <c r="K293" s="321">
        <v>0</v>
      </c>
      <c r="L293" s="321">
        <v>0</v>
      </c>
      <c r="M293" s="321">
        <v>0</v>
      </c>
      <c r="N293" s="321">
        <v>0</v>
      </c>
      <c r="O293" s="321">
        <v>0</v>
      </c>
      <c r="P293" s="321">
        <v>0</v>
      </c>
      <c r="Q293" s="321">
        <v>0</v>
      </c>
      <c r="R293" s="321">
        <v>0</v>
      </c>
      <c r="S293" s="321">
        <v>0</v>
      </c>
      <c r="T293" s="321">
        <v>0</v>
      </c>
      <c r="U293" s="322">
        <v>0</v>
      </c>
      <c r="V293" s="323">
        <v>0</v>
      </c>
      <c r="W293" s="303"/>
      <c r="X293" s="324">
        <v>0</v>
      </c>
      <c r="Y293" s="325">
        <v>0</v>
      </c>
    </row>
    <row r="294" spans="1:25" hidden="1" outlineLevel="1" x14ac:dyDescent="0.3">
      <c r="E294" s="250" t="s">
        <v>1221</v>
      </c>
      <c r="F294" s="317">
        <v>4300699</v>
      </c>
      <c r="G294" s="318"/>
      <c r="H294" s="319"/>
      <c r="I294" s="320"/>
      <c r="J294" s="337">
        <v>93280.84</v>
      </c>
      <c r="K294" s="321">
        <v>2533.13</v>
      </c>
      <c r="L294" s="321">
        <v>5634.68</v>
      </c>
      <c r="M294" s="321">
        <v>80635.145000000004</v>
      </c>
      <c r="N294" s="321">
        <v>4977.1099999999997</v>
      </c>
      <c r="O294" s="321">
        <v>5379.49</v>
      </c>
      <c r="P294" s="321">
        <v>82069.774000000005</v>
      </c>
      <c r="Q294" s="321">
        <v>6776.1729999999998</v>
      </c>
      <c r="R294" s="321">
        <v>4374.4399999999996</v>
      </c>
      <c r="S294" s="321">
        <v>79624.236000000004</v>
      </c>
      <c r="T294" s="321">
        <v>5461.53</v>
      </c>
      <c r="U294" s="322">
        <v>799052.84900000005</v>
      </c>
      <c r="V294" s="323">
        <v>1169799.3970000001</v>
      </c>
      <c r="W294" s="303"/>
      <c r="X294" s="324">
        <v>799052.84900000005</v>
      </c>
      <c r="Y294" s="325">
        <v>1169799.3970000001</v>
      </c>
    </row>
    <row r="295" spans="1:25" s="350" customFormat="1" hidden="1" outlineLevel="2" x14ac:dyDescent="0.3">
      <c r="E295" s="326" t="s">
        <v>1222</v>
      </c>
      <c r="F295" s="306"/>
      <c r="G295" s="307"/>
      <c r="H295" s="308"/>
      <c r="I295" s="309"/>
      <c r="J295" s="310">
        <v>0</v>
      </c>
      <c r="K295" s="311">
        <v>0</v>
      </c>
      <c r="L295" s="311">
        <v>0</v>
      </c>
      <c r="M295" s="311">
        <v>0</v>
      </c>
      <c r="N295" s="311">
        <v>0</v>
      </c>
      <c r="O295" s="311">
        <v>0</v>
      </c>
      <c r="P295" s="311">
        <v>0</v>
      </c>
      <c r="Q295" s="311">
        <v>0</v>
      </c>
      <c r="R295" s="311">
        <v>0</v>
      </c>
      <c r="S295" s="311">
        <v>0</v>
      </c>
      <c r="T295" s="311">
        <v>0</v>
      </c>
      <c r="U295" s="312">
        <v>0</v>
      </c>
      <c r="V295" s="313">
        <v>0</v>
      </c>
      <c r="W295" s="314"/>
      <c r="X295" s="315">
        <v>0</v>
      </c>
      <c r="Y295" s="316">
        <v>0</v>
      </c>
    </row>
    <row r="296" spans="1:25" s="361" customFormat="1" hidden="1" outlineLevel="2" x14ac:dyDescent="0.3">
      <c r="E296" s="326" t="s">
        <v>1223</v>
      </c>
      <c r="F296" s="351"/>
      <c r="G296" s="352"/>
      <c r="H296" s="353"/>
      <c r="I296" s="354"/>
      <c r="J296" s="362">
        <v>0</v>
      </c>
      <c r="K296" s="355">
        <v>0</v>
      </c>
      <c r="L296" s="355">
        <v>0</v>
      </c>
      <c r="M296" s="355">
        <v>0</v>
      </c>
      <c r="N296" s="355">
        <v>0</v>
      </c>
      <c r="O296" s="355">
        <v>0</v>
      </c>
      <c r="P296" s="355">
        <v>0</v>
      </c>
      <c r="Q296" s="355">
        <v>0</v>
      </c>
      <c r="R296" s="355">
        <v>0</v>
      </c>
      <c r="S296" s="355">
        <v>0</v>
      </c>
      <c r="T296" s="355">
        <v>0</v>
      </c>
      <c r="U296" s="356">
        <v>0</v>
      </c>
      <c r="V296" s="357">
        <v>0</v>
      </c>
      <c r="W296" s="358"/>
      <c r="X296" s="359">
        <v>0</v>
      </c>
      <c r="Y296" s="360">
        <v>0</v>
      </c>
    </row>
    <row r="297" spans="1:25" s="361" customFormat="1" hidden="1" outlineLevel="2" x14ac:dyDescent="0.3">
      <c r="E297" s="326" t="s">
        <v>1224</v>
      </c>
      <c r="F297" s="351"/>
      <c r="G297" s="352"/>
      <c r="H297" s="353"/>
      <c r="I297" s="354"/>
      <c r="J297" s="362">
        <v>0</v>
      </c>
      <c r="K297" s="355">
        <v>0</v>
      </c>
      <c r="L297" s="355">
        <v>0</v>
      </c>
      <c r="M297" s="355">
        <v>0</v>
      </c>
      <c r="N297" s="355">
        <v>0</v>
      </c>
      <c r="O297" s="355">
        <v>0</v>
      </c>
      <c r="P297" s="355">
        <v>0</v>
      </c>
      <c r="Q297" s="355">
        <v>0</v>
      </c>
      <c r="R297" s="355">
        <v>0</v>
      </c>
      <c r="S297" s="355">
        <v>0</v>
      </c>
      <c r="T297" s="355">
        <v>0</v>
      </c>
      <c r="U297" s="356">
        <v>0</v>
      </c>
      <c r="V297" s="357">
        <v>0</v>
      </c>
      <c r="W297" s="358"/>
      <c r="X297" s="359">
        <v>0</v>
      </c>
      <c r="Y297" s="360">
        <v>0</v>
      </c>
    </row>
    <row r="298" spans="1:25" s="3" customFormat="1" collapsed="1" x14ac:dyDescent="0.3">
      <c r="B298" s="240" t="s">
        <v>69</v>
      </c>
      <c r="D298" s="363" t="s">
        <v>1225</v>
      </c>
      <c r="E298" s="364"/>
      <c r="F298" s="365"/>
      <c r="G298" s="366"/>
      <c r="H298" s="367"/>
      <c r="I298" s="368"/>
      <c r="J298" s="369">
        <v>52378470.923999995</v>
      </c>
      <c r="K298" s="370">
        <v>52804474.287</v>
      </c>
      <c r="L298" s="370">
        <v>53514287.96100001</v>
      </c>
      <c r="M298" s="370">
        <v>54167376.398999996</v>
      </c>
      <c r="N298" s="370">
        <v>54044240.803999975</v>
      </c>
      <c r="O298" s="370">
        <v>54767134.172999978</v>
      </c>
      <c r="P298" s="370">
        <v>53698926.640000015</v>
      </c>
      <c r="Q298" s="370">
        <v>50963378.651000008</v>
      </c>
      <c r="R298" s="370">
        <v>52301303.022</v>
      </c>
      <c r="S298" s="370">
        <v>53461025.681000017</v>
      </c>
      <c r="T298" s="370">
        <v>52725616.280000009</v>
      </c>
      <c r="U298" s="371">
        <v>54177078.333999991</v>
      </c>
      <c r="V298" s="372">
        <v>639003313.15600014</v>
      </c>
      <c r="W298" s="277"/>
      <c r="X298" s="373">
        <v>54177078.333999991</v>
      </c>
      <c r="Y298" s="374">
        <v>639003313.15600014</v>
      </c>
    </row>
    <row r="299" spans="1:25" x14ac:dyDescent="0.3">
      <c r="A299" s="233"/>
      <c r="B299" s="234" t="s">
        <v>31</v>
      </c>
      <c r="D299" s="293" t="s">
        <v>1226</v>
      </c>
      <c r="E299" s="294"/>
      <c r="F299" s="295" t="s">
        <v>1227</v>
      </c>
      <c r="G299" s="296"/>
      <c r="H299" s="297"/>
      <c r="I299" s="298"/>
      <c r="J299" s="299">
        <v>63671.944000000003</v>
      </c>
      <c r="K299" s="300">
        <v>161286.54399999999</v>
      </c>
      <c r="L299" s="300">
        <v>103045.724</v>
      </c>
      <c r="M299" s="300">
        <v>76351.718999999997</v>
      </c>
      <c r="N299" s="300">
        <v>173730.76500000001</v>
      </c>
      <c r="O299" s="300">
        <v>111147.81999999999</v>
      </c>
      <c r="P299" s="300">
        <v>87095.031999999992</v>
      </c>
      <c r="Q299" s="300">
        <v>66013.156000000003</v>
      </c>
      <c r="R299" s="300">
        <v>305882.33899999998</v>
      </c>
      <c r="S299" s="300">
        <v>108588.997</v>
      </c>
      <c r="T299" s="300">
        <v>233212.18699999998</v>
      </c>
      <c r="U299" s="301">
        <v>371381.70199999999</v>
      </c>
      <c r="V299" s="302">
        <v>1861407.929</v>
      </c>
      <c r="W299" s="303"/>
      <c r="X299" s="304">
        <v>371381.70199999999</v>
      </c>
      <c r="Y299" s="305">
        <v>1861407.929</v>
      </c>
    </row>
    <row r="300" spans="1:25" hidden="1" outlineLevel="1" x14ac:dyDescent="0.3">
      <c r="E300" s="250" t="s">
        <v>1228</v>
      </c>
      <c r="F300" s="317">
        <v>4305001</v>
      </c>
      <c r="G300" s="318"/>
      <c r="H300" s="319">
        <v>5101070101</v>
      </c>
      <c r="I300" s="320"/>
      <c r="J300" s="337">
        <v>0</v>
      </c>
      <c r="K300" s="321">
        <v>2779.19</v>
      </c>
      <c r="L300" s="321">
        <v>0</v>
      </c>
      <c r="M300" s="321">
        <v>0</v>
      </c>
      <c r="N300" s="321">
        <v>0</v>
      </c>
      <c r="O300" s="321">
        <v>33.813000000000002</v>
      </c>
      <c r="P300" s="321">
        <v>-218.4</v>
      </c>
      <c r="Q300" s="321">
        <v>0</v>
      </c>
      <c r="R300" s="321">
        <v>38860.856</v>
      </c>
      <c r="S300" s="321">
        <v>8897.5030000000006</v>
      </c>
      <c r="T300" s="321">
        <v>3278.4839999999999</v>
      </c>
      <c r="U300" s="322">
        <v>17489.107</v>
      </c>
      <c r="V300" s="323">
        <v>71120.553</v>
      </c>
      <c r="W300" s="303"/>
      <c r="X300" s="324">
        <v>17489.107</v>
      </c>
      <c r="Y300" s="325">
        <v>71120.553</v>
      </c>
    </row>
    <row r="301" spans="1:25" hidden="1" outlineLevel="1" x14ac:dyDescent="0.3">
      <c r="E301" s="250" t="s">
        <v>1229</v>
      </c>
      <c r="F301" s="317">
        <v>4305002</v>
      </c>
      <c r="G301" s="318"/>
      <c r="H301" s="319"/>
      <c r="I301" s="320"/>
      <c r="J301" s="337">
        <v>298.64499999999998</v>
      </c>
      <c r="K301" s="321">
        <v>310.94400000000002</v>
      </c>
      <c r="L301" s="321">
        <v>11518.155000000001</v>
      </c>
      <c r="M301" s="321">
        <v>36.700000000000003</v>
      </c>
      <c r="N301" s="321">
        <v>71667.297999999995</v>
      </c>
      <c r="O301" s="321">
        <v>450</v>
      </c>
      <c r="P301" s="321">
        <v>46.2</v>
      </c>
      <c r="Q301" s="321">
        <v>13399</v>
      </c>
      <c r="R301" s="321">
        <v>16632.525000000001</v>
      </c>
      <c r="S301" s="321">
        <v>5938.7139999999999</v>
      </c>
      <c r="T301" s="321">
        <v>8490.5259999999998</v>
      </c>
      <c r="U301" s="322">
        <v>35726.273000000001</v>
      </c>
      <c r="V301" s="323">
        <v>164514.98000000001</v>
      </c>
      <c r="W301" s="303"/>
      <c r="X301" s="324">
        <v>35726.273000000001</v>
      </c>
      <c r="Y301" s="325">
        <v>164514.98000000001</v>
      </c>
    </row>
    <row r="302" spans="1:25" hidden="1" outlineLevel="1" x14ac:dyDescent="0.3">
      <c r="E302" s="250" t="s">
        <v>1230</v>
      </c>
      <c r="F302" s="317">
        <v>4305003</v>
      </c>
      <c r="G302" s="318"/>
      <c r="H302" s="319">
        <v>5101070103</v>
      </c>
      <c r="I302" s="320"/>
      <c r="J302" s="337">
        <v>16315.306</v>
      </c>
      <c r="K302" s="321">
        <v>11681.17</v>
      </c>
      <c r="L302" s="321">
        <v>19115.990000000002</v>
      </c>
      <c r="M302" s="321">
        <v>16335.165999999999</v>
      </c>
      <c r="N302" s="321">
        <v>19939.948</v>
      </c>
      <c r="O302" s="321">
        <v>30002.559000000001</v>
      </c>
      <c r="P302" s="321">
        <v>15350.847</v>
      </c>
      <c r="Q302" s="321">
        <v>12314.269</v>
      </c>
      <c r="R302" s="321">
        <v>18364.5</v>
      </c>
      <c r="S302" s="321">
        <v>13806.106</v>
      </c>
      <c r="T302" s="321">
        <v>93608.763999999996</v>
      </c>
      <c r="U302" s="322">
        <v>52998.637999999999</v>
      </c>
      <c r="V302" s="323">
        <v>319833.26299999998</v>
      </c>
      <c r="W302" s="303"/>
      <c r="X302" s="324">
        <v>52998.637999999999</v>
      </c>
      <c r="Y302" s="325">
        <v>319833.26299999998</v>
      </c>
    </row>
    <row r="303" spans="1:25" hidden="1" outlineLevel="1" x14ac:dyDescent="0.3">
      <c r="E303" s="250" t="s">
        <v>1231</v>
      </c>
      <c r="F303" s="317">
        <v>4305004</v>
      </c>
      <c r="G303" s="318"/>
      <c r="H303" s="319"/>
      <c r="I303" s="320"/>
      <c r="J303" s="337">
        <v>11185.993</v>
      </c>
      <c r="K303" s="321">
        <v>33040.192999999999</v>
      </c>
      <c r="L303" s="321">
        <v>49578.578999999998</v>
      </c>
      <c r="M303" s="321">
        <v>28117.096000000001</v>
      </c>
      <c r="N303" s="321">
        <v>36527.508999999998</v>
      </c>
      <c r="O303" s="321">
        <v>44807.158000000003</v>
      </c>
      <c r="P303" s="321">
        <v>24855.173999999999</v>
      </c>
      <c r="Q303" s="321">
        <v>34462.436999999998</v>
      </c>
      <c r="R303" s="321">
        <v>71363.937000000005</v>
      </c>
      <c r="S303" s="321">
        <v>57162.464</v>
      </c>
      <c r="T303" s="321">
        <v>95996.505999999994</v>
      </c>
      <c r="U303" s="322">
        <v>111220.95</v>
      </c>
      <c r="V303" s="323">
        <v>598317.99599999993</v>
      </c>
      <c r="W303" s="303"/>
      <c r="X303" s="324">
        <v>111220.95</v>
      </c>
      <c r="Y303" s="325">
        <v>598317.99599999993</v>
      </c>
    </row>
    <row r="304" spans="1:25" hidden="1" outlineLevel="1" x14ac:dyDescent="0.3">
      <c r="E304" s="250" t="s">
        <v>1232</v>
      </c>
      <c r="F304" s="317">
        <v>4305005</v>
      </c>
      <c r="G304" s="318"/>
      <c r="H304" s="319">
        <v>5101070105</v>
      </c>
      <c r="I304" s="320"/>
      <c r="J304" s="337">
        <v>0</v>
      </c>
      <c r="K304" s="321">
        <v>0</v>
      </c>
      <c r="L304" s="321">
        <v>0</v>
      </c>
      <c r="M304" s="321">
        <v>0</v>
      </c>
      <c r="N304" s="321">
        <v>0</v>
      </c>
      <c r="O304" s="321">
        <v>0</v>
      </c>
      <c r="P304" s="321">
        <v>0</v>
      </c>
      <c r="Q304" s="321">
        <v>0</v>
      </c>
      <c r="R304" s="321">
        <v>0</v>
      </c>
      <c r="S304" s="321">
        <v>0</v>
      </c>
      <c r="T304" s="321">
        <v>0</v>
      </c>
      <c r="U304" s="322">
        <v>0</v>
      </c>
      <c r="V304" s="323">
        <v>0</v>
      </c>
      <c r="W304" s="303"/>
      <c r="X304" s="324">
        <v>0</v>
      </c>
      <c r="Y304" s="325">
        <v>0</v>
      </c>
    </row>
    <row r="305" spans="1:25" hidden="1" outlineLevel="1" x14ac:dyDescent="0.3">
      <c r="E305" s="250" t="s">
        <v>1233</v>
      </c>
      <c r="F305" s="317">
        <v>4305006</v>
      </c>
      <c r="G305" s="318"/>
      <c r="H305" s="319">
        <v>5101070199</v>
      </c>
      <c r="I305" s="320"/>
      <c r="J305" s="337">
        <v>0</v>
      </c>
      <c r="K305" s="321">
        <v>0</v>
      </c>
      <c r="L305" s="321">
        <v>0</v>
      </c>
      <c r="M305" s="321">
        <v>0</v>
      </c>
      <c r="N305" s="321">
        <v>0</v>
      </c>
      <c r="O305" s="321">
        <v>0</v>
      </c>
      <c r="P305" s="321">
        <v>2418</v>
      </c>
      <c r="Q305" s="321">
        <v>0</v>
      </c>
      <c r="R305" s="321">
        <v>0</v>
      </c>
      <c r="S305" s="321">
        <v>0</v>
      </c>
      <c r="T305" s="321">
        <v>0</v>
      </c>
      <c r="U305" s="322">
        <v>26410.165000000001</v>
      </c>
      <c r="V305" s="323">
        <v>28828.165000000001</v>
      </c>
      <c r="W305" s="303"/>
      <c r="X305" s="324">
        <v>26410.165000000001</v>
      </c>
      <c r="Y305" s="325">
        <v>28828.165000000001</v>
      </c>
    </row>
    <row r="306" spans="1:25" hidden="1" outlineLevel="1" x14ac:dyDescent="0.3">
      <c r="E306" s="250" t="s">
        <v>1234</v>
      </c>
      <c r="F306" s="317">
        <v>4305010</v>
      </c>
      <c r="G306" s="318"/>
      <c r="H306" s="319">
        <v>5101070107</v>
      </c>
      <c r="I306" s="320"/>
      <c r="J306" s="337">
        <v>0</v>
      </c>
      <c r="K306" s="321">
        <v>0</v>
      </c>
      <c r="L306" s="321">
        <v>0</v>
      </c>
      <c r="M306" s="321">
        <v>0</v>
      </c>
      <c r="N306" s="321">
        <v>0</v>
      </c>
      <c r="O306" s="321">
        <v>0</v>
      </c>
      <c r="P306" s="321">
        <v>0</v>
      </c>
      <c r="Q306" s="321">
        <v>0</v>
      </c>
      <c r="R306" s="321">
        <v>0</v>
      </c>
      <c r="S306" s="321">
        <v>0</v>
      </c>
      <c r="T306" s="321">
        <v>0</v>
      </c>
      <c r="U306" s="322">
        <v>0</v>
      </c>
      <c r="V306" s="323">
        <v>0</v>
      </c>
      <c r="W306" s="303"/>
      <c r="X306" s="324">
        <v>0</v>
      </c>
      <c r="Y306" s="325">
        <v>0</v>
      </c>
    </row>
    <row r="307" spans="1:25" hidden="1" outlineLevel="1" x14ac:dyDescent="0.3">
      <c r="E307" s="250" t="s">
        <v>1235</v>
      </c>
      <c r="F307" s="317">
        <v>4305013</v>
      </c>
      <c r="G307" s="318"/>
      <c r="H307" s="319">
        <v>5101070111</v>
      </c>
      <c r="I307" s="320"/>
      <c r="J307" s="337">
        <v>0</v>
      </c>
      <c r="K307" s="321">
        <v>0</v>
      </c>
      <c r="L307" s="321">
        <v>0</v>
      </c>
      <c r="M307" s="321">
        <v>0</v>
      </c>
      <c r="N307" s="321">
        <v>0</v>
      </c>
      <c r="O307" s="321">
        <v>0</v>
      </c>
      <c r="P307" s="321">
        <v>0</v>
      </c>
      <c r="Q307" s="321">
        <v>0</v>
      </c>
      <c r="R307" s="321">
        <v>0</v>
      </c>
      <c r="S307" s="321">
        <v>0</v>
      </c>
      <c r="T307" s="321">
        <v>0</v>
      </c>
      <c r="U307" s="322">
        <v>0</v>
      </c>
      <c r="V307" s="323">
        <v>0</v>
      </c>
      <c r="W307" s="303"/>
      <c r="X307" s="324">
        <v>0</v>
      </c>
      <c r="Y307" s="325">
        <v>0</v>
      </c>
    </row>
    <row r="308" spans="1:25" hidden="1" outlineLevel="1" x14ac:dyDescent="0.3">
      <c r="E308" s="250" t="s">
        <v>1236</v>
      </c>
      <c r="F308" s="317">
        <v>4305014</v>
      </c>
      <c r="G308" s="318"/>
      <c r="H308" s="319">
        <v>5101070113</v>
      </c>
      <c r="I308" s="320"/>
      <c r="J308" s="337">
        <v>35781.091</v>
      </c>
      <c r="K308" s="321">
        <v>15674</v>
      </c>
      <c r="L308" s="321">
        <v>22390</v>
      </c>
      <c r="M308" s="321">
        <v>11790</v>
      </c>
      <c r="N308" s="321">
        <v>21160</v>
      </c>
      <c r="O308" s="321">
        <v>24898.2</v>
      </c>
      <c r="P308" s="321">
        <v>13206.985000000001</v>
      </c>
      <c r="Q308" s="321">
        <v>368</v>
      </c>
      <c r="R308" s="321">
        <v>56326.02</v>
      </c>
      <c r="S308" s="321">
        <v>18202.625</v>
      </c>
      <c r="T308" s="321">
        <v>1709.6</v>
      </c>
      <c r="U308" s="322">
        <v>1679.239</v>
      </c>
      <c r="V308" s="323">
        <v>223185.76</v>
      </c>
      <c r="W308" s="303"/>
      <c r="X308" s="324">
        <v>1679.239</v>
      </c>
      <c r="Y308" s="325">
        <v>223185.76</v>
      </c>
    </row>
    <row r="309" spans="1:25" hidden="1" outlineLevel="1" x14ac:dyDescent="0.3">
      <c r="E309" s="250" t="s">
        <v>1237</v>
      </c>
      <c r="F309" s="317">
        <v>4305015</v>
      </c>
      <c r="G309" s="318"/>
      <c r="H309" s="319"/>
      <c r="I309" s="320"/>
      <c r="J309" s="337">
        <v>0</v>
      </c>
      <c r="K309" s="321">
        <v>0</v>
      </c>
      <c r="L309" s="321">
        <v>0</v>
      </c>
      <c r="M309" s="321">
        <v>0</v>
      </c>
      <c r="N309" s="321">
        <v>0</v>
      </c>
      <c r="O309" s="321">
        <v>0</v>
      </c>
      <c r="P309" s="321">
        <v>0</v>
      </c>
      <c r="Q309" s="321">
        <v>0</v>
      </c>
      <c r="R309" s="321">
        <v>0</v>
      </c>
      <c r="S309" s="321">
        <v>0</v>
      </c>
      <c r="T309" s="321">
        <v>0</v>
      </c>
      <c r="U309" s="322">
        <v>0</v>
      </c>
      <c r="V309" s="323">
        <v>0</v>
      </c>
      <c r="W309" s="303"/>
      <c r="X309" s="324">
        <v>0</v>
      </c>
      <c r="Y309" s="325">
        <v>0</v>
      </c>
    </row>
    <row r="310" spans="1:25" hidden="1" outlineLevel="1" x14ac:dyDescent="0.3">
      <c r="E310" s="250" t="s">
        <v>1238</v>
      </c>
      <c r="F310" s="317">
        <v>4305016</v>
      </c>
      <c r="G310" s="318"/>
      <c r="H310" s="319">
        <v>5101070115</v>
      </c>
      <c r="I310" s="320"/>
      <c r="J310" s="337">
        <v>90.909000000000006</v>
      </c>
      <c r="K310" s="321">
        <v>97801.047000000006</v>
      </c>
      <c r="L310" s="321">
        <v>443</v>
      </c>
      <c r="M310" s="321">
        <v>20072.757000000001</v>
      </c>
      <c r="N310" s="321">
        <v>24436.01</v>
      </c>
      <c r="O310" s="321">
        <v>10956.09</v>
      </c>
      <c r="P310" s="321">
        <v>31436.225999999999</v>
      </c>
      <c r="Q310" s="321">
        <v>5469.45</v>
      </c>
      <c r="R310" s="321">
        <v>104334.501</v>
      </c>
      <c r="S310" s="321">
        <v>4581.585</v>
      </c>
      <c r="T310" s="321">
        <v>30088.307000000001</v>
      </c>
      <c r="U310" s="322">
        <v>125857.33</v>
      </c>
      <c r="V310" s="323">
        <v>455567.212</v>
      </c>
      <c r="W310" s="303"/>
      <c r="X310" s="324">
        <v>125857.33</v>
      </c>
      <c r="Y310" s="325">
        <v>455567.212</v>
      </c>
    </row>
    <row r="311" spans="1:25" hidden="1" outlineLevel="1" x14ac:dyDescent="0.3">
      <c r="E311" s="250" t="s">
        <v>1239</v>
      </c>
      <c r="F311" s="317">
        <v>4305017</v>
      </c>
      <c r="G311" s="318"/>
      <c r="H311" s="319"/>
      <c r="I311" s="320"/>
      <c r="J311" s="337">
        <v>0</v>
      </c>
      <c r="K311" s="321">
        <v>0</v>
      </c>
      <c r="L311" s="321">
        <v>0</v>
      </c>
      <c r="M311" s="321">
        <v>0</v>
      </c>
      <c r="N311" s="321">
        <v>0</v>
      </c>
      <c r="O311" s="321">
        <v>0</v>
      </c>
      <c r="P311" s="321">
        <v>0</v>
      </c>
      <c r="Q311" s="321">
        <v>0</v>
      </c>
      <c r="R311" s="321">
        <v>0</v>
      </c>
      <c r="S311" s="321">
        <v>0</v>
      </c>
      <c r="T311" s="321">
        <v>0</v>
      </c>
      <c r="U311" s="322">
        <v>0</v>
      </c>
      <c r="V311" s="323">
        <v>0</v>
      </c>
      <c r="W311" s="303"/>
      <c r="X311" s="324">
        <v>0</v>
      </c>
      <c r="Y311" s="325">
        <v>0</v>
      </c>
    </row>
    <row r="312" spans="1:25" hidden="1" outlineLevel="1" x14ac:dyDescent="0.3">
      <c r="E312" s="250" t="s">
        <v>1240</v>
      </c>
      <c r="F312" s="317">
        <v>4305018</v>
      </c>
      <c r="G312" s="318"/>
      <c r="H312" s="319"/>
      <c r="I312" s="320"/>
      <c r="J312" s="337">
        <v>0</v>
      </c>
      <c r="K312" s="321">
        <v>0</v>
      </c>
      <c r="L312" s="321">
        <v>0</v>
      </c>
      <c r="M312" s="321">
        <v>0</v>
      </c>
      <c r="N312" s="321">
        <v>0</v>
      </c>
      <c r="O312" s="321">
        <v>0</v>
      </c>
      <c r="P312" s="321">
        <v>0</v>
      </c>
      <c r="Q312" s="321">
        <v>0</v>
      </c>
      <c r="R312" s="321">
        <v>0</v>
      </c>
      <c r="S312" s="321">
        <v>0</v>
      </c>
      <c r="T312" s="321">
        <v>0</v>
      </c>
      <c r="U312" s="322">
        <v>0</v>
      </c>
      <c r="V312" s="323">
        <v>0</v>
      </c>
      <c r="W312" s="303"/>
      <c r="X312" s="324">
        <v>0</v>
      </c>
      <c r="Y312" s="325">
        <v>0</v>
      </c>
    </row>
    <row r="313" spans="1:25" hidden="1" outlineLevel="1" x14ac:dyDescent="0.3">
      <c r="E313" s="250" t="s">
        <v>1241</v>
      </c>
      <c r="F313" s="317">
        <v>4305099</v>
      </c>
      <c r="G313" s="318"/>
      <c r="H313" s="319">
        <v>5101070109</v>
      </c>
      <c r="I313" s="320"/>
      <c r="J313" s="337">
        <v>0</v>
      </c>
      <c r="K313" s="321">
        <v>0</v>
      </c>
      <c r="L313" s="321">
        <v>0</v>
      </c>
      <c r="M313" s="321">
        <v>0</v>
      </c>
      <c r="N313" s="321">
        <v>0</v>
      </c>
      <c r="O313" s="321">
        <v>0</v>
      </c>
      <c r="P313" s="321">
        <v>0</v>
      </c>
      <c r="Q313" s="321">
        <v>0</v>
      </c>
      <c r="R313" s="321">
        <v>0</v>
      </c>
      <c r="S313" s="321">
        <v>0</v>
      </c>
      <c r="T313" s="321">
        <v>40</v>
      </c>
      <c r="U313" s="322">
        <v>0</v>
      </c>
      <c r="V313" s="323">
        <v>40</v>
      </c>
      <c r="W313" s="303"/>
      <c r="X313" s="324">
        <v>0</v>
      </c>
      <c r="Y313" s="325">
        <v>40</v>
      </c>
    </row>
    <row r="314" spans="1:25" s="361" customFormat="1" hidden="1" outlineLevel="2" x14ac:dyDescent="0.3">
      <c r="E314" s="350" t="s">
        <v>1242</v>
      </c>
      <c r="F314" s="306">
        <v>4305011</v>
      </c>
      <c r="G314" s="307"/>
      <c r="H314" s="308"/>
      <c r="I314" s="309"/>
      <c r="J314" s="310">
        <v>0</v>
      </c>
      <c r="K314" s="311">
        <v>0</v>
      </c>
      <c r="L314" s="311">
        <v>0</v>
      </c>
      <c r="M314" s="311">
        <v>0</v>
      </c>
      <c r="N314" s="311">
        <v>0</v>
      </c>
      <c r="O314" s="311">
        <v>0</v>
      </c>
      <c r="P314" s="311">
        <v>0</v>
      </c>
      <c r="Q314" s="311">
        <v>0</v>
      </c>
      <c r="R314" s="311">
        <v>0</v>
      </c>
      <c r="S314" s="311">
        <v>0</v>
      </c>
      <c r="T314" s="311">
        <v>0</v>
      </c>
      <c r="U314" s="312">
        <v>0</v>
      </c>
      <c r="V314" s="313">
        <v>0</v>
      </c>
      <c r="W314" s="314"/>
      <c r="X314" s="315">
        <v>0</v>
      </c>
      <c r="Y314" s="316">
        <v>0</v>
      </c>
    </row>
    <row r="315" spans="1:25" s="361" customFormat="1" hidden="1" outlineLevel="2" x14ac:dyDescent="0.3">
      <c r="E315" s="326" t="s">
        <v>1243</v>
      </c>
      <c r="F315" s="351"/>
      <c r="G315" s="352"/>
      <c r="H315" s="353"/>
      <c r="I315" s="354"/>
      <c r="J315" s="362">
        <v>0</v>
      </c>
      <c r="K315" s="355">
        <v>0</v>
      </c>
      <c r="L315" s="355">
        <v>0</v>
      </c>
      <c r="M315" s="355">
        <v>0</v>
      </c>
      <c r="N315" s="355">
        <v>0</v>
      </c>
      <c r="O315" s="355">
        <v>0</v>
      </c>
      <c r="P315" s="355">
        <v>0</v>
      </c>
      <c r="Q315" s="355">
        <v>0</v>
      </c>
      <c r="R315" s="355">
        <v>0</v>
      </c>
      <c r="S315" s="355">
        <v>0</v>
      </c>
      <c r="T315" s="355">
        <v>0</v>
      </c>
      <c r="U315" s="356">
        <v>0</v>
      </c>
      <c r="V315" s="357">
        <v>0</v>
      </c>
      <c r="W315" s="358"/>
      <c r="X315" s="359">
        <v>0</v>
      </c>
      <c r="Y315" s="360">
        <v>0</v>
      </c>
    </row>
    <row r="316" spans="1:25" s="361" customFormat="1" hidden="1" outlineLevel="2" x14ac:dyDescent="0.3">
      <c r="E316" s="326" t="s">
        <v>1244</v>
      </c>
      <c r="F316" s="351"/>
      <c r="G316" s="352"/>
      <c r="H316" s="353"/>
      <c r="I316" s="354"/>
      <c r="J316" s="362">
        <v>0</v>
      </c>
      <c r="K316" s="355">
        <v>0</v>
      </c>
      <c r="L316" s="355">
        <v>0</v>
      </c>
      <c r="M316" s="355">
        <v>0</v>
      </c>
      <c r="N316" s="355">
        <v>0</v>
      </c>
      <c r="O316" s="355">
        <v>0</v>
      </c>
      <c r="P316" s="355">
        <v>0</v>
      </c>
      <c r="Q316" s="355">
        <v>0</v>
      </c>
      <c r="R316" s="355">
        <v>0</v>
      </c>
      <c r="S316" s="355">
        <v>0</v>
      </c>
      <c r="T316" s="355">
        <v>0</v>
      </c>
      <c r="U316" s="356">
        <v>0</v>
      </c>
      <c r="V316" s="357">
        <v>0</v>
      </c>
      <c r="W316" s="358"/>
      <c r="X316" s="359">
        <v>0</v>
      </c>
      <c r="Y316" s="360">
        <v>0</v>
      </c>
    </row>
    <row r="317" spans="1:25" collapsed="1" x14ac:dyDescent="0.3">
      <c r="A317" s="233"/>
      <c r="B317" s="234" t="s">
        <v>39</v>
      </c>
      <c r="D317" s="293" t="s">
        <v>1245</v>
      </c>
      <c r="E317" s="294"/>
      <c r="F317" s="295" t="s">
        <v>1246</v>
      </c>
      <c r="G317" s="296"/>
      <c r="H317" s="297"/>
      <c r="I317" s="298"/>
      <c r="J317" s="299">
        <v>671.2</v>
      </c>
      <c r="K317" s="300">
        <v>625.04</v>
      </c>
      <c r="L317" s="300">
        <v>2142.1869999999999</v>
      </c>
      <c r="M317" s="300">
        <v>989.42600000000016</v>
      </c>
      <c r="N317" s="300">
        <v>1877.12</v>
      </c>
      <c r="O317" s="300">
        <v>1431.39</v>
      </c>
      <c r="P317" s="300">
        <v>814.61000000000013</v>
      </c>
      <c r="Q317" s="300">
        <v>474.82600000000002</v>
      </c>
      <c r="R317" s="300">
        <v>11167.325000000001</v>
      </c>
      <c r="S317" s="300">
        <v>28430.804</v>
      </c>
      <c r="T317" s="300">
        <v>40325.247000000003</v>
      </c>
      <c r="U317" s="301">
        <v>26756.312000000002</v>
      </c>
      <c r="V317" s="302">
        <v>115705.48699999999</v>
      </c>
      <c r="W317" s="303"/>
      <c r="X317" s="304">
        <v>26756.312000000002</v>
      </c>
      <c r="Y317" s="305">
        <v>115705.48699999999</v>
      </c>
    </row>
    <row r="318" spans="1:25" hidden="1" outlineLevel="1" x14ac:dyDescent="0.3">
      <c r="E318" s="250" t="s">
        <v>1247</v>
      </c>
      <c r="F318" s="317">
        <v>4307401</v>
      </c>
      <c r="G318" s="318"/>
      <c r="H318" s="319">
        <v>5101090101</v>
      </c>
      <c r="I318" s="320"/>
      <c r="J318" s="337">
        <v>0</v>
      </c>
      <c r="K318" s="321">
        <v>0</v>
      </c>
      <c r="L318" s="321">
        <v>0</v>
      </c>
      <c r="M318" s="321">
        <v>0</v>
      </c>
      <c r="N318" s="321">
        <v>0</v>
      </c>
      <c r="O318" s="321">
        <v>0</v>
      </c>
      <c r="P318" s="321">
        <v>0</v>
      </c>
      <c r="Q318" s="321">
        <v>0</v>
      </c>
      <c r="R318" s="321">
        <v>0</v>
      </c>
      <c r="S318" s="321">
        <v>0</v>
      </c>
      <c r="T318" s="321">
        <v>0</v>
      </c>
      <c r="U318" s="322">
        <v>0</v>
      </c>
      <c r="V318" s="323">
        <v>0</v>
      </c>
      <c r="W318" s="303"/>
      <c r="X318" s="324">
        <v>0</v>
      </c>
      <c r="Y318" s="325">
        <v>0</v>
      </c>
    </row>
    <row r="319" spans="1:25" hidden="1" outlineLevel="1" x14ac:dyDescent="0.3">
      <c r="E319" s="250" t="s">
        <v>1248</v>
      </c>
      <c r="F319" s="317">
        <v>4307402</v>
      </c>
      <c r="G319" s="318"/>
      <c r="H319" s="319">
        <v>5101090103</v>
      </c>
      <c r="I319" s="320"/>
      <c r="J319" s="337">
        <v>0</v>
      </c>
      <c r="K319" s="321">
        <v>0</v>
      </c>
      <c r="L319" s="321">
        <v>0</v>
      </c>
      <c r="M319" s="321">
        <v>0</v>
      </c>
      <c r="N319" s="321">
        <v>0</v>
      </c>
      <c r="O319" s="321">
        <v>0</v>
      </c>
      <c r="P319" s="321">
        <v>0</v>
      </c>
      <c r="Q319" s="321">
        <v>0</v>
      </c>
      <c r="R319" s="321">
        <v>9676.893</v>
      </c>
      <c r="S319" s="321">
        <v>27755.796999999999</v>
      </c>
      <c r="T319" s="321">
        <v>39220.947</v>
      </c>
      <c r="U319" s="322">
        <v>23986.806</v>
      </c>
      <c r="V319" s="323">
        <v>100640.443</v>
      </c>
      <c r="W319" s="303"/>
      <c r="X319" s="324">
        <v>23986.806</v>
      </c>
      <c r="Y319" s="325">
        <v>100640.443</v>
      </c>
    </row>
    <row r="320" spans="1:25" hidden="1" outlineLevel="1" x14ac:dyDescent="0.3">
      <c r="E320" s="250" t="s">
        <v>1249</v>
      </c>
      <c r="F320" s="317">
        <v>4307409</v>
      </c>
      <c r="G320" s="318"/>
      <c r="H320" s="319">
        <v>5101090199</v>
      </c>
      <c r="I320" s="320"/>
      <c r="J320" s="337">
        <v>671.2</v>
      </c>
      <c r="K320" s="321">
        <v>625.04</v>
      </c>
      <c r="L320" s="321">
        <v>2142.1869999999999</v>
      </c>
      <c r="M320" s="321">
        <v>1114.3900000000001</v>
      </c>
      <c r="N320" s="321">
        <v>1877.12</v>
      </c>
      <c r="O320" s="321">
        <v>1431.39</v>
      </c>
      <c r="P320" s="321">
        <v>1064.9000000000001</v>
      </c>
      <c r="Q320" s="321">
        <v>474.82600000000002</v>
      </c>
      <c r="R320" s="321">
        <v>1490.432</v>
      </c>
      <c r="S320" s="321">
        <v>876.98800000000006</v>
      </c>
      <c r="T320" s="321">
        <v>1104.3</v>
      </c>
      <c r="U320" s="322">
        <v>3136.63</v>
      </c>
      <c r="V320" s="323">
        <v>16009.402999999998</v>
      </c>
      <c r="W320" s="303"/>
      <c r="X320" s="324">
        <v>3136.63</v>
      </c>
      <c r="Y320" s="325">
        <v>16009.402999999998</v>
      </c>
    </row>
    <row r="321" spans="1:25" hidden="1" outlineLevel="1" x14ac:dyDescent="0.3">
      <c r="E321" s="250" t="s">
        <v>1250</v>
      </c>
      <c r="F321" s="317">
        <v>4307411</v>
      </c>
      <c r="G321" s="318"/>
      <c r="H321" s="319"/>
      <c r="I321" s="320"/>
      <c r="J321" s="337">
        <v>0</v>
      </c>
      <c r="K321" s="321">
        <v>0</v>
      </c>
      <c r="L321" s="321">
        <v>0</v>
      </c>
      <c r="M321" s="321">
        <v>0</v>
      </c>
      <c r="N321" s="321">
        <v>0</v>
      </c>
      <c r="O321" s="321">
        <v>0</v>
      </c>
      <c r="P321" s="321">
        <v>0</v>
      </c>
      <c r="Q321" s="321">
        <v>0</v>
      </c>
      <c r="R321" s="321">
        <v>0</v>
      </c>
      <c r="S321" s="321">
        <v>0</v>
      </c>
      <c r="T321" s="321">
        <v>0</v>
      </c>
      <c r="U321" s="322">
        <v>0</v>
      </c>
      <c r="V321" s="323">
        <v>0</v>
      </c>
      <c r="W321" s="303"/>
      <c r="X321" s="324">
        <v>0</v>
      </c>
      <c r="Y321" s="325">
        <v>0</v>
      </c>
    </row>
    <row r="322" spans="1:25" s="250" customFormat="1" hidden="1" outlineLevel="2" x14ac:dyDescent="0.3">
      <c r="E322" s="250" t="s">
        <v>1251</v>
      </c>
      <c r="F322" s="306">
        <v>4307412</v>
      </c>
      <c r="G322" s="307"/>
      <c r="H322" s="308"/>
      <c r="I322" s="309"/>
      <c r="J322" s="310">
        <v>0</v>
      </c>
      <c r="K322" s="311">
        <v>0</v>
      </c>
      <c r="L322" s="311">
        <v>0</v>
      </c>
      <c r="M322" s="311">
        <v>-124.964</v>
      </c>
      <c r="N322" s="311">
        <v>0</v>
      </c>
      <c r="O322" s="311">
        <v>0</v>
      </c>
      <c r="P322" s="311">
        <v>-250.29</v>
      </c>
      <c r="Q322" s="311">
        <v>0</v>
      </c>
      <c r="R322" s="311">
        <v>0</v>
      </c>
      <c r="S322" s="311">
        <v>-201.98099999999999</v>
      </c>
      <c r="T322" s="311">
        <v>0</v>
      </c>
      <c r="U322" s="312">
        <v>-367.12400000000002</v>
      </c>
      <c r="V322" s="313">
        <v>-944.35900000000004</v>
      </c>
      <c r="W322" s="314"/>
      <c r="X322" s="315">
        <v>-367.12400000000002</v>
      </c>
      <c r="Y322" s="316">
        <v>-944.35900000000004</v>
      </c>
    </row>
    <row r="323" spans="1:25" s="326" customFormat="1" hidden="1" outlineLevel="2" x14ac:dyDescent="0.3">
      <c r="E323" s="326" t="s">
        <v>1252</v>
      </c>
      <c r="F323" s="336"/>
      <c r="G323" s="327"/>
      <c r="H323" s="328"/>
      <c r="I323" s="329"/>
      <c r="J323" s="338">
        <v>0</v>
      </c>
      <c r="K323" s="330">
        <v>0</v>
      </c>
      <c r="L323" s="330">
        <v>0</v>
      </c>
      <c r="M323" s="330">
        <v>0</v>
      </c>
      <c r="N323" s="330">
        <v>0</v>
      </c>
      <c r="O323" s="330">
        <v>0</v>
      </c>
      <c r="P323" s="330">
        <v>0</v>
      </c>
      <c r="Q323" s="330">
        <v>0</v>
      </c>
      <c r="R323" s="330">
        <v>0</v>
      </c>
      <c r="S323" s="330">
        <v>0</v>
      </c>
      <c r="T323" s="330">
        <v>0</v>
      </c>
      <c r="U323" s="331">
        <v>0</v>
      </c>
      <c r="V323" s="332">
        <v>0</v>
      </c>
      <c r="W323" s="333"/>
      <c r="X323" s="334">
        <v>0</v>
      </c>
      <c r="Y323" s="335">
        <v>0</v>
      </c>
    </row>
    <row r="324" spans="1:25" s="326" customFormat="1" hidden="1" outlineLevel="2" x14ac:dyDescent="0.3">
      <c r="E324" s="326" t="s">
        <v>1253</v>
      </c>
      <c r="F324" s="336"/>
      <c r="G324" s="327"/>
      <c r="H324" s="328"/>
      <c r="I324" s="329"/>
      <c r="J324" s="338">
        <v>0</v>
      </c>
      <c r="K324" s="330">
        <v>0</v>
      </c>
      <c r="L324" s="330">
        <v>0</v>
      </c>
      <c r="M324" s="330">
        <v>0</v>
      </c>
      <c r="N324" s="330">
        <v>0</v>
      </c>
      <c r="O324" s="330">
        <v>0</v>
      </c>
      <c r="P324" s="330">
        <v>0</v>
      </c>
      <c r="Q324" s="330">
        <v>0</v>
      </c>
      <c r="R324" s="330">
        <v>0</v>
      </c>
      <c r="S324" s="330">
        <v>0</v>
      </c>
      <c r="T324" s="330">
        <v>0</v>
      </c>
      <c r="U324" s="331">
        <v>0</v>
      </c>
      <c r="V324" s="332">
        <v>0</v>
      </c>
      <c r="W324" s="333"/>
      <c r="X324" s="334">
        <v>0</v>
      </c>
      <c r="Y324" s="335">
        <v>0</v>
      </c>
    </row>
    <row r="325" spans="1:25" s="326" customFormat="1" hidden="1" outlineLevel="2" x14ac:dyDescent="0.3">
      <c r="E325" s="326" t="s">
        <v>1254</v>
      </c>
      <c r="F325" s="336"/>
      <c r="G325" s="327"/>
      <c r="H325" s="328"/>
      <c r="I325" s="329"/>
      <c r="J325" s="338">
        <v>0</v>
      </c>
      <c r="K325" s="330">
        <v>0</v>
      </c>
      <c r="L325" s="330">
        <v>0</v>
      </c>
      <c r="M325" s="330">
        <v>0</v>
      </c>
      <c r="N325" s="330">
        <v>0</v>
      </c>
      <c r="O325" s="330">
        <v>0</v>
      </c>
      <c r="P325" s="330">
        <v>0</v>
      </c>
      <c r="Q325" s="330">
        <v>0</v>
      </c>
      <c r="R325" s="330">
        <v>0</v>
      </c>
      <c r="S325" s="330">
        <v>0</v>
      </c>
      <c r="T325" s="330">
        <v>0</v>
      </c>
      <c r="U325" s="331">
        <v>0</v>
      </c>
      <c r="V325" s="332">
        <v>0</v>
      </c>
      <c r="W325" s="333"/>
      <c r="X325" s="334">
        <v>0</v>
      </c>
      <c r="Y325" s="335">
        <v>0</v>
      </c>
    </row>
    <row r="326" spans="1:25" collapsed="1" x14ac:dyDescent="0.3">
      <c r="A326" s="233"/>
      <c r="B326" s="234" t="s">
        <v>33</v>
      </c>
      <c r="D326" s="293" t="s">
        <v>1255</v>
      </c>
      <c r="E326" s="294"/>
      <c r="F326" s="295" t="s">
        <v>1256</v>
      </c>
      <c r="G326" s="296"/>
      <c r="H326" s="297"/>
      <c r="I326" s="298"/>
      <c r="J326" s="299">
        <v>52991.39</v>
      </c>
      <c r="K326" s="300">
        <v>69810.907999999996</v>
      </c>
      <c r="L326" s="300">
        <v>95200.856999999989</v>
      </c>
      <c r="M326" s="300">
        <v>85590.941999999995</v>
      </c>
      <c r="N326" s="300">
        <v>65884.808000000005</v>
      </c>
      <c r="O326" s="300">
        <v>54570.441000000006</v>
      </c>
      <c r="P326" s="300">
        <v>54928.356</v>
      </c>
      <c r="Q326" s="300">
        <v>47456.762999999999</v>
      </c>
      <c r="R326" s="300">
        <v>50470.813999999998</v>
      </c>
      <c r="S326" s="300">
        <v>56854.422999999995</v>
      </c>
      <c r="T326" s="300">
        <v>61232.343999999997</v>
      </c>
      <c r="U326" s="301">
        <v>42474.61</v>
      </c>
      <c r="V326" s="302">
        <v>737466.65599999996</v>
      </c>
      <c r="W326" s="303"/>
      <c r="X326" s="304">
        <v>42474.61</v>
      </c>
      <c r="Y326" s="305">
        <v>737466.65599999996</v>
      </c>
    </row>
    <row r="327" spans="1:25" hidden="1" outlineLevel="1" x14ac:dyDescent="0.3">
      <c r="E327" s="250" t="s">
        <v>1257</v>
      </c>
      <c r="F327" s="317">
        <v>4305601</v>
      </c>
      <c r="G327" s="318"/>
      <c r="H327" s="319">
        <v>5101110101</v>
      </c>
      <c r="I327" s="320"/>
      <c r="J327" s="337">
        <v>17367.259999999998</v>
      </c>
      <c r="K327" s="321">
        <v>26871.22</v>
      </c>
      <c r="L327" s="321">
        <v>20588.75</v>
      </c>
      <c r="M327" s="321">
        <v>22947.759999999998</v>
      </c>
      <c r="N327" s="321">
        <v>16692.29</v>
      </c>
      <c r="O327" s="321">
        <v>18923.060000000001</v>
      </c>
      <c r="P327" s="321">
        <v>23706.83</v>
      </c>
      <c r="Q327" s="321">
        <v>19846.509999999998</v>
      </c>
      <c r="R327" s="321">
        <v>21785.927</v>
      </c>
      <c r="S327" s="321">
        <v>15008.45</v>
      </c>
      <c r="T327" s="321">
        <v>18748.723999999998</v>
      </c>
      <c r="U327" s="322">
        <v>21479.909</v>
      </c>
      <c r="V327" s="323">
        <v>243966.69</v>
      </c>
      <c r="W327" s="303"/>
      <c r="X327" s="324">
        <v>21479.909</v>
      </c>
      <c r="Y327" s="325">
        <v>243966.69</v>
      </c>
    </row>
    <row r="328" spans="1:25" hidden="1" outlineLevel="1" x14ac:dyDescent="0.3">
      <c r="E328" s="250" t="s">
        <v>1258</v>
      </c>
      <c r="F328" s="317">
        <v>4305602</v>
      </c>
      <c r="G328" s="318"/>
      <c r="H328" s="319">
        <v>5101110103</v>
      </c>
      <c r="I328" s="320"/>
      <c r="J328" s="337">
        <v>5066.8100000000004</v>
      </c>
      <c r="K328" s="321">
        <v>7311.49</v>
      </c>
      <c r="L328" s="321">
        <v>6183.93</v>
      </c>
      <c r="M328" s="321">
        <v>7914.0129999999999</v>
      </c>
      <c r="N328" s="321">
        <v>9481.2620000000006</v>
      </c>
      <c r="O328" s="321">
        <v>6794.04</v>
      </c>
      <c r="P328" s="321">
        <v>8537.2019999999993</v>
      </c>
      <c r="Q328" s="321">
        <v>3236.6089999999999</v>
      </c>
      <c r="R328" s="321">
        <v>6087.9070000000002</v>
      </c>
      <c r="S328" s="321">
        <v>6577.53</v>
      </c>
      <c r="T328" s="321">
        <v>5636.732</v>
      </c>
      <c r="U328" s="322">
        <v>4852.9610000000002</v>
      </c>
      <c r="V328" s="323">
        <v>77680.48599999999</v>
      </c>
      <c r="W328" s="303"/>
      <c r="X328" s="324">
        <v>4852.9610000000002</v>
      </c>
      <c r="Y328" s="325">
        <v>77680.48599999999</v>
      </c>
    </row>
    <row r="329" spans="1:25" hidden="1" outlineLevel="1" x14ac:dyDescent="0.3">
      <c r="E329" s="250" t="s">
        <v>1259</v>
      </c>
      <c r="F329" s="317">
        <v>4305603</v>
      </c>
      <c r="G329" s="318"/>
      <c r="H329" s="319">
        <v>5101110105</v>
      </c>
      <c r="I329" s="320"/>
      <c r="J329" s="337">
        <v>9910.4500000000007</v>
      </c>
      <c r="K329" s="321">
        <v>18444.598000000002</v>
      </c>
      <c r="L329" s="321">
        <v>49576.557000000001</v>
      </c>
      <c r="M329" s="321">
        <v>34370.983999999997</v>
      </c>
      <c r="N329" s="321">
        <v>19206.245999999999</v>
      </c>
      <c r="O329" s="321">
        <v>10201.151</v>
      </c>
      <c r="P329" s="321">
        <v>4310.0839999999998</v>
      </c>
      <c r="Q329" s="321">
        <v>5098.3440000000001</v>
      </c>
      <c r="R329" s="321">
        <v>5314.7</v>
      </c>
      <c r="S329" s="321">
        <v>18736.633000000002</v>
      </c>
      <c r="T329" s="321">
        <v>17034.308000000001</v>
      </c>
      <c r="U329" s="322">
        <v>0</v>
      </c>
      <c r="V329" s="323">
        <v>192204.05500000005</v>
      </c>
      <c r="W329" s="303"/>
      <c r="X329" s="324">
        <v>0</v>
      </c>
      <c r="Y329" s="325">
        <v>192204.05500000005</v>
      </c>
    </row>
    <row r="330" spans="1:25" hidden="1" outlineLevel="1" x14ac:dyDescent="0.3">
      <c r="E330" s="250" t="s">
        <v>1260</v>
      </c>
      <c r="F330" s="317">
        <v>4305604</v>
      </c>
      <c r="G330" s="318"/>
      <c r="H330" s="319">
        <v>5101110107</v>
      </c>
      <c r="I330" s="320"/>
      <c r="J330" s="337">
        <v>0</v>
      </c>
      <c r="K330" s="321">
        <v>0</v>
      </c>
      <c r="L330" s="321">
        <v>0</v>
      </c>
      <c r="M330" s="321">
        <v>0</v>
      </c>
      <c r="N330" s="321">
        <v>0</v>
      </c>
      <c r="O330" s="321">
        <v>0</v>
      </c>
      <c r="P330" s="321">
        <v>0</v>
      </c>
      <c r="Q330" s="321">
        <v>0</v>
      </c>
      <c r="R330" s="321">
        <v>0</v>
      </c>
      <c r="S330" s="321">
        <v>0</v>
      </c>
      <c r="T330" s="321">
        <v>0</v>
      </c>
      <c r="U330" s="322">
        <v>0</v>
      </c>
      <c r="V330" s="323">
        <v>0</v>
      </c>
      <c r="W330" s="303"/>
      <c r="X330" s="324">
        <v>0</v>
      </c>
      <c r="Y330" s="325">
        <v>0</v>
      </c>
    </row>
    <row r="331" spans="1:25" hidden="1" outlineLevel="1" x14ac:dyDescent="0.3">
      <c r="E331" s="250" t="s">
        <v>1261</v>
      </c>
      <c r="F331" s="317">
        <v>4305605</v>
      </c>
      <c r="G331" s="318"/>
      <c r="H331" s="319"/>
      <c r="I331" s="320"/>
      <c r="J331" s="337">
        <v>0</v>
      </c>
      <c r="K331" s="321">
        <v>0</v>
      </c>
      <c r="L331" s="321">
        <v>0</v>
      </c>
      <c r="M331" s="321">
        <v>0</v>
      </c>
      <c r="N331" s="321">
        <v>0</v>
      </c>
      <c r="O331" s="321">
        <v>0</v>
      </c>
      <c r="P331" s="321">
        <v>0</v>
      </c>
      <c r="Q331" s="321">
        <v>0</v>
      </c>
      <c r="R331" s="321">
        <v>0</v>
      </c>
      <c r="S331" s="321">
        <v>0</v>
      </c>
      <c r="T331" s="321">
        <v>0</v>
      </c>
      <c r="U331" s="322">
        <v>0</v>
      </c>
      <c r="V331" s="323">
        <v>0</v>
      </c>
      <c r="W331" s="303"/>
      <c r="X331" s="324">
        <v>0</v>
      </c>
      <c r="Y331" s="325">
        <v>0</v>
      </c>
    </row>
    <row r="332" spans="1:25" hidden="1" outlineLevel="1" x14ac:dyDescent="0.3">
      <c r="E332" s="250" t="s">
        <v>1262</v>
      </c>
      <c r="F332" s="317">
        <v>4305606</v>
      </c>
      <c r="G332" s="318"/>
      <c r="H332" s="319">
        <v>5101110199</v>
      </c>
      <c r="I332" s="320"/>
      <c r="J332" s="337">
        <v>50</v>
      </c>
      <c r="K332" s="321">
        <v>0</v>
      </c>
      <c r="L332" s="321">
        <v>0</v>
      </c>
      <c r="M332" s="321">
        <v>-4.5449999999999999</v>
      </c>
      <c r="N332" s="321">
        <v>0</v>
      </c>
      <c r="O332" s="321">
        <v>0</v>
      </c>
      <c r="P332" s="321">
        <v>0</v>
      </c>
      <c r="Q332" s="321">
        <v>0</v>
      </c>
      <c r="R332" s="321">
        <v>0</v>
      </c>
      <c r="S332" s="321">
        <v>0</v>
      </c>
      <c r="T332" s="321">
        <v>0</v>
      </c>
      <c r="U332" s="322">
        <v>0</v>
      </c>
      <c r="V332" s="323">
        <v>45.454999999999998</v>
      </c>
      <c r="W332" s="303"/>
      <c r="X332" s="324">
        <v>0</v>
      </c>
      <c r="Y332" s="325">
        <v>45.454999999999998</v>
      </c>
    </row>
    <row r="333" spans="1:25" hidden="1" outlineLevel="1" x14ac:dyDescent="0.3">
      <c r="E333" s="250" t="s">
        <v>1263</v>
      </c>
      <c r="F333" s="317">
        <v>4305607</v>
      </c>
      <c r="G333" s="318"/>
      <c r="H333" s="319"/>
      <c r="I333" s="320"/>
      <c r="J333" s="337">
        <v>20596.87</v>
      </c>
      <c r="K333" s="321">
        <v>17183.599999999999</v>
      </c>
      <c r="L333" s="321">
        <v>18851.62</v>
      </c>
      <c r="M333" s="321">
        <v>20362.73</v>
      </c>
      <c r="N333" s="321">
        <v>20505.009999999998</v>
      </c>
      <c r="O333" s="321">
        <v>18652.189999999999</v>
      </c>
      <c r="P333" s="321">
        <v>18374.240000000002</v>
      </c>
      <c r="Q333" s="321">
        <v>19275.3</v>
      </c>
      <c r="R333" s="321">
        <v>17282.28</v>
      </c>
      <c r="S333" s="321">
        <v>16531.810000000001</v>
      </c>
      <c r="T333" s="321">
        <v>19812.580000000002</v>
      </c>
      <c r="U333" s="322">
        <v>16141.74</v>
      </c>
      <c r="V333" s="323">
        <v>223569.96999999997</v>
      </c>
      <c r="W333" s="303"/>
      <c r="X333" s="324">
        <v>16141.74</v>
      </c>
      <c r="Y333" s="325">
        <v>223569.96999999997</v>
      </c>
    </row>
    <row r="334" spans="1:25" hidden="1" outlineLevel="1" x14ac:dyDescent="0.3">
      <c r="E334" s="250" t="s">
        <v>1264</v>
      </c>
      <c r="F334" s="317">
        <v>4305608</v>
      </c>
      <c r="G334" s="318"/>
      <c r="H334" s="319"/>
      <c r="I334" s="320"/>
      <c r="J334" s="337">
        <v>0</v>
      </c>
      <c r="K334" s="321">
        <v>0</v>
      </c>
      <c r="L334" s="321">
        <v>0</v>
      </c>
      <c r="M334" s="321">
        <v>0</v>
      </c>
      <c r="N334" s="321">
        <v>0</v>
      </c>
      <c r="O334" s="321">
        <v>0</v>
      </c>
      <c r="P334" s="321">
        <v>0</v>
      </c>
      <c r="Q334" s="321">
        <v>0</v>
      </c>
      <c r="R334" s="321">
        <v>0</v>
      </c>
      <c r="S334" s="321">
        <v>0</v>
      </c>
      <c r="T334" s="321">
        <v>0</v>
      </c>
      <c r="U334" s="322">
        <v>0</v>
      </c>
      <c r="V334" s="323">
        <v>0</v>
      </c>
      <c r="W334" s="303"/>
      <c r="X334" s="324">
        <v>0</v>
      </c>
      <c r="Y334" s="325">
        <v>0</v>
      </c>
    </row>
    <row r="335" spans="1:25" hidden="1" outlineLevel="1" x14ac:dyDescent="0.3">
      <c r="E335" s="250" t="s">
        <v>1265</v>
      </c>
      <c r="F335" s="317">
        <v>4305699</v>
      </c>
      <c r="G335" s="318"/>
      <c r="H335" s="319"/>
      <c r="I335" s="320"/>
      <c r="J335" s="337">
        <v>0</v>
      </c>
      <c r="K335" s="321">
        <v>0</v>
      </c>
      <c r="L335" s="321">
        <v>0</v>
      </c>
      <c r="M335" s="321">
        <v>0</v>
      </c>
      <c r="N335" s="321">
        <v>0</v>
      </c>
      <c r="O335" s="321">
        <v>0</v>
      </c>
      <c r="P335" s="321">
        <v>0</v>
      </c>
      <c r="Q335" s="321">
        <v>0</v>
      </c>
      <c r="R335" s="321">
        <v>0</v>
      </c>
      <c r="S335" s="321">
        <v>0</v>
      </c>
      <c r="T335" s="321">
        <v>0</v>
      </c>
      <c r="U335" s="322">
        <v>0</v>
      </c>
      <c r="V335" s="323">
        <v>0</v>
      </c>
      <c r="W335" s="303"/>
      <c r="X335" s="324">
        <v>0</v>
      </c>
      <c r="Y335" s="325">
        <v>0</v>
      </c>
    </row>
    <row r="336" spans="1:25" s="361" customFormat="1" hidden="1" outlineLevel="2" x14ac:dyDescent="0.3">
      <c r="E336" s="326" t="s">
        <v>1266</v>
      </c>
      <c r="F336" s="351"/>
      <c r="G336" s="352"/>
      <c r="H336" s="353"/>
      <c r="I336" s="354"/>
      <c r="J336" s="362">
        <v>0</v>
      </c>
      <c r="K336" s="355">
        <v>0</v>
      </c>
      <c r="L336" s="355">
        <v>0</v>
      </c>
      <c r="M336" s="355">
        <v>0</v>
      </c>
      <c r="N336" s="355">
        <v>0</v>
      </c>
      <c r="O336" s="355">
        <v>0</v>
      </c>
      <c r="P336" s="355">
        <v>0</v>
      </c>
      <c r="Q336" s="355">
        <v>0</v>
      </c>
      <c r="R336" s="355">
        <v>0</v>
      </c>
      <c r="S336" s="355">
        <v>0</v>
      </c>
      <c r="T336" s="355">
        <v>0</v>
      </c>
      <c r="U336" s="356">
        <v>0</v>
      </c>
      <c r="V336" s="357">
        <v>0</v>
      </c>
      <c r="W336" s="358"/>
      <c r="X336" s="359">
        <v>0</v>
      </c>
      <c r="Y336" s="360">
        <v>0</v>
      </c>
    </row>
    <row r="337" spans="1:25" s="361" customFormat="1" hidden="1" outlineLevel="2" x14ac:dyDescent="0.3">
      <c r="E337" s="326" t="s">
        <v>1267</v>
      </c>
      <c r="F337" s="351"/>
      <c r="G337" s="352"/>
      <c r="H337" s="353"/>
      <c r="I337" s="354"/>
      <c r="J337" s="362">
        <v>0</v>
      </c>
      <c r="K337" s="355">
        <v>0</v>
      </c>
      <c r="L337" s="355">
        <v>0</v>
      </c>
      <c r="M337" s="355">
        <v>0</v>
      </c>
      <c r="N337" s="355">
        <v>0</v>
      </c>
      <c r="O337" s="355">
        <v>0</v>
      </c>
      <c r="P337" s="355">
        <v>0</v>
      </c>
      <c r="Q337" s="355">
        <v>0</v>
      </c>
      <c r="R337" s="355">
        <v>0</v>
      </c>
      <c r="S337" s="355">
        <v>0</v>
      </c>
      <c r="T337" s="355">
        <v>0</v>
      </c>
      <c r="U337" s="356">
        <v>0</v>
      </c>
      <c r="V337" s="357">
        <v>0</v>
      </c>
      <c r="W337" s="358"/>
      <c r="X337" s="359">
        <v>0</v>
      </c>
      <c r="Y337" s="360">
        <v>0</v>
      </c>
    </row>
    <row r="338" spans="1:25" s="361" customFormat="1" hidden="1" outlineLevel="2" x14ac:dyDescent="0.3">
      <c r="E338" s="326" t="s">
        <v>1268</v>
      </c>
      <c r="F338" s="351"/>
      <c r="G338" s="352"/>
      <c r="H338" s="353"/>
      <c r="I338" s="354"/>
      <c r="J338" s="362">
        <v>0</v>
      </c>
      <c r="K338" s="355">
        <v>0</v>
      </c>
      <c r="L338" s="355">
        <v>0</v>
      </c>
      <c r="M338" s="355">
        <v>0</v>
      </c>
      <c r="N338" s="355">
        <v>0</v>
      </c>
      <c r="O338" s="355">
        <v>0</v>
      </c>
      <c r="P338" s="355">
        <v>0</v>
      </c>
      <c r="Q338" s="355">
        <v>0</v>
      </c>
      <c r="R338" s="355">
        <v>0</v>
      </c>
      <c r="S338" s="355">
        <v>0</v>
      </c>
      <c r="T338" s="355">
        <v>0</v>
      </c>
      <c r="U338" s="356">
        <v>0</v>
      </c>
      <c r="V338" s="357">
        <v>0</v>
      </c>
      <c r="W338" s="358"/>
      <c r="X338" s="359">
        <v>0</v>
      </c>
      <c r="Y338" s="360">
        <v>0</v>
      </c>
    </row>
    <row r="339" spans="1:25" collapsed="1" x14ac:dyDescent="0.3">
      <c r="A339" s="233"/>
      <c r="B339" s="234" t="s">
        <v>32</v>
      </c>
      <c r="D339" s="293" t="s">
        <v>1269</v>
      </c>
      <c r="E339" s="294"/>
      <c r="F339" s="295" t="s">
        <v>1270</v>
      </c>
      <c r="G339" s="296"/>
      <c r="H339" s="297"/>
      <c r="I339" s="298"/>
      <c r="J339" s="299">
        <v>10907.792000000001</v>
      </c>
      <c r="K339" s="300">
        <v>11367.19</v>
      </c>
      <c r="L339" s="300">
        <v>10276.599</v>
      </c>
      <c r="M339" s="300">
        <v>11265.503000000001</v>
      </c>
      <c r="N339" s="300">
        <v>10412.925999999999</v>
      </c>
      <c r="O339" s="300">
        <v>9505.4150000000009</v>
      </c>
      <c r="P339" s="300">
        <v>10075.308000000001</v>
      </c>
      <c r="Q339" s="300">
        <v>10054.702000000001</v>
      </c>
      <c r="R339" s="300">
        <v>9520.3179999999993</v>
      </c>
      <c r="S339" s="300">
        <v>10184.034</v>
      </c>
      <c r="T339" s="300">
        <v>9529.6310000000012</v>
      </c>
      <c r="U339" s="301">
        <v>10532.048000000001</v>
      </c>
      <c r="V339" s="302">
        <v>123631.46599999999</v>
      </c>
      <c r="W339" s="303"/>
      <c r="X339" s="304">
        <v>10532.048000000001</v>
      </c>
      <c r="Y339" s="305">
        <v>123631.46599999999</v>
      </c>
    </row>
    <row r="340" spans="1:25" hidden="1" outlineLevel="1" x14ac:dyDescent="0.3">
      <c r="E340" s="250" t="s">
        <v>1271</v>
      </c>
      <c r="F340" s="317">
        <v>4305301</v>
      </c>
      <c r="G340" s="318"/>
      <c r="H340" s="319">
        <v>5101130199</v>
      </c>
      <c r="I340" s="320"/>
      <c r="J340" s="337">
        <v>0</v>
      </c>
      <c r="K340" s="321">
        <v>0</v>
      </c>
      <c r="L340" s="321">
        <v>0</v>
      </c>
      <c r="M340" s="321">
        <v>0</v>
      </c>
      <c r="N340" s="321">
        <v>0</v>
      </c>
      <c r="O340" s="321">
        <v>0</v>
      </c>
      <c r="P340" s="321">
        <v>0</v>
      </c>
      <c r="Q340" s="321">
        <v>0</v>
      </c>
      <c r="R340" s="321">
        <v>0</v>
      </c>
      <c r="S340" s="321">
        <v>0</v>
      </c>
      <c r="T340" s="321">
        <v>0</v>
      </c>
      <c r="U340" s="322">
        <v>0</v>
      </c>
      <c r="V340" s="323">
        <v>0</v>
      </c>
      <c r="W340" s="303"/>
      <c r="X340" s="324">
        <v>0</v>
      </c>
      <c r="Y340" s="325">
        <v>0</v>
      </c>
    </row>
    <row r="341" spans="1:25" hidden="1" outlineLevel="1" x14ac:dyDescent="0.3">
      <c r="E341" s="250" t="s">
        <v>1272</v>
      </c>
      <c r="F341" s="317">
        <v>4305302</v>
      </c>
      <c r="G341" s="318"/>
      <c r="H341" s="319">
        <v>5101130101</v>
      </c>
      <c r="I341" s="320"/>
      <c r="J341" s="337">
        <v>6501.1220000000003</v>
      </c>
      <c r="K341" s="321">
        <v>6464.21</v>
      </c>
      <c r="L341" s="321">
        <v>6385.0990000000002</v>
      </c>
      <c r="M341" s="321">
        <v>6260.8280000000004</v>
      </c>
      <c r="N341" s="321">
        <v>6419.8360000000002</v>
      </c>
      <c r="O341" s="321">
        <v>5363.9949999999999</v>
      </c>
      <c r="P341" s="321">
        <v>6127.8879999999999</v>
      </c>
      <c r="Q341" s="321">
        <v>6042.2520000000004</v>
      </c>
      <c r="R341" s="321">
        <v>6038.058</v>
      </c>
      <c r="S341" s="321">
        <v>6238.2839999999997</v>
      </c>
      <c r="T341" s="321">
        <v>5906.0510000000004</v>
      </c>
      <c r="U341" s="322">
        <v>5884.1580000000004</v>
      </c>
      <c r="V341" s="323">
        <v>73631.781000000003</v>
      </c>
      <c r="W341" s="303"/>
      <c r="X341" s="324">
        <v>5884.1580000000004</v>
      </c>
      <c r="Y341" s="325">
        <v>73631.781000000003</v>
      </c>
    </row>
    <row r="342" spans="1:25" hidden="1" outlineLevel="1" x14ac:dyDescent="0.3">
      <c r="E342" s="250" t="s">
        <v>1273</v>
      </c>
      <c r="F342" s="317">
        <v>4305303</v>
      </c>
      <c r="G342" s="318"/>
      <c r="H342" s="319"/>
      <c r="I342" s="320"/>
      <c r="J342" s="337">
        <v>0</v>
      </c>
      <c r="K342" s="321">
        <v>0</v>
      </c>
      <c r="L342" s="321">
        <v>0</v>
      </c>
      <c r="M342" s="321">
        <v>0</v>
      </c>
      <c r="N342" s="321">
        <v>0</v>
      </c>
      <c r="O342" s="321">
        <v>0</v>
      </c>
      <c r="P342" s="321">
        <v>0</v>
      </c>
      <c r="Q342" s="321">
        <v>0</v>
      </c>
      <c r="R342" s="321">
        <v>0</v>
      </c>
      <c r="S342" s="321">
        <v>0</v>
      </c>
      <c r="T342" s="321">
        <v>0</v>
      </c>
      <c r="U342" s="322">
        <v>0</v>
      </c>
      <c r="V342" s="323">
        <v>0</v>
      </c>
      <c r="W342" s="303"/>
      <c r="X342" s="324">
        <v>0</v>
      </c>
      <c r="Y342" s="325">
        <v>0</v>
      </c>
    </row>
    <row r="343" spans="1:25" hidden="1" outlineLevel="1" x14ac:dyDescent="0.3">
      <c r="E343" s="250" t="s">
        <v>1274</v>
      </c>
      <c r="F343" s="317">
        <v>4305304</v>
      </c>
      <c r="G343" s="318"/>
      <c r="H343" s="319">
        <v>5101130103</v>
      </c>
      <c r="I343" s="320"/>
      <c r="J343" s="337">
        <v>1246.67</v>
      </c>
      <c r="K343" s="321">
        <v>1567.55</v>
      </c>
      <c r="L343" s="321">
        <v>1531.5</v>
      </c>
      <c r="M343" s="321">
        <v>1690.145</v>
      </c>
      <c r="N343" s="321">
        <v>1783.09</v>
      </c>
      <c r="O343" s="321">
        <v>1731.42</v>
      </c>
      <c r="P343" s="321">
        <v>1567.42</v>
      </c>
      <c r="Q343" s="321">
        <v>1602.45</v>
      </c>
      <c r="R343" s="321">
        <v>1322.26</v>
      </c>
      <c r="S343" s="321">
        <v>1685.75</v>
      </c>
      <c r="T343" s="321">
        <v>1313.58</v>
      </c>
      <c r="U343" s="322">
        <v>1982.89</v>
      </c>
      <c r="V343" s="323">
        <v>19024.724999999999</v>
      </c>
      <c r="W343" s="303"/>
      <c r="X343" s="324">
        <v>1982.89</v>
      </c>
      <c r="Y343" s="325">
        <v>19024.724999999999</v>
      </c>
    </row>
    <row r="344" spans="1:25" hidden="1" outlineLevel="1" x14ac:dyDescent="0.3">
      <c r="E344" s="250" t="s">
        <v>1275</v>
      </c>
      <c r="F344" s="317">
        <v>4305305</v>
      </c>
      <c r="G344" s="318"/>
      <c r="H344" s="319"/>
      <c r="I344" s="320"/>
      <c r="J344" s="337">
        <v>0</v>
      </c>
      <c r="K344" s="321">
        <v>0</v>
      </c>
      <c r="L344" s="321">
        <v>0</v>
      </c>
      <c r="M344" s="321">
        <v>0</v>
      </c>
      <c r="N344" s="321">
        <v>0</v>
      </c>
      <c r="O344" s="321">
        <v>0</v>
      </c>
      <c r="P344" s="321">
        <v>0</v>
      </c>
      <c r="Q344" s="321">
        <v>0</v>
      </c>
      <c r="R344" s="321">
        <v>0</v>
      </c>
      <c r="S344" s="321">
        <v>0</v>
      </c>
      <c r="T344" s="321">
        <v>0</v>
      </c>
      <c r="U344" s="322">
        <v>0</v>
      </c>
      <c r="V344" s="323">
        <v>0</v>
      </c>
      <c r="W344" s="303"/>
      <c r="X344" s="324">
        <v>0</v>
      </c>
      <c r="Y344" s="325">
        <v>0</v>
      </c>
    </row>
    <row r="345" spans="1:25" hidden="1" outlineLevel="1" x14ac:dyDescent="0.3">
      <c r="E345" s="250" t="s">
        <v>1276</v>
      </c>
      <c r="F345" s="317">
        <v>4305399</v>
      </c>
      <c r="G345" s="318"/>
      <c r="H345" s="319"/>
      <c r="I345" s="320"/>
      <c r="J345" s="337">
        <v>3160</v>
      </c>
      <c r="K345" s="321">
        <v>3335.43</v>
      </c>
      <c r="L345" s="321">
        <v>2360</v>
      </c>
      <c r="M345" s="321">
        <v>3314.53</v>
      </c>
      <c r="N345" s="321">
        <v>2210</v>
      </c>
      <c r="O345" s="321">
        <v>2410</v>
      </c>
      <c r="P345" s="321">
        <v>2380</v>
      </c>
      <c r="Q345" s="321">
        <v>2410</v>
      </c>
      <c r="R345" s="321">
        <v>2160</v>
      </c>
      <c r="S345" s="321">
        <v>2260</v>
      </c>
      <c r="T345" s="321">
        <v>2310</v>
      </c>
      <c r="U345" s="322">
        <v>2665</v>
      </c>
      <c r="V345" s="323">
        <v>30974.959999999999</v>
      </c>
      <c r="W345" s="303"/>
      <c r="X345" s="324">
        <v>2665</v>
      </c>
      <c r="Y345" s="325">
        <v>30974.959999999999</v>
      </c>
    </row>
    <row r="346" spans="1:25" s="361" customFormat="1" hidden="1" outlineLevel="2" x14ac:dyDescent="0.3">
      <c r="E346" s="326" t="s">
        <v>1277</v>
      </c>
      <c r="F346" s="351"/>
      <c r="G346" s="352"/>
      <c r="H346" s="353"/>
      <c r="I346" s="354"/>
      <c r="J346" s="362">
        <v>0</v>
      </c>
      <c r="K346" s="355">
        <v>0</v>
      </c>
      <c r="L346" s="355">
        <v>0</v>
      </c>
      <c r="M346" s="355">
        <v>0</v>
      </c>
      <c r="N346" s="355">
        <v>0</v>
      </c>
      <c r="O346" s="355">
        <v>0</v>
      </c>
      <c r="P346" s="355">
        <v>0</v>
      </c>
      <c r="Q346" s="355">
        <v>0</v>
      </c>
      <c r="R346" s="355">
        <v>0</v>
      </c>
      <c r="S346" s="355">
        <v>0</v>
      </c>
      <c r="T346" s="355">
        <v>0</v>
      </c>
      <c r="U346" s="356">
        <v>0</v>
      </c>
      <c r="V346" s="357">
        <v>0</v>
      </c>
      <c r="W346" s="358"/>
      <c r="X346" s="359">
        <v>0</v>
      </c>
      <c r="Y346" s="360">
        <v>0</v>
      </c>
    </row>
    <row r="347" spans="1:25" s="361" customFormat="1" hidden="1" outlineLevel="2" x14ac:dyDescent="0.3">
      <c r="E347" s="326" t="s">
        <v>1278</v>
      </c>
      <c r="F347" s="351"/>
      <c r="G347" s="352"/>
      <c r="H347" s="353"/>
      <c r="I347" s="354"/>
      <c r="J347" s="362">
        <v>0</v>
      </c>
      <c r="K347" s="355">
        <v>0</v>
      </c>
      <c r="L347" s="355">
        <v>0</v>
      </c>
      <c r="M347" s="355">
        <v>0</v>
      </c>
      <c r="N347" s="355">
        <v>0</v>
      </c>
      <c r="O347" s="355">
        <v>0</v>
      </c>
      <c r="P347" s="355">
        <v>0</v>
      </c>
      <c r="Q347" s="355">
        <v>0</v>
      </c>
      <c r="R347" s="355">
        <v>0</v>
      </c>
      <c r="S347" s="355">
        <v>0</v>
      </c>
      <c r="T347" s="355">
        <v>0</v>
      </c>
      <c r="U347" s="356">
        <v>0</v>
      </c>
      <c r="V347" s="357">
        <v>0</v>
      </c>
      <c r="W347" s="358"/>
      <c r="X347" s="359">
        <v>0</v>
      </c>
      <c r="Y347" s="360">
        <v>0</v>
      </c>
    </row>
    <row r="348" spans="1:25" s="361" customFormat="1" hidden="1" outlineLevel="2" x14ac:dyDescent="0.3">
      <c r="E348" s="326" t="s">
        <v>1279</v>
      </c>
      <c r="F348" s="351"/>
      <c r="G348" s="352"/>
      <c r="H348" s="353"/>
      <c r="I348" s="354"/>
      <c r="J348" s="362">
        <v>0</v>
      </c>
      <c r="K348" s="355">
        <v>0</v>
      </c>
      <c r="L348" s="355">
        <v>0</v>
      </c>
      <c r="M348" s="355">
        <v>0</v>
      </c>
      <c r="N348" s="355">
        <v>0</v>
      </c>
      <c r="O348" s="355">
        <v>0</v>
      </c>
      <c r="P348" s="355">
        <v>0</v>
      </c>
      <c r="Q348" s="355">
        <v>0</v>
      </c>
      <c r="R348" s="355">
        <v>0</v>
      </c>
      <c r="S348" s="355">
        <v>0</v>
      </c>
      <c r="T348" s="355">
        <v>0</v>
      </c>
      <c r="U348" s="356">
        <v>0</v>
      </c>
      <c r="V348" s="357">
        <v>0</v>
      </c>
      <c r="W348" s="358"/>
      <c r="X348" s="359">
        <v>0</v>
      </c>
      <c r="Y348" s="360">
        <v>0</v>
      </c>
    </row>
    <row r="349" spans="1:25" collapsed="1" x14ac:dyDescent="0.3">
      <c r="A349" s="233"/>
      <c r="B349" s="234" t="s">
        <v>37</v>
      </c>
      <c r="D349" s="293" t="s">
        <v>1280</v>
      </c>
      <c r="E349" s="294"/>
      <c r="F349" s="295" t="s">
        <v>1281</v>
      </c>
      <c r="G349" s="296"/>
      <c r="H349" s="297"/>
      <c r="I349" s="298"/>
      <c r="J349" s="299">
        <v>137270.59000000003</v>
      </c>
      <c r="K349" s="300">
        <v>105410.75600000001</v>
      </c>
      <c r="L349" s="300">
        <v>140951.18400000001</v>
      </c>
      <c r="M349" s="300">
        <v>105772.57800000001</v>
      </c>
      <c r="N349" s="300">
        <v>105885.30399999999</v>
      </c>
      <c r="O349" s="300">
        <v>105405.00600000001</v>
      </c>
      <c r="P349" s="300">
        <v>105266.93399999999</v>
      </c>
      <c r="Q349" s="300">
        <v>104784.84299999999</v>
      </c>
      <c r="R349" s="300">
        <v>110884.69</v>
      </c>
      <c r="S349" s="300">
        <v>101834.69499999999</v>
      </c>
      <c r="T349" s="300">
        <v>102123.398</v>
      </c>
      <c r="U349" s="301">
        <v>94968.758000000002</v>
      </c>
      <c r="V349" s="302">
        <v>1320558.7359999996</v>
      </c>
      <c r="W349" s="303"/>
      <c r="X349" s="304">
        <v>94968.758000000002</v>
      </c>
      <c r="Y349" s="305">
        <v>1320558.7359999996</v>
      </c>
    </row>
    <row r="350" spans="1:25" hidden="1" outlineLevel="1" x14ac:dyDescent="0.3">
      <c r="E350" s="250" t="s">
        <v>1282</v>
      </c>
      <c r="F350" s="317">
        <v>4306801</v>
      </c>
      <c r="G350" s="318"/>
      <c r="H350" s="319">
        <v>5101150101</v>
      </c>
      <c r="I350" s="320"/>
      <c r="J350" s="337">
        <v>58.24</v>
      </c>
      <c r="K350" s="321">
        <v>130.03</v>
      </c>
      <c r="L350" s="321">
        <v>131.899</v>
      </c>
      <c r="M350" s="321">
        <v>151.137</v>
      </c>
      <c r="N350" s="321">
        <v>88.043000000000006</v>
      </c>
      <c r="O350" s="321">
        <v>15.92</v>
      </c>
      <c r="P350" s="321">
        <v>41.52</v>
      </c>
      <c r="Q350" s="321">
        <v>82.445999999999998</v>
      </c>
      <c r="R350" s="321">
        <v>73.823999999999998</v>
      </c>
      <c r="S350" s="321">
        <v>66</v>
      </c>
      <c r="T350" s="321">
        <v>7.92</v>
      </c>
      <c r="U350" s="322">
        <v>78.998999999999995</v>
      </c>
      <c r="V350" s="323">
        <v>925.97799999999984</v>
      </c>
      <c r="W350" s="303"/>
      <c r="X350" s="324">
        <v>78.998999999999995</v>
      </c>
      <c r="Y350" s="325">
        <v>925.97799999999984</v>
      </c>
    </row>
    <row r="351" spans="1:25" hidden="1" outlineLevel="1" x14ac:dyDescent="0.3">
      <c r="E351" s="250" t="s">
        <v>1283</v>
      </c>
      <c r="F351" s="317">
        <v>4306802</v>
      </c>
      <c r="G351" s="318"/>
      <c r="H351" s="319">
        <v>5101150199</v>
      </c>
      <c r="I351" s="320"/>
      <c r="J351" s="337">
        <v>91645.372000000003</v>
      </c>
      <c r="K351" s="321">
        <v>60755.372000000003</v>
      </c>
      <c r="L351" s="321">
        <v>60795.372000000003</v>
      </c>
      <c r="M351" s="321">
        <v>60795.372000000003</v>
      </c>
      <c r="N351" s="321">
        <v>60489</v>
      </c>
      <c r="O351" s="321">
        <v>60795.372000000003</v>
      </c>
      <c r="P351" s="321">
        <v>60795.372000000003</v>
      </c>
      <c r="Q351" s="321">
        <v>60795.372000000003</v>
      </c>
      <c r="R351" s="321">
        <v>65625.372000000003</v>
      </c>
      <c r="S351" s="321">
        <v>58095.372000000003</v>
      </c>
      <c r="T351" s="321">
        <v>58095.372000000003</v>
      </c>
      <c r="U351" s="322">
        <v>50565.372000000003</v>
      </c>
      <c r="V351" s="323">
        <v>749248.09199999983</v>
      </c>
      <c r="W351" s="303"/>
      <c r="X351" s="324">
        <v>50565.372000000003</v>
      </c>
      <c r="Y351" s="325">
        <v>749248.09199999983</v>
      </c>
    </row>
    <row r="352" spans="1:25" hidden="1" outlineLevel="1" x14ac:dyDescent="0.3">
      <c r="E352" s="250" t="s">
        <v>1284</v>
      </c>
      <c r="F352" s="317">
        <v>4306803</v>
      </c>
      <c r="G352" s="318"/>
      <c r="H352" s="319">
        <v>5101150103</v>
      </c>
      <c r="I352" s="320"/>
      <c r="J352" s="337">
        <v>23.07</v>
      </c>
      <c r="K352" s="321">
        <v>0</v>
      </c>
      <c r="L352" s="321">
        <v>46.25</v>
      </c>
      <c r="M352" s="321">
        <v>22.73</v>
      </c>
      <c r="N352" s="321">
        <v>0</v>
      </c>
      <c r="O352" s="321">
        <v>0</v>
      </c>
      <c r="P352" s="321">
        <v>46.34</v>
      </c>
      <c r="Q352" s="321">
        <v>23.46</v>
      </c>
      <c r="R352" s="321">
        <v>23.42</v>
      </c>
      <c r="S352" s="321">
        <v>46.19</v>
      </c>
      <c r="T352" s="321">
        <v>22.83</v>
      </c>
      <c r="U352" s="322">
        <v>0</v>
      </c>
      <c r="V352" s="323">
        <v>254.28999999999996</v>
      </c>
      <c r="W352" s="303"/>
      <c r="X352" s="324">
        <v>0</v>
      </c>
      <c r="Y352" s="325">
        <v>254.28999999999996</v>
      </c>
    </row>
    <row r="353" spans="1:25" hidden="1" outlineLevel="1" x14ac:dyDescent="0.3">
      <c r="E353" s="250" t="s">
        <v>1285</v>
      </c>
      <c r="F353" s="317">
        <v>4306804</v>
      </c>
      <c r="G353" s="318"/>
      <c r="H353" s="319"/>
      <c r="I353" s="320"/>
      <c r="J353" s="337">
        <v>2858.5189999999998</v>
      </c>
      <c r="K353" s="321">
        <v>2815.576</v>
      </c>
      <c r="L353" s="321">
        <v>2846.25</v>
      </c>
      <c r="M353" s="321">
        <v>2852.0250000000001</v>
      </c>
      <c r="N353" s="321">
        <v>2860.4580000000001</v>
      </c>
      <c r="O353" s="321">
        <v>2834.7640000000001</v>
      </c>
      <c r="P353" s="321">
        <v>2838.4229999999998</v>
      </c>
      <c r="Q353" s="321">
        <v>2819.7420000000002</v>
      </c>
      <c r="R353" s="321">
        <v>2807.71</v>
      </c>
      <c r="S353" s="321">
        <v>2796.24</v>
      </c>
      <c r="T353" s="321">
        <v>2770.2179999999998</v>
      </c>
      <c r="U353" s="322">
        <v>2775.9050000000002</v>
      </c>
      <c r="V353" s="323">
        <v>33875.829999999994</v>
      </c>
      <c r="W353" s="303"/>
      <c r="X353" s="324">
        <v>2775.9050000000002</v>
      </c>
      <c r="Y353" s="325">
        <v>33875.829999999994</v>
      </c>
    </row>
    <row r="354" spans="1:25" hidden="1" outlineLevel="1" x14ac:dyDescent="0.3">
      <c r="E354" s="250" t="s">
        <v>1286</v>
      </c>
      <c r="F354" s="317">
        <v>4306805</v>
      </c>
      <c r="G354" s="318"/>
      <c r="H354" s="319"/>
      <c r="I354" s="320"/>
      <c r="J354" s="337">
        <v>5183.3500000000004</v>
      </c>
      <c r="K354" s="321">
        <v>5202.33</v>
      </c>
      <c r="L354" s="321">
        <v>5196.07</v>
      </c>
      <c r="M354" s="321">
        <v>4395.5720000000001</v>
      </c>
      <c r="N354" s="321">
        <v>5191.25</v>
      </c>
      <c r="O354" s="321">
        <v>5181.29</v>
      </c>
      <c r="P354" s="321">
        <v>4351.5039999999999</v>
      </c>
      <c r="Q354" s="321">
        <v>5187.3999999999996</v>
      </c>
      <c r="R354" s="321">
        <v>5184.66</v>
      </c>
      <c r="S354" s="321">
        <v>4038.4119999999998</v>
      </c>
      <c r="T354" s="321">
        <v>5185.3789999999999</v>
      </c>
      <c r="U354" s="322">
        <v>5196.0600000000004</v>
      </c>
      <c r="V354" s="323">
        <v>59493.277000000002</v>
      </c>
      <c r="W354" s="303"/>
      <c r="X354" s="324">
        <v>5196.0600000000004</v>
      </c>
      <c r="Y354" s="325">
        <v>59493.277000000002</v>
      </c>
    </row>
    <row r="355" spans="1:25" hidden="1" outlineLevel="1" x14ac:dyDescent="0.3">
      <c r="E355" s="250" t="s">
        <v>1287</v>
      </c>
      <c r="F355" s="317">
        <v>4306806</v>
      </c>
      <c r="G355" s="318"/>
      <c r="H355" s="319"/>
      <c r="I355" s="320"/>
      <c r="J355" s="337">
        <v>0</v>
      </c>
      <c r="K355" s="321">
        <v>0</v>
      </c>
      <c r="L355" s="321">
        <v>0</v>
      </c>
      <c r="M355" s="321">
        <v>0</v>
      </c>
      <c r="N355" s="321">
        <v>0</v>
      </c>
      <c r="O355" s="321">
        <v>0</v>
      </c>
      <c r="P355" s="321">
        <v>0</v>
      </c>
      <c r="Q355" s="321">
        <v>0</v>
      </c>
      <c r="R355" s="321">
        <v>0</v>
      </c>
      <c r="S355" s="321">
        <v>0</v>
      </c>
      <c r="T355" s="321">
        <v>0</v>
      </c>
      <c r="U355" s="322">
        <v>0</v>
      </c>
      <c r="V355" s="323">
        <v>0</v>
      </c>
      <c r="W355" s="303"/>
      <c r="X355" s="324">
        <v>0</v>
      </c>
      <c r="Y355" s="325">
        <v>0</v>
      </c>
    </row>
    <row r="356" spans="1:25" hidden="1" outlineLevel="1" x14ac:dyDescent="0.3">
      <c r="E356" s="250" t="s">
        <v>1288</v>
      </c>
      <c r="F356" s="317">
        <v>4306807</v>
      </c>
      <c r="G356" s="318"/>
      <c r="H356" s="319">
        <v>5101150105</v>
      </c>
      <c r="I356" s="320"/>
      <c r="J356" s="337">
        <v>26328.616000000002</v>
      </c>
      <c r="K356" s="321">
        <v>26216.911</v>
      </c>
      <c r="L356" s="321">
        <v>26677.938999999998</v>
      </c>
      <c r="M356" s="321">
        <v>26126.821</v>
      </c>
      <c r="N356" s="321">
        <v>25924.605</v>
      </c>
      <c r="O356" s="321">
        <v>25801.838</v>
      </c>
      <c r="P356" s="321">
        <v>25376.469000000001</v>
      </c>
      <c r="Q356" s="321">
        <v>23504.195</v>
      </c>
      <c r="R356" s="321">
        <v>24824.639999999999</v>
      </c>
      <c r="S356" s="321">
        <v>25280.851999999999</v>
      </c>
      <c r="T356" s="321">
        <v>25473.17</v>
      </c>
      <c r="U356" s="322">
        <v>25481.227999999999</v>
      </c>
      <c r="V356" s="323">
        <v>307017.28399999999</v>
      </c>
      <c r="W356" s="303"/>
      <c r="X356" s="324">
        <v>25481.227999999999</v>
      </c>
      <c r="Y356" s="325">
        <v>307017.28399999999</v>
      </c>
    </row>
    <row r="357" spans="1:25" s="350" customFormat="1" hidden="1" outlineLevel="2" x14ac:dyDescent="0.3">
      <c r="E357" s="250" t="s">
        <v>1289</v>
      </c>
      <c r="F357" s="375">
        <v>4306808</v>
      </c>
      <c r="G357" s="307"/>
      <c r="H357" s="308"/>
      <c r="I357" s="309"/>
      <c r="J357" s="310">
        <v>0</v>
      </c>
      <c r="K357" s="311">
        <v>0</v>
      </c>
      <c r="L357" s="311">
        <v>0</v>
      </c>
      <c r="M357" s="311">
        <v>0</v>
      </c>
      <c r="N357" s="311">
        <v>0</v>
      </c>
      <c r="O357" s="311">
        <v>0</v>
      </c>
      <c r="P357" s="311">
        <v>0</v>
      </c>
      <c r="Q357" s="311">
        <v>0</v>
      </c>
      <c r="R357" s="311">
        <v>0</v>
      </c>
      <c r="S357" s="311">
        <v>0</v>
      </c>
      <c r="T357" s="311">
        <v>0</v>
      </c>
      <c r="U357" s="312">
        <v>0</v>
      </c>
      <c r="V357" s="313">
        <v>0</v>
      </c>
      <c r="W357" s="314"/>
      <c r="X357" s="315">
        <v>0</v>
      </c>
      <c r="Y357" s="316">
        <v>0</v>
      </c>
    </row>
    <row r="358" spans="1:25" hidden="1" outlineLevel="1" x14ac:dyDescent="0.3">
      <c r="E358" s="250" t="s">
        <v>1290</v>
      </c>
      <c r="F358" s="317">
        <v>4306899</v>
      </c>
      <c r="G358" s="318"/>
      <c r="H358" s="319"/>
      <c r="I358" s="320"/>
      <c r="J358" s="337">
        <v>11173.423000000001</v>
      </c>
      <c r="K358" s="321">
        <v>10290.537</v>
      </c>
      <c r="L358" s="321">
        <v>45257.404000000002</v>
      </c>
      <c r="M358" s="321">
        <v>11428.921</v>
      </c>
      <c r="N358" s="321">
        <v>11331.948</v>
      </c>
      <c r="O358" s="321">
        <v>10775.822</v>
      </c>
      <c r="P358" s="321">
        <v>11817.306</v>
      </c>
      <c r="Q358" s="321">
        <v>12372.227999999999</v>
      </c>
      <c r="R358" s="321">
        <v>12345.064</v>
      </c>
      <c r="S358" s="321">
        <v>11511.629000000001</v>
      </c>
      <c r="T358" s="321">
        <v>10568.509</v>
      </c>
      <c r="U358" s="322">
        <v>10871.194</v>
      </c>
      <c r="V358" s="323">
        <v>169743.98499999999</v>
      </c>
      <c r="W358" s="303"/>
      <c r="X358" s="324">
        <v>10871.194</v>
      </c>
      <c r="Y358" s="325">
        <v>169743.98499999999</v>
      </c>
    </row>
    <row r="359" spans="1:25" s="361" customFormat="1" hidden="1" outlineLevel="2" x14ac:dyDescent="0.3">
      <c r="E359" s="326" t="s">
        <v>1291</v>
      </c>
      <c r="F359" s="351"/>
      <c r="G359" s="352"/>
      <c r="H359" s="353"/>
      <c r="I359" s="354"/>
      <c r="J359" s="362">
        <v>0</v>
      </c>
      <c r="K359" s="355">
        <v>0</v>
      </c>
      <c r="L359" s="355">
        <v>0</v>
      </c>
      <c r="M359" s="355">
        <v>0</v>
      </c>
      <c r="N359" s="355">
        <v>0</v>
      </c>
      <c r="O359" s="355">
        <v>0</v>
      </c>
      <c r="P359" s="355">
        <v>0</v>
      </c>
      <c r="Q359" s="355">
        <v>0</v>
      </c>
      <c r="R359" s="355">
        <v>0</v>
      </c>
      <c r="S359" s="355">
        <v>0</v>
      </c>
      <c r="T359" s="355">
        <v>0</v>
      </c>
      <c r="U359" s="356">
        <v>0</v>
      </c>
      <c r="V359" s="357">
        <v>0</v>
      </c>
      <c r="W359" s="358"/>
      <c r="X359" s="359">
        <v>0</v>
      </c>
      <c r="Y359" s="360">
        <v>0</v>
      </c>
    </row>
    <row r="360" spans="1:25" s="361" customFormat="1" hidden="1" outlineLevel="2" x14ac:dyDescent="0.3">
      <c r="E360" s="326" t="s">
        <v>1292</v>
      </c>
      <c r="F360" s="351"/>
      <c r="G360" s="352"/>
      <c r="H360" s="353"/>
      <c r="I360" s="354"/>
      <c r="J360" s="362">
        <v>0</v>
      </c>
      <c r="K360" s="355">
        <v>0</v>
      </c>
      <c r="L360" s="355">
        <v>0</v>
      </c>
      <c r="M360" s="355">
        <v>0</v>
      </c>
      <c r="N360" s="355">
        <v>0</v>
      </c>
      <c r="O360" s="355">
        <v>0</v>
      </c>
      <c r="P360" s="355">
        <v>0</v>
      </c>
      <c r="Q360" s="355">
        <v>0</v>
      </c>
      <c r="R360" s="355">
        <v>0</v>
      </c>
      <c r="S360" s="355">
        <v>0</v>
      </c>
      <c r="T360" s="355">
        <v>0</v>
      </c>
      <c r="U360" s="356">
        <v>0</v>
      </c>
      <c r="V360" s="357">
        <v>0</v>
      </c>
      <c r="W360" s="358"/>
      <c r="X360" s="359">
        <v>0</v>
      </c>
      <c r="Y360" s="360">
        <v>0</v>
      </c>
    </row>
    <row r="361" spans="1:25" s="361" customFormat="1" hidden="1" outlineLevel="2" x14ac:dyDescent="0.3">
      <c r="E361" s="326" t="s">
        <v>1293</v>
      </c>
      <c r="F361" s="351"/>
      <c r="G361" s="352"/>
      <c r="H361" s="353"/>
      <c r="I361" s="354"/>
      <c r="J361" s="362">
        <v>0</v>
      </c>
      <c r="K361" s="355">
        <v>0</v>
      </c>
      <c r="L361" s="355">
        <v>0</v>
      </c>
      <c r="M361" s="355">
        <v>0</v>
      </c>
      <c r="N361" s="355">
        <v>0</v>
      </c>
      <c r="O361" s="355">
        <v>0</v>
      </c>
      <c r="P361" s="355">
        <v>0</v>
      </c>
      <c r="Q361" s="355">
        <v>0</v>
      </c>
      <c r="R361" s="355">
        <v>0</v>
      </c>
      <c r="S361" s="355">
        <v>0</v>
      </c>
      <c r="T361" s="355">
        <v>0</v>
      </c>
      <c r="U361" s="356">
        <v>0</v>
      </c>
      <c r="V361" s="357">
        <v>0</v>
      </c>
      <c r="W361" s="358"/>
      <c r="X361" s="359">
        <v>0</v>
      </c>
      <c r="Y361" s="360">
        <v>0</v>
      </c>
    </row>
    <row r="362" spans="1:25" collapsed="1" x14ac:dyDescent="0.3">
      <c r="A362" s="233"/>
      <c r="B362" s="234" t="s">
        <v>17</v>
      </c>
      <c r="D362" s="293" t="s">
        <v>1294</v>
      </c>
      <c r="E362" s="294"/>
      <c r="F362" s="295" t="s">
        <v>1295</v>
      </c>
      <c r="G362" s="296"/>
      <c r="H362" s="297"/>
      <c r="I362" s="298"/>
      <c r="J362" s="299">
        <v>169903.666</v>
      </c>
      <c r="K362" s="300">
        <v>161919.87700000001</v>
      </c>
      <c r="L362" s="300">
        <v>163144.83900000001</v>
      </c>
      <c r="M362" s="300">
        <v>111498.02900000001</v>
      </c>
      <c r="N362" s="300">
        <v>118174.47</v>
      </c>
      <c r="O362" s="300">
        <v>115715.61</v>
      </c>
      <c r="P362" s="300">
        <v>159325.84299999999</v>
      </c>
      <c r="Q362" s="300">
        <v>174486.99300000002</v>
      </c>
      <c r="R362" s="300">
        <v>172735.068</v>
      </c>
      <c r="S362" s="300">
        <v>133734.93299999999</v>
      </c>
      <c r="T362" s="300">
        <v>122698.77899999999</v>
      </c>
      <c r="U362" s="301">
        <v>151075.48200000002</v>
      </c>
      <c r="V362" s="302">
        <v>1754413.5890000002</v>
      </c>
      <c r="W362" s="303"/>
      <c r="X362" s="304">
        <v>151075.48200000002</v>
      </c>
      <c r="Y362" s="305">
        <v>1754413.5890000002</v>
      </c>
    </row>
    <row r="363" spans="1:25" hidden="1" outlineLevel="1" x14ac:dyDescent="0.3">
      <c r="E363" s="250" t="s">
        <v>1296</v>
      </c>
      <c r="F363" s="317">
        <v>4301101</v>
      </c>
      <c r="G363" s="318"/>
      <c r="H363" s="319">
        <v>5101170101</v>
      </c>
      <c r="I363" s="320"/>
      <c r="J363" s="337">
        <v>132703.28599999999</v>
      </c>
      <c r="K363" s="321">
        <v>128944.428</v>
      </c>
      <c r="L363" s="321">
        <v>130081.98699999999</v>
      </c>
      <c r="M363" s="321">
        <v>96323.074999999997</v>
      </c>
      <c r="N363" s="321">
        <v>98823.187999999995</v>
      </c>
      <c r="O363" s="321">
        <v>104778.702</v>
      </c>
      <c r="P363" s="321">
        <v>136474.927</v>
      </c>
      <c r="Q363" s="321">
        <v>156522.92199999999</v>
      </c>
      <c r="R363" s="321">
        <v>141729.995</v>
      </c>
      <c r="S363" s="321">
        <v>119006.05899999999</v>
      </c>
      <c r="T363" s="321">
        <v>103311.368</v>
      </c>
      <c r="U363" s="322">
        <v>108988.486</v>
      </c>
      <c r="V363" s="323">
        <v>1457688.4230000002</v>
      </c>
      <c r="W363" s="303"/>
      <c r="X363" s="324">
        <v>108988.486</v>
      </c>
      <c r="Y363" s="325">
        <v>1457688.4230000002</v>
      </c>
    </row>
    <row r="364" spans="1:25" hidden="1" outlineLevel="1" x14ac:dyDescent="0.3">
      <c r="E364" s="250" t="s">
        <v>1297</v>
      </c>
      <c r="F364" s="317">
        <v>4301102</v>
      </c>
      <c r="G364" s="318"/>
      <c r="H364" s="319">
        <v>5101170103</v>
      </c>
      <c r="I364" s="320"/>
      <c r="J364" s="337">
        <v>12293.351000000001</v>
      </c>
      <c r="K364" s="321">
        <v>4253.9579999999996</v>
      </c>
      <c r="L364" s="321">
        <v>11560.404</v>
      </c>
      <c r="M364" s="321">
        <v>3209.2930000000001</v>
      </c>
      <c r="N364" s="321">
        <v>11620.86</v>
      </c>
      <c r="O364" s="321">
        <v>5283.64</v>
      </c>
      <c r="P364" s="321">
        <v>14526.475</v>
      </c>
      <c r="Q364" s="321">
        <v>4559.1890000000003</v>
      </c>
      <c r="R364" s="321">
        <v>18853.321</v>
      </c>
      <c r="S364" s="321">
        <v>5984.634</v>
      </c>
      <c r="T364" s="321">
        <v>12918.790999999999</v>
      </c>
      <c r="U364" s="322">
        <v>6394.5140000000001</v>
      </c>
      <c r="V364" s="323">
        <v>111458.43000000001</v>
      </c>
      <c r="W364" s="303"/>
      <c r="X364" s="324">
        <v>6394.5140000000001</v>
      </c>
      <c r="Y364" s="325">
        <v>111458.43000000001</v>
      </c>
    </row>
    <row r="365" spans="1:25" hidden="1" outlineLevel="1" x14ac:dyDescent="0.3">
      <c r="E365" s="250" t="s">
        <v>1298</v>
      </c>
      <c r="F365" s="317">
        <v>4301103</v>
      </c>
      <c r="G365" s="318"/>
      <c r="H365" s="319">
        <v>5101170105</v>
      </c>
      <c r="I365" s="320"/>
      <c r="J365" s="337">
        <v>24907.028999999999</v>
      </c>
      <c r="K365" s="321">
        <v>28721.491000000002</v>
      </c>
      <c r="L365" s="321">
        <v>21502.448</v>
      </c>
      <c r="M365" s="321">
        <v>11965.661</v>
      </c>
      <c r="N365" s="321">
        <v>7730.4219999999996</v>
      </c>
      <c r="O365" s="321">
        <v>5653.268</v>
      </c>
      <c r="P365" s="321">
        <v>8324.4410000000007</v>
      </c>
      <c r="Q365" s="321">
        <v>13404.882</v>
      </c>
      <c r="R365" s="321">
        <v>12151.752</v>
      </c>
      <c r="S365" s="321">
        <v>8744.24</v>
      </c>
      <c r="T365" s="321">
        <v>6468.62</v>
      </c>
      <c r="U365" s="322">
        <v>35692.482000000004</v>
      </c>
      <c r="V365" s="323">
        <v>185266.73600000003</v>
      </c>
      <c r="W365" s="303"/>
      <c r="X365" s="324">
        <v>35692.482000000004</v>
      </c>
      <c r="Y365" s="325">
        <v>185266.73600000003</v>
      </c>
    </row>
    <row r="366" spans="1:25" hidden="1" outlineLevel="1" x14ac:dyDescent="0.3">
      <c r="E366" s="250" t="s">
        <v>1299</v>
      </c>
      <c r="F366" s="317">
        <v>4301199</v>
      </c>
      <c r="G366" s="318"/>
      <c r="H366" s="319">
        <v>5101170199</v>
      </c>
      <c r="I366" s="320"/>
      <c r="J366" s="337">
        <v>0</v>
      </c>
      <c r="K366" s="321">
        <v>0</v>
      </c>
      <c r="L366" s="321">
        <v>0</v>
      </c>
      <c r="M366" s="321">
        <v>0</v>
      </c>
      <c r="N366" s="321">
        <v>0</v>
      </c>
      <c r="O366" s="321">
        <v>0</v>
      </c>
      <c r="P366" s="321">
        <v>0</v>
      </c>
      <c r="Q366" s="321">
        <v>0</v>
      </c>
      <c r="R366" s="321">
        <v>0</v>
      </c>
      <c r="S366" s="321">
        <v>0</v>
      </c>
      <c r="T366" s="321">
        <v>0</v>
      </c>
      <c r="U366" s="322">
        <v>0</v>
      </c>
      <c r="V366" s="323">
        <v>0</v>
      </c>
      <c r="W366" s="303"/>
      <c r="X366" s="324">
        <v>0</v>
      </c>
      <c r="Y366" s="325">
        <v>0</v>
      </c>
    </row>
    <row r="367" spans="1:25" s="361" customFormat="1" hidden="1" outlineLevel="2" x14ac:dyDescent="0.3">
      <c r="E367" s="326" t="s">
        <v>1300</v>
      </c>
      <c r="F367" s="351"/>
      <c r="G367" s="352"/>
      <c r="H367" s="353"/>
      <c r="I367" s="354"/>
      <c r="J367" s="362">
        <v>0</v>
      </c>
      <c r="K367" s="355">
        <v>0</v>
      </c>
      <c r="L367" s="355">
        <v>0</v>
      </c>
      <c r="M367" s="355">
        <v>0</v>
      </c>
      <c r="N367" s="355">
        <v>0</v>
      </c>
      <c r="O367" s="355">
        <v>0</v>
      </c>
      <c r="P367" s="355">
        <v>0</v>
      </c>
      <c r="Q367" s="355">
        <v>0</v>
      </c>
      <c r="R367" s="355">
        <v>0</v>
      </c>
      <c r="S367" s="355">
        <v>0</v>
      </c>
      <c r="T367" s="355">
        <v>0</v>
      </c>
      <c r="U367" s="356">
        <v>0</v>
      </c>
      <c r="V367" s="357">
        <v>0</v>
      </c>
      <c r="W367" s="358"/>
      <c r="X367" s="359">
        <v>0</v>
      </c>
      <c r="Y367" s="360">
        <v>0</v>
      </c>
    </row>
    <row r="368" spans="1:25" s="361" customFormat="1" hidden="1" outlineLevel="2" x14ac:dyDescent="0.3">
      <c r="E368" s="326" t="s">
        <v>1301</v>
      </c>
      <c r="F368" s="351"/>
      <c r="G368" s="352"/>
      <c r="H368" s="353"/>
      <c r="I368" s="354"/>
      <c r="J368" s="362">
        <v>0</v>
      </c>
      <c r="K368" s="355">
        <v>0</v>
      </c>
      <c r="L368" s="355">
        <v>0</v>
      </c>
      <c r="M368" s="355">
        <v>0</v>
      </c>
      <c r="N368" s="355">
        <v>0</v>
      </c>
      <c r="O368" s="355">
        <v>0</v>
      </c>
      <c r="P368" s="355">
        <v>0</v>
      </c>
      <c r="Q368" s="355">
        <v>0</v>
      </c>
      <c r="R368" s="355">
        <v>0</v>
      </c>
      <c r="S368" s="355">
        <v>0</v>
      </c>
      <c r="T368" s="355">
        <v>0</v>
      </c>
      <c r="U368" s="356">
        <v>0</v>
      </c>
      <c r="V368" s="357">
        <v>0</v>
      </c>
      <c r="W368" s="358"/>
      <c r="X368" s="359">
        <v>0</v>
      </c>
      <c r="Y368" s="360">
        <v>0</v>
      </c>
    </row>
    <row r="369" spans="1:25" s="361" customFormat="1" hidden="1" outlineLevel="2" x14ac:dyDescent="0.3">
      <c r="E369" s="326" t="s">
        <v>1302</v>
      </c>
      <c r="F369" s="351"/>
      <c r="G369" s="352"/>
      <c r="H369" s="353"/>
      <c r="I369" s="354"/>
      <c r="J369" s="362">
        <v>0</v>
      </c>
      <c r="K369" s="355">
        <v>0</v>
      </c>
      <c r="L369" s="355">
        <v>0</v>
      </c>
      <c r="M369" s="355">
        <v>0</v>
      </c>
      <c r="N369" s="355">
        <v>0</v>
      </c>
      <c r="O369" s="355">
        <v>0</v>
      </c>
      <c r="P369" s="355">
        <v>0</v>
      </c>
      <c r="Q369" s="355">
        <v>0</v>
      </c>
      <c r="R369" s="355">
        <v>0</v>
      </c>
      <c r="S369" s="355">
        <v>0</v>
      </c>
      <c r="T369" s="355">
        <v>0</v>
      </c>
      <c r="U369" s="356">
        <v>0</v>
      </c>
      <c r="V369" s="357">
        <v>0</v>
      </c>
      <c r="W369" s="358"/>
      <c r="X369" s="359">
        <v>0</v>
      </c>
      <c r="Y369" s="360">
        <v>0</v>
      </c>
    </row>
    <row r="370" spans="1:25" collapsed="1" x14ac:dyDescent="0.3">
      <c r="A370" s="233"/>
      <c r="B370" s="234" t="s">
        <v>35</v>
      </c>
      <c r="D370" s="294" t="s">
        <v>1303</v>
      </c>
      <c r="E370" s="294"/>
      <c r="F370" s="295" t="s">
        <v>1304</v>
      </c>
      <c r="G370" s="296"/>
      <c r="H370" s="297"/>
      <c r="I370" s="298"/>
      <c r="J370" s="299">
        <v>80401.010999999999</v>
      </c>
      <c r="K370" s="300">
        <v>72650.038</v>
      </c>
      <c r="L370" s="300">
        <v>80401.106</v>
      </c>
      <c r="M370" s="300">
        <v>78851.679999999993</v>
      </c>
      <c r="N370" s="300">
        <v>79969.391000000003</v>
      </c>
      <c r="O370" s="300">
        <v>45161.22</v>
      </c>
      <c r="P370" s="300">
        <v>47418.612999999998</v>
      </c>
      <c r="Q370" s="300">
        <v>47090.648999999998</v>
      </c>
      <c r="R370" s="300">
        <v>45563.718000000001</v>
      </c>
      <c r="S370" s="300">
        <v>47049.428999999996</v>
      </c>
      <c r="T370" s="300">
        <v>45554.598000000005</v>
      </c>
      <c r="U370" s="301">
        <v>47059.438999999998</v>
      </c>
      <c r="V370" s="302">
        <v>717170.89199999999</v>
      </c>
      <c r="W370" s="303"/>
      <c r="X370" s="304">
        <v>47059.438999999998</v>
      </c>
      <c r="Y370" s="305">
        <v>717170.89199999999</v>
      </c>
    </row>
    <row r="371" spans="1:25" hidden="1" outlineLevel="1" x14ac:dyDescent="0.3">
      <c r="E371" s="250" t="s">
        <v>1305</v>
      </c>
      <c r="F371" s="317">
        <v>4306201</v>
      </c>
      <c r="G371" s="318"/>
      <c r="H371" s="319">
        <v>5101190101</v>
      </c>
      <c r="I371" s="320"/>
      <c r="J371" s="337">
        <v>65762.903999999995</v>
      </c>
      <c r="K371" s="321">
        <v>59398.752</v>
      </c>
      <c r="L371" s="321">
        <v>65762.998999999996</v>
      </c>
      <c r="M371" s="321">
        <v>63223.77</v>
      </c>
      <c r="N371" s="321">
        <v>65331.487000000001</v>
      </c>
      <c r="O371" s="321">
        <v>37825.83</v>
      </c>
      <c r="P371" s="321">
        <v>39086.690999999999</v>
      </c>
      <c r="Q371" s="321">
        <v>39086.690999999999</v>
      </c>
      <c r="R371" s="321">
        <v>37825.83</v>
      </c>
      <c r="S371" s="321">
        <v>39086.690999999999</v>
      </c>
      <c r="T371" s="321">
        <v>37825.83</v>
      </c>
      <c r="U371" s="322">
        <v>39086.690999999999</v>
      </c>
      <c r="V371" s="323">
        <v>589304.16599999997</v>
      </c>
      <c r="W371" s="303"/>
      <c r="X371" s="324">
        <v>39086.690999999999</v>
      </c>
      <c r="Y371" s="325">
        <v>589304.16599999997</v>
      </c>
    </row>
    <row r="372" spans="1:25" hidden="1" outlineLevel="1" x14ac:dyDescent="0.3">
      <c r="E372" s="250" t="s">
        <v>1306</v>
      </c>
      <c r="F372" s="317">
        <v>4306202</v>
      </c>
      <c r="G372" s="318"/>
      <c r="H372" s="319"/>
      <c r="I372" s="320"/>
      <c r="J372" s="337">
        <v>0</v>
      </c>
      <c r="K372" s="321">
        <v>29.77</v>
      </c>
      <c r="L372" s="321">
        <v>0</v>
      </c>
      <c r="M372" s="321">
        <v>0</v>
      </c>
      <c r="N372" s="321">
        <v>0</v>
      </c>
      <c r="O372" s="321">
        <v>135</v>
      </c>
      <c r="P372" s="321">
        <v>22.9</v>
      </c>
      <c r="Q372" s="321">
        <v>41.22</v>
      </c>
      <c r="R372" s="321">
        <v>32.020000000000003</v>
      </c>
      <c r="S372" s="321">
        <v>0</v>
      </c>
      <c r="T372" s="321">
        <v>22.9</v>
      </c>
      <c r="U372" s="322">
        <v>0</v>
      </c>
      <c r="V372" s="323">
        <v>283.81</v>
      </c>
      <c r="W372" s="303"/>
      <c r="X372" s="324">
        <v>0</v>
      </c>
      <c r="Y372" s="325">
        <v>283.81</v>
      </c>
    </row>
    <row r="373" spans="1:25" hidden="1" outlineLevel="1" x14ac:dyDescent="0.3">
      <c r="E373" s="250" t="s">
        <v>1307</v>
      </c>
      <c r="F373" s="317">
        <v>4306299</v>
      </c>
      <c r="G373" s="318"/>
      <c r="H373" s="319"/>
      <c r="I373" s="320"/>
      <c r="J373" s="337">
        <v>14638.107</v>
      </c>
      <c r="K373" s="321">
        <v>13221.516</v>
      </c>
      <c r="L373" s="321">
        <v>14638.107</v>
      </c>
      <c r="M373" s="321">
        <v>15627.91</v>
      </c>
      <c r="N373" s="321">
        <v>14637.904</v>
      </c>
      <c r="O373" s="321">
        <v>7200.39</v>
      </c>
      <c r="P373" s="321">
        <v>8309.0220000000008</v>
      </c>
      <c r="Q373" s="321">
        <v>7962.7380000000003</v>
      </c>
      <c r="R373" s="321">
        <v>7705.8680000000004</v>
      </c>
      <c r="S373" s="321">
        <v>7962.7380000000003</v>
      </c>
      <c r="T373" s="321">
        <v>7705.8680000000004</v>
      </c>
      <c r="U373" s="322">
        <v>7972.7479999999996</v>
      </c>
      <c r="V373" s="323">
        <v>127582.916</v>
      </c>
      <c r="W373" s="303"/>
      <c r="X373" s="324">
        <v>7972.7479999999996</v>
      </c>
      <c r="Y373" s="325">
        <v>127582.916</v>
      </c>
    </row>
    <row r="374" spans="1:25" s="361" customFormat="1" hidden="1" outlineLevel="2" x14ac:dyDescent="0.3">
      <c r="E374" s="326" t="s">
        <v>1308</v>
      </c>
      <c r="F374" s="351"/>
      <c r="G374" s="352"/>
      <c r="H374" s="353"/>
      <c r="I374" s="354"/>
      <c r="J374" s="362">
        <v>0</v>
      </c>
      <c r="K374" s="355">
        <v>0</v>
      </c>
      <c r="L374" s="355">
        <v>0</v>
      </c>
      <c r="M374" s="355">
        <v>0</v>
      </c>
      <c r="N374" s="355">
        <v>0</v>
      </c>
      <c r="O374" s="355">
        <v>0</v>
      </c>
      <c r="P374" s="355">
        <v>0</v>
      </c>
      <c r="Q374" s="355">
        <v>0</v>
      </c>
      <c r="R374" s="355">
        <v>0</v>
      </c>
      <c r="S374" s="355">
        <v>0</v>
      </c>
      <c r="T374" s="355">
        <v>0</v>
      </c>
      <c r="U374" s="356">
        <v>0</v>
      </c>
      <c r="V374" s="357">
        <v>0</v>
      </c>
      <c r="W374" s="358"/>
      <c r="X374" s="359">
        <v>0</v>
      </c>
      <c r="Y374" s="360">
        <v>0</v>
      </c>
    </row>
    <row r="375" spans="1:25" s="361" customFormat="1" hidden="1" outlineLevel="2" x14ac:dyDescent="0.3">
      <c r="E375" s="326" t="s">
        <v>1309</v>
      </c>
      <c r="F375" s="351"/>
      <c r="G375" s="352"/>
      <c r="H375" s="353"/>
      <c r="I375" s="354"/>
      <c r="J375" s="362">
        <v>0</v>
      </c>
      <c r="K375" s="355">
        <v>0</v>
      </c>
      <c r="L375" s="355">
        <v>0</v>
      </c>
      <c r="M375" s="355">
        <v>0</v>
      </c>
      <c r="N375" s="355">
        <v>0</v>
      </c>
      <c r="O375" s="355">
        <v>0</v>
      </c>
      <c r="P375" s="355">
        <v>0</v>
      </c>
      <c r="Q375" s="355">
        <v>0</v>
      </c>
      <c r="R375" s="355">
        <v>0</v>
      </c>
      <c r="S375" s="355">
        <v>0</v>
      </c>
      <c r="T375" s="355">
        <v>0</v>
      </c>
      <c r="U375" s="356">
        <v>0</v>
      </c>
      <c r="V375" s="357">
        <v>0</v>
      </c>
      <c r="W375" s="358"/>
      <c r="X375" s="359">
        <v>0</v>
      </c>
      <c r="Y375" s="360">
        <v>0</v>
      </c>
    </row>
    <row r="376" spans="1:25" s="361" customFormat="1" hidden="1" outlineLevel="2" x14ac:dyDescent="0.3">
      <c r="E376" s="326" t="s">
        <v>1310</v>
      </c>
      <c r="F376" s="351"/>
      <c r="G376" s="352"/>
      <c r="H376" s="353"/>
      <c r="I376" s="354"/>
      <c r="J376" s="362">
        <v>0</v>
      </c>
      <c r="K376" s="355">
        <v>0</v>
      </c>
      <c r="L376" s="355">
        <v>0</v>
      </c>
      <c r="M376" s="355">
        <v>0</v>
      </c>
      <c r="N376" s="355">
        <v>0</v>
      </c>
      <c r="O376" s="355">
        <v>0</v>
      </c>
      <c r="P376" s="355">
        <v>0</v>
      </c>
      <c r="Q376" s="355">
        <v>0</v>
      </c>
      <c r="R376" s="355">
        <v>0</v>
      </c>
      <c r="S376" s="355">
        <v>0</v>
      </c>
      <c r="T376" s="355">
        <v>0</v>
      </c>
      <c r="U376" s="356">
        <v>0</v>
      </c>
      <c r="V376" s="357">
        <v>0</v>
      </c>
      <c r="W376" s="358"/>
      <c r="X376" s="359">
        <v>0</v>
      </c>
      <c r="Y376" s="360">
        <v>0</v>
      </c>
    </row>
    <row r="377" spans="1:25" collapsed="1" x14ac:dyDescent="0.3">
      <c r="A377" s="233"/>
      <c r="B377" s="234" t="s">
        <v>27</v>
      </c>
      <c r="D377" s="293" t="s">
        <v>1311</v>
      </c>
      <c r="E377" s="294"/>
      <c r="F377" s="295" t="s">
        <v>1312</v>
      </c>
      <c r="G377" s="296"/>
      <c r="H377" s="297"/>
      <c r="I377" s="298"/>
      <c r="J377" s="299">
        <v>830307.15599999984</v>
      </c>
      <c r="K377" s="300">
        <v>743447.33600000001</v>
      </c>
      <c r="L377" s="300">
        <v>1163782.6369999999</v>
      </c>
      <c r="M377" s="300">
        <v>947263.603</v>
      </c>
      <c r="N377" s="300">
        <v>1129526.9099999999</v>
      </c>
      <c r="O377" s="300">
        <v>2423217.7160000005</v>
      </c>
      <c r="P377" s="300">
        <v>683611.67299999995</v>
      </c>
      <c r="Q377" s="300">
        <v>650167.375</v>
      </c>
      <c r="R377" s="300">
        <v>629743.25599999994</v>
      </c>
      <c r="S377" s="300">
        <v>990386.6449999999</v>
      </c>
      <c r="T377" s="300">
        <v>1214100.8089999999</v>
      </c>
      <c r="U377" s="301">
        <v>1016370.4350000002</v>
      </c>
      <c r="V377" s="302">
        <v>12421925.551000001</v>
      </c>
      <c r="W377" s="303"/>
      <c r="X377" s="304">
        <v>1016370.4350000002</v>
      </c>
      <c r="Y377" s="305">
        <v>12421925.551000001</v>
      </c>
    </row>
    <row r="378" spans="1:25" hidden="1" outlineLevel="1" x14ac:dyDescent="0.3">
      <c r="E378" s="250" t="s">
        <v>1313</v>
      </c>
      <c r="F378" s="317">
        <v>4303801</v>
      </c>
      <c r="G378" s="318"/>
      <c r="H378" s="319">
        <v>5101210101</v>
      </c>
      <c r="I378" s="320"/>
      <c r="J378" s="337">
        <v>900</v>
      </c>
      <c r="K378" s="321">
        <v>500</v>
      </c>
      <c r="L378" s="321">
        <v>83083.850000000006</v>
      </c>
      <c r="M378" s="321">
        <v>12081.23</v>
      </c>
      <c r="N378" s="321">
        <v>97886.64</v>
      </c>
      <c r="O378" s="321">
        <v>3.7999999999999999E-2</v>
      </c>
      <c r="P378" s="321">
        <v>1790</v>
      </c>
      <c r="Q378" s="321">
        <v>500</v>
      </c>
      <c r="R378" s="321">
        <v>0</v>
      </c>
      <c r="S378" s="321">
        <v>0</v>
      </c>
      <c r="T378" s="321">
        <v>10500</v>
      </c>
      <c r="U378" s="322">
        <v>31689.924999999999</v>
      </c>
      <c r="V378" s="323">
        <v>238931.68299999999</v>
      </c>
      <c r="W378" s="303"/>
      <c r="X378" s="324">
        <v>31689.924999999999</v>
      </c>
      <c r="Y378" s="325">
        <v>238931.68299999999</v>
      </c>
    </row>
    <row r="379" spans="1:25" hidden="1" outlineLevel="1" x14ac:dyDescent="0.3">
      <c r="E379" s="250" t="s">
        <v>1314</v>
      </c>
      <c r="F379" s="317">
        <v>4303802</v>
      </c>
      <c r="G379" s="318"/>
      <c r="H379" s="319">
        <v>5101210103</v>
      </c>
      <c r="I379" s="320"/>
      <c r="J379" s="337">
        <v>0</v>
      </c>
      <c r="K379" s="321">
        <v>0</v>
      </c>
      <c r="L379" s="321">
        <v>0</v>
      </c>
      <c r="M379" s="321">
        <v>0</v>
      </c>
      <c r="N379" s="321">
        <v>0</v>
      </c>
      <c r="O379" s="321">
        <v>489285.33299999998</v>
      </c>
      <c r="P379" s="321">
        <v>-6508.8159999999998</v>
      </c>
      <c r="Q379" s="321">
        <v>0</v>
      </c>
      <c r="R379" s="321">
        <v>0</v>
      </c>
      <c r="S379" s="321">
        <v>0</v>
      </c>
      <c r="T379" s="321">
        <v>0</v>
      </c>
      <c r="U379" s="322">
        <v>0</v>
      </c>
      <c r="V379" s="323">
        <v>482776.51699999999</v>
      </c>
      <c r="W379" s="303"/>
      <c r="X379" s="324">
        <v>0</v>
      </c>
      <c r="Y379" s="325">
        <v>482776.51699999999</v>
      </c>
    </row>
    <row r="380" spans="1:25" hidden="1" outlineLevel="1" x14ac:dyDescent="0.3">
      <c r="E380" s="250" t="s">
        <v>1315</v>
      </c>
      <c r="F380" s="317">
        <v>4303803</v>
      </c>
      <c r="G380" s="318"/>
      <c r="H380" s="319"/>
      <c r="I380" s="320"/>
      <c r="J380" s="337">
        <v>0</v>
      </c>
      <c r="K380" s="321">
        <v>0</v>
      </c>
      <c r="L380" s="321">
        <v>0</v>
      </c>
      <c r="M380" s="321">
        <v>0</v>
      </c>
      <c r="N380" s="321">
        <v>0</v>
      </c>
      <c r="O380" s="321">
        <v>557800.31799999997</v>
      </c>
      <c r="P380" s="321">
        <v>0</v>
      </c>
      <c r="Q380" s="321">
        <v>0</v>
      </c>
      <c r="R380" s="321">
        <v>3749.0419999999999</v>
      </c>
      <c r="S380" s="321">
        <v>0</v>
      </c>
      <c r="T380" s="321">
        <v>0</v>
      </c>
      <c r="U380" s="322">
        <v>0</v>
      </c>
      <c r="V380" s="323">
        <v>561549.36</v>
      </c>
      <c r="W380" s="303"/>
      <c r="X380" s="324">
        <v>0</v>
      </c>
      <c r="Y380" s="325">
        <v>561549.36</v>
      </c>
    </row>
    <row r="381" spans="1:25" hidden="1" outlineLevel="1" x14ac:dyDescent="0.3">
      <c r="E381" s="250" t="s">
        <v>1316</v>
      </c>
      <c r="F381" s="317">
        <v>4303804</v>
      </c>
      <c r="G381" s="318"/>
      <c r="H381" s="319">
        <v>5101210199</v>
      </c>
      <c r="I381" s="320"/>
      <c r="J381" s="337">
        <v>0</v>
      </c>
      <c r="K381" s="321">
        <v>0</v>
      </c>
      <c r="L381" s="321">
        <v>0</v>
      </c>
      <c r="M381" s="321">
        <v>0</v>
      </c>
      <c r="N381" s="321">
        <v>0</v>
      </c>
      <c r="O381" s="321">
        <v>0</v>
      </c>
      <c r="P381" s="321">
        <v>0</v>
      </c>
      <c r="Q381" s="321">
        <v>0</v>
      </c>
      <c r="R381" s="321">
        <v>0</v>
      </c>
      <c r="S381" s="321">
        <v>100</v>
      </c>
      <c r="T381" s="321">
        <v>0</v>
      </c>
      <c r="U381" s="322">
        <v>0</v>
      </c>
      <c r="V381" s="323">
        <v>100</v>
      </c>
      <c r="W381" s="303"/>
      <c r="X381" s="324">
        <v>0</v>
      </c>
      <c r="Y381" s="325">
        <v>100</v>
      </c>
    </row>
    <row r="382" spans="1:25" hidden="1" outlineLevel="1" x14ac:dyDescent="0.3">
      <c r="E382" s="250" t="s">
        <v>1317</v>
      </c>
      <c r="F382" s="317">
        <v>4303805</v>
      </c>
      <c r="G382" s="318"/>
      <c r="H382" s="319"/>
      <c r="I382" s="320"/>
      <c r="J382" s="337">
        <v>0</v>
      </c>
      <c r="K382" s="321">
        <v>0</v>
      </c>
      <c r="L382" s="321">
        <v>0</v>
      </c>
      <c r="M382" s="321">
        <v>0</v>
      </c>
      <c r="N382" s="321">
        <v>0</v>
      </c>
      <c r="O382" s="321">
        <v>0</v>
      </c>
      <c r="P382" s="321">
        <v>0</v>
      </c>
      <c r="Q382" s="321">
        <v>0</v>
      </c>
      <c r="R382" s="321">
        <v>0</v>
      </c>
      <c r="S382" s="321">
        <v>0</v>
      </c>
      <c r="T382" s="321">
        <v>0</v>
      </c>
      <c r="U382" s="322">
        <v>0</v>
      </c>
      <c r="V382" s="323">
        <v>0</v>
      </c>
      <c r="W382" s="303"/>
      <c r="X382" s="324">
        <v>0</v>
      </c>
      <c r="Y382" s="325">
        <v>0</v>
      </c>
    </row>
    <row r="383" spans="1:25" hidden="1" outlineLevel="1" x14ac:dyDescent="0.3">
      <c r="E383" s="250" t="s">
        <v>1318</v>
      </c>
      <c r="F383" s="317">
        <v>4303806</v>
      </c>
      <c r="G383" s="318"/>
      <c r="H383" s="319"/>
      <c r="I383" s="320"/>
      <c r="J383" s="337">
        <v>720.8</v>
      </c>
      <c r="K383" s="321">
        <v>0</v>
      </c>
      <c r="L383" s="321">
        <v>0</v>
      </c>
      <c r="M383" s="321">
        <v>32</v>
      </c>
      <c r="N383" s="321">
        <v>0</v>
      </c>
      <c r="O383" s="321">
        <v>0</v>
      </c>
      <c r="P383" s="321">
        <v>0</v>
      </c>
      <c r="Q383" s="321">
        <v>0</v>
      </c>
      <c r="R383" s="321">
        <v>0</v>
      </c>
      <c r="S383" s="321">
        <v>0</v>
      </c>
      <c r="T383" s="321">
        <v>890.62</v>
      </c>
      <c r="U383" s="322">
        <v>0</v>
      </c>
      <c r="V383" s="323">
        <v>1643.42</v>
      </c>
      <c r="W383" s="303"/>
      <c r="X383" s="324">
        <v>0</v>
      </c>
      <c r="Y383" s="325">
        <v>1643.42</v>
      </c>
    </row>
    <row r="384" spans="1:25" hidden="1" outlineLevel="1" x14ac:dyDescent="0.3">
      <c r="E384" s="250" t="s">
        <v>1319</v>
      </c>
      <c r="F384" s="317">
        <v>4303808</v>
      </c>
      <c r="G384" s="318"/>
      <c r="H384" s="319">
        <v>5101210111</v>
      </c>
      <c r="I384" s="320"/>
      <c r="J384" s="337">
        <v>190195.46</v>
      </c>
      <c r="K384" s="321">
        <v>190947.64</v>
      </c>
      <c r="L384" s="321">
        <v>190696.05</v>
      </c>
      <c r="M384" s="321">
        <v>189915.31</v>
      </c>
      <c r="N384" s="321">
        <v>189869.72</v>
      </c>
      <c r="O384" s="321">
        <v>189058.93</v>
      </c>
      <c r="P384" s="321">
        <v>198695.1</v>
      </c>
      <c r="Q384" s="321">
        <v>195979.02</v>
      </c>
      <c r="R384" s="321">
        <v>197712.29</v>
      </c>
      <c r="S384" s="321">
        <v>197957.6</v>
      </c>
      <c r="T384" s="321">
        <v>199149.15</v>
      </c>
      <c r="U384" s="322">
        <v>197425.64</v>
      </c>
      <c r="V384" s="323">
        <v>2327601.91</v>
      </c>
      <c r="W384" s="303"/>
      <c r="X384" s="324">
        <v>197425.64</v>
      </c>
      <c r="Y384" s="325">
        <v>2327601.91</v>
      </c>
    </row>
    <row r="385" spans="5:25" hidden="1" outlineLevel="1" x14ac:dyDescent="0.3">
      <c r="E385" s="250" t="s">
        <v>1320</v>
      </c>
      <c r="F385" s="317">
        <v>4303809</v>
      </c>
      <c r="G385" s="318"/>
      <c r="H385" s="319">
        <v>5101210113</v>
      </c>
      <c r="I385" s="320"/>
      <c r="J385" s="337">
        <v>0</v>
      </c>
      <c r="K385" s="321">
        <v>0</v>
      </c>
      <c r="L385" s="321">
        <v>0</v>
      </c>
      <c r="M385" s="321">
        <v>0</v>
      </c>
      <c r="N385" s="321">
        <v>13.07</v>
      </c>
      <c r="O385" s="321">
        <v>3240.01</v>
      </c>
      <c r="P385" s="321">
        <v>3578.6</v>
      </c>
      <c r="Q385" s="321">
        <v>3020.1</v>
      </c>
      <c r="R385" s="321">
        <v>3142.36</v>
      </c>
      <c r="S385" s="321">
        <v>3231.33</v>
      </c>
      <c r="T385" s="321">
        <v>2987.5</v>
      </c>
      <c r="U385" s="322">
        <v>4385.8500000000004</v>
      </c>
      <c r="V385" s="323">
        <v>23598.82</v>
      </c>
      <c r="W385" s="303"/>
      <c r="X385" s="324">
        <v>4385.8500000000004</v>
      </c>
      <c r="Y385" s="325">
        <v>23598.82</v>
      </c>
    </row>
    <row r="386" spans="5:25" hidden="1" outlineLevel="1" x14ac:dyDescent="0.3">
      <c r="E386" s="250" t="s">
        <v>1321</v>
      </c>
      <c r="F386" s="317">
        <v>4303810</v>
      </c>
      <c r="G386" s="318"/>
      <c r="H386" s="319"/>
      <c r="I386" s="320"/>
      <c r="J386" s="337">
        <v>0</v>
      </c>
      <c r="K386" s="321">
        <v>0</v>
      </c>
      <c r="L386" s="321">
        <v>0</v>
      </c>
      <c r="M386" s="321">
        <v>0</v>
      </c>
      <c r="N386" s="321">
        <v>0</v>
      </c>
      <c r="O386" s="321">
        <v>0</v>
      </c>
      <c r="P386" s="321">
        <v>0</v>
      </c>
      <c r="Q386" s="321">
        <v>0</v>
      </c>
      <c r="R386" s="321">
        <v>0</v>
      </c>
      <c r="S386" s="321">
        <v>100979.92</v>
      </c>
      <c r="T386" s="321">
        <v>0</v>
      </c>
      <c r="U386" s="322">
        <v>0</v>
      </c>
      <c r="V386" s="323">
        <v>100979.92</v>
      </c>
      <c r="W386" s="303"/>
      <c r="X386" s="324">
        <v>0</v>
      </c>
      <c r="Y386" s="325">
        <v>100979.92</v>
      </c>
    </row>
    <row r="387" spans="5:25" hidden="1" outlineLevel="1" x14ac:dyDescent="0.3">
      <c r="E387" s="250" t="s">
        <v>1322</v>
      </c>
      <c r="F387" s="317">
        <v>4303811</v>
      </c>
      <c r="G387" s="318"/>
      <c r="H387" s="319"/>
      <c r="I387" s="320"/>
      <c r="J387" s="337">
        <v>0</v>
      </c>
      <c r="K387" s="321">
        <v>0</v>
      </c>
      <c r="L387" s="321">
        <v>0</v>
      </c>
      <c r="M387" s="321">
        <v>0</v>
      </c>
      <c r="N387" s="321">
        <v>0</v>
      </c>
      <c r="O387" s="321">
        <v>5843</v>
      </c>
      <c r="P387" s="321">
        <v>0</v>
      </c>
      <c r="Q387" s="321">
        <v>0</v>
      </c>
      <c r="R387" s="321">
        <v>-1895.03</v>
      </c>
      <c r="S387" s="321">
        <v>0</v>
      </c>
      <c r="T387" s="321">
        <v>0</v>
      </c>
      <c r="U387" s="322">
        <v>0</v>
      </c>
      <c r="V387" s="323">
        <v>3947.9700000000003</v>
      </c>
      <c r="W387" s="303"/>
      <c r="X387" s="324">
        <v>0</v>
      </c>
      <c r="Y387" s="325">
        <v>3947.9700000000003</v>
      </c>
    </row>
    <row r="388" spans="5:25" hidden="1" outlineLevel="1" x14ac:dyDescent="0.3">
      <c r="E388" s="250" t="s">
        <v>1323</v>
      </c>
      <c r="F388" s="317">
        <v>4303812</v>
      </c>
      <c r="G388" s="318"/>
      <c r="H388" s="319"/>
      <c r="I388" s="320"/>
      <c r="J388" s="337">
        <v>2776.5230000000001</v>
      </c>
      <c r="K388" s="321">
        <v>0</v>
      </c>
      <c r="L388" s="321">
        <v>0</v>
      </c>
      <c r="M388" s="321">
        <v>2350</v>
      </c>
      <c r="N388" s="321">
        <v>7560.26</v>
      </c>
      <c r="O388" s="321">
        <v>0</v>
      </c>
      <c r="P388" s="321">
        <v>766.1</v>
      </c>
      <c r="Q388" s="321">
        <v>0</v>
      </c>
      <c r="R388" s="321">
        <v>0</v>
      </c>
      <c r="S388" s="321">
        <v>0</v>
      </c>
      <c r="T388" s="321">
        <v>0</v>
      </c>
      <c r="U388" s="322">
        <v>0</v>
      </c>
      <c r="V388" s="323">
        <v>13452.883</v>
      </c>
      <c r="W388" s="303"/>
      <c r="X388" s="324">
        <v>0</v>
      </c>
      <c r="Y388" s="325">
        <v>13452.883</v>
      </c>
    </row>
    <row r="389" spans="5:25" hidden="1" outlineLevel="1" x14ac:dyDescent="0.3">
      <c r="E389" s="250" t="s">
        <v>1324</v>
      </c>
      <c r="F389" s="317">
        <v>4303813</v>
      </c>
      <c r="G389" s="318"/>
      <c r="H389" s="319"/>
      <c r="I389" s="320"/>
      <c r="J389" s="337">
        <v>239.85900000000001</v>
      </c>
      <c r="K389" s="321">
        <v>216.64599999999999</v>
      </c>
      <c r="L389" s="321">
        <v>160.27500000000001</v>
      </c>
      <c r="M389" s="321">
        <v>205.59299999999999</v>
      </c>
      <c r="N389" s="321">
        <v>212.447</v>
      </c>
      <c r="O389" s="321">
        <v>205.59399999999999</v>
      </c>
      <c r="P389" s="321">
        <v>212.447</v>
      </c>
      <c r="Q389" s="321">
        <v>212.446</v>
      </c>
      <c r="R389" s="321">
        <v>205.59299999999999</v>
      </c>
      <c r="S389" s="321">
        <v>212.447</v>
      </c>
      <c r="T389" s="321">
        <v>210.05</v>
      </c>
      <c r="U389" s="322">
        <v>104.94499999999999</v>
      </c>
      <c r="V389" s="323">
        <v>2398.3420000000001</v>
      </c>
      <c r="W389" s="303"/>
      <c r="X389" s="324">
        <v>104.94499999999999</v>
      </c>
      <c r="Y389" s="325">
        <v>2398.3420000000001</v>
      </c>
    </row>
    <row r="390" spans="5:25" hidden="1" outlineLevel="1" x14ac:dyDescent="0.3">
      <c r="E390" s="250" t="s">
        <v>1325</v>
      </c>
      <c r="F390" s="317">
        <v>4303814</v>
      </c>
      <c r="G390" s="318"/>
      <c r="H390" s="319">
        <v>5101210115</v>
      </c>
      <c r="I390" s="320"/>
      <c r="J390" s="337">
        <v>279331.65399999998</v>
      </c>
      <c r="K390" s="321">
        <v>278961.79399999999</v>
      </c>
      <c r="L390" s="321">
        <v>245653.32199999999</v>
      </c>
      <c r="M390" s="321">
        <v>284815.38</v>
      </c>
      <c r="N390" s="321">
        <v>225148.18299999999</v>
      </c>
      <c r="O390" s="321">
        <v>219614.85699999999</v>
      </c>
      <c r="P390" s="321">
        <v>210275.31200000001</v>
      </c>
      <c r="Q390" s="321">
        <v>254930.97899999999</v>
      </c>
      <c r="R390" s="321">
        <v>226698.28099999999</v>
      </c>
      <c r="S390" s="321">
        <v>187342.88800000001</v>
      </c>
      <c r="T390" s="321">
        <v>189976.27900000001</v>
      </c>
      <c r="U390" s="322">
        <v>206129.77100000001</v>
      </c>
      <c r="V390" s="323">
        <v>2808878.7</v>
      </c>
      <c r="W390" s="303"/>
      <c r="X390" s="324">
        <v>206129.77100000001</v>
      </c>
      <c r="Y390" s="325">
        <v>2808878.7</v>
      </c>
    </row>
    <row r="391" spans="5:25" hidden="1" outlineLevel="1" x14ac:dyDescent="0.3">
      <c r="E391" s="250" t="s">
        <v>1326</v>
      </c>
      <c r="F391" s="317">
        <v>4303815</v>
      </c>
      <c r="G391" s="318"/>
      <c r="H391" s="319">
        <v>5101210109</v>
      </c>
      <c r="I391" s="320"/>
      <c r="J391" s="337">
        <v>0</v>
      </c>
      <c r="K391" s="321">
        <v>0</v>
      </c>
      <c r="L391" s="321">
        <v>0</v>
      </c>
      <c r="M391" s="321">
        <v>0</v>
      </c>
      <c r="N391" s="321">
        <v>0</v>
      </c>
      <c r="O391" s="321">
        <v>645744.87600000005</v>
      </c>
      <c r="P391" s="321">
        <v>0</v>
      </c>
      <c r="Q391" s="321">
        <v>0</v>
      </c>
      <c r="R391" s="321">
        <v>0</v>
      </c>
      <c r="S391" s="321">
        <v>0</v>
      </c>
      <c r="T391" s="321">
        <v>0</v>
      </c>
      <c r="U391" s="322">
        <v>5401.924</v>
      </c>
      <c r="V391" s="323">
        <v>651146.80000000005</v>
      </c>
      <c r="W391" s="303"/>
      <c r="X391" s="324">
        <v>5401.924</v>
      </c>
      <c r="Y391" s="325">
        <v>651146.80000000005</v>
      </c>
    </row>
    <row r="392" spans="5:25" hidden="1" outlineLevel="1" x14ac:dyDescent="0.3">
      <c r="E392" s="250" t="s">
        <v>1327</v>
      </c>
      <c r="F392" s="317">
        <v>4303816</v>
      </c>
      <c r="G392" s="318"/>
      <c r="H392" s="319">
        <v>5101210105</v>
      </c>
      <c r="I392" s="320"/>
      <c r="J392" s="337">
        <v>64339.08</v>
      </c>
      <c r="K392" s="321">
        <v>25043.42</v>
      </c>
      <c r="L392" s="321">
        <v>24771.66</v>
      </c>
      <c r="M392" s="321">
        <v>25994.17</v>
      </c>
      <c r="N392" s="321">
        <v>24184.14</v>
      </c>
      <c r="O392" s="321">
        <v>28767.33</v>
      </c>
      <c r="P392" s="321">
        <v>28721.67</v>
      </c>
      <c r="Q392" s="321">
        <v>26563.93</v>
      </c>
      <c r="R392" s="321">
        <v>25065.41</v>
      </c>
      <c r="S392" s="321">
        <v>26747.67</v>
      </c>
      <c r="T392" s="321">
        <v>24465.040000000001</v>
      </c>
      <c r="U392" s="322">
        <v>35800.68</v>
      </c>
      <c r="V392" s="323">
        <v>360464.19999999995</v>
      </c>
      <c r="W392" s="303"/>
      <c r="X392" s="324">
        <v>35800.68</v>
      </c>
      <c r="Y392" s="325">
        <v>360464.19999999995</v>
      </c>
    </row>
    <row r="393" spans="5:25" hidden="1" outlineLevel="1" x14ac:dyDescent="0.3">
      <c r="E393" s="250" t="s">
        <v>1328</v>
      </c>
      <c r="F393" s="317">
        <v>4303817</v>
      </c>
      <c r="G393" s="318"/>
      <c r="H393" s="319"/>
      <c r="I393" s="320"/>
      <c r="J393" s="337">
        <v>0</v>
      </c>
      <c r="K393" s="321">
        <v>0</v>
      </c>
      <c r="L393" s="321">
        <v>0</v>
      </c>
      <c r="M393" s="321">
        <v>0</v>
      </c>
      <c r="N393" s="321">
        <v>0</v>
      </c>
      <c r="O393" s="321">
        <v>0</v>
      </c>
      <c r="P393" s="321">
        <v>0</v>
      </c>
      <c r="Q393" s="321">
        <v>19285.5</v>
      </c>
      <c r="R393" s="321">
        <v>0</v>
      </c>
      <c r="S393" s="321">
        <v>0</v>
      </c>
      <c r="T393" s="321">
        <v>0</v>
      </c>
      <c r="U393" s="322">
        <v>0</v>
      </c>
      <c r="V393" s="323">
        <v>19285.5</v>
      </c>
      <c r="W393" s="303"/>
      <c r="X393" s="324">
        <v>0</v>
      </c>
      <c r="Y393" s="325">
        <v>19285.5</v>
      </c>
    </row>
    <row r="394" spans="5:25" hidden="1" outlineLevel="1" x14ac:dyDescent="0.3">
      <c r="E394" s="250" t="s">
        <v>1329</v>
      </c>
      <c r="F394" s="317">
        <v>4303818</v>
      </c>
      <c r="G394" s="318"/>
      <c r="H394" s="319"/>
      <c r="I394" s="320"/>
      <c r="J394" s="337">
        <v>289054.45</v>
      </c>
      <c r="K394" s="321">
        <v>247720.26</v>
      </c>
      <c r="L394" s="321">
        <v>602845.76</v>
      </c>
      <c r="M394" s="321">
        <v>431869.92</v>
      </c>
      <c r="N394" s="321">
        <v>584652.44999999995</v>
      </c>
      <c r="O394" s="321">
        <v>285131.95</v>
      </c>
      <c r="P394" s="321">
        <v>246081.26</v>
      </c>
      <c r="Q394" s="321">
        <v>149675.4</v>
      </c>
      <c r="R394" s="321">
        <v>175065.31</v>
      </c>
      <c r="S394" s="321">
        <v>473814.79</v>
      </c>
      <c r="T394" s="321">
        <v>785922.17</v>
      </c>
      <c r="U394" s="322">
        <v>533554.75</v>
      </c>
      <c r="V394" s="323">
        <v>4805388.47</v>
      </c>
      <c r="W394" s="303"/>
      <c r="X394" s="324">
        <v>533554.75</v>
      </c>
      <c r="Y394" s="325">
        <v>4805388.47</v>
      </c>
    </row>
    <row r="395" spans="5:25" hidden="1" outlineLevel="1" x14ac:dyDescent="0.3">
      <c r="E395" s="250" t="s">
        <v>1330</v>
      </c>
      <c r="F395" s="317">
        <v>4303820</v>
      </c>
      <c r="G395" s="318"/>
      <c r="H395" s="319"/>
      <c r="I395" s="320"/>
      <c r="J395" s="337">
        <v>0</v>
      </c>
      <c r="K395" s="321">
        <v>0</v>
      </c>
      <c r="L395" s="321">
        <v>0</v>
      </c>
      <c r="M395" s="321">
        <v>0</v>
      </c>
      <c r="N395" s="321">
        <v>0</v>
      </c>
      <c r="O395" s="321">
        <v>0</v>
      </c>
      <c r="P395" s="321">
        <v>0</v>
      </c>
      <c r="Q395" s="321">
        <v>0</v>
      </c>
      <c r="R395" s="321">
        <v>0</v>
      </c>
      <c r="S395" s="321">
        <v>0</v>
      </c>
      <c r="T395" s="321">
        <v>0</v>
      </c>
      <c r="U395" s="322">
        <v>0</v>
      </c>
      <c r="V395" s="323">
        <v>0</v>
      </c>
      <c r="W395" s="303"/>
      <c r="X395" s="324">
        <v>0</v>
      </c>
      <c r="Y395" s="325">
        <v>0</v>
      </c>
    </row>
    <row r="396" spans="5:25" hidden="1" outlineLevel="1" x14ac:dyDescent="0.3">
      <c r="E396" s="250" t="s">
        <v>1331</v>
      </c>
      <c r="F396" s="317">
        <v>4303890</v>
      </c>
      <c r="G396" s="318"/>
      <c r="H396" s="319"/>
      <c r="I396" s="320"/>
      <c r="J396" s="337">
        <v>0</v>
      </c>
      <c r="K396" s="321">
        <v>0</v>
      </c>
      <c r="L396" s="321">
        <v>0</v>
      </c>
      <c r="M396" s="321">
        <v>0</v>
      </c>
      <c r="N396" s="321">
        <v>0</v>
      </c>
      <c r="O396" s="321">
        <v>32</v>
      </c>
      <c r="P396" s="321">
        <v>0</v>
      </c>
      <c r="Q396" s="321">
        <v>0</v>
      </c>
      <c r="R396" s="321">
        <v>0</v>
      </c>
      <c r="S396" s="321">
        <v>0</v>
      </c>
      <c r="T396" s="321">
        <v>0</v>
      </c>
      <c r="U396" s="322">
        <v>54.65</v>
      </c>
      <c r="V396" s="323">
        <v>86.65</v>
      </c>
      <c r="W396" s="303"/>
      <c r="X396" s="324">
        <v>54.65</v>
      </c>
      <c r="Y396" s="325">
        <v>86.65</v>
      </c>
    </row>
    <row r="397" spans="5:25" s="350" customFormat="1" hidden="1" outlineLevel="2" x14ac:dyDescent="0.3">
      <c r="E397" s="350" t="s">
        <v>1332</v>
      </c>
      <c r="F397" s="306">
        <v>4303899</v>
      </c>
      <c r="G397" s="307"/>
      <c r="H397" s="308"/>
      <c r="I397" s="309"/>
      <c r="J397" s="310">
        <v>2749.33</v>
      </c>
      <c r="K397" s="311">
        <v>57.576000000000001</v>
      </c>
      <c r="L397" s="311">
        <v>16571.72</v>
      </c>
      <c r="M397" s="311">
        <v>0</v>
      </c>
      <c r="N397" s="311">
        <v>0</v>
      </c>
      <c r="O397" s="311">
        <v>-1506.52</v>
      </c>
      <c r="P397" s="311">
        <v>0</v>
      </c>
      <c r="Q397" s="311">
        <v>0</v>
      </c>
      <c r="R397" s="311">
        <v>0</v>
      </c>
      <c r="S397" s="311">
        <v>0</v>
      </c>
      <c r="T397" s="311">
        <v>0</v>
      </c>
      <c r="U397" s="312">
        <v>1822.3</v>
      </c>
      <c r="V397" s="313">
        <v>19694.405999999999</v>
      </c>
      <c r="W397" s="314"/>
      <c r="X397" s="315">
        <v>1822.3</v>
      </c>
      <c r="Y397" s="316">
        <v>19694.405999999999</v>
      </c>
    </row>
    <row r="398" spans="5:25" s="361" customFormat="1" hidden="1" outlineLevel="2" x14ac:dyDescent="0.3">
      <c r="E398" s="326" t="s">
        <v>1333</v>
      </c>
      <c r="F398" s="351"/>
      <c r="G398" s="352"/>
      <c r="H398" s="353"/>
      <c r="I398" s="354"/>
      <c r="J398" s="362">
        <v>0</v>
      </c>
      <c r="K398" s="355">
        <v>0</v>
      </c>
      <c r="L398" s="355">
        <v>0</v>
      </c>
      <c r="M398" s="355">
        <v>0</v>
      </c>
      <c r="N398" s="355">
        <v>0</v>
      </c>
      <c r="O398" s="355">
        <v>0</v>
      </c>
      <c r="P398" s="355">
        <v>0</v>
      </c>
      <c r="Q398" s="355">
        <v>0</v>
      </c>
      <c r="R398" s="355">
        <v>0</v>
      </c>
      <c r="S398" s="355">
        <v>0</v>
      </c>
      <c r="T398" s="355">
        <v>0</v>
      </c>
      <c r="U398" s="356">
        <v>0</v>
      </c>
      <c r="V398" s="357">
        <v>0</v>
      </c>
      <c r="W398" s="358"/>
      <c r="X398" s="359">
        <v>0</v>
      </c>
      <c r="Y398" s="360">
        <v>0</v>
      </c>
    </row>
    <row r="399" spans="5:25" s="361" customFormat="1" hidden="1" outlineLevel="2" x14ac:dyDescent="0.3">
      <c r="E399" s="326" t="s">
        <v>1334</v>
      </c>
      <c r="F399" s="351"/>
      <c r="G399" s="352"/>
      <c r="H399" s="353"/>
      <c r="I399" s="354"/>
      <c r="J399" s="362">
        <v>0</v>
      </c>
      <c r="K399" s="355">
        <v>0</v>
      </c>
      <c r="L399" s="355">
        <v>0</v>
      </c>
      <c r="M399" s="355">
        <v>0</v>
      </c>
      <c r="N399" s="355">
        <v>0</v>
      </c>
      <c r="O399" s="355">
        <v>0</v>
      </c>
      <c r="P399" s="355">
        <v>0</v>
      </c>
      <c r="Q399" s="355">
        <v>0</v>
      </c>
      <c r="R399" s="355">
        <v>0</v>
      </c>
      <c r="S399" s="355">
        <v>0</v>
      </c>
      <c r="T399" s="355">
        <v>0</v>
      </c>
      <c r="U399" s="356">
        <v>0</v>
      </c>
      <c r="V399" s="357">
        <v>0</v>
      </c>
      <c r="W399" s="358"/>
      <c r="X399" s="359">
        <v>0</v>
      </c>
      <c r="Y399" s="360">
        <v>0</v>
      </c>
    </row>
    <row r="400" spans="5:25" s="361" customFormat="1" hidden="1" outlineLevel="2" x14ac:dyDescent="0.3">
      <c r="E400" s="326" t="s">
        <v>1335</v>
      </c>
      <c r="F400" s="351"/>
      <c r="G400" s="352"/>
      <c r="H400" s="353"/>
      <c r="I400" s="354"/>
      <c r="J400" s="362">
        <v>0</v>
      </c>
      <c r="K400" s="355">
        <v>0</v>
      </c>
      <c r="L400" s="355">
        <v>0</v>
      </c>
      <c r="M400" s="355">
        <v>0</v>
      </c>
      <c r="N400" s="355">
        <v>0</v>
      </c>
      <c r="O400" s="355">
        <v>0</v>
      </c>
      <c r="P400" s="355">
        <v>0</v>
      </c>
      <c r="Q400" s="355">
        <v>0</v>
      </c>
      <c r="R400" s="355">
        <v>0</v>
      </c>
      <c r="S400" s="355">
        <v>0</v>
      </c>
      <c r="T400" s="355">
        <v>0</v>
      </c>
      <c r="U400" s="356">
        <v>0</v>
      </c>
      <c r="V400" s="357">
        <v>0</v>
      </c>
      <c r="W400" s="358"/>
      <c r="X400" s="359">
        <v>0</v>
      </c>
      <c r="Y400" s="360">
        <v>0</v>
      </c>
    </row>
    <row r="401" spans="1:25" collapsed="1" x14ac:dyDescent="0.3">
      <c r="A401" s="233"/>
      <c r="B401" s="234" t="s">
        <v>20</v>
      </c>
      <c r="D401" s="293" t="s">
        <v>1336</v>
      </c>
      <c r="E401" s="294"/>
      <c r="F401" s="295" t="s">
        <v>1337</v>
      </c>
      <c r="G401" s="296"/>
      <c r="H401" s="297"/>
      <c r="I401" s="298"/>
      <c r="J401" s="299">
        <v>-342211.098</v>
      </c>
      <c r="K401" s="300">
        <v>-341880.98200000008</v>
      </c>
      <c r="L401" s="300">
        <v>-348470.91000000003</v>
      </c>
      <c r="M401" s="300">
        <v>-346561.83600000001</v>
      </c>
      <c r="N401" s="300">
        <v>-346384.81900000002</v>
      </c>
      <c r="O401" s="300">
        <v>-345421.76699999999</v>
      </c>
      <c r="P401" s="300">
        <v>-346853.31</v>
      </c>
      <c r="Q401" s="300">
        <v>-348504.87699999992</v>
      </c>
      <c r="R401" s="300">
        <v>-357773.875</v>
      </c>
      <c r="S401" s="300">
        <v>-358228.37399999995</v>
      </c>
      <c r="T401" s="300">
        <v>-357840.20099999994</v>
      </c>
      <c r="U401" s="301">
        <v>-332129.20500000002</v>
      </c>
      <c r="V401" s="302">
        <v>-4172261.2540000002</v>
      </c>
      <c r="W401" s="303"/>
      <c r="X401" s="304">
        <v>-332129.20500000002</v>
      </c>
      <c r="Y401" s="305">
        <v>-4172261.2540000002</v>
      </c>
    </row>
    <row r="402" spans="1:25" x14ac:dyDescent="0.3">
      <c r="E402" s="339" t="s">
        <v>1338</v>
      </c>
      <c r="F402" s="340" t="s">
        <v>1339</v>
      </c>
      <c r="G402" s="341"/>
      <c r="H402" s="342"/>
      <c r="I402" s="343"/>
      <c r="J402" s="344">
        <v>-342211.098</v>
      </c>
      <c r="K402" s="345">
        <v>-341880.98200000008</v>
      </c>
      <c r="L402" s="345">
        <v>-348470.91000000003</v>
      </c>
      <c r="M402" s="345">
        <v>-346561.83600000001</v>
      </c>
      <c r="N402" s="345">
        <v>-346384.81900000002</v>
      </c>
      <c r="O402" s="345">
        <v>-345421.76699999999</v>
      </c>
      <c r="P402" s="345">
        <v>-346853.31</v>
      </c>
      <c r="Q402" s="345">
        <v>-348504.87699999992</v>
      </c>
      <c r="R402" s="345">
        <v>-357773.875</v>
      </c>
      <c r="S402" s="345">
        <v>-358228.37399999995</v>
      </c>
      <c r="T402" s="345">
        <v>-357840.20099999994</v>
      </c>
      <c r="U402" s="346">
        <v>-332129.20500000002</v>
      </c>
      <c r="V402" s="347">
        <v>-4172261.2540000002</v>
      </c>
      <c r="W402" s="303"/>
      <c r="X402" s="348">
        <v>-332129.20500000002</v>
      </c>
      <c r="Y402" s="349">
        <v>-4172261.2540000002</v>
      </c>
    </row>
    <row r="403" spans="1:25" hidden="1" outlineLevel="1" x14ac:dyDescent="0.3">
      <c r="E403" s="250" t="s">
        <v>1340</v>
      </c>
      <c r="F403" s="317">
        <v>4301701</v>
      </c>
      <c r="G403" s="318"/>
      <c r="H403" s="319">
        <v>5101230101</v>
      </c>
      <c r="I403" s="320"/>
      <c r="J403" s="337">
        <v>-358405.52600000001</v>
      </c>
      <c r="K403" s="321">
        <v>-359505.52600000001</v>
      </c>
      <c r="L403" s="321">
        <v>-359005.52600000001</v>
      </c>
      <c r="M403" s="321">
        <v>-358405.52600000001</v>
      </c>
      <c r="N403" s="321">
        <v>-358405.52600000001</v>
      </c>
      <c r="O403" s="321">
        <v>-358405.52600000001</v>
      </c>
      <c r="P403" s="321">
        <v>-358405.52600000001</v>
      </c>
      <c r="Q403" s="321">
        <v>-360723.29599999997</v>
      </c>
      <c r="R403" s="321">
        <v>-369285.53700000001</v>
      </c>
      <c r="S403" s="321">
        <v>-370208.93699999998</v>
      </c>
      <c r="T403" s="321">
        <v>-370208.93699999998</v>
      </c>
      <c r="U403" s="322">
        <v>-348104.37099999998</v>
      </c>
      <c r="V403" s="323">
        <v>-4329069.76</v>
      </c>
      <c r="W403" s="303"/>
      <c r="X403" s="324">
        <v>-348104.37099999998</v>
      </c>
      <c r="Y403" s="325">
        <v>-4329069.76</v>
      </c>
    </row>
    <row r="404" spans="1:25" hidden="1" outlineLevel="1" x14ac:dyDescent="0.3">
      <c r="E404" s="250" t="s">
        <v>1341</v>
      </c>
      <c r="F404" s="317">
        <v>4301702</v>
      </c>
      <c r="G404" s="318"/>
      <c r="H404" s="319">
        <v>5101230103</v>
      </c>
      <c r="I404" s="320"/>
      <c r="J404" s="337">
        <v>386.24099999999999</v>
      </c>
      <c r="K404" s="321">
        <v>423.21199999999999</v>
      </c>
      <c r="L404" s="321">
        <v>373.47800000000001</v>
      </c>
      <c r="M404" s="321">
        <v>381.86399999999998</v>
      </c>
      <c r="N404" s="321">
        <v>385.851</v>
      </c>
      <c r="O404" s="321">
        <v>381.06</v>
      </c>
      <c r="P404" s="321">
        <v>374.64800000000002</v>
      </c>
      <c r="Q404" s="321">
        <v>465.73899999999998</v>
      </c>
      <c r="R404" s="321">
        <v>402.40199999999999</v>
      </c>
      <c r="S404" s="321">
        <v>383.65199999999999</v>
      </c>
      <c r="T404" s="321">
        <v>447.65899999999999</v>
      </c>
      <c r="U404" s="322">
        <v>403.71800000000002</v>
      </c>
      <c r="V404" s="323">
        <v>4809.5240000000003</v>
      </c>
      <c r="W404" s="303"/>
      <c r="X404" s="324">
        <v>403.71800000000002</v>
      </c>
      <c r="Y404" s="325">
        <v>4809.5240000000003</v>
      </c>
    </row>
    <row r="405" spans="1:25" hidden="1" outlineLevel="1" x14ac:dyDescent="0.3">
      <c r="E405" s="250" t="s">
        <v>1342</v>
      </c>
      <c r="F405" s="317">
        <v>4301703</v>
      </c>
      <c r="G405" s="318"/>
      <c r="H405" s="319"/>
      <c r="I405" s="320"/>
      <c r="J405" s="337">
        <v>0</v>
      </c>
      <c r="K405" s="321">
        <v>0</v>
      </c>
      <c r="L405" s="321">
        <v>0</v>
      </c>
      <c r="M405" s="321">
        <v>0</v>
      </c>
      <c r="N405" s="321">
        <v>0</v>
      </c>
      <c r="O405" s="321">
        <v>0</v>
      </c>
      <c r="P405" s="321">
        <v>0</v>
      </c>
      <c r="Q405" s="321">
        <v>0</v>
      </c>
      <c r="R405" s="321">
        <v>0</v>
      </c>
      <c r="S405" s="321">
        <v>0</v>
      </c>
      <c r="T405" s="321">
        <v>0</v>
      </c>
      <c r="U405" s="322">
        <v>0</v>
      </c>
      <c r="V405" s="323">
        <v>0</v>
      </c>
      <c r="W405" s="303"/>
      <c r="X405" s="324">
        <v>0</v>
      </c>
      <c r="Y405" s="325">
        <v>0</v>
      </c>
    </row>
    <row r="406" spans="1:25" hidden="1" outlineLevel="1" x14ac:dyDescent="0.3">
      <c r="E406" s="250" t="s">
        <v>1343</v>
      </c>
      <c r="F406" s="317">
        <v>4301705</v>
      </c>
      <c r="G406" s="318"/>
      <c r="H406" s="319"/>
      <c r="I406" s="320"/>
      <c r="J406" s="337">
        <v>0</v>
      </c>
      <c r="K406" s="321">
        <v>0</v>
      </c>
      <c r="L406" s="321">
        <v>0</v>
      </c>
      <c r="M406" s="321">
        <v>0</v>
      </c>
      <c r="N406" s="321">
        <v>0</v>
      </c>
      <c r="O406" s="321">
        <v>0</v>
      </c>
      <c r="P406" s="321">
        <v>0</v>
      </c>
      <c r="Q406" s="321">
        <v>0</v>
      </c>
      <c r="R406" s="321">
        <v>0</v>
      </c>
      <c r="S406" s="321">
        <v>0</v>
      </c>
      <c r="T406" s="321">
        <v>0</v>
      </c>
      <c r="U406" s="322">
        <v>0</v>
      </c>
      <c r="V406" s="323">
        <v>0</v>
      </c>
      <c r="W406" s="303"/>
      <c r="X406" s="324">
        <v>0</v>
      </c>
      <c r="Y406" s="325">
        <v>0</v>
      </c>
    </row>
    <row r="407" spans="1:25" hidden="1" outlineLevel="1" x14ac:dyDescent="0.3">
      <c r="E407" s="250" t="s">
        <v>1344</v>
      </c>
      <c r="F407" s="317">
        <v>4301706</v>
      </c>
      <c r="G407" s="318"/>
      <c r="H407" s="319">
        <v>5101230105</v>
      </c>
      <c r="I407" s="320"/>
      <c r="J407" s="337">
        <v>4771.1679999999997</v>
      </c>
      <c r="K407" s="321">
        <v>3050.893</v>
      </c>
      <c r="L407" s="321">
        <v>3059.9949999999999</v>
      </c>
      <c r="M407" s="321">
        <v>2693.6210000000001</v>
      </c>
      <c r="N407" s="321">
        <v>2693.6210000000001</v>
      </c>
      <c r="O407" s="321">
        <v>2642.8130000000001</v>
      </c>
      <c r="P407" s="321">
        <v>2701.8020000000001</v>
      </c>
      <c r="Q407" s="321">
        <v>2701.8020000000001</v>
      </c>
      <c r="R407" s="321">
        <v>2455.3020000000001</v>
      </c>
      <c r="S407" s="321">
        <v>3051.8020000000001</v>
      </c>
      <c r="T407" s="321">
        <v>3051.8020000000001</v>
      </c>
      <c r="U407" s="322">
        <v>6521.8149999999996</v>
      </c>
      <c r="V407" s="323">
        <v>39396.436000000002</v>
      </c>
      <c r="W407" s="303"/>
      <c r="X407" s="324">
        <v>6521.8149999999996</v>
      </c>
      <c r="Y407" s="325">
        <v>39396.436000000002</v>
      </c>
    </row>
    <row r="408" spans="1:25" hidden="1" outlineLevel="1" x14ac:dyDescent="0.3">
      <c r="E408" s="250" t="s">
        <v>1345</v>
      </c>
      <c r="F408" s="317">
        <v>4301707</v>
      </c>
      <c r="G408" s="318"/>
      <c r="H408" s="319"/>
      <c r="I408" s="320"/>
      <c r="J408" s="337">
        <v>130</v>
      </c>
      <c r="K408" s="321">
        <v>26.6</v>
      </c>
      <c r="L408" s="321">
        <v>0</v>
      </c>
      <c r="M408" s="321">
        <v>0</v>
      </c>
      <c r="N408" s="321">
        <v>0</v>
      </c>
      <c r="O408" s="321">
        <v>0</v>
      </c>
      <c r="P408" s="321">
        <v>0</v>
      </c>
      <c r="Q408" s="321">
        <v>0</v>
      </c>
      <c r="R408" s="321">
        <v>0</v>
      </c>
      <c r="S408" s="321">
        <v>0</v>
      </c>
      <c r="T408" s="321">
        <v>0</v>
      </c>
      <c r="U408" s="322">
        <v>0</v>
      </c>
      <c r="V408" s="323">
        <v>156.6</v>
      </c>
      <c r="W408" s="303"/>
      <c r="X408" s="324">
        <v>0</v>
      </c>
      <c r="Y408" s="325">
        <v>156.6</v>
      </c>
    </row>
    <row r="409" spans="1:25" hidden="1" outlineLevel="1" x14ac:dyDescent="0.3">
      <c r="E409" s="250" t="s">
        <v>1346</v>
      </c>
      <c r="F409" s="317">
        <v>4301708</v>
      </c>
      <c r="G409" s="318"/>
      <c r="H409" s="319">
        <v>5101230109</v>
      </c>
      <c r="I409" s="320"/>
      <c r="J409" s="337">
        <v>0</v>
      </c>
      <c r="K409" s="321">
        <v>0</v>
      </c>
      <c r="L409" s="321">
        <v>0</v>
      </c>
      <c r="M409" s="321">
        <v>0</v>
      </c>
      <c r="N409" s="321">
        <v>0</v>
      </c>
      <c r="O409" s="321">
        <v>0</v>
      </c>
      <c r="P409" s="321">
        <v>0</v>
      </c>
      <c r="Q409" s="321">
        <v>0</v>
      </c>
      <c r="R409" s="321">
        <v>0</v>
      </c>
      <c r="S409" s="321">
        <v>0</v>
      </c>
      <c r="T409" s="321">
        <v>0</v>
      </c>
      <c r="U409" s="322">
        <v>0</v>
      </c>
      <c r="V409" s="323">
        <v>0</v>
      </c>
      <c r="W409" s="303"/>
      <c r="X409" s="324">
        <v>0</v>
      </c>
      <c r="Y409" s="325">
        <v>0</v>
      </c>
    </row>
    <row r="410" spans="1:25" hidden="1" outlineLevel="1" x14ac:dyDescent="0.3">
      <c r="E410" s="250" t="s">
        <v>1347</v>
      </c>
      <c r="F410" s="317">
        <v>4301799</v>
      </c>
      <c r="G410" s="318"/>
      <c r="H410" s="319">
        <v>5101230199</v>
      </c>
      <c r="I410" s="320"/>
      <c r="J410" s="337">
        <v>10907.019</v>
      </c>
      <c r="K410" s="321">
        <v>14123.839</v>
      </c>
      <c r="L410" s="321">
        <v>7101.143</v>
      </c>
      <c r="M410" s="321">
        <v>8768.2049999999999</v>
      </c>
      <c r="N410" s="321">
        <v>8941.2350000000006</v>
      </c>
      <c r="O410" s="321">
        <v>9959.8860000000004</v>
      </c>
      <c r="P410" s="321">
        <v>8475.7659999999996</v>
      </c>
      <c r="Q410" s="321">
        <v>9050.8780000000006</v>
      </c>
      <c r="R410" s="321">
        <v>8653.9580000000005</v>
      </c>
      <c r="S410" s="321">
        <v>8545.1090000000004</v>
      </c>
      <c r="T410" s="321">
        <v>8869.2749999999996</v>
      </c>
      <c r="U410" s="322">
        <v>9049.6329999999998</v>
      </c>
      <c r="V410" s="323">
        <v>112445.94599999998</v>
      </c>
      <c r="W410" s="303"/>
      <c r="X410" s="324">
        <v>9049.6329999999998</v>
      </c>
      <c r="Y410" s="325">
        <v>112445.94599999998</v>
      </c>
    </row>
    <row r="411" spans="1:25" s="326" customFormat="1" hidden="1" outlineLevel="2" x14ac:dyDescent="0.3">
      <c r="E411" s="326" t="s">
        <v>1348</v>
      </c>
      <c r="F411" s="336"/>
      <c r="G411" s="327"/>
      <c r="H411" s="328"/>
      <c r="I411" s="329"/>
      <c r="J411" s="338">
        <v>0</v>
      </c>
      <c r="K411" s="330">
        <v>0</v>
      </c>
      <c r="L411" s="330">
        <v>0</v>
      </c>
      <c r="M411" s="330">
        <v>0</v>
      </c>
      <c r="N411" s="330">
        <v>0</v>
      </c>
      <c r="O411" s="330">
        <v>0</v>
      </c>
      <c r="P411" s="330">
        <v>0</v>
      </c>
      <c r="Q411" s="330">
        <v>0</v>
      </c>
      <c r="R411" s="330">
        <v>0</v>
      </c>
      <c r="S411" s="330">
        <v>0</v>
      </c>
      <c r="T411" s="330">
        <v>0</v>
      </c>
      <c r="U411" s="331">
        <v>0</v>
      </c>
      <c r="V411" s="332">
        <v>0</v>
      </c>
      <c r="W411" s="333"/>
      <c r="X411" s="334">
        <v>0</v>
      </c>
      <c r="Y411" s="335">
        <v>0</v>
      </c>
    </row>
    <row r="412" spans="1:25" s="326" customFormat="1" hidden="1" outlineLevel="2" x14ac:dyDescent="0.3">
      <c r="E412" s="326" t="s">
        <v>1349</v>
      </c>
      <c r="F412" s="336"/>
      <c r="G412" s="327"/>
      <c r="H412" s="328"/>
      <c r="I412" s="329"/>
      <c r="J412" s="338">
        <v>0</v>
      </c>
      <c r="K412" s="330">
        <v>0</v>
      </c>
      <c r="L412" s="330">
        <v>0</v>
      </c>
      <c r="M412" s="330">
        <v>0</v>
      </c>
      <c r="N412" s="330">
        <v>0</v>
      </c>
      <c r="O412" s="330">
        <v>0</v>
      </c>
      <c r="P412" s="330">
        <v>0</v>
      </c>
      <c r="Q412" s="330">
        <v>0</v>
      </c>
      <c r="R412" s="330">
        <v>0</v>
      </c>
      <c r="S412" s="330">
        <v>0</v>
      </c>
      <c r="T412" s="330">
        <v>0</v>
      </c>
      <c r="U412" s="331">
        <v>0</v>
      </c>
      <c r="V412" s="332">
        <v>0</v>
      </c>
      <c r="W412" s="333"/>
      <c r="X412" s="334">
        <v>0</v>
      </c>
      <c r="Y412" s="335">
        <v>0</v>
      </c>
    </row>
    <row r="413" spans="1:25" s="326" customFormat="1" hidden="1" outlineLevel="2" x14ac:dyDescent="0.3">
      <c r="E413" s="326" t="s">
        <v>1350</v>
      </c>
      <c r="F413" s="336"/>
      <c r="G413" s="327"/>
      <c r="H413" s="328"/>
      <c r="I413" s="329"/>
      <c r="J413" s="338">
        <v>0</v>
      </c>
      <c r="K413" s="330">
        <v>0</v>
      </c>
      <c r="L413" s="330">
        <v>0</v>
      </c>
      <c r="M413" s="330">
        <v>0</v>
      </c>
      <c r="N413" s="330">
        <v>0</v>
      </c>
      <c r="O413" s="330">
        <v>0</v>
      </c>
      <c r="P413" s="330">
        <v>0</v>
      </c>
      <c r="Q413" s="330">
        <v>0</v>
      </c>
      <c r="R413" s="330">
        <v>0</v>
      </c>
      <c r="S413" s="330">
        <v>0</v>
      </c>
      <c r="T413" s="330">
        <v>0</v>
      </c>
      <c r="U413" s="331">
        <v>0</v>
      </c>
      <c r="V413" s="332">
        <v>0</v>
      </c>
      <c r="W413" s="333"/>
      <c r="X413" s="334">
        <v>0</v>
      </c>
      <c r="Y413" s="335">
        <v>0</v>
      </c>
    </row>
    <row r="414" spans="1:25" collapsed="1" x14ac:dyDescent="0.3">
      <c r="E414" s="339" t="s">
        <v>1351</v>
      </c>
      <c r="F414" s="340" t="s">
        <v>1352</v>
      </c>
      <c r="G414" s="341"/>
      <c r="H414" s="342"/>
      <c r="I414" s="343"/>
      <c r="J414" s="344">
        <v>0</v>
      </c>
      <c r="K414" s="345">
        <v>0</v>
      </c>
      <c r="L414" s="345">
        <v>0</v>
      </c>
      <c r="M414" s="345">
        <v>0</v>
      </c>
      <c r="N414" s="345">
        <v>0</v>
      </c>
      <c r="O414" s="345">
        <v>0</v>
      </c>
      <c r="P414" s="345">
        <v>0</v>
      </c>
      <c r="Q414" s="345">
        <v>0</v>
      </c>
      <c r="R414" s="345">
        <v>0</v>
      </c>
      <c r="S414" s="345">
        <v>0</v>
      </c>
      <c r="T414" s="345">
        <v>0</v>
      </c>
      <c r="U414" s="346">
        <v>0</v>
      </c>
      <c r="V414" s="347">
        <v>0</v>
      </c>
      <c r="W414" s="303"/>
      <c r="X414" s="348">
        <v>0</v>
      </c>
      <c r="Y414" s="349">
        <v>0</v>
      </c>
    </row>
    <row r="415" spans="1:25" hidden="1" outlineLevel="1" x14ac:dyDescent="0.3">
      <c r="E415" s="250" t="s">
        <v>1353</v>
      </c>
      <c r="F415" s="317">
        <v>4301781</v>
      </c>
      <c r="G415" s="318"/>
      <c r="H415" s="319">
        <v>5101230301</v>
      </c>
      <c r="I415" s="320"/>
      <c r="J415" s="337">
        <v>0</v>
      </c>
      <c r="K415" s="321">
        <v>0</v>
      </c>
      <c r="L415" s="321">
        <v>0</v>
      </c>
      <c r="M415" s="321">
        <v>0</v>
      </c>
      <c r="N415" s="321">
        <v>0</v>
      </c>
      <c r="O415" s="321">
        <v>0</v>
      </c>
      <c r="P415" s="321">
        <v>0</v>
      </c>
      <c r="Q415" s="321">
        <v>0</v>
      </c>
      <c r="R415" s="321">
        <v>0</v>
      </c>
      <c r="S415" s="321">
        <v>0</v>
      </c>
      <c r="T415" s="321">
        <v>0</v>
      </c>
      <c r="U415" s="322">
        <v>0</v>
      </c>
      <c r="V415" s="323">
        <v>0</v>
      </c>
      <c r="W415" s="303"/>
      <c r="X415" s="324">
        <v>0</v>
      </c>
      <c r="Y415" s="325">
        <v>0</v>
      </c>
    </row>
    <row r="416" spans="1:25" s="326" customFormat="1" hidden="1" outlineLevel="2" x14ac:dyDescent="0.3">
      <c r="E416" s="326" t="s">
        <v>1348</v>
      </c>
      <c r="F416" s="336"/>
      <c r="G416" s="327"/>
      <c r="H416" s="328"/>
      <c r="I416" s="329"/>
      <c r="J416" s="338">
        <v>0</v>
      </c>
      <c r="K416" s="330">
        <v>0</v>
      </c>
      <c r="L416" s="330">
        <v>0</v>
      </c>
      <c r="M416" s="330">
        <v>0</v>
      </c>
      <c r="N416" s="330">
        <v>0</v>
      </c>
      <c r="O416" s="330">
        <v>0</v>
      </c>
      <c r="P416" s="330">
        <v>0</v>
      </c>
      <c r="Q416" s="330">
        <v>0</v>
      </c>
      <c r="R416" s="330">
        <v>0</v>
      </c>
      <c r="S416" s="330">
        <v>0</v>
      </c>
      <c r="T416" s="330">
        <v>0</v>
      </c>
      <c r="U416" s="331">
        <v>0</v>
      </c>
      <c r="V416" s="332">
        <v>0</v>
      </c>
      <c r="W416" s="333"/>
      <c r="X416" s="334">
        <v>0</v>
      </c>
      <c r="Y416" s="335">
        <v>0</v>
      </c>
    </row>
    <row r="417" spans="1:25" s="326" customFormat="1" hidden="1" outlineLevel="2" x14ac:dyDescent="0.3">
      <c r="E417" s="326" t="s">
        <v>1349</v>
      </c>
      <c r="F417" s="336"/>
      <c r="G417" s="327"/>
      <c r="H417" s="328"/>
      <c r="I417" s="329"/>
      <c r="J417" s="338">
        <v>0</v>
      </c>
      <c r="K417" s="330">
        <v>0</v>
      </c>
      <c r="L417" s="330">
        <v>0</v>
      </c>
      <c r="M417" s="330">
        <v>0</v>
      </c>
      <c r="N417" s="330">
        <v>0</v>
      </c>
      <c r="O417" s="330">
        <v>0</v>
      </c>
      <c r="P417" s="330">
        <v>0</v>
      </c>
      <c r="Q417" s="330">
        <v>0</v>
      </c>
      <c r="R417" s="330">
        <v>0</v>
      </c>
      <c r="S417" s="330">
        <v>0</v>
      </c>
      <c r="T417" s="330">
        <v>0</v>
      </c>
      <c r="U417" s="331">
        <v>0</v>
      </c>
      <c r="V417" s="332">
        <v>0</v>
      </c>
      <c r="W417" s="333"/>
      <c r="X417" s="334">
        <v>0</v>
      </c>
      <c r="Y417" s="335">
        <v>0</v>
      </c>
    </row>
    <row r="418" spans="1:25" s="326" customFormat="1" hidden="1" outlineLevel="2" x14ac:dyDescent="0.3">
      <c r="E418" s="326" t="s">
        <v>1350</v>
      </c>
      <c r="F418" s="336"/>
      <c r="G418" s="327"/>
      <c r="H418" s="328"/>
      <c r="I418" s="329"/>
      <c r="J418" s="338">
        <v>0</v>
      </c>
      <c r="K418" s="330">
        <v>0</v>
      </c>
      <c r="L418" s="330">
        <v>0</v>
      </c>
      <c r="M418" s="330">
        <v>0</v>
      </c>
      <c r="N418" s="330">
        <v>0</v>
      </c>
      <c r="O418" s="330">
        <v>0</v>
      </c>
      <c r="P418" s="330">
        <v>0</v>
      </c>
      <c r="Q418" s="330">
        <v>0</v>
      </c>
      <c r="R418" s="330">
        <v>0</v>
      </c>
      <c r="S418" s="330">
        <v>0</v>
      </c>
      <c r="T418" s="330">
        <v>0</v>
      </c>
      <c r="U418" s="331">
        <v>0</v>
      </c>
      <c r="V418" s="332">
        <v>0</v>
      </c>
      <c r="W418" s="333"/>
      <c r="X418" s="334">
        <v>0</v>
      </c>
      <c r="Y418" s="335">
        <v>0</v>
      </c>
    </row>
    <row r="419" spans="1:25" collapsed="1" x14ac:dyDescent="0.3">
      <c r="A419" s="233"/>
      <c r="B419" s="234" t="s">
        <v>21</v>
      </c>
      <c r="D419" s="293" t="s">
        <v>1354</v>
      </c>
      <c r="E419" s="294"/>
      <c r="F419" s="295" t="s">
        <v>1355</v>
      </c>
      <c r="G419" s="296"/>
      <c r="H419" s="297"/>
      <c r="I419" s="298"/>
      <c r="J419" s="299">
        <v>40578379.358999997</v>
      </c>
      <c r="K419" s="300">
        <v>41078117.252000004</v>
      </c>
      <c r="L419" s="300">
        <v>40775168.473000005</v>
      </c>
      <c r="M419" s="300">
        <v>41513394.877999991</v>
      </c>
      <c r="N419" s="300">
        <v>40983673.824999996</v>
      </c>
      <c r="O419" s="300">
        <v>40724147.602999993</v>
      </c>
      <c r="P419" s="300">
        <v>40918945.195</v>
      </c>
      <c r="Q419" s="300">
        <v>39662961.840000004</v>
      </c>
      <c r="R419" s="300">
        <v>40290598.932000004</v>
      </c>
      <c r="S419" s="300">
        <v>41329952.046000004</v>
      </c>
      <c r="T419" s="300">
        <v>40598527.095000006</v>
      </c>
      <c r="U419" s="301">
        <v>41474249.777000003</v>
      </c>
      <c r="V419" s="302">
        <v>489928116.27499998</v>
      </c>
      <c r="W419" s="303"/>
      <c r="X419" s="304">
        <v>41474249.777000003</v>
      </c>
      <c r="Y419" s="305">
        <v>489928116.27499998</v>
      </c>
    </row>
    <row r="420" spans="1:25" hidden="1" outlineLevel="1" x14ac:dyDescent="0.3">
      <c r="E420" s="250" t="s">
        <v>1356</v>
      </c>
      <c r="F420" s="317">
        <v>4302002</v>
      </c>
      <c r="G420" s="318"/>
      <c r="H420" s="319">
        <v>5101530103</v>
      </c>
      <c r="I420" s="320"/>
      <c r="J420" s="337">
        <v>0</v>
      </c>
      <c r="K420" s="321">
        <v>58800</v>
      </c>
      <c r="L420" s="321">
        <v>162950</v>
      </c>
      <c r="M420" s="321">
        <v>141410</v>
      </c>
      <c r="N420" s="321">
        <v>127151.7</v>
      </c>
      <c r="O420" s="321">
        <v>123918.7</v>
      </c>
      <c r="P420" s="321">
        <v>13590.957</v>
      </c>
      <c r="Q420" s="321">
        <v>12503.92</v>
      </c>
      <c r="R420" s="321">
        <v>255</v>
      </c>
      <c r="S420" s="321">
        <v>3137.7449999999999</v>
      </c>
      <c r="T420" s="321">
        <v>455.7</v>
      </c>
      <c r="U420" s="322">
        <v>22251.444</v>
      </c>
      <c r="V420" s="323">
        <v>666425.16600000008</v>
      </c>
      <c r="W420" s="303"/>
      <c r="X420" s="324">
        <v>22251.444</v>
      </c>
      <c r="Y420" s="325">
        <v>666425.16600000008</v>
      </c>
    </row>
    <row r="421" spans="1:25" hidden="1" outlineLevel="1" x14ac:dyDescent="0.3">
      <c r="E421" s="250" t="s">
        <v>1357</v>
      </c>
      <c r="F421" s="317">
        <v>4302003</v>
      </c>
      <c r="G421" s="318"/>
      <c r="H421" s="319">
        <v>5101530105</v>
      </c>
      <c r="I421" s="320"/>
      <c r="J421" s="337">
        <v>10285</v>
      </c>
      <c r="K421" s="321">
        <v>10285</v>
      </c>
      <c r="L421" s="321">
        <v>0</v>
      </c>
      <c r="M421" s="321">
        <v>0</v>
      </c>
      <c r="N421" s="321">
        <v>0</v>
      </c>
      <c r="O421" s="321">
        <v>0</v>
      </c>
      <c r="P421" s="321">
        <v>0</v>
      </c>
      <c r="Q421" s="321">
        <v>0</v>
      </c>
      <c r="R421" s="321">
        <v>0</v>
      </c>
      <c r="S421" s="321">
        <v>0</v>
      </c>
      <c r="T421" s="321">
        <v>0</v>
      </c>
      <c r="U421" s="322">
        <v>0</v>
      </c>
      <c r="V421" s="323">
        <v>20570</v>
      </c>
      <c r="W421" s="303"/>
      <c r="X421" s="324">
        <v>0</v>
      </c>
      <c r="Y421" s="325">
        <v>20570</v>
      </c>
    </row>
    <row r="422" spans="1:25" hidden="1" outlineLevel="1" x14ac:dyDescent="0.3">
      <c r="E422" s="250" t="s">
        <v>1358</v>
      </c>
      <c r="F422" s="317">
        <v>4302004</v>
      </c>
      <c r="G422" s="318"/>
      <c r="H422" s="319">
        <v>5101530107</v>
      </c>
      <c r="I422" s="320"/>
      <c r="J422" s="337">
        <v>11823.44</v>
      </c>
      <c r="K422" s="321">
        <v>23450</v>
      </c>
      <c r="L422" s="321">
        <v>6108.4350000000004</v>
      </c>
      <c r="M422" s="321">
        <v>4318.24</v>
      </c>
      <c r="N422" s="321">
        <v>35493.360000000001</v>
      </c>
      <c r="O422" s="321">
        <v>6569.6</v>
      </c>
      <c r="P422" s="321">
        <v>24455.588</v>
      </c>
      <c r="Q422" s="321">
        <v>12376</v>
      </c>
      <c r="R422" s="321">
        <v>8900</v>
      </c>
      <c r="S422" s="321">
        <v>13734.24</v>
      </c>
      <c r="T422" s="321">
        <v>4941.8590000000004</v>
      </c>
      <c r="U422" s="322">
        <v>8263.1200000000008</v>
      </c>
      <c r="V422" s="323">
        <v>160433.88199999998</v>
      </c>
      <c r="W422" s="303"/>
      <c r="X422" s="324">
        <v>8263.1200000000008</v>
      </c>
      <c r="Y422" s="325">
        <v>160433.88199999998</v>
      </c>
    </row>
    <row r="423" spans="1:25" hidden="1" outlineLevel="1" x14ac:dyDescent="0.3">
      <c r="E423" s="250" t="s">
        <v>1359</v>
      </c>
      <c r="F423" s="317">
        <v>4302005</v>
      </c>
      <c r="G423" s="318"/>
      <c r="H423" s="319">
        <v>5101530109</v>
      </c>
      <c r="I423" s="320"/>
      <c r="J423" s="337">
        <v>5100</v>
      </c>
      <c r="K423" s="321">
        <v>25093.3</v>
      </c>
      <c r="L423" s="321">
        <v>5131.8999999999996</v>
      </c>
      <c r="M423" s="321">
        <v>4666.8360000000002</v>
      </c>
      <c r="N423" s="321">
        <v>4938.1000000000004</v>
      </c>
      <c r="O423" s="321">
        <v>4537.8</v>
      </c>
      <c r="P423" s="321">
        <v>24693.102999999999</v>
      </c>
      <c r="Q423" s="321">
        <v>4300</v>
      </c>
      <c r="R423" s="321">
        <v>4500</v>
      </c>
      <c r="S423" s="321">
        <v>4900</v>
      </c>
      <c r="T423" s="321">
        <v>4318.8</v>
      </c>
      <c r="U423" s="322">
        <v>4219.8</v>
      </c>
      <c r="V423" s="323">
        <v>96399.63900000001</v>
      </c>
      <c r="W423" s="303"/>
      <c r="X423" s="324">
        <v>4219.8</v>
      </c>
      <c r="Y423" s="325">
        <v>96399.63900000001</v>
      </c>
    </row>
    <row r="424" spans="1:25" hidden="1" outlineLevel="1" x14ac:dyDescent="0.3">
      <c r="E424" s="250" t="s">
        <v>1360</v>
      </c>
      <c r="F424" s="317">
        <v>4302006</v>
      </c>
      <c r="G424" s="318"/>
      <c r="H424" s="319">
        <v>5101530111</v>
      </c>
      <c r="I424" s="320">
        <v>5101530134</v>
      </c>
      <c r="J424" s="337">
        <v>4500</v>
      </c>
      <c r="K424" s="321">
        <v>9000</v>
      </c>
      <c r="L424" s="321">
        <v>4500</v>
      </c>
      <c r="M424" s="321">
        <v>4500</v>
      </c>
      <c r="N424" s="321">
        <v>4500</v>
      </c>
      <c r="O424" s="321">
        <v>4500</v>
      </c>
      <c r="P424" s="321">
        <v>4500</v>
      </c>
      <c r="Q424" s="321">
        <v>4500</v>
      </c>
      <c r="R424" s="321">
        <v>4500</v>
      </c>
      <c r="S424" s="321">
        <v>4500</v>
      </c>
      <c r="T424" s="321">
        <v>4500</v>
      </c>
      <c r="U424" s="322">
        <v>0</v>
      </c>
      <c r="V424" s="323">
        <v>54000</v>
      </c>
      <c r="W424" s="303"/>
      <c r="X424" s="324">
        <v>0</v>
      </c>
      <c r="Y424" s="325">
        <v>54000</v>
      </c>
    </row>
    <row r="425" spans="1:25" hidden="1" outlineLevel="1" x14ac:dyDescent="0.3">
      <c r="E425" s="250" t="s">
        <v>1361</v>
      </c>
      <c r="F425" s="317">
        <v>4302007</v>
      </c>
      <c r="G425" s="318"/>
      <c r="H425" s="319">
        <v>5101530113</v>
      </c>
      <c r="I425" s="320"/>
      <c r="J425" s="337">
        <v>1120</v>
      </c>
      <c r="K425" s="321">
        <v>1120</v>
      </c>
      <c r="L425" s="321">
        <v>1120</v>
      </c>
      <c r="M425" s="321">
        <v>1120</v>
      </c>
      <c r="N425" s="321">
        <v>1120</v>
      </c>
      <c r="O425" s="321">
        <v>1120</v>
      </c>
      <c r="P425" s="321">
        <v>1120</v>
      </c>
      <c r="Q425" s="321">
        <v>1120</v>
      </c>
      <c r="R425" s="321">
        <v>1120</v>
      </c>
      <c r="S425" s="321">
        <v>1120</v>
      </c>
      <c r="T425" s="321">
        <v>540</v>
      </c>
      <c r="U425" s="322">
        <v>1066</v>
      </c>
      <c r="V425" s="323">
        <v>12806</v>
      </c>
      <c r="W425" s="303"/>
      <c r="X425" s="324">
        <v>1066</v>
      </c>
      <c r="Y425" s="325">
        <v>12806</v>
      </c>
    </row>
    <row r="426" spans="1:25" hidden="1" outlineLevel="1" x14ac:dyDescent="0.3">
      <c r="E426" s="250" t="s">
        <v>1362</v>
      </c>
      <c r="F426" s="317">
        <v>4302008</v>
      </c>
      <c r="G426" s="318"/>
      <c r="H426" s="319">
        <v>5101530115</v>
      </c>
      <c r="I426" s="320"/>
      <c r="J426" s="337">
        <v>4062.5369999999998</v>
      </c>
      <c r="K426" s="321">
        <v>3403.018</v>
      </c>
      <c r="L426" s="321">
        <v>2816.8629999999998</v>
      </c>
      <c r="M426" s="321">
        <v>4079.5909999999999</v>
      </c>
      <c r="N426" s="321">
        <v>3086.3359999999998</v>
      </c>
      <c r="O426" s="321">
        <v>2628.136</v>
      </c>
      <c r="P426" s="321">
        <v>2456.8359999999998</v>
      </c>
      <c r="Q426" s="321">
        <v>3828.9</v>
      </c>
      <c r="R426" s="321">
        <v>4423.1270000000004</v>
      </c>
      <c r="S426" s="321">
        <v>3059.527</v>
      </c>
      <c r="T426" s="321">
        <v>3416.4639999999999</v>
      </c>
      <c r="U426" s="322">
        <v>4114.5360000000001</v>
      </c>
      <c r="V426" s="323">
        <v>41375.870999999999</v>
      </c>
      <c r="W426" s="303"/>
      <c r="X426" s="324">
        <v>4114.5360000000001</v>
      </c>
      <c r="Y426" s="325">
        <v>41375.870999999999</v>
      </c>
    </row>
    <row r="427" spans="1:25" hidden="1" outlineLevel="1" x14ac:dyDescent="0.3">
      <c r="E427" s="250" t="s">
        <v>1363</v>
      </c>
      <c r="F427" s="317">
        <v>4302009</v>
      </c>
      <c r="G427" s="318"/>
      <c r="H427" s="319">
        <v>5101530117</v>
      </c>
      <c r="I427" s="320"/>
      <c r="J427" s="337">
        <v>0</v>
      </c>
      <c r="K427" s="321">
        <v>0</v>
      </c>
      <c r="L427" s="321">
        <v>0</v>
      </c>
      <c r="M427" s="321">
        <v>0</v>
      </c>
      <c r="N427" s="321">
        <v>0</v>
      </c>
      <c r="O427" s="321">
        <v>0</v>
      </c>
      <c r="P427" s="321">
        <v>0</v>
      </c>
      <c r="Q427" s="321">
        <v>0</v>
      </c>
      <c r="R427" s="321">
        <v>0</v>
      </c>
      <c r="S427" s="321">
        <v>0</v>
      </c>
      <c r="T427" s="321">
        <v>0</v>
      </c>
      <c r="U427" s="322">
        <v>0</v>
      </c>
      <c r="V427" s="323">
        <v>0</v>
      </c>
      <c r="W427" s="303"/>
      <c r="X427" s="324">
        <v>0</v>
      </c>
      <c r="Y427" s="325">
        <v>0</v>
      </c>
    </row>
    <row r="428" spans="1:25" hidden="1" outlineLevel="1" x14ac:dyDescent="0.3">
      <c r="E428" s="250" t="s">
        <v>1364</v>
      </c>
      <c r="F428" s="317">
        <v>4302010</v>
      </c>
      <c r="G428" s="318"/>
      <c r="H428" s="319">
        <v>5101530119</v>
      </c>
      <c r="I428" s="320"/>
      <c r="J428" s="337">
        <v>0</v>
      </c>
      <c r="K428" s="321">
        <v>0</v>
      </c>
      <c r="L428" s="321">
        <v>0</v>
      </c>
      <c r="M428" s="321">
        <v>0</v>
      </c>
      <c r="N428" s="321">
        <v>0</v>
      </c>
      <c r="O428" s="321">
        <v>0</v>
      </c>
      <c r="P428" s="321">
        <v>0</v>
      </c>
      <c r="Q428" s="321">
        <v>0</v>
      </c>
      <c r="R428" s="321">
        <v>0</v>
      </c>
      <c r="S428" s="321">
        <v>0</v>
      </c>
      <c r="T428" s="321">
        <v>0</v>
      </c>
      <c r="U428" s="322">
        <v>0</v>
      </c>
      <c r="V428" s="323">
        <v>0</v>
      </c>
      <c r="W428" s="303"/>
      <c r="X428" s="324">
        <v>0</v>
      </c>
      <c r="Y428" s="325">
        <v>0</v>
      </c>
    </row>
    <row r="429" spans="1:25" hidden="1" outlineLevel="1" x14ac:dyDescent="0.3">
      <c r="E429" s="250" t="s">
        <v>1365</v>
      </c>
      <c r="F429" s="317">
        <v>4302011</v>
      </c>
      <c r="G429" s="318"/>
      <c r="H429" s="319"/>
      <c r="I429" s="320"/>
      <c r="J429" s="337">
        <v>0</v>
      </c>
      <c r="K429" s="321">
        <v>0</v>
      </c>
      <c r="L429" s="321">
        <v>0</v>
      </c>
      <c r="M429" s="321">
        <v>0</v>
      </c>
      <c r="N429" s="321">
        <v>0</v>
      </c>
      <c r="O429" s="321">
        <v>0</v>
      </c>
      <c r="P429" s="321">
        <v>0</v>
      </c>
      <c r="Q429" s="321">
        <v>0</v>
      </c>
      <c r="R429" s="321">
        <v>0</v>
      </c>
      <c r="S429" s="321">
        <v>0</v>
      </c>
      <c r="T429" s="321">
        <v>0</v>
      </c>
      <c r="U429" s="322">
        <v>0</v>
      </c>
      <c r="V429" s="323">
        <v>0</v>
      </c>
      <c r="W429" s="303"/>
      <c r="X429" s="324">
        <v>0</v>
      </c>
      <c r="Y429" s="325">
        <v>0</v>
      </c>
    </row>
    <row r="430" spans="1:25" hidden="1" outlineLevel="1" x14ac:dyDescent="0.3">
      <c r="E430" s="250" t="s">
        <v>1366</v>
      </c>
      <c r="F430" s="317">
        <v>4302012</v>
      </c>
      <c r="G430" s="318"/>
      <c r="H430" s="319">
        <v>5101530121</v>
      </c>
      <c r="I430" s="320"/>
      <c r="J430" s="337">
        <v>721541.86300000001</v>
      </c>
      <c r="K430" s="321">
        <v>718683.03300000005</v>
      </c>
      <c r="L430" s="321">
        <v>720895.54299999995</v>
      </c>
      <c r="M430" s="321">
        <v>725348.70299999998</v>
      </c>
      <c r="N430" s="321">
        <v>720696.40300000005</v>
      </c>
      <c r="O430" s="321">
        <v>712698.76300000004</v>
      </c>
      <c r="P430" s="321">
        <v>718715.49300000002</v>
      </c>
      <c r="Q430" s="321">
        <v>719785.603</v>
      </c>
      <c r="R430" s="321">
        <v>719960.06299999997</v>
      </c>
      <c r="S430" s="321">
        <v>718500.04299999995</v>
      </c>
      <c r="T430" s="321">
        <v>719493.103</v>
      </c>
      <c r="U430" s="322">
        <v>719853.37300000002</v>
      </c>
      <c r="V430" s="323">
        <v>8636171.9859999996</v>
      </c>
      <c r="W430" s="303"/>
      <c r="X430" s="324">
        <v>719853.37300000002</v>
      </c>
      <c r="Y430" s="325">
        <v>8636171.9859999996</v>
      </c>
    </row>
    <row r="431" spans="1:25" hidden="1" outlineLevel="1" x14ac:dyDescent="0.3">
      <c r="E431" s="250" t="s">
        <v>1367</v>
      </c>
      <c r="F431" s="317">
        <v>4302013</v>
      </c>
      <c r="G431" s="318"/>
      <c r="H431" s="319">
        <v>5101530123</v>
      </c>
      <c r="I431" s="320"/>
      <c r="J431" s="337">
        <v>53851.425999999999</v>
      </c>
      <c r="K431" s="321">
        <v>47677.7</v>
      </c>
      <c r="L431" s="321">
        <v>50616.097999999998</v>
      </c>
      <c r="M431" s="321">
        <v>54007.076000000001</v>
      </c>
      <c r="N431" s="321">
        <v>53480.254999999997</v>
      </c>
      <c r="O431" s="321">
        <v>53987.040000000001</v>
      </c>
      <c r="P431" s="321">
        <v>55361.97</v>
      </c>
      <c r="Q431" s="321">
        <v>54431.34</v>
      </c>
      <c r="R431" s="321">
        <v>48328.71</v>
      </c>
      <c r="S431" s="321">
        <v>48549.54</v>
      </c>
      <c r="T431" s="321">
        <v>49854.23</v>
      </c>
      <c r="U431" s="322">
        <v>51658.36</v>
      </c>
      <c r="V431" s="323">
        <v>621803.74499999988</v>
      </c>
      <c r="W431" s="303"/>
      <c r="X431" s="324">
        <v>51658.36</v>
      </c>
      <c r="Y431" s="325">
        <v>621803.74499999988</v>
      </c>
    </row>
    <row r="432" spans="1:25" hidden="1" outlineLevel="1" x14ac:dyDescent="0.3">
      <c r="E432" s="250" t="s">
        <v>1368</v>
      </c>
      <c r="F432" s="317">
        <v>4302014</v>
      </c>
      <c r="G432" s="318"/>
      <c r="H432" s="319">
        <v>5101530125</v>
      </c>
      <c r="I432" s="320"/>
      <c r="J432" s="337">
        <v>0</v>
      </c>
      <c r="K432" s="321">
        <v>0</v>
      </c>
      <c r="L432" s="321">
        <v>0</v>
      </c>
      <c r="M432" s="321">
        <v>0</v>
      </c>
      <c r="N432" s="321">
        <v>0</v>
      </c>
      <c r="O432" s="321">
        <v>0</v>
      </c>
      <c r="P432" s="321">
        <v>0</v>
      </c>
      <c r="Q432" s="321">
        <v>0</v>
      </c>
      <c r="R432" s="321">
        <v>0</v>
      </c>
      <c r="S432" s="321">
        <v>0</v>
      </c>
      <c r="T432" s="321">
        <v>0</v>
      </c>
      <c r="U432" s="322">
        <v>0</v>
      </c>
      <c r="V432" s="323">
        <v>0</v>
      </c>
      <c r="W432" s="303"/>
      <c r="X432" s="324">
        <v>0</v>
      </c>
      <c r="Y432" s="325">
        <v>0</v>
      </c>
    </row>
    <row r="433" spans="5:25" hidden="1" outlineLevel="1" x14ac:dyDescent="0.3">
      <c r="E433" s="250" t="s">
        <v>1369</v>
      </c>
      <c r="F433" s="317">
        <v>4302015</v>
      </c>
      <c r="G433" s="318"/>
      <c r="H433" s="319">
        <v>5101530127</v>
      </c>
      <c r="I433" s="320"/>
      <c r="J433" s="337">
        <v>3458206.45</v>
      </c>
      <c r="K433" s="321">
        <v>4078352.9849999999</v>
      </c>
      <c r="L433" s="321">
        <v>3644264.6770000001</v>
      </c>
      <c r="M433" s="321">
        <v>4163542.6540000001</v>
      </c>
      <c r="N433" s="321">
        <v>3852796.7119999998</v>
      </c>
      <c r="O433" s="321">
        <v>3629746.767</v>
      </c>
      <c r="P433" s="321">
        <v>4015620.983</v>
      </c>
      <c r="Q433" s="321">
        <v>3197570.76</v>
      </c>
      <c r="R433" s="321">
        <v>3775751.07</v>
      </c>
      <c r="S433" s="321">
        <v>4222698.2149999999</v>
      </c>
      <c r="T433" s="321">
        <v>3721612.7850000001</v>
      </c>
      <c r="U433" s="322">
        <v>4274305.7089999998</v>
      </c>
      <c r="V433" s="323">
        <v>46034469.766999997</v>
      </c>
      <c r="W433" s="303"/>
      <c r="X433" s="324">
        <v>4274305.7089999998</v>
      </c>
      <c r="Y433" s="325">
        <v>46034469.766999997</v>
      </c>
    </row>
    <row r="434" spans="5:25" hidden="1" outlineLevel="1" x14ac:dyDescent="0.3">
      <c r="E434" s="250" t="s">
        <v>1370</v>
      </c>
      <c r="F434" s="317">
        <v>4302016</v>
      </c>
      <c r="G434" s="318"/>
      <c r="H434" s="319">
        <v>5101530129</v>
      </c>
      <c r="I434" s="320"/>
      <c r="J434" s="337">
        <v>0</v>
      </c>
      <c r="K434" s="321">
        <v>0</v>
      </c>
      <c r="L434" s="321">
        <v>0</v>
      </c>
      <c r="M434" s="321">
        <v>0</v>
      </c>
      <c r="N434" s="321">
        <v>0</v>
      </c>
      <c r="O434" s="321">
        <v>0</v>
      </c>
      <c r="P434" s="321">
        <v>0</v>
      </c>
      <c r="Q434" s="321">
        <v>0</v>
      </c>
      <c r="R434" s="321">
        <v>0</v>
      </c>
      <c r="S434" s="321">
        <v>0</v>
      </c>
      <c r="T434" s="321">
        <v>0</v>
      </c>
      <c r="U434" s="322">
        <v>0</v>
      </c>
      <c r="V434" s="323">
        <v>0</v>
      </c>
      <c r="W434" s="303"/>
      <c r="X434" s="324">
        <v>0</v>
      </c>
      <c r="Y434" s="325">
        <v>0</v>
      </c>
    </row>
    <row r="435" spans="5:25" hidden="1" outlineLevel="1" x14ac:dyDescent="0.3">
      <c r="E435" s="250" t="s">
        <v>1371</v>
      </c>
      <c r="F435" s="317">
        <v>4302017</v>
      </c>
      <c r="G435" s="318"/>
      <c r="H435" s="319">
        <v>5101530131</v>
      </c>
      <c r="I435" s="320"/>
      <c r="J435" s="337">
        <v>35887.160000000003</v>
      </c>
      <c r="K435" s="321">
        <v>7183.87</v>
      </c>
      <c r="L435" s="321">
        <v>6995.88</v>
      </c>
      <c r="M435" s="321">
        <v>45514.25</v>
      </c>
      <c r="N435" s="321">
        <v>4319.91</v>
      </c>
      <c r="O435" s="321">
        <v>13749.12</v>
      </c>
      <c r="P435" s="321">
        <v>38850.870000000003</v>
      </c>
      <c r="Q435" s="321">
        <v>7404.91</v>
      </c>
      <c r="R435" s="321">
        <v>10392.75</v>
      </c>
      <c r="S435" s="321">
        <v>48984.25</v>
      </c>
      <c r="T435" s="321">
        <v>11206.12</v>
      </c>
      <c r="U435" s="322">
        <v>62417.25</v>
      </c>
      <c r="V435" s="323">
        <v>292906.33999999997</v>
      </c>
      <c r="W435" s="303"/>
      <c r="X435" s="324">
        <v>62417.25</v>
      </c>
      <c r="Y435" s="325">
        <v>292906.33999999997</v>
      </c>
    </row>
    <row r="436" spans="5:25" hidden="1" outlineLevel="1" x14ac:dyDescent="0.3">
      <c r="E436" s="250" t="s">
        <v>1372</v>
      </c>
      <c r="F436" s="317">
        <v>4302018</v>
      </c>
      <c r="G436" s="318"/>
      <c r="H436" s="319">
        <v>5101530199</v>
      </c>
      <c r="I436" s="320"/>
      <c r="J436" s="337">
        <v>0</v>
      </c>
      <c r="K436" s="321">
        <v>0</v>
      </c>
      <c r="L436" s="321">
        <v>0</v>
      </c>
      <c r="M436" s="321">
        <v>0</v>
      </c>
      <c r="N436" s="321">
        <v>0</v>
      </c>
      <c r="O436" s="321">
        <v>0</v>
      </c>
      <c r="P436" s="321">
        <v>0</v>
      </c>
      <c r="Q436" s="321">
        <v>0</v>
      </c>
      <c r="R436" s="321">
        <v>0</v>
      </c>
      <c r="S436" s="321">
        <v>0</v>
      </c>
      <c r="T436" s="321">
        <v>0</v>
      </c>
      <c r="U436" s="322">
        <v>0</v>
      </c>
      <c r="V436" s="323">
        <v>0</v>
      </c>
      <c r="W436" s="303"/>
      <c r="X436" s="324">
        <v>0</v>
      </c>
      <c r="Y436" s="325">
        <v>0</v>
      </c>
    </row>
    <row r="437" spans="5:25" hidden="1" outlineLevel="1" x14ac:dyDescent="0.3">
      <c r="E437" s="250" t="s">
        <v>1373</v>
      </c>
      <c r="F437" s="317">
        <v>4302020</v>
      </c>
      <c r="G437" s="318"/>
      <c r="H437" s="319">
        <v>5101530133</v>
      </c>
      <c r="I437" s="320"/>
      <c r="J437" s="337">
        <v>0</v>
      </c>
      <c r="K437" s="321">
        <v>0</v>
      </c>
      <c r="L437" s="321">
        <v>0</v>
      </c>
      <c r="M437" s="321">
        <v>0</v>
      </c>
      <c r="N437" s="321">
        <v>0</v>
      </c>
      <c r="O437" s="321">
        <v>0</v>
      </c>
      <c r="P437" s="321">
        <v>0</v>
      </c>
      <c r="Q437" s="321">
        <v>0</v>
      </c>
      <c r="R437" s="321">
        <v>0</v>
      </c>
      <c r="S437" s="321">
        <v>0</v>
      </c>
      <c r="T437" s="321">
        <v>0</v>
      </c>
      <c r="U437" s="322">
        <v>0</v>
      </c>
      <c r="V437" s="323">
        <v>0</v>
      </c>
      <c r="W437" s="303"/>
      <c r="X437" s="324">
        <v>0</v>
      </c>
      <c r="Y437" s="325">
        <v>0</v>
      </c>
    </row>
    <row r="438" spans="5:25" hidden="1" outlineLevel="1" x14ac:dyDescent="0.3">
      <c r="E438" s="250" t="s">
        <v>1374</v>
      </c>
      <c r="F438" s="317">
        <v>4302022</v>
      </c>
      <c r="G438" s="318"/>
      <c r="H438" s="319"/>
      <c r="I438" s="320"/>
      <c r="J438" s="337">
        <v>0</v>
      </c>
      <c r="K438" s="321">
        <v>0</v>
      </c>
      <c r="L438" s="321">
        <v>0</v>
      </c>
      <c r="M438" s="321">
        <v>0</v>
      </c>
      <c r="N438" s="321">
        <v>0</v>
      </c>
      <c r="O438" s="321">
        <v>0</v>
      </c>
      <c r="P438" s="321">
        <v>0</v>
      </c>
      <c r="Q438" s="321">
        <v>0</v>
      </c>
      <c r="R438" s="321">
        <v>0</v>
      </c>
      <c r="S438" s="321">
        <v>0</v>
      </c>
      <c r="T438" s="321">
        <v>0</v>
      </c>
      <c r="U438" s="322">
        <v>0</v>
      </c>
      <c r="V438" s="323">
        <v>0</v>
      </c>
      <c r="W438" s="303"/>
      <c r="X438" s="324">
        <v>0</v>
      </c>
      <c r="Y438" s="325">
        <v>0</v>
      </c>
    </row>
    <row r="439" spans="5:25" hidden="1" outlineLevel="1" x14ac:dyDescent="0.3">
      <c r="E439" s="250" t="s">
        <v>1375</v>
      </c>
      <c r="F439" s="317">
        <v>4302080</v>
      </c>
      <c r="G439" s="318"/>
      <c r="H439" s="319"/>
      <c r="I439" s="320"/>
      <c r="J439" s="337">
        <v>0</v>
      </c>
      <c r="K439" s="321">
        <v>0</v>
      </c>
      <c r="L439" s="321">
        <v>0</v>
      </c>
      <c r="M439" s="321">
        <v>0</v>
      </c>
      <c r="N439" s="321">
        <v>0</v>
      </c>
      <c r="O439" s="321">
        <v>0</v>
      </c>
      <c r="P439" s="321">
        <v>0</v>
      </c>
      <c r="Q439" s="321">
        <v>0</v>
      </c>
      <c r="R439" s="321">
        <v>0</v>
      </c>
      <c r="S439" s="321">
        <v>0</v>
      </c>
      <c r="T439" s="321">
        <v>0</v>
      </c>
      <c r="U439" s="322">
        <v>0</v>
      </c>
      <c r="V439" s="323">
        <v>0</v>
      </c>
      <c r="W439" s="303"/>
      <c r="X439" s="324">
        <v>0</v>
      </c>
      <c r="Y439" s="325">
        <v>0</v>
      </c>
    </row>
    <row r="440" spans="5:25" hidden="1" outlineLevel="1" x14ac:dyDescent="0.3">
      <c r="E440" s="250" t="s">
        <v>1376</v>
      </c>
      <c r="F440" s="317">
        <v>4302081</v>
      </c>
      <c r="G440" s="318"/>
      <c r="H440" s="319"/>
      <c r="I440" s="320"/>
      <c r="J440" s="337">
        <v>5556833.3329999996</v>
      </c>
      <c r="K440" s="321">
        <v>5556833.3329999996</v>
      </c>
      <c r="L440" s="321">
        <v>5556833.3329999996</v>
      </c>
      <c r="M440" s="321">
        <v>5556833.3329999996</v>
      </c>
      <c r="N440" s="321">
        <v>5556833.3329999996</v>
      </c>
      <c r="O440" s="321">
        <v>5556833.3329999996</v>
      </c>
      <c r="P440" s="321">
        <v>5556833.3329999996</v>
      </c>
      <c r="Q440" s="321">
        <v>5456833.3329999996</v>
      </c>
      <c r="R440" s="321">
        <v>5456833.3329999996</v>
      </c>
      <c r="S440" s="321">
        <v>5456833.3339999998</v>
      </c>
      <c r="T440" s="321">
        <v>5456833.3339999998</v>
      </c>
      <c r="U440" s="322">
        <v>5038968.8770000003</v>
      </c>
      <c r="V440" s="323">
        <v>65764135.541999996</v>
      </c>
      <c r="W440" s="303"/>
      <c r="X440" s="324">
        <v>5038968.8770000003</v>
      </c>
      <c r="Y440" s="325">
        <v>65764135.541999996</v>
      </c>
    </row>
    <row r="441" spans="5:25" hidden="1" outlineLevel="1" x14ac:dyDescent="0.3">
      <c r="E441" s="250" t="s">
        <v>1377</v>
      </c>
      <c r="F441" s="317">
        <v>4302082</v>
      </c>
      <c r="G441" s="318"/>
      <c r="H441" s="319"/>
      <c r="I441" s="320"/>
      <c r="J441" s="337">
        <v>364583.326</v>
      </c>
      <c r="K441" s="321">
        <v>362070.125</v>
      </c>
      <c r="L441" s="321">
        <v>374965.75</v>
      </c>
      <c r="M441" s="321">
        <v>392716.18599999999</v>
      </c>
      <c r="N441" s="321">
        <v>371104.07900000003</v>
      </c>
      <c r="O441" s="321">
        <v>355615.38299999997</v>
      </c>
      <c r="P441" s="321">
        <v>353458.49699999997</v>
      </c>
      <c r="Q441" s="321">
        <v>286584.40299999999</v>
      </c>
      <c r="R441" s="321">
        <v>301248.58299999998</v>
      </c>
      <c r="S441" s="321">
        <v>322720.25900000002</v>
      </c>
      <c r="T441" s="321">
        <v>329365.04700000002</v>
      </c>
      <c r="U441" s="322">
        <v>349778.49099999998</v>
      </c>
      <c r="V441" s="323">
        <v>4164210.1290000002</v>
      </c>
      <c r="W441" s="303"/>
      <c r="X441" s="324">
        <v>349778.49099999998</v>
      </c>
      <c r="Y441" s="325">
        <v>4164210.1290000002</v>
      </c>
    </row>
    <row r="442" spans="5:25" hidden="1" outlineLevel="1" x14ac:dyDescent="0.3">
      <c r="E442" s="250" t="s">
        <v>1378</v>
      </c>
      <c r="F442" s="317">
        <v>4302083</v>
      </c>
      <c r="G442" s="318"/>
      <c r="H442" s="319"/>
      <c r="I442" s="320"/>
      <c r="J442" s="337">
        <v>2106889.9610000001</v>
      </c>
      <c r="K442" s="321">
        <v>1998117.9580000001</v>
      </c>
      <c r="L442" s="321">
        <v>2080905.9040000001</v>
      </c>
      <c r="M442" s="321">
        <v>1965544.308</v>
      </c>
      <c r="N442" s="321">
        <v>2110594.6150000002</v>
      </c>
      <c r="O442" s="321">
        <v>2098783.5430000001</v>
      </c>
      <c r="P442" s="321">
        <v>2027008.7039999999</v>
      </c>
      <c r="Q442" s="321">
        <v>2079804.263</v>
      </c>
      <c r="R442" s="321">
        <v>2024370.0379999999</v>
      </c>
      <c r="S442" s="321">
        <v>2211495.673</v>
      </c>
      <c r="T442" s="321">
        <v>2152118.716</v>
      </c>
      <c r="U442" s="322">
        <v>2260465.4640000002</v>
      </c>
      <c r="V442" s="323">
        <v>25116099.147</v>
      </c>
      <c r="W442" s="303"/>
      <c r="X442" s="324">
        <v>2260465.4640000002</v>
      </c>
      <c r="Y442" s="325">
        <v>25116099.147</v>
      </c>
    </row>
    <row r="443" spans="5:25" hidden="1" outlineLevel="1" x14ac:dyDescent="0.3">
      <c r="E443" s="250" t="s">
        <v>1379</v>
      </c>
      <c r="F443" s="317">
        <v>4302084</v>
      </c>
      <c r="G443" s="318"/>
      <c r="H443" s="319"/>
      <c r="I443" s="320"/>
      <c r="J443" s="337">
        <v>0</v>
      </c>
      <c r="K443" s="321">
        <v>0</v>
      </c>
      <c r="L443" s="321">
        <v>0</v>
      </c>
      <c r="M443" s="321">
        <v>0</v>
      </c>
      <c r="N443" s="321">
        <v>0</v>
      </c>
      <c r="O443" s="321">
        <v>0</v>
      </c>
      <c r="P443" s="321">
        <v>0</v>
      </c>
      <c r="Q443" s="321">
        <v>0</v>
      </c>
      <c r="R443" s="321">
        <v>0</v>
      </c>
      <c r="S443" s="321">
        <v>0</v>
      </c>
      <c r="T443" s="321">
        <v>0</v>
      </c>
      <c r="U443" s="322">
        <v>0</v>
      </c>
      <c r="V443" s="323">
        <v>0</v>
      </c>
      <c r="W443" s="303"/>
      <c r="X443" s="324">
        <v>0</v>
      </c>
      <c r="Y443" s="325">
        <v>0</v>
      </c>
    </row>
    <row r="444" spans="5:25" hidden="1" outlineLevel="1" x14ac:dyDescent="0.3">
      <c r="E444" s="250" t="s">
        <v>1380</v>
      </c>
      <c r="F444" s="317">
        <v>4302085</v>
      </c>
      <c r="G444" s="318"/>
      <c r="H444" s="319"/>
      <c r="I444" s="320"/>
      <c r="J444" s="337">
        <v>331096.766</v>
      </c>
      <c r="K444" s="321">
        <v>391652.03200000001</v>
      </c>
      <c r="L444" s="321">
        <v>411421.88299999997</v>
      </c>
      <c r="M444" s="321">
        <v>492523.34700000001</v>
      </c>
      <c r="N444" s="321">
        <v>498709.69699999999</v>
      </c>
      <c r="O444" s="321">
        <v>506066.08100000001</v>
      </c>
      <c r="P444" s="321">
        <v>520009.929</v>
      </c>
      <c r="Q444" s="321">
        <v>360296.52600000001</v>
      </c>
      <c r="R444" s="321">
        <v>478549.908</v>
      </c>
      <c r="S444" s="321">
        <v>510836.67599999998</v>
      </c>
      <c r="T444" s="321">
        <v>513342.98700000002</v>
      </c>
      <c r="U444" s="322">
        <v>526124.49600000004</v>
      </c>
      <c r="V444" s="323">
        <v>5540630.3279999997</v>
      </c>
      <c r="W444" s="303"/>
      <c r="X444" s="324">
        <v>526124.49600000004</v>
      </c>
      <c r="Y444" s="325">
        <v>5540630.3279999997</v>
      </c>
    </row>
    <row r="445" spans="5:25" hidden="1" outlineLevel="1" x14ac:dyDescent="0.3">
      <c r="E445" s="250" t="s">
        <v>1381</v>
      </c>
      <c r="F445" s="317">
        <v>4302086</v>
      </c>
      <c r="G445" s="318"/>
      <c r="H445" s="319"/>
      <c r="I445" s="320"/>
      <c r="J445" s="337">
        <v>0</v>
      </c>
      <c r="K445" s="321">
        <v>190009.315</v>
      </c>
      <c r="L445" s="321">
        <v>207484.67499999999</v>
      </c>
      <c r="M445" s="321">
        <v>191718.79800000001</v>
      </c>
      <c r="N445" s="321">
        <v>164093.07199999999</v>
      </c>
      <c r="O445" s="321">
        <v>163272.82699999999</v>
      </c>
      <c r="P445" s="321">
        <v>149789.62100000001</v>
      </c>
      <c r="Q445" s="321">
        <v>177516.72200000001</v>
      </c>
      <c r="R445" s="321">
        <v>142164.071</v>
      </c>
      <c r="S445" s="321">
        <v>204422.15299999999</v>
      </c>
      <c r="T445" s="321">
        <v>171386.75399999999</v>
      </c>
      <c r="U445" s="322">
        <v>144399.02900000001</v>
      </c>
      <c r="V445" s="323">
        <v>1906257.037</v>
      </c>
      <c r="W445" s="303"/>
      <c r="X445" s="324">
        <v>144399.02900000001</v>
      </c>
      <c r="Y445" s="325">
        <v>1906257.037</v>
      </c>
    </row>
    <row r="446" spans="5:25" hidden="1" outlineLevel="1" x14ac:dyDescent="0.3">
      <c r="E446" s="250" t="s">
        <v>1382</v>
      </c>
      <c r="F446" s="317">
        <v>4302087</v>
      </c>
      <c r="G446" s="318"/>
      <c r="H446" s="319"/>
      <c r="I446" s="320"/>
      <c r="J446" s="337">
        <v>1032787.3</v>
      </c>
      <c r="K446" s="321">
        <v>895735.48</v>
      </c>
      <c r="L446" s="321">
        <v>737541.13500000001</v>
      </c>
      <c r="M446" s="321">
        <v>733521.80799999996</v>
      </c>
      <c r="N446" s="321">
        <v>630753.18400000001</v>
      </c>
      <c r="O446" s="321">
        <v>687654.67700000003</v>
      </c>
      <c r="P446" s="321">
        <v>582110.71</v>
      </c>
      <c r="Q446" s="321">
        <v>475418.88400000002</v>
      </c>
      <c r="R446" s="321">
        <v>513797.08199999999</v>
      </c>
      <c r="S446" s="321">
        <v>531576.83499999996</v>
      </c>
      <c r="T446" s="321">
        <v>608324.86499999999</v>
      </c>
      <c r="U446" s="322">
        <v>578776.02099999995</v>
      </c>
      <c r="V446" s="323">
        <v>8007997.9809999997</v>
      </c>
      <c r="W446" s="303"/>
      <c r="X446" s="324">
        <v>578776.02099999995</v>
      </c>
      <c r="Y446" s="325">
        <v>8007997.9809999997</v>
      </c>
    </row>
    <row r="447" spans="5:25" hidden="1" outlineLevel="1" x14ac:dyDescent="0.3">
      <c r="E447" s="250" t="s">
        <v>1383</v>
      </c>
      <c r="F447" s="317">
        <v>4302088</v>
      </c>
      <c r="G447" s="318"/>
      <c r="H447" s="319"/>
      <c r="I447" s="320"/>
      <c r="J447" s="337">
        <v>385411.96799999999</v>
      </c>
      <c r="K447" s="321">
        <v>414528.79200000002</v>
      </c>
      <c r="L447" s="321">
        <v>503937.174</v>
      </c>
      <c r="M447" s="321">
        <v>577109.88300000003</v>
      </c>
      <c r="N447" s="321">
        <v>557270.49300000002</v>
      </c>
      <c r="O447" s="321">
        <v>519921.52299999999</v>
      </c>
      <c r="P447" s="321">
        <v>444068.75699999998</v>
      </c>
      <c r="Q447" s="321">
        <v>418993.54200000002</v>
      </c>
      <c r="R447" s="321">
        <v>406695.42200000002</v>
      </c>
      <c r="S447" s="321">
        <v>511226.58299999998</v>
      </c>
      <c r="T447" s="321">
        <v>440858.40299999999</v>
      </c>
      <c r="U447" s="322">
        <v>517103.17599999998</v>
      </c>
      <c r="V447" s="323">
        <v>5697125.7159999991</v>
      </c>
      <c r="W447" s="303"/>
      <c r="X447" s="324">
        <v>517103.17599999998</v>
      </c>
      <c r="Y447" s="325">
        <v>5697125.7159999991</v>
      </c>
    </row>
    <row r="448" spans="5:25" hidden="1" outlineLevel="1" x14ac:dyDescent="0.3">
      <c r="E448" s="250" t="s">
        <v>1384</v>
      </c>
      <c r="F448" s="317">
        <v>4302089</v>
      </c>
      <c r="G448" s="318"/>
      <c r="H448" s="319"/>
      <c r="I448" s="320"/>
      <c r="J448" s="337">
        <v>0</v>
      </c>
      <c r="K448" s="321">
        <v>0</v>
      </c>
      <c r="L448" s="321">
        <v>0</v>
      </c>
      <c r="M448" s="321">
        <v>0</v>
      </c>
      <c r="N448" s="321">
        <v>0</v>
      </c>
      <c r="O448" s="321">
        <v>0</v>
      </c>
      <c r="P448" s="321">
        <v>0</v>
      </c>
      <c r="Q448" s="321">
        <v>0</v>
      </c>
      <c r="R448" s="321">
        <v>0</v>
      </c>
      <c r="S448" s="321">
        <v>0</v>
      </c>
      <c r="T448" s="321">
        <v>0</v>
      </c>
      <c r="U448" s="322">
        <v>0</v>
      </c>
      <c r="V448" s="323">
        <v>0</v>
      </c>
      <c r="W448" s="303"/>
      <c r="X448" s="324">
        <v>0</v>
      </c>
      <c r="Y448" s="325">
        <v>0</v>
      </c>
    </row>
    <row r="449" spans="1:25" hidden="1" outlineLevel="1" x14ac:dyDescent="0.3">
      <c r="E449" s="250" t="s">
        <v>1385</v>
      </c>
      <c r="F449" s="317">
        <v>4302090</v>
      </c>
      <c r="G449" s="318"/>
      <c r="H449" s="319"/>
      <c r="I449" s="320"/>
      <c r="J449" s="337">
        <v>64676.017</v>
      </c>
      <c r="K449" s="321">
        <v>64533.053999999996</v>
      </c>
      <c r="L449" s="321">
        <v>64461.612000000001</v>
      </c>
      <c r="M449" s="321">
        <v>64533.053999999996</v>
      </c>
      <c r="N449" s="321">
        <v>64533.053999999996</v>
      </c>
      <c r="O449" s="321">
        <v>64533.053999999996</v>
      </c>
      <c r="P449" s="321">
        <v>64533.053999999996</v>
      </c>
      <c r="Q449" s="321">
        <v>64533.053999999996</v>
      </c>
      <c r="R449" s="321">
        <v>64533.053999999996</v>
      </c>
      <c r="S449" s="321">
        <v>64403.053999999996</v>
      </c>
      <c r="T449" s="321">
        <v>64403.053999999996</v>
      </c>
      <c r="U449" s="322">
        <v>64403.053999999996</v>
      </c>
      <c r="V449" s="323">
        <v>774078.16899999999</v>
      </c>
      <c r="W449" s="303"/>
      <c r="X449" s="324">
        <v>64403.053999999996</v>
      </c>
      <c r="Y449" s="325">
        <v>774078.16899999999</v>
      </c>
    </row>
    <row r="450" spans="1:25" hidden="1" outlineLevel="1" x14ac:dyDescent="0.3">
      <c r="E450" s="250" t="s">
        <v>1386</v>
      </c>
      <c r="F450" s="317">
        <v>4302091</v>
      </c>
      <c r="G450" s="318"/>
      <c r="H450" s="319"/>
      <c r="I450" s="320"/>
      <c r="J450" s="337">
        <v>0</v>
      </c>
      <c r="K450" s="321">
        <v>0</v>
      </c>
      <c r="L450" s="321">
        <v>0</v>
      </c>
      <c r="M450" s="321">
        <v>0</v>
      </c>
      <c r="N450" s="321">
        <v>0</v>
      </c>
      <c r="O450" s="321">
        <v>0</v>
      </c>
      <c r="P450" s="321">
        <v>0</v>
      </c>
      <c r="Q450" s="321">
        <v>0</v>
      </c>
      <c r="R450" s="321">
        <v>0</v>
      </c>
      <c r="S450" s="321">
        <v>0</v>
      </c>
      <c r="T450" s="321">
        <v>0</v>
      </c>
      <c r="U450" s="322">
        <v>0</v>
      </c>
      <c r="V450" s="323">
        <v>0</v>
      </c>
      <c r="W450" s="303"/>
      <c r="X450" s="324">
        <v>0</v>
      </c>
      <c r="Y450" s="325">
        <v>0</v>
      </c>
    </row>
    <row r="451" spans="1:25" hidden="1" outlineLevel="1" x14ac:dyDescent="0.3">
      <c r="E451" s="250" t="s">
        <v>1387</v>
      </c>
      <c r="F451" s="317">
        <v>4302092</v>
      </c>
      <c r="G451" s="318"/>
      <c r="H451" s="319"/>
      <c r="I451" s="320"/>
      <c r="J451" s="337">
        <v>0</v>
      </c>
      <c r="K451" s="321">
        <v>0</v>
      </c>
      <c r="L451" s="321">
        <v>0</v>
      </c>
      <c r="M451" s="321">
        <v>0</v>
      </c>
      <c r="N451" s="321">
        <v>0</v>
      </c>
      <c r="O451" s="321">
        <v>0</v>
      </c>
      <c r="P451" s="321">
        <v>0</v>
      </c>
      <c r="Q451" s="321">
        <v>0</v>
      </c>
      <c r="R451" s="321">
        <v>0</v>
      </c>
      <c r="S451" s="321">
        <v>0</v>
      </c>
      <c r="T451" s="321">
        <v>0</v>
      </c>
      <c r="U451" s="322">
        <v>0</v>
      </c>
      <c r="V451" s="323">
        <v>0</v>
      </c>
      <c r="W451" s="303"/>
      <c r="X451" s="324">
        <v>0</v>
      </c>
      <c r="Y451" s="325">
        <v>0</v>
      </c>
    </row>
    <row r="452" spans="1:25" hidden="1" outlineLevel="1" x14ac:dyDescent="0.3">
      <c r="E452" s="250" t="s">
        <v>1388</v>
      </c>
      <c r="F452" s="317">
        <v>4302094</v>
      </c>
      <c r="G452" s="318"/>
      <c r="H452" s="319"/>
      <c r="I452" s="320"/>
      <c r="J452" s="337">
        <v>0</v>
      </c>
      <c r="K452" s="321">
        <v>0</v>
      </c>
      <c r="L452" s="321">
        <v>0</v>
      </c>
      <c r="M452" s="321">
        <v>0</v>
      </c>
      <c r="N452" s="321">
        <v>0</v>
      </c>
      <c r="O452" s="321">
        <v>0</v>
      </c>
      <c r="P452" s="321">
        <v>0</v>
      </c>
      <c r="Q452" s="321">
        <v>0</v>
      </c>
      <c r="R452" s="321">
        <v>0</v>
      </c>
      <c r="S452" s="321">
        <v>0</v>
      </c>
      <c r="T452" s="321">
        <v>0</v>
      </c>
      <c r="U452" s="322">
        <v>0</v>
      </c>
      <c r="V452" s="323">
        <v>0</v>
      </c>
      <c r="W452" s="303"/>
      <c r="X452" s="324">
        <v>0</v>
      </c>
      <c r="Y452" s="325">
        <v>0</v>
      </c>
    </row>
    <row r="453" spans="1:25" hidden="1" outlineLevel="1" x14ac:dyDescent="0.3">
      <c r="E453" s="250" t="s">
        <v>1389</v>
      </c>
      <c r="F453" s="317">
        <v>4302095</v>
      </c>
      <c r="G453" s="318"/>
      <c r="H453" s="319"/>
      <c r="I453" s="320"/>
      <c r="J453" s="337">
        <v>26113666.666999999</v>
      </c>
      <c r="K453" s="321">
        <v>26113666.666999999</v>
      </c>
      <c r="L453" s="321">
        <v>26113666.666999999</v>
      </c>
      <c r="M453" s="321">
        <v>26113666.666999999</v>
      </c>
      <c r="N453" s="321">
        <v>26113666.666999999</v>
      </c>
      <c r="O453" s="321">
        <v>26113666.666999999</v>
      </c>
      <c r="P453" s="321">
        <v>26113666.666999999</v>
      </c>
      <c r="Q453" s="321">
        <v>26213666.666999999</v>
      </c>
      <c r="R453" s="321">
        <v>26213666.666000001</v>
      </c>
      <c r="S453" s="321">
        <v>26213666.666000001</v>
      </c>
      <c r="T453" s="321">
        <v>26213666.666000001</v>
      </c>
      <c r="U453" s="322">
        <v>26718690.688999999</v>
      </c>
      <c r="V453" s="323">
        <v>314369024.023</v>
      </c>
      <c r="W453" s="303"/>
      <c r="X453" s="324">
        <v>26718690.688999999</v>
      </c>
      <c r="Y453" s="325">
        <v>314369024.023</v>
      </c>
    </row>
    <row r="454" spans="1:25" hidden="1" outlineLevel="1" x14ac:dyDescent="0.3">
      <c r="E454" s="250" t="s">
        <v>1390</v>
      </c>
      <c r="F454" s="317">
        <v>4302096</v>
      </c>
      <c r="G454" s="318"/>
      <c r="H454" s="319"/>
      <c r="I454" s="320"/>
      <c r="J454" s="337">
        <v>5339.0690000000004</v>
      </c>
      <c r="K454" s="321">
        <v>4600.9780000000001</v>
      </c>
      <c r="L454" s="321">
        <v>5049.384</v>
      </c>
      <c r="M454" s="321">
        <v>5596.6049999999996</v>
      </c>
      <c r="N454" s="321">
        <v>5929.0649999999996</v>
      </c>
      <c r="O454" s="321">
        <v>6240.6750000000002</v>
      </c>
      <c r="P454" s="321">
        <v>6087.21</v>
      </c>
      <c r="Q454" s="321">
        <v>5125.3500000000004</v>
      </c>
      <c r="R454" s="321">
        <v>4996.47</v>
      </c>
      <c r="S454" s="321">
        <v>4844.9549999999999</v>
      </c>
      <c r="T454" s="321">
        <v>5481.4049999999997</v>
      </c>
      <c r="U454" s="322">
        <v>4950.4650000000001</v>
      </c>
      <c r="V454" s="323">
        <v>64241.630999999994</v>
      </c>
      <c r="W454" s="303"/>
      <c r="X454" s="324">
        <v>4950.4650000000001</v>
      </c>
      <c r="Y454" s="325">
        <v>64241.630999999994</v>
      </c>
    </row>
    <row r="455" spans="1:25" hidden="1" outlineLevel="1" x14ac:dyDescent="0.3">
      <c r="E455" s="250" t="s">
        <v>1391</v>
      </c>
      <c r="F455" s="317">
        <v>4302099</v>
      </c>
      <c r="G455" s="318"/>
      <c r="H455" s="319">
        <v>5101530101</v>
      </c>
      <c r="I455" s="320"/>
      <c r="J455" s="337">
        <v>310717.076</v>
      </c>
      <c r="K455" s="321">
        <v>103320.61199999999</v>
      </c>
      <c r="L455" s="321">
        <v>113501.56</v>
      </c>
      <c r="M455" s="321">
        <v>271123.53899999999</v>
      </c>
      <c r="N455" s="321">
        <v>102603.79</v>
      </c>
      <c r="O455" s="321">
        <v>98103.914000000004</v>
      </c>
      <c r="P455" s="321">
        <v>202012.913</v>
      </c>
      <c r="Q455" s="321">
        <v>106367.663</v>
      </c>
      <c r="R455" s="321">
        <v>105613.58500000001</v>
      </c>
      <c r="S455" s="321">
        <v>228742.29800000001</v>
      </c>
      <c r="T455" s="321">
        <v>122406.803</v>
      </c>
      <c r="U455" s="322">
        <v>122440.423</v>
      </c>
      <c r="V455" s="323">
        <v>1886954.1759999997</v>
      </c>
      <c r="W455" s="303"/>
      <c r="X455" s="324">
        <v>122440.423</v>
      </c>
      <c r="Y455" s="325">
        <v>1886954.1759999997</v>
      </c>
    </row>
    <row r="456" spans="1:25" s="361" customFormat="1" hidden="1" outlineLevel="2" x14ac:dyDescent="0.3">
      <c r="E456" s="326" t="s">
        <v>1392</v>
      </c>
      <c r="F456" s="351"/>
      <c r="G456" s="352"/>
      <c r="H456" s="353">
        <v>5101530134</v>
      </c>
      <c r="I456" s="354"/>
      <c r="J456" s="362">
        <v>0</v>
      </c>
      <c r="K456" s="355">
        <v>0</v>
      </c>
      <c r="L456" s="355">
        <v>0</v>
      </c>
      <c r="M456" s="355">
        <v>0</v>
      </c>
      <c r="N456" s="355">
        <v>0</v>
      </c>
      <c r="O456" s="355">
        <v>0</v>
      </c>
      <c r="P456" s="355">
        <v>0</v>
      </c>
      <c r="Q456" s="355">
        <v>0</v>
      </c>
      <c r="R456" s="355">
        <v>0</v>
      </c>
      <c r="S456" s="355">
        <v>0</v>
      </c>
      <c r="T456" s="355">
        <v>0</v>
      </c>
      <c r="U456" s="356">
        <v>0</v>
      </c>
      <c r="V456" s="357">
        <v>0</v>
      </c>
      <c r="W456" s="358"/>
      <c r="X456" s="359">
        <v>0</v>
      </c>
      <c r="Y456" s="360">
        <v>0</v>
      </c>
    </row>
    <row r="457" spans="1:25" s="361" customFormat="1" hidden="1" outlineLevel="2" x14ac:dyDescent="0.3">
      <c r="E457" s="326" t="s">
        <v>1393</v>
      </c>
      <c r="F457" s="351"/>
      <c r="G457" s="352"/>
      <c r="H457" s="353"/>
      <c r="I457" s="354"/>
      <c r="J457" s="362">
        <v>0</v>
      </c>
      <c r="K457" s="355">
        <v>0</v>
      </c>
      <c r="L457" s="355">
        <v>0</v>
      </c>
      <c r="M457" s="355">
        <v>0</v>
      </c>
      <c r="N457" s="355">
        <v>0</v>
      </c>
      <c r="O457" s="355">
        <v>0</v>
      </c>
      <c r="P457" s="355">
        <v>0</v>
      </c>
      <c r="Q457" s="355">
        <v>0</v>
      </c>
      <c r="R457" s="355">
        <v>0</v>
      </c>
      <c r="S457" s="355">
        <v>0</v>
      </c>
      <c r="T457" s="355">
        <v>0</v>
      </c>
      <c r="U457" s="356">
        <v>0</v>
      </c>
      <c r="V457" s="357">
        <v>0</v>
      </c>
      <c r="W457" s="358"/>
      <c r="X457" s="359">
        <v>0</v>
      </c>
      <c r="Y457" s="360">
        <v>0</v>
      </c>
    </row>
    <row r="458" spans="1:25" s="361" customFormat="1" hidden="1" outlineLevel="2" x14ac:dyDescent="0.3">
      <c r="E458" s="326" t="s">
        <v>1394</v>
      </c>
      <c r="F458" s="351"/>
      <c r="G458" s="352"/>
      <c r="H458" s="353"/>
      <c r="I458" s="354"/>
      <c r="J458" s="362">
        <v>0</v>
      </c>
      <c r="K458" s="355">
        <v>0</v>
      </c>
      <c r="L458" s="355">
        <v>0</v>
      </c>
      <c r="M458" s="355">
        <v>0</v>
      </c>
      <c r="N458" s="355">
        <v>0</v>
      </c>
      <c r="O458" s="355">
        <v>0</v>
      </c>
      <c r="P458" s="355">
        <v>0</v>
      </c>
      <c r="Q458" s="355">
        <v>0</v>
      </c>
      <c r="R458" s="355">
        <v>0</v>
      </c>
      <c r="S458" s="355">
        <v>0</v>
      </c>
      <c r="T458" s="355">
        <v>0</v>
      </c>
      <c r="U458" s="356">
        <v>0</v>
      </c>
      <c r="V458" s="357">
        <v>0</v>
      </c>
      <c r="W458" s="358"/>
      <c r="X458" s="359">
        <v>0</v>
      </c>
      <c r="Y458" s="360">
        <v>0</v>
      </c>
    </row>
    <row r="459" spans="1:25" collapsed="1" x14ac:dyDescent="0.3">
      <c r="A459" s="233"/>
      <c r="B459" s="234" t="s">
        <v>22</v>
      </c>
      <c r="D459" s="293" t="s">
        <v>1395</v>
      </c>
      <c r="E459" s="294"/>
      <c r="F459" s="295" t="s">
        <v>1396</v>
      </c>
      <c r="G459" s="296"/>
      <c r="H459" s="297"/>
      <c r="I459" s="298"/>
      <c r="J459" s="299">
        <v>2985330.4170000004</v>
      </c>
      <c r="K459" s="300">
        <v>2971375.5990000004</v>
      </c>
      <c r="L459" s="300">
        <v>2970952.92</v>
      </c>
      <c r="M459" s="300">
        <v>2970603.8619999997</v>
      </c>
      <c r="N459" s="300">
        <v>3011232.1869999999</v>
      </c>
      <c r="O459" s="300">
        <v>2895012.3769999999</v>
      </c>
      <c r="P459" s="300">
        <v>3149698.1170000001</v>
      </c>
      <c r="Q459" s="300">
        <v>2827952.0969999996</v>
      </c>
      <c r="R459" s="300">
        <v>2848529.0789999999</v>
      </c>
      <c r="S459" s="300">
        <v>2830915.6049999995</v>
      </c>
      <c r="T459" s="300">
        <v>2840469.5109999999</v>
      </c>
      <c r="U459" s="301">
        <v>3213239.5260000001</v>
      </c>
      <c r="V459" s="302">
        <v>35515311.296999998</v>
      </c>
      <c r="W459" s="303"/>
      <c r="X459" s="304">
        <v>3213239.5260000001</v>
      </c>
      <c r="Y459" s="305">
        <v>35515311.296999998</v>
      </c>
    </row>
    <row r="460" spans="1:25" hidden="1" outlineLevel="1" x14ac:dyDescent="0.3">
      <c r="E460" s="250" t="s">
        <v>1397</v>
      </c>
      <c r="F460" s="317">
        <v>4302301</v>
      </c>
      <c r="G460" s="318"/>
      <c r="H460" s="319">
        <v>5101250101</v>
      </c>
      <c r="I460" s="320"/>
      <c r="J460" s="337">
        <v>292658.42700000003</v>
      </c>
      <c r="K460" s="321">
        <v>292987.87800000003</v>
      </c>
      <c r="L460" s="321">
        <v>298185.95600000001</v>
      </c>
      <c r="M460" s="321">
        <v>276240.54700000002</v>
      </c>
      <c r="N460" s="321">
        <v>267083.34299999999</v>
      </c>
      <c r="O460" s="321">
        <v>266186.75199999998</v>
      </c>
      <c r="P460" s="321">
        <v>271680.93300000002</v>
      </c>
      <c r="Q460" s="321">
        <v>241510.649</v>
      </c>
      <c r="R460" s="321">
        <v>236140.671</v>
      </c>
      <c r="S460" s="321">
        <v>234673.361</v>
      </c>
      <c r="T460" s="321">
        <v>234767.22399999999</v>
      </c>
      <c r="U460" s="322">
        <v>253840.033</v>
      </c>
      <c r="V460" s="323">
        <v>3165955.7739999997</v>
      </c>
      <c r="W460" s="303"/>
      <c r="X460" s="324">
        <v>253840.033</v>
      </c>
      <c r="Y460" s="325">
        <v>3165955.7739999997</v>
      </c>
    </row>
    <row r="461" spans="1:25" hidden="1" outlineLevel="1" x14ac:dyDescent="0.3">
      <c r="E461" s="250" t="s">
        <v>1398</v>
      </c>
      <c r="F461" s="317">
        <v>4302302</v>
      </c>
      <c r="G461" s="318"/>
      <c r="H461" s="319">
        <v>5101250105</v>
      </c>
      <c r="I461" s="320"/>
      <c r="J461" s="337">
        <v>32.960999999999999</v>
      </c>
      <c r="K461" s="321">
        <v>33.015999999999998</v>
      </c>
      <c r="L461" s="321">
        <v>0</v>
      </c>
      <c r="M461" s="321">
        <v>32.965000000000003</v>
      </c>
      <c r="N461" s="321">
        <v>0</v>
      </c>
      <c r="O461" s="321">
        <v>90</v>
      </c>
      <c r="P461" s="321">
        <v>0</v>
      </c>
      <c r="Q461" s="321">
        <v>0</v>
      </c>
      <c r="R461" s="321">
        <v>0</v>
      </c>
      <c r="S461" s="321">
        <v>0</v>
      </c>
      <c r="T461" s="321">
        <v>90</v>
      </c>
      <c r="U461" s="322">
        <v>0</v>
      </c>
      <c r="V461" s="323">
        <v>278.94200000000001</v>
      </c>
      <c r="W461" s="303"/>
      <c r="X461" s="324">
        <v>0</v>
      </c>
      <c r="Y461" s="325">
        <v>278.94200000000001</v>
      </c>
    </row>
    <row r="462" spans="1:25" hidden="1" outlineLevel="1" x14ac:dyDescent="0.3">
      <c r="E462" s="250" t="s">
        <v>1399</v>
      </c>
      <c r="F462" s="317">
        <v>4302303</v>
      </c>
      <c r="G462" s="318"/>
      <c r="H462" s="319">
        <v>5101250103</v>
      </c>
      <c r="I462" s="320"/>
      <c r="J462" s="337">
        <v>697370.36600000004</v>
      </c>
      <c r="K462" s="321">
        <v>722417.505</v>
      </c>
      <c r="L462" s="321">
        <v>753006.64500000002</v>
      </c>
      <c r="M462" s="321">
        <v>748731.51100000006</v>
      </c>
      <c r="N462" s="321">
        <v>841113.62800000003</v>
      </c>
      <c r="O462" s="321">
        <v>796481.92599999998</v>
      </c>
      <c r="P462" s="321">
        <v>796639.03300000005</v>
      </c>
      <c r="Q462" s="321">
        <v>793430.83799999999</v>
      </c>
      <c r="R462" s="321">
        <v>757364.31400000001</v>
      </c>
      <c r="S462" s="321">
        <v>839941.39599999995</v>
      </c>
      <c r="T462" s="321">
        <v>815055.63100000005</v>
      </c>
      <c r="U462" s="322">
        <v>806714.27899999998</v>
      </c>
      <c r="V462" s="323">
        <v>9368267.0719999988</v>
      </c>
      <c r="W462" s="303"/>
      <c r="X462" s="324">
        <v>806714.27899999998</v>
      </c>
      <c r="Y462" s="325">
        <v>9368267.0719999988</v>
      </c>
    </row>
    <row r="463" spans="1:25" hidden="1" outlineLevel="1" x14ac:dyDescent="0.3">
      <c r="E463" s="250" t="s">
        <v>1400</v>
      </c>
      <c r="F463" s="317">
        <v>4302304</v>
      </c>
      <c r="G463" s="318"/>
      <c r="H463" s="319">
        <v>5101250109</v>
      </c>
      <c r="I463" s="320"/>
      <c r="J463" s="337">
        <v>0</v>
      </c>
      <c r="K463" s="321">
        <v>0</v>
      </c>
      <c r="L463" s="321">
        <v>0</v>
      </c>
      <c r="M463" s="321">
        <v>0</v>
      </c>
      <c r="N463" s="321">
        <v>0</v>
      </c>
      <c r="O463" s="321">
        <v>0</v>
      </c>
      <c r="P463" s="321">
        <v>0</v>
      </c>
      <c r="Q463" s="321">
        <v>0</v>
      </c>
      <c r="R463" s="321">
        <v>0</v>
      </c>
      <c r="S463" s="321">
        <v>0</v>
      </c>
      <c r="T463" s="321">
        <v>0</v>
      </c>
      <c r="U463" s="322">
        <v>0</v>
      </c>
      <c r="V463" s="323">
        <v>0</v>
      </c>
      <c r="W463" s="303"/>
      <c r="X463" s="324">
        <v>0</v>
      </c>
      <c r="Y463" s="325">
        <v>0</v>
      </c>
    </row>
    <row r="464" spans="1:25" hidden="1" outlineLevel="1" x14ac:dyDescent="0.3">
      <c r="E464" s="250" t="s">
        <v>1401</v>
      </c>
      <c r="F464" s="376">
        <v>4302306</v>
      </c>
      <c r="G464" s="318"/>
      <c r="H464" s="319">
        <v>5101250111</v>
      </c>
      <c r="I464" s="320"/>
      <c r="J464" s="337">
        <v>0</v>
      </c>
      <c r="K464" s="321">
        <v>0</v>
      </c>
      <c r="L464" s="321">
        <v>0</v>
      </c>
      <c r="M464" s="321">
        <v>0</v>
      </c>
      <c r="N464" s="321">
        <v>0</v>
      </c>
      <c r="O464" s="321">
        <v>0</v>
      </c>
      <c r="P464" s="321">
        <v>0</v>
      </c>
      <c r="Q464" s="321">
        <v>0</v>
      </c>
      <c r="R464" s="321">
        <v>0</v>
      </c>
      <c r="S464" s="321">
        <v>0</v>
      </c>
      <c r="T464" s="321">
        <v>0</v>
      </c>
      <c r="U464" s="322">
        <v>0</v>
      </c>
      <c r="V464" s="323">
        <v>0</v>
      </c>
      <c r="W464" s="303"/>
      <c r="X464" s="324">
        <v>0</v>
      </c>
      <c r="Y464" s="325">
        <v>0</v>
      </c>
    </row>
    <row r="465" spans="1:25" s="326" customFormat="1" hidden="1" outlineLevel="1" x14ac:dyDescent="0.3">
      <c r="E465" s="250" t="s">
        <v>1402</v>
      </c>
      <c r="F465" s="376">
        <v>4302307</v>
      </c>
      <c r="G465" s="377"/>
      <c r="H465" s="378"/>
      <c r="I465" s="379"/>
      <c r="J465" s="337">
        <v>1254616.608</v>
      </c>
      <c r="K465" s="321">
        <v>1234086.7779999999</v>
      </c>
      <c r="L465" s="321">
        <v>1321555.8940000001</v>
      </c>
      <c r="M465" s="321">
        <v>1320277.0049999999</v>
      </c>
      <c r="N465" s="321">
        <v>1300193.99</v>
      </c>
      <c r="O465" s="321">
        <v>1258221.8770000001</v>
      </c>
      <c r="P465" s="321">
        <v>1492863.3489999999</v>
      </c>
      <c r="Q465" s="321">
        <v>1255510.591</v>
      </c>
      <c r="R465" s="321">
        <v>1294310.6529999999</v>
      </c>
      <c r="S465" s="321">
        <v>1196310.548</v>
      </c>
      <c r="T465" s="321">
        <v>1200390.577</v>
      </c>
      <c r="U465" s="322">
        <v>1557113.0430000001</v>
      </c>
      <c r="V465" s="323">
        <v>15685450.913000001</v>
      </c>
      <c r="W465" s="303"/>
      <c r="X465" s="324">
        <v>1557113.0430000001</v>
      </c>
      <c r="Y465" s="325">
        <v>15685450.913000001</v>
      </c>
    </row>
    <row r="466" spans="1:25" s="326" customFormat="1" hidden="1" outlineLevel="1" x14ac:dyDescent="0.3">
      <c r="E466" s="250" t="s">
        <v>1403</v>
      </c>
      <c r="F466" s="376">
        <v>4302308</v>
      </c>
      <c r="G466" s="377"/>
      <c r="H466" s="378"/>
      <c r="I466" s="379"/>
      <c r="J466" s="337">
        <v>0</v>
      </c>
      <c r="K466" s="321">
        <v>0</v>
      </c>
      <c r="L466" s="321">
        <v>0</v>
      </c>
      <c r="M466" s="321">
        <v>0</v>
      </c>
      <c r="N466" s="321">
        <v>19245.75</v>
      </c>
      <c r="O466" s="321">
        <v>0</v>
      </c>
      <c r="P466" s="321">
        <v>19245.75</v>
      </c>
      <c r="Q466" s="321">
        <v>0</v>
      </c>
      <c r="R466" s="321">
        <v>0</v>
      </c>
      <c r="S466" s="321">
        <v>0</v>
      </c>
      <c r="T466" s="321">
        <v>0</v>
      </c>
      <c r="U466" s="322">
        <v>0</v>
      </c>
      <c r="V466" s="323">
        <v>38491.5</v>
      </c>
      <c r="W466" s="303"/>
      <c r="X466" s="324">
        <v>0</v>
      </c>
      <c r="Y466" s="325">
        <v>38491.5</v>
      </c>
    </row>
    <row r="467" spans="1:25" hidden="1" outlineLevel="1" x14ac:dyDescent="0.3">
      <c r="E467" s="250" t="s">
        <v>1404</v>
      </c>
      <c r="F467" s="376">
        <v>4302309</v>
      </c>
      <c r="G467" s="318"/>
      <c r="H467" s="319">
        <v>5101250199</v>
      </c>
      <c r="I467" s="320"/>
      <c r="J467" s="337">
        <v>740652.05500000005</v>
      </c>
      <c r="K467" s="321">
        <v>721850.42200000002</v>
      </c>
      <c r="L467" s="321">
        <v>598204.42500000005</v>
      </c>
      <c r="M467" s="321">
        <v>625321.83400000003</v>
      </c>
      <c r="N467" s="321">
        <v>583595.47600000002</v>
      </c>
      <c r="O467" s="321">
        <v>574031.82200000004</v>
      </c>
      <c r="P467" s="321">
        <v>569269.05200000003</v>
      </c>
      <c r="Q467" s="321">
        <v>537500.01899999997</v>
      </c>
      <c r="R467" s="321">
        <v>560713.44099999999</v>
      </c>
      <c r="S467" s="321">
        <v>559990.30000000005</v>
      </c>
      <c r="T467" s="321">
        <v>590166.07900000003</v>
      </c>
      <c r="U467" s="322">
        <v>595572.17099999997</v>
      </c>
      <c r="V467" s="323">
        <v>7256867.0959999999</v>
      </c>
      <c r="W467" s="303"/>
      <c r="X467" s="324">
        <v>595572.17099999997</v>
      </c>
      <c r="Y467" s="325">
        <v>7256867.0959999999</v>
      </c>
    </row>
    <row r="468" spans="1:25" s="326" customFormat="1" hidden="1" outlineLevel="2" x14ac:dyDescent="0.3">
      <c r="E468" s="250" t="s">
        <v>1405</v>
      </c>
      <c r="F468" s="306">
        <v>4302310</v>
      </c>
      <c r="G468" s="307"/>
      <c r="H468" s="308"/>
      <c r="I468" s="309"/>
      <c r="J468" s="310">
        <v>0</v>
      </c>
      <c r="K468" s="311">
        <v>0</v>
      </c>
      <c r="L468" s="311">
        <v>0</v>
      </c>
      <c r="M468" s="311">
        <v>0</v>
      </c>
      <c r="N468" s="311">
        <v>0</v>
      </c>
      <c r="O468" s="311">
        <v>0</v>
      </c>
      <c r="P468" s="311">
        <v>0</v>
      </c>
      <c r="Q468" s="311">
        <v>0</v>
      </c>
      <c r="R468" s="311">
        <v>0</v>
      </c>
      <c r="S468" s="311">
        <v>0</v>
      </c>
      <c r="T468" s="311">
        <v>0</v>
      </c>
      <c r="U468" s="312">
        <v>0</v>
      </c>
      <c r="V468" s="313">
        <v>0</v>
      </c>
      <c r="W468" s="314"/>
      <c r="X468" s="315">
        <v>0</v>
      </c>
      <c r="Y468" s="316">
        <v>0</v>
      </c>
    </row>
    <row r="469" spans="1:25" s="2" customFormat="1" hidden="1" outlineLevel="2" x14ac:dyDescent="0.3">
      <c r="E469" s="2" t="s">
        <v>1406</v>
      </c>
      <c r="F469" s="380">
        <v>4302311</v>
      </c>
      <c r="G469" s="381"/>
      <c r="H469" s="382"/>
      <c r="I469" s="383"/>
      <c r="J469" s="384">
        <v>0</v>
      </c>
      <c r="K469" s="385">
        <v>0</v>
      </c>
      <c r="L469" s="385">
        <v>0</v>
      </c>
      <c r="M469" s="385">
        <v>0</v>
      </c>
      <c r="N469" s="385">
        <v>0</v>
      </c>
      <c r="O469" s="385">
        <v>0</v>
      </c>
      <c r="P469" s="385">
        <v>0</v>
      </c>
      <c r="Q469" s="385">
        <v>0</v>
      </c>
      <c r="R469" s="385">
        <v>0</v>
      </c>
      <c r="S469" s="385">
        <v>0</v>
      </c>
      <c r="T469" s="385">
        <v>0</v>
      </c>
      <c r="U469" s="386">
        <v>0</v>
      </c>
      <c r="V469" s="387">
        <v>0</v>
      </c>
      <c r="W469" s="388"/>
      <c r="X469" s="389">
        <v>0</v>
      </c>
      <c r="Y469" s="390">
        <v>0</v>
      </c>
    </row>
    <row r="470" spans="1:25" s="326" customFormat="1" hidden="1" outlineLevel="2" x14ac:dyDescent="0.3">
      <c r="E470" s="326" t="s">
        <v>1407</v>
      </c>
      <c r="F470" s="336"/>
      <c r="G470" s="327"/>
      <c r="H470" s="328"/>
      <c r="I470" s="329"/>
      <c r="J470" s="338">
        <v>0</v>
      </c>
      <c r="K470" s="330">
        <v>0</v>
      </c>
      <c r="L470" s="330">
        <v>0</v>
      </c>
      <c r="M470" s="330">
        <v>0</v>
      </c>
      <c r="N470" s="330">
        <v>0</v>
      </c>
      <c r="O470" s="330">
        <v>0</v>
      </c>
      <c r="P470" s="330">
        <v>0</v>
      </c>
      <c r="Q470" s="330">
        <v>0</v>
      </c>
      <c r="R470" s="330">
        <v>0</v>
      </c>
      <c r="S470" s="330">
        <v>0</v>
      </c>
      <c r="T470" s="330">
        <v>0</v>
      </c>
      <c r="U470" s="331">
        <v>0</v>
      </c>
      <c r="V470" s="332">
        <v>0</v>
      </c>
      <c r="W470" s="333"/>
      <c r="X470" s="334">
        <v>0</v>
      </c>
      <c r="Y470" s="335">
        <v>0</v>
      </c>
    </row>
    <row r="471" spans="1:25" s="326" customFormat="1" hidden="1" outlineLevel="2" x14ac:dyDescent="0.3">
      <c r="E471" s="326" t="s">
        <v>1408</v>
      </c>
      <c r="F471" s="336"/>
      <c r="G471" s="327"/>
      <c r="H471" s="328"/>
      <c r="I471" s="329"/>
      <c r="J471" s="338">
        <v>0</v>
      </c>
      <c r="K471" s="330">
        <v>0</v>
      </c>
      <c r="L471" s="330">
        <v>0</v>
      </c>
      <c r="M471" s="330">
        <v>0</v>
      </c>
      <c r="N471" s="330">
        <v>0</v>
      </c>
      <c r="O471" s="330">
        <v>0</v>
      </c>
      <c r="P471" s="330">
        <v>0</v>
      </c>
      <c r="Q471" s="330">
        <v>0</v>
      </c>
      <c r="R471" s="330">
        <v>0</v>
      </c>
      <c r="S471" s="330">
        <v>0</v>
      </c>
      <c r="T471" s="330">
        <v>0</v>
      </c>
      <c r="U471" s="331">
        <v>0</v>
      </c>
      <c r="V471" s="332">
        <v>0</v>
      </c>
      <c r="W471" s="333"/>
      <c r="X471" s="334">
        <v>0</v>
      </c>
      <c r="Y471" s="335">
        <v>0</v>
      </c>
    </row>
    <row r="472" spans="1:25" collapsed="1" x14ac:dyDescent="0.3">
      <c r="A472" s="233"/>
      <c r="B472" s="234" t="s">
        <v>23</v>
      </c>
      <c r="D472" s="293" t="s">
        <v>1409</v>
      </c>
      <c r="E472" s="294"/>
      <c r="F472" s="295" t="s">
        <v>1410</v>
      </c>
      <c r="G472" s="296"/>
      <c r="H472" s="297"/>
      <c r="I472" s="298"/>
      <c r="J472" s="299">
        <v>0</v>
      </c>
      <c r="K472" s="300">
        <v>0</v>
      </c>
      <c r="L472" s="300">
        <v>0</v>
      </c>
      <c r="M472" s="300">
        <v>0</v>
      </c>
      <c r="N472" s="300">
        <v>0</v>
      </c>
      <c r="O472" s="300">
        <v>0</v>
      </c>
      <c r="P472" s="300">
        <v>0</v>
      </c>
      <c r="Q472" s="300">
        <v>0</v>
      </c>
      <c r="R472" s="300">
        <v>0</v>
      </c>
      <c r="S472" s="300">
        <v>0</v>
      </c>
      <c r="T472" s="300">
        <v>0</v>
      </c>
      <c r="U472" s="301">
        <v>0</v>
      </c>
      <c r="V472" s="302">
        <v>0</v>
      </c>
      <c r="W472" s="303"/>
      <c r="X472" s="304">
        <v>0</v>
      </c>
      <c r="Y472" s="305">
        <v>0</v>
      </c>
    </row>
    <row r="473" spans="1:25" hidden="1" outlineLevel="1" x14ac:dyDescent="0.3">
      <c r="E473" s="250" t="s">
        <v>1411</v>
      </c>
      <c r="F473" s="317">
        <v>4302601</v>
      </c>
      <c r="G473" s="318"/>
      <c r="H473" s="319">
        <v>5101270101</v>
      </c>
      <c r="I473" s="320"/>
      <c r="J473" s="337">
        <v>0</v>
      </c>
      <c r="K473" s="321">
        <v>0</v>
      </c>
      <c r="L473" s="321">
        <v>0</v>
      </c>
      <c r="M473" s="321">
        <v>0</v>
      </c>
      <c r="N473" s="321">
        <v>0</v>
      </c>
      <c r="O473" s="321">
        <v>0</v>
      </c>
      <c r="P473" s="321">
        <v>0</v>
      </c>
      <c r="Q473" s="321">
        <v>0</v>
      </c>
      <c r="R473" s="321">
        <v>0</v>
      </c>
      <c r="S473" s="321">
        <v>0</v>
      </c>
      <c r="T473" s="321">
        <v>0</v>
      </c>
      <c r="U473" s="322">
        <v>0</v>
      </c>
      <c r="V473" s="323">
        <v>0</v>
      </c>
      <c r="W473" s="303"/>
      <c r="X473" s="324">
        <v>0</v>
      </c>
      <c r="Y473" s="325">
        <v>0</v>
      </c>
    </row>
    <row r="474" spans="1:25" hidden="1" outlineLevel="1" x14ac:dyDescent="0.3">
      <c r="E474" s="250" t="s">
        <v>1412</v>
      </c>
      <c r="F474" s="317">
        <v>4302603</v>
      </c>
      <c r="G474" s="318"/>
      <c r="H474" s="319"/>
      <c r="I474" s="320"/>
      <c r="J474" s="337">
        <v>0</v>
      </c>
      <c r="K474" s="321">
        <v>0</v>
      </c>
      <c r="L474" s="321">
        <v>0</v>
      </c>
      <c r="M474" s="321">
        <v>0</v>
      </c>
      <c r="N474" s="321">
        <v>0</v>
      </c>
      <c r="O474" s="321">
        <v>0</v>
      </c>
      <c r="P474" s="321">
        <v>0</v>
      </c>
      <c r="Q474" s="321">
        <v>0</v>
      </c>
      <c r="R474" s="321">
        <v>0</v>
      </c>
      <c r="S474" s="321">
        <v>0</v>
      </c>
      <c r="T474" s="321">
        <v>0</v>
      </c>
      <c r="U474" s="322">
        <v>0</v>
      </c>
      <c r="V474" s="323">
        <v>0</v>
      </c>
      <c r="W474" s="303"/>
      <c r="X474" s="324">
        <v>0</v>
      </c>
      <c r="Y474" s="325">
        <v>0</v>
      </c>
    </row>
    <row r="475" spans="1:25" hidden="1" outlineLevel="1" x14ac:dyDescent="0.3">
      <c r="E475" s="250" t="s">
        <v>1413</v>
      </c>
      <c r="F475" s="317">
        <v>4302604</v>
      </c>
      <c r="G475" s="318"/>
      <c r="H475" s="319">
        <v>5101270105</v>
      </c>
      <c r="I475" s="320"/>
      <c r="J475" s="337">
        <v>0</v>
      </c>
      <c r="K475" s="321">
        <v>0</v>
      </c>
      <c r="L475" s="321">
        <v>0</v>
      </c>
      <c r="M475" s="321">
        <v>0</v>
      </c>
      <c r="N475" s="321">
        <v>0</v>
      </c>
      <c r="O475" s="321">
        <v>0</v>
      </c>
      <c r="P475" s="321">
        <v>0</v>
      </c>
      <c r="Q475" s="321">
        <v>0</v>
      </c>
      <c r="R475" s="321">
        <v>0</v>
      </c>
      <c r="S475" s="321">
        <v>0</v>
      </c>
      <c r="T475" s="321">
        <v>0</v>
      </c>
      <c r="U475" s="322">
        <v>0</v>
      </c>
      <c r="V475" s="323">
        <v>0</v>
      </c>
      <c r="W475" s="303"/>
      <c r="X475" s="324">
        <v>0</v>
      </c>
      <c r="Y475" s="325">
        <v>0</v>
      </c>
    </row>
    <row r="476" spans="1:25" hidden="1" outlineLevel="1" x14ac:dyDescent="0.3">
      <c r="E476" s="250" t="s">
        <v>1414</v>
      </c>
      <c r="F476" s="317">
        <v>4302605</v>
      </c>
      <c r="G476" s="318"/>
      <c r="H476" s="319"/>
      <c r="I476" s="320"/>
      <c r="J476" s="337">
        <v>0</v>
      </c>
      <c r="K476" s="321">
        <v>0</v>
      </c>
      <c r="L476" s="321">
        <v>0</v>
      </c>
      <c r="M476" s="321">
        <v>0</v>
      </c>
      <c r="N476" s="321">
        <v>0</v>
      </c>
      <c r="O476" s="321">
        <v>0</v>
      </c>
      <c r="P476" s="321">
        <v>0</v>
      </c>
      <c r="Q476" s="321">
        <v>0</v>
      </c>
      <c r="R476" s="321">
        <v>0</v>
      </c>
      <c r="S476" s="321">
        <v>0</v>
      </c>
      <c r="T476" s="321">
        <v>0</v>
      </c>
      <c r="U476" s="322">
        <v>0</v>
      </c>
      <c r="V476" s="323">
        <v>0</v>
      </c>
      <c r="W476" s="303"/>
      <c r="X476" s="324">
        <v>0</v>
      </c>
      <c r="Y476" s="325">
        <v>0</v>
      </c>
    </row>
    <row r="477" spans="1:25" hidden="1" outlineLevel="1" x14ac:dyDescent="0.3">
      <c r="E477" s="250" t="s">
        <v>1415</v>
      </c>
      <c r="F477" s="317">
        <v>4302607</v>
      </c>
      <c r="G477" s="318"/>
      <c r="H477" s="319"/>
      <c r="I477" s="320"/>
      <c r="J477" s="337">
        <v>0</v>
      </c>
      <c r="K477" s="321">
        <v>0</v>
      </c>
      <c r="L477" s="321">
        <v>0</v>
      </c>
      <c r="M477" s="321">
        <v>0</v>
      </c>
      <c r="N477" s="321">
        <v>0</v>
      </c>
      <c r="O477" s="321">
        <v>0</v>
      </c>
      <c r="P477" s="321">
        <v>0</v>
      </c>
      <c r="Q477" s="321">
        <v>0</v>
      </c>
      <c r="R477" s="321">
        <v>0</v>
      </c>
      <c r="S477" s="321">
        <v>0</v>
      </c>
      <c r="T477" s="321">
        <v>0</v>
      </c>
      <c r="U477" s="322">
        <v>0</v>
      </c>
      <c r="V477" s="323">
        <v>0</v>
      </c>
      <c r="W477" s="303"/>
      <c r="X477" s="324">
        <v>0</v>
      </c>
      <c r="Y477" s="325">
        <v>0</v>
      </c>
    </row>
    <row r="478" spans="1:25" hidden="1" outlineLevel="1" x14ac:dyDescent="0.3">
      <c r="E478" s="250" t="s">
        <v>1416</v>
      </c>
      <c r="F478" s="317">
        <v>4302611</v>
      </c>
      <c r="G478" s="318"/>
      <c r="H478" s="319"/>
      <c r="I478" s="320"/>
      <c r="J478" s="337">
        <v>0</v>
      </c>
      <c r="K478" s="321">
        <v>0</v>
      </c>
      <c r="L478" s="321">
        <v>0</v>
      </c>
      <c r="M478" s="321">
        <v>0</v>
      </c>
      <c r="N478" s="321">
        <v>0</v>
      </c>
      <c r="O478" s="321">
        <v>0</v>
      </c>
      <c r="P478" s="321">
        <v>0</v>
      </c>
      <c r="Q478" s="321">
        <v>0</v>
      </c>
      <c r="R478" s="321">
        <v>0</v>
      </c>
      <c r="S478" s="321">
        <v>0</v>
      </c>
      <c r="T478" s="321">
        <v>0</v>
      </c>
      <c r="U478" s="322">
        <v>0</v>
      </c>
      <c r="V478" s="323">
        <v>0</v>
      </c>
      <c r="W478" s="303"/>
      <c r="X478" s="324">
        <v>0</v>
      </c>
      <c r="Y478" s="325">
        <v>0</v>
      </c>
    </row>
    <row r="479" spans="1:25" hidden="1" outlineLevel="1" x14ac:dyDescent="0.3">
      <c r="E479" s="250" t="s">
        <v>1417</v>
      </c>
      <c r="F479" s="317">
        <v>4302612</v>
      </c>
      <c r="G479" s="318"/>
      <c r="H479" s="319"/>
      <c r="I479" s="320"/>
      <c r="J479" s="337">
        <v>0</v>
      </c>
      <c r="K479" s="321">
        <v>0</v>
      </c>
      <c r="L479" s="321">
        <v>0</v>
      </c>
      <c r="M479" s="321">
        <v>0</v>
      </c>
      <c r="N479" s="321">
        <v>0</v>
      </c>
      <c r="O479" s="321">
        <v>0</v>
      </c>
      <c r="P479" s="321">
        <v>0</v>
      </c>
      <c r="Q479" s="321">
        <v>0</v>
      </c>
      <c r="R479" s="321">
        <v>0</v>
      </c>
      <c r="S479" s="321">
        <v>0</v>
      </c>
      <c r="T479" s="321">
        <v>0</v>
      </c>
      <c r="U479" s="322">
        <v>0</v>
      </c>
      <c r="V479" s="323">
        <v>0</v>
      </c>
      <c r="W479" s="303"/>
      <c r="X479" s="324">
        <v>0</v>
      </c>
      <c r="Y479" s="325">
        <v>0</v>
      </c>
    </row>
    <row r="480" spans="1:25" hidden="1" outlineLevel="1" x14ac:dyDescent="0.3">
      <c r="E480" s="250" t="s">
        <v>1418</v>
      </c>
      <c r="F480" s="317">
        <v>4302699</v>
      </c>
      <c r="G480" s="318"/>
      <c r="H480" s="319">
        <v>5101270199</v>
      </c>
      <c r="I480" s="320"/>
      <c r="J480" s="337">
        <v>0</v>
      </c>
      <c r="K480" s="321">
        <v>0</v>
      </c>
      <c r="L480" s="321">
        <v>0</v>
      </c>
      <c r="M480" s="321">
        <v>0</v>
      </c>
      <c r="N480" s="321">
        <v>0</v>
      </c>
      <c r="O480" s="321">
        <v>0</v>
      </c>
      <c r="P480" s="321">
        <v>0</v>
      </c>
      <c r="Q480" s="321">
        <v>0</v>
      </c>
      <c r="R480" s="321">
        <v>0</v>
      </c>
      <c r="S480" s="321">
        <v>0</v>
      </c>
      <c r="T480" s="321">
        <v>0</v>
      </c>
      <c r="U480" s="322">
        <v>0</v>
      </c>
      <c r="V480" s="323">
        <v>0</v>
      </c>
      <c r="W480" s="303"/>
      <c r="X480" s="324">
        <v>0</v>
      </c>
      <c r="Y480" s="325">
        <v>0</v>
      </c>
    </row>
    <row r="481" spans="1:25" s="361" customFormat="1" hidden="1" outlineLevel="2" x14ac:dyDescent="0.3">
      <c r="E481" s="350" t="s">
        <v>1419</v>
      </c>
      <c r="F481" s="306">
        <v>4302613</v>
      </c>
      <c r="G481" s="307"/>
      <c r="H481" s="308"/>
      <c r="I481" s="309"/>
      <c r="J481" s="310">
        <v>0</v>
      </c>
      <c r="K481" s="311">
        <v>0</v>
      </c>
      <c r="L481" s="311">
        <v>0</v>
      </c>
      <c r="M481" s="311">
        <v>0</v>
      </c>
      <c r="N481" s="311">
        <v>0</v>
      </c>
      <c r="O481" s="311">
        <v>0</v>
      </c>
      <c r="P481" s="311">
        <v>0</v>
      </c>
      <c r="Q481" s="311">
        <v>0</v>
      </c>
      <c r="R481" s="311">
        <v>0</v>
      </c>
      <c r="S481" s="311">
        <v>0</v>
      </c>
      <c r="T481" s="311">
        <v>0</v>
      </c>
      <c r="U481" s="312">
        <v>0</v>
      </c>
      <c r="V481" s="313">
        <v>0</v>
      </c>
      <c r="W481" s="314"/>
      <c r="X481" s="315">
        <v>0</v>
      </c>
      <c r="Y481" s="316">
        <v>0</v>
      </c>
    </row>
    <row r="482" spans="1:25" s="361" customFormat="1" hidden="1" outlineLevel="2" x14ac:dyDescent="0.3">
      <c r="E482" s="326" t="s">
        <v>1420</v>
      </c>
      <c r="F482" s="351"/>
      <c r="G482" s="352"/>
      <c r="H482" s="353"/>
      <c r="I482" s="354"/>
      <c r="J482" s="362">
        <v>0</v>
      </c>
      <c r="K482" s="355">
        <v>0</v>
      </c>
      <c r="L482" s="355">
        <v>0</v>
      </c>
      <c r="M482" s="355">
        <v>0</v>
      </c>
      <c r="N482" s="355">
        <v>0</v>
      </c>
      <c r="O482" s="355">
        <v>0</v>
      </c>
      <c r="P482" s="355">
        <v>0</v>
      </c>
      <c r="Q482" s="355">
        <v>0</v>
      </c>
      <c r="R482" s="355">
        <v>0</v>
      </c>
      <c r="S482" s="355">
        <v>0</v>
      </c>
      <c r="T482" s="355">
        <v>0</v>
      </c>
      <c r="U482" s="356">
        <v>0</v>
      </c>
      <c r="V482" s="357">
        <v>0</v>
      </c>
      <c r="W482" s="358"/>
      <c r="X482" s="359">
        <v>0</v>
      </c>
      <c r="Y482" s="360">
        <v>0</v>
      </c>
    </row>
    <row r="483" spans="1:25" s="361" customFormat="1" hidden="1" outlineLevel="2" x14ac:dyDescent="0.3">
      <c r="E483" s="326" t="s">
        <v>1421</v>
      </c>
      <c r="F483" s="351"/>
      <c r="G483" s="352"/>
      <c r="H483" s="353"/>
      <c r="I483" s="354"/>
      <c r="J483" s="362">
        <v>0</v>
      </c>
      <c r="K483" s="355">
        <v>0</v>
      </c>
      <c r="L483" s="355">
        <v>0</v>
      </c>
      <c r="M483" s="355">
        <v>0</v>
      </c>
      <c r="N483" s="355">
        <v>0</v>
      </c>
      <c r="O483" s="355">
        <v>0</v>
      </c>
      <c r="P483" s="355">
        <v>0</v>
      </c>
      <c r="Q483" s="355">
        <v>0</v>
      </c>
      <c r="R483" s="355">
        <v>0</v>
      </c>
      <c r="S483" s="355">
        <v>0</v>
      </c>
      <c r="T483" s="355">
        <v>0</v>
      </c>
      <c r="U483" s="356">
        <v>0</v>
      </c>
      <c r="V483" s="357">
        <v>0</v>
      </c>
      <c r="W483" s="358"/>
      <c r="X483" s="359">
        <v>0</v>
      </c>
      <c r="Y483" s="360">
        <v>0</v>
      </c>
    </row>
    <row r="484" spans="1:25" collapsed="1" x14ac:dyDescent="0.3">
      <c r="A484" s="233"/>
      <c r="B484" s="234" t="s">
        <v>16</v>
      </c>
      <c r="D484" s="293" t="s">
        <v>1422</v>
      </c>
      <c r="E484" s="294"/>
      <c r="F484" s="295" t="s">
        <v>1423</v>
      </c>
      <c r="G484" s="296"/>
      <c r="H484" s="297"/>
      <c r="I484" s="298"/>
      <c r="J484" s="299">
        <v>61470.728000000003</v>
      </c>
      <c r="K484" s="300">
        <v>80479.539000000004</v>
      </c>
      <c r="L484" s="300">
        <v>92950.48</v>
      </c>
      <c r="M484" s="300">
        <v>76295.978000000003</v>
      </c>
      <c r="N484" s="300">
        <v>64108.035000000003</v>
      </c>
      <c r="O484" s="300">
        <v>102457.948</v>
      </c>
      <c r="P484" s="300">
        <v>101137.78</v>
      </c>
      <c r="Q484" s="300">
        <v>92506.554000000004</v>
      </c>
      <c r="R484" s="300">
        <v>98343.032999999996</v>
      </c>
      <c r="S484" s="300">
        <v>98181.740999999995</v>
      </c>
      <c r="T484" s="300">
        <v>101984.39200000001</v>
      </c>
      <c r="U484" s="301">
        <v>92605.379000000001</v>
      </c>
      <c r="V484" s="302">
        <v>1062521.5870000001</v>
      </c>
      <c r="W484" s="303"/>
      <c r="X484" s="304">
        <v>92605.379000000001</v>
      </c>
      <c r="Y484" s="305">
        <v>1062521.5870000001</v>
      </c>
    </row>
    <row r="485" spans="1:25" hidden="1" outlineLevel="1" x14ac:dyDescent="0.3">
      <c r="E485" s="250" t="s">
        <v>1424</v>
      </c>
      <c r="F485" s="317">
        <v>4300801</v>
      </c>
      <c r="G485" s="318"/>
      <c r="H485" s="319">
        <v>5101290101</v>
      </c>
      <c r="I485" s="320"/>
      <c r="J485" s="337">
        <v>0</v>
      </c>
      <c r="K485" s="321">
        <v>0</v>
      </c>
      <c r="L485" s="321">
        <v>0</v>
      </c>
      <c r="M485" s="321">
        <v>0</v>
      </c>
      <c r="N485" s="321">
        <v>0</v>
      </c>
      <c r="O485" s="321">
        <v>0</v>
      </c>
      <c r="P485" s="321">
        <v>0</v>
      </c>
      <c r="Q485" s="321">
        <v>0</v>
      </c>
      <c r="R485" s="321">
        <v>0</v>
      </c>
      <c r="S485" s="321">
        <v>0</v>
      </c>
      <c r="T485" s="321">
        <v>0</v>
      </c>
      <c r="U485" s="322">
        <v>0</v>
      </c>
      <c r="V485" s="323">
        <v>0</v>
      </c>
      <c r="W485" s="303"/>
      <c r="X485" s="324">
        <v>0</v>
      </c>
      <c r="Y485" s="325">
        <v>0</v>
      </c>
    </row>
    <row r="486" spans="1:25" hidden="1" outlineLevel="1" x14ac:dyDescent="0.3">
      <c r="E486" s="250" t="s">
        <v>1425</v>
      </c>
      <c r="F486" s="317">
        <v>4300802</v>
      </c>
      <c r="G486" s="318"/>
      <c r="H486" s="319">
        <v>5101290103</v>
      </c>
      <c r="I486" s="320"/>
      <c r="J486" s="337">
        <v>0</v>
      </c>
      <c r="K486" s="321">
        <v>0</v>
      </c>
      <c r="L486" s="321">
        <v>0</v>
      </c>
      <c r="M486" s="321">
        <v>0</v>
      </c>
      <c r="N486" s="321">
        <v>0</v>
      </c>
      <c r="O486" s="321">
        <v>0</v>
      </c>
      <c r="P486" s="321">
        <v>0</v>
      </c>
      <c r="Q486" s="321">
        <v>0</v>
      </c>
      <c r="R486" s="321">
        <v>0</v>
      </c>
      <c r="S486" s="321">
        <v>0</v>
      </c>
      <c r="T486" s="321">
        <v>0</v>
      </c>
      <c r="U486" s="322">
        <v>0</v>
      </c>
      <c r="V486" s="323">
        <v>0</v>
      </c>
      <c r="W486" s="303"/>
      <c r="X486" s="324">
        <v>0</v>
      </c>
      <c r="Y486" s="325">
        <v>0</v>
      </c>
    </row>
    <row r="487" spans="1:25" hidden="1" outlineLevel="1" x14ac:dyDescent="0.3">
      <c r="E487" s="250" t="s">
        <v>1426</v>
      </c>
      <c r="F487" s="317">
        <v>4300803</v>
      </c>
      <c r="G487" s="318"/>
      <c r="H487" s="319"/>
      <c r="I487" s="320"/>
      <c r="J487" s="337">
        <v>0</v>
      </c>
      <c r="K487" s="321">
        <v>0</v>
      </c>
      <c r="L487" s="321">
        <v>0</v>
      </c>
      <c r="M487" s="321">
        <v>0</v>
      </c>
      <c r="N487" s="321">
        <v>0</v>
      </c>
      <c r="O487" s="321">
        <v>0</v>
      </c>
      <c r="P487" s="321">
        <v>0</v>
      </c>
      <c r="Q487" s="321">
        <v>0</v>
      </c>
      <c r="R487" s="321">
        <v>0</v>
      </c>
      <c r="S487" s="321">
        <v>0</v>
      </c>
      <c r="T487" s="321">
        <v>0</v>
      </c>
      <c r="U487" s="322">
        <v>0</v>
      </c>
      <c r="V487" s="323">
        <v>0</v>
      </c>
      <c r="W487" s="303"/>
      <c r="X487" s="324">
        <v>0</v>
      </c>
      <c r="Y487" s="325">
        <v>0</v>
      </c>
    </row>
    <row r="488" spans="1:25" hidden="1" outlineLevel="1" x14ac:dyDescent="0.3">
      <c r="E488" s="250" t="s">
        <v>1427</v>
      </c>
      <c r="F488" s="317">
        <v>4300805</v>
      </c>
      <c r="G488" s="318"/>
      <c r="H488" s="319"/>
      <c r="I488" s="320"/>
      <c r="J488" s="337">
        <v>61470.728000000003</v>
      </c>
      <c r="K488" s="321">
        <v>80479.539000000004</v>
      </c>
      <c r="L488" s="321">
        <v>92950.48</v>
      </c>
      <c r="M488" s="321">
        <v>76295.978000000003</v>
      </c>
      <c r="N488" s="321">
        <v>64108.035000000003</v>
      </c>
      <c r="O488" s="321">
        <v>102457.948</v>
      </c>
      <c r="P488" s="321">
        <v>101137.78</v>
      </c>
      <c r="Q488" s="321">
        <v>92506.554000000004</v>
      </c>
      <c r="R488" s="321">
        <v>98343.032999999996</v>
      </c>
      <c r="S488" s="321">
        <v>98181.740999999995</v>
      </c>
      <c r="T488" s="321">
        <v>101984.39200000001</v>
      </c>
      <c r="U488" s="322">
        <v>92605.379000000001</v>
      </c>
      <c r="V488" s="323">
        <v>1062521.5870000001</v>
      </c>
      <c r="W488" s="303"/>
      <c r="X488" s="324">
        <v>92605.379000000001</v>
      </c>
      <c r="Y488" s="325">
        <v>1062521.5870000001</v>
      </c>
    </row>
    <row r="489" spans="1:25" hidden="1" outlineLevel="1" x14ac:dyDescent="0.3">
      <c r="E489" s="250" t="s">
        <v>1428</v>
      </c>
      <c r="F489" s="317">
        <v>4300899</v>
      </c>
      <c r="G489" s="318"/>
      <c r="H489" s="319">
        <v>5101290199</v>
      </c>
      <c r="I489" s="320"/>
      <c r="J489" s="337">
        <v>0</v>
      </c>
      <c r="K489" s="321">
        <v>0</v>
      </c>
      <c r="L489" s="321">
        <v>0</v>
      </c>
      <c r="M489" s="321">
        <v>0</v>
      </c>
      <c r="N489" s="321">
        <v>0</v>
      </c>
      <c r="O489" s="321">
        <v>0</v>
      </c>
      <c r="P489" s="321">
        <v>0</v>
      </c>
      <c r="Q489" s="321">
        <v>0</v>
      </c>
      <c r="R489" s="321">
        <v>0</v>
      </c>
      <c r="S489" s="321">
        <v>0</v>
      </c>
      <c r="T489" s="321">
        <v>0</v>
      </c>
      <c r="U489" s="322">
        <v>0</v>
      </c>
      <c r="V489" s="323">
        <v>0</v>
      </c>
      <c r="W489" s="303"/>
      <c r="X489" s="324">
        <v>0</v>
      </c>
      <c r="Y489" s="325">
        <v>0</v>
      </c>
    </row>
    <row r="490" spans="1:25" s="326" customFormat="1" hidden="1" outlineLevel="2" x14ac:dyDescent="0.3">
      <c r="E490" s="326" t="s">
        <v>1429</v>
      </c>
      <c r="F490" s="336"/>
      <c r="G490" s="327"/>
      <c r="H490" s="328"/>
      <c r="I490" s="329"/>
      <c r="J490" s="338">
        <v>0</v>
      </c>
      <c r="K490" s="330">
        <v>0</v>
      </c>
      <c r="L490" s="330">
        <v>0</v>
      </c>
      <c r="M490" s="330">
        <v>0</v>
      </c>
      <c r="N490" s="330">
        <v>0</v>
      </c>
      <c r="O490" s="330">
        <v>0</v>
      </c>
      <c r="P490" s="330">
        <v>0</v>
      </c>
      <c r="Q490" s="330">
        <v>0</v>
      </c>
      <c r="R490" s="330">
        <v>0</v>
      </c>
      <c r="S490" s="330">
        <v>0</v>
      </c>
      <c r="T490" s="330">
        <v>0</v>
      </c>
      <c r="U490" s="331">
        <v>0</v>
      </c>
      <c r="V490" s="332">
        <v>0</v>
      </c>
      <c r="W490" s="333"/>
      <c r="X490" s="334">
        <v>0</v>
      </c>
      <c r="Y490" s="335">
        <v>0</v>
      </c>
    </row>
    <row r="491" spans="1:25" s="326" customFormat="1" hidden="1" outlineLevel="2" x14ac:dyDescent="0.3">
      <c r="E491" s="326" t="s">
        <v>1430</v>
      </c>
      <c r="F491" s="336"/>
      <c r="G491" s="327"/>
      <c r="H491" s="328"/>
      <c r="I491" s="329"/>
      <c r="J491" s="338">
        <v>0</v>
      </c>
      <c r="K491" s="330">
        <v>0</v>
      </c>
      <c r="L491" s="330">
        <v>0</v>
      </c>
      <c r="M491" s="330">
        <v>0</v>
      </c>
      <c r="N491" s="330">
        <v>0</v>
      </c>
      <c r="O491" s="330">
        <v>0</v>
      </c>
      <c r="P491" s="330">
        <v>0</v>
      </c>
      <c r="Q491" s="330">
        <v>0</v>
      </c>
      <c r="R491" s="330">
        <v>0</v>
      </c>
      <c r="S491" s="330">
        <v>0</v>
      </c>
      <c r="T491" s="330">
        <v>0</v>
      </c>
      <c r="U491" s="331">
        <v>0</v>
      </c>
      <c r="V491" s="332">
        <v>0</v>
      </c>
      <c r="W491" s="333"/>
      <c r="X491" s="334">
        <v>0</v>
      </c>
      <c r="Y491" s="335">
        <v>0</v>
      </c>
    </row>
    <row r="492" spans="1:25" s="326" customFormat="1" hidden="1" outlineLevel="2" x14ac:dyDescent="0.3">
      <c r="E492" s="326" t="s">
        <v>1431</v>
      </c>
      <c r="F492" s="336"/>
      <c r="G492" s="327"/>
      <c r="H492" s="328"/>
      <c r="I492" s="329"/>
      <c r="J492" s="338">
        <v>0</v>
      </c>
      <c r="K492" s="330">
        <v>0</v>
      </c>
      <c r="L492" s="330">
        <v>0</v>
      </c>
      <c r="M492" s="330">
        <v>0</v>
      </c>
      <c r="N492" s="330">
        <v>0</v>
      </c>
      <c r="O492" s="330">
        <v>0</v>
      </c>
      <c r="P492" s="330">
        <v>0</v>
      </c>
      <c r="Q492" s="330">
        <v>0</v>
      </c>
      <c r="R492" s="330">
        <v>0</v>
      </c>
      <c r="S492" s="330">
        <v>0</v>
      </c>
      <c r="T492" s="330">
        <v>0</v>
      </c>
      <c r="U492" s="331">
        <v>0</v>
      </c>
      <c r="V492" s="332">
        <v>0</v>
      </c>
      <c r="W492" s="333"/>
      <c r="X492" s="334">
        <v>0</v>
      </c>
      <c r="Y492" s="335">
        <v>0</v>
      </c>
    </row>
    <row r="493" spans="1:25" collapsed="1" x14ac:dyDescent="0.3">
      <c r="A493" s="233"/>
      <c r="B493" s="234" t="s">
        <v>24</v>
      </c>
      <c r="D493" s="293" t="s">
        <v>1432</v>
      </c>
      <c r="E493" s="294"/>
      <c r="F493" s="295" t="s">
        <v>1433</v>
      </c>
      <c r="G493" s="296"/>
      <c r="H493" s="297"/>
      <c r="I493" s="298"/>
      <c r="J493" s="299">
        <v>1656377.6459999999</v>
      </c>
      <c r="K493" s="300">
        <v>1509600.32</v>
      </c>
      <c r="L493" s="300">
        <v>1724747.581</v>
      </c>
      <c r="M493" s="300">
        <v>1545021.5589999999</v>
      </c>
      <c r="N493" s="300">
        <v>1663683.098</v>
      </c>
      <c r="O493" s="300">
        <v>1785975.2989999999</v>
      </c>
      <c r="P493" s="300">
        <v>1345998.0929999999</v>
      </c>
      <c r="Q493" s="300">
        <v>1171148.1740000001</v>
      </c>
      <c r="R493" s="300">
        <v>1113407.1529999999</v>
      </c>
      <c r="S493" s="300">
        <v>1147238.787</v>
      </c>
      <c r="T493" s="300">
        <v>1141456.328</v>
      </c>
      <c r="U493" s="301">
        <v>1410626.574</v>
      </c>
      <c r="V493" s="302">
        <v>17215280.612</v>
      </c>
      <c r="W493" s="303"/>
      <c r="X493" s="304">
        <v>1410626.574</v>
      </c>
      <c r="Y493" s="305">
        <v>17215280.612</v>
      </c>
    </row>
    <row r="494" spans="1:25" hidden="1" outlineLevel="1" x14ac:dyDescent="0.3">
      <c r="E494" s="250" t="s">
        <v>1434</v>
      </c>
      <c r="F494" s="317">
        <v>4302902</v>
      </c>
      <c r="G494" s="318"/>
      <c r="H494" s="319">
        <v>5101310105</v>
      </c>
      <c r="I494" s="320"/>
      <c r="J494" s="337">
        <v>25029</v>
      </c>
      <c r="K494" s="321">
        <v>19804.5</v>
      </c>
      <c r="L494" s="321">
        <v>49366.5</v>
      </c>
      <c r="M494" s="321">
        <v>41280</v>
      </c>
      <c r="N494" s="321">
        <v>41520</v>
      </c>
      <c r="O494" s="321">
        <v>48356</v>
      </c>
      <c r="P494" s="321">
        <v>36072</v>
      </c>
      <c r="Q494" s="321">
        <v>24600</v>
      </c>
      <c r="R494" s="321">
        <v>54348</v>
      </c>
      <c r="S494" s="321">
        <v>59880</v>
      </c>
      <c r="T494" s="321">
        <v>25680</v>
      </c>
      <c r="U494" s="322">
        <v>30840</v>
      </c>
      <c r="V494" s="323">
        <v>456776</v>
      </c>
      <c r="W494" s="303"/>
      <c r="X494" s="324">
        <v>30840</v>
      </c>
      <c r="Y494" s="325">
        <v>456776</v>
      </c>
    </row>
    <row r="495" spans="1:25" hidden="1" outlineLevel="1" x14ac:dyDescent="0.3">
      <c r="E495" s="250" t="s">
        <v>1435</v>
      </c>
      <c r="F495" s="317">
        <v>4302903</v>
      </c>
      <c r="G495" s="318"/>
      <c r="H495" s="319">
        <v>5101310103</v>
      </c>
      <c r="I495" s="320"/>
      <c r="J495" s="337">
        <v>0</v>
      </c>
      <c r="K495" s="321">
        <v>0</v>
      </c>
      <c r="L495" s="321">
        <v>69860</v>
      </c>
      <c r="M495" s="321">
        <v>0</v>
      </c>
      <c r="N495" s="321">
        <v>0</v>
      </c>
      <c r="O495" s="321">
        <v>60000</v>
      </c>
      <c r="P495" s="321">
        <v>49860</v>
      </c>
      <c r="Q495" s="321">
        <v>20000</v>
      </c>
      <c r="R495" s="321">
        <v>0</v>
      </c>
      <c r="S495" s="321">
        <v>0</v>
      </c>
      <c r="T495" s="321">
        <v>0</v>
      </c>
      <c r="U495" s="322">
        <v>60000</v>
      </c>
      <c r="V495" s="323">
        <v>259720</v>
      </c>
      <c r="W495" s="303"/>
      <c r="X495" s="324">
        <v>60000</v>
      </c>
      <c r="Y495" s="325">
        <v>259720</v>
      </c>
    </row>
    <row r="496" spans="1:25" hidden="1" outlineLevel="1" x14ac:dyDescent="0.3">
      <c r="E496" s="250" t="s">
        <v>1436</v>
      </c>
      <c r="F496" s="317">
        <v>4302904</v>
      </c>
      <c r="G496" s="318"/>
      <c r="H496" s="319"/>
      <c r="I496" s="320"/>
      <c r="J496" s="337">
        <v>0</v>
      </c>
      <c r="K496" s="321">
        <v>0</v>
      </c>
      <c r="L496" s="321">
        <v>0</v>
      </c>
      <c r="M496" s="321">
        <v>0</v>
      </c>
      <c r="N496" s="321">
        <v>0</v>
      </c>
      <c r="O496" s="321">
        <v>0</v>
      </c>
      <c r="P496" s="321">
        <v>0</v>
      </c>
      <c r="Q496" s="321">
        <v>0</v>
      </c>
      <c r="R496" s="321">
        <v>0</v>
      </c>
      <c r="S496" s="321">
        <v>0</v>
      </c>
      <c r="T496" s="321">
        <v>0</v>
      </c>
      <c r="U496" s="322">
        <v>0</v>
      </c>
      <c r="V496" s="323">
        <v>0</v>
      </c>
      <c r="W496" s="303"/>
      <c r="X496" s="324">
        <v>0</v>
      </c>
      <c r="Y496" s="325">
        <v>0</v>
      </c>
    </row>
    <row r="497" spans="1:25" hidden="1" outlineLevel="1" x14ac:dyDescent="0.3">
      <c r="E497" s="250" t="s">
        <v>1437</v>
      </c>
      <c r="F497" s="317">
        <v>4302906</v>
      </c>
      <c r="G497" s="318"/>
      <c r="H497" s="319">
        <v>5101310101</v>
      </c>
      <c r="I497" s="320"/>
      <c r="J497" s="337">
        <v>0</v>
      </c>
      <c r="K497" s="321">
        <v>0</v>
      </c>
      <c r="L497" s="321">
        <v>0</v>
      </c>
      <c r="M497" s="321">
        <v>0</v>
      </c>
      <c r="N497" s="321">
        <v>0</v>
      </c>
      <c r="O497" s="321">
        <v>0</v>
      </c>
      <c r="P497" s="321">
        <v>0</v>
      </c>
      <c r="Q497" s="321">
        <v>0</v>
      </c>
      <c r="R497" s="321">
        <v>0</v>
      </c>
      <c r="S497" s="321">
        <v>0</v>
      </c>
      <c r="T497" s="321">
        <v>0</v>
      </c>
      <c r="U497" s="322">
        <v>0</v>
      </c>
      <c r="V497" s="323">
        <v>0</v>
      </c>
      <c r="W497" s="303"/>
      <c r="X497" s="324">
        <v>0</v>
      </c>
      <c r="Y497" s="325">
        <v>0</v>
      </c>
    </row>
    <row r="498" spans="1:25" hidden="1" outlineLevel="1" x14ac:dyDescent="0.3">
      <c r="E498" s="250" t="s">
        <v>1438</v>
      </c>
      <c r="F498" s="317">
        <v>4302907</v>
      </c>
      <c r="G498" s="318"/>
      <c r="H498" s="319"/>
      <c r="I498" s="320"/>
      <c r="J498" s="337">
        <v>1471331.3729999999</v>
      </c>
      <c r="K498" s="321">
        <v>1329806.5930000001</v>
      </c>
      <c r="L498" s="321">
        <v>1257417.6429999999</v>
      </c>
      <c r="M498" s="321">
        <v>1324899.585</v>
      </c>
      <c r="N498" s="321">
        <v>1432380.4210000001</v>
      </c>
      <c r="O498" s="321">
        <v>1266286.95</v>
      </c>
      <c r="P498" s="321">
        <v>1097430.115</v>
      </c>
      <c r="Q498" s="321">
        <v>973514.73800000001</v>
      </c>
      <c r="R498" s="321">
        <v>683831.32299999997</v>
      </c>
      <c r="S498" s="321">
        <v>905810.32499999995</v>
      </c>
      <c r="T498" s="321">
        <v>933244.01800000004</v>
      </c>
      <c r="U498" s="322">
        <v>924339.50800000003</v>
      </c>
      <c r="V498" s="323">
        <v>13600292.591999998</v>
      </c>
      <c r="W498" s="303"/>
      <c r="X498" s="324">
        <v>924339.50800000003</v>
      </c>
      <c r="Y498" s="325">
        <v>13600292.591999998</v>
      </c>
    </row>
    <row r="499" spans="1:25" hidden="1" outlineLevel="1" x14ac:dyDescent="0.3">
      <c r="E499" s="250" t="s">
        <v>1439</v>
      </c>
      <c r="F499" s="317">
        <v>4302908</v>
      </c>
      <c r="G499" s="318"/>
      <c r="H499" s="319">
        <v>5101310199</v>
      </c>
      <c r="I499" s="320"/>
      <c r="J499" s="337">
        <v>1800</v>
      </c>
      <c r="K499" s="321">
        <v>0</v>
      </c>
      <c r="L499" s="321">
        <v>0</v>
      </c>
      <c r="M499" s="321">
        <v>0</v>
      </c>
      <c r="N499" s="321">
        <v>750</v>
      </c>
      <c r="O499" s="321">
        <v>0</v>
      </c>
      <c r="P499" s="321">
        <v>0</v>
      </c>
      <c r="Q499" s="321">
        <v>0</v>
      </c>
      <c r="R499" s="321">
        <v>0</v>
      </c>
      <c r="S499" s="321">
        <v>0</v>
      </c>
      <c r="T499" s="321">
        <v>0</v>
      </c>
      <c r="U499" s="322">
        <v>0</v>
      </c>
      <c r="V499" s="323">
        <v>2550</v>
      </c>
      <c r="W499" s="303"/>
      <c r="X499" s="324">
        <v>0</v>
      </c>
      <c r="Y499" s="325">
        <v>2550</v>
      </c>
    </row>
    <row r="500" spans="1:25" s="350" customFormat="1" hidden="1" outlineLevel="2" x14ac:dyDescent="0.3">
      <c r="E500" s="350" t="s">
        <v>1440</v>
      </c>
      <c r="F500" s="306">
        <v>4302999</v>
      </c>
      <c r="G500" s="307"/>
      <c r="H500" s="308"/>
      <c r="I500" s="309"/>
      <c r="J500" s="310">
        <v>158217.27299999999</v>
      </c>
      <c r="K500" s="311">
        <v>159989.22700000001</v>
      </c>
      <c r="L500" s="311">
        <v>348103.43800000002</v>
      </c>
      <c r="M500" s="311">
        <v>178841.97399999999</v>
      </c>
      <c r="N500" s="311">
        <v>189032.677</v>
      </c>
      <c r="O500" s="311">
        <v>411332.34899999999</v>
      </c>
      <c r="P500" s="311">
        <v>162635.978</v>
      </c>
      <c r="Q500" s="311">
        <v>153033.43599999999</v>
      </c>
      <c r="R500" s="311">
        <v>375227.83</v>
      </c>
      <c r="S500" s="311">
        <v>181548.462</v>
      </c>
      <c r="T500" s="311">
        <v>182532.31</v>
      </c>
      <c r="U500" s="312">
        <v>395447.06599999999</v>
      </c>
      <c r="V500" s="313">
        <v>2895942.02</v>
      </c>
      <c r="W500" s="314"/>
      <c r="X500" s="315">
        <v>395447.06599999999</v>
      </c>
      <c r="Y500" s="316">
        <v>2895942.02</v>
      </c>
    </row>
    <row r="501" spans="1:25" s="361" customFormat="1" hidden="1" outlineLevel="2" x14ac:dyDescent="0.3">
      <c r="E501" s="326" t="s">
        <v>1441</v>
      </c>
      <c r="F501" s="351"/>
      <c r="G501" s="352"/>
      <c r="H501" s="353"/>
      <c r="I501" s="354"/>
      <c r="J501" s="362">
        <v>0</v>
      </c>
      <c r="K501" s="355">
        <v>0</v>
      </c>
      <c r="L501" s="355">
        <v>0</v>
      </c>
      <c r="M501" s="355">
        <v>0</v>
      </c>
      <c r="N501" s="355">
        <v>0</v>
      </c>
      <c r="O501" s="355">
        <v>0</v>
      </c>
      <c r="P501" s="355">
        <v>0</v>
      </c>
      <c r="Q501" s="355">
        <v>0</v>
      </c>
      <c r="R501" s="355">
        <v>0</v>
      </c>
      <c r="S501" s="355">
        <v>0</v>
      </c>
      <c r="T501" s="355">
        <v>0</v>
      </c>
      <c r="U501" s="356">
        <v>0</v>
      </c>
      <c r="V501" s="357">
        <v>0</v>
      </c>
      <c r="W501" s="358"/>
      <c r="X501" s="359">
        <v>0</v>
      </c>
      <c r="Y501" s="360">
        <v>0</v>
      </c>
    </row>
    <row r="502" spans="1:25" s="361" customFormat="1" hidden="1" outlineLevel="2" x14ac:dyDescent="0.3">
      <c r="E502" s="326" t="s">
        <v>1442</v>
      </c>
      <c r="F502" s="351"/>
      <c r="G502" s="352"/>
      <c r="H502" s="353"/>
      <c r="I502" s="354"/>
      <c r="J502" s="362">
        <v>0</v>
      </c>
      <c r="K502" s="355">
        <v>0</v>
      </c>
      <c r="L502" s="355">
        <v>0</v>
      </c>
      <c r="M502" s="355">
        <v>0</v>
      </c>
      <c r="N502" s="355">
        <v>0</v>
      </c>
      <c r="O502" s="355">
        <v>0</v>
      </c>
      <c r="P502" s="355">
        <v>0</v>
      </c>
      <c r="Q502" s="355">
        <v>0</v>
      </c>
      <c r="R502" s="355">
        <v>0</v>
      </c>
      <c r="S502" s="355">
        <v>0</v>
      </c>
      <c r="T502" s="355">
        <v>0</v>
      </c>
      <c r="U502" s="356">
        <v>0</v>
      </c>
      <c r="V502" s="357">
        <v>0</v>
      </c>
      <c r="W502" s="358"/>
      <c r="X502" s="359">
        <v>0</v>
      </c>
      <c r="Y502" s="360">
        <v>0</v>
      </c>
    </row>
    <row r="503" spans="1:25" s="361" customFormat="1" hidden="1" outlineLevel="2" x14ac:dyDescent="0.3">
      <c r="E503" s="326" t="s">
        <v>1443</v>
      </c>
      <c r="F503" s="351"/>
      <c r="G503" s="352"/>
      <c r="H503" s="353"/>
      <c r="I503" s="354"/>
      <c r="J503" s="362">
        <v>0</v>
      </c>
      <c r="K503" s="355">
        <v>0</v>
      </c>
      <c r="L503" s="355">
        <v>0</v>
      </c>
      <c r="M503" s="355">
        <v>0</v>
      </c>
      <c r="N503" s="355">
        <v>0</v>
      </c>
      <c r="O503" s="355">
        <v>0</v>
      </c>
      <c r="P503" s="355">
        <v>0</v>
      </c>
      <c r="Q503" s="355">
        <v>0</v>
      </c>
      <c r="R503" s="355">
        <v>0</v>
      </c>
      <c r="S503" s="355">
        <v>0</v>
      </c>
      <c r="T503" s="355">
        <v>0</v>
      </c>
      <c r="U503" s="356">
        <v>0</v>
      </c>
      <c r="V503" s="357">
        <v>0</v>
      </c>
      <c r="W503" s="358"/>
      <c r="X503" s="359">
        <v>0</v>
      </c>
      <c r="Y503" s="360">
        <v>0</v>
      </c>
    </row>
    <row r="504" spans="1:25" collapsed="1" x14ac:dyDescent="0.3">
      <c r="A504" s="233"/>
      <c r="B504" s="234" t="s">
        <v>25</v>
      </c>
      <c r="D504" s="293" t="s">
        <v>1444</v>
      </c>
      <c r="E504" s="294"/>
      <c r="F504" s="295" t="s">
        <v>1445</v>
      </c>
      <c r="G504" s="296"/>
      <c r="H504" s="297"/>
      <c r="I504" s="298"/>
      <c r="J504" s="299">
        <v>746086.79599999997</v>
      </c>
      <c r="K504" s="300">
        <v>718111.69299999997</v>
      </c>
      <c r="L504" s="300">
        <v>808931.40200000012</v>
      </c>
      <c r="M504" s="300">
        <v>859818.70500000007</v>
      </c>
      <c r="N504" s="300">
        <v>944761.53700000001</v>
      </c>
      <c r="O504" s="300">
        <v>944231.15699999989</v>
      </c>
      <c r="P504" s="300">
        <v>1029717.0580000001</v>
      </c>
      <c r="Q504" s="300">
        <v>928453.82900000003</v>
      </c>
      <c r="R504" s="300">
        <v>862414.66499999992</v>
      </c>
      <c r="S504" s="300">
        <v>1000519.026</v>
      </c>
      <c r="T504" s="300">
        <v>828265.625</v>
      </c>
      <c r="U504" s="301">
        <v>736892.08000000007</v>
      </c>
      <c r="V504" s="302">
        <v>10408203.573000001</v>
      </c>
      <c r="W504" s="303"/>
      <c r="X504" s="304">
        <v>736892.08000000007</v>
      </c>
      <c r="Y504" s="305">
        <v>10408203.573000001</v>
      </c>
    </row>
    <row r="505" spans="1:25" hidden="1" outlineLevel="1" x14ac:dyDescent="0.3">
      <c r="E505" s="250" t="s">
        <v>1446</v>
      </c>
      <c r="F505" s="317">
        <v>4303201</v>
      </c>
      <c r="G505" s="318"/>
      <c r="H505" s="319">
        <v>5101330101</v>
      </c>
      <c r="I505" s="320"/>
      <c r="J505" s="337">
        <v>0</v>
      </c>
      <c r="K505" s="321">
        <v>0</v>
      </c>
      <c r="L505" s="321">
        <v>0</v>
      </c>
      <c r="M505" s="321">
        <v>0</v>
      </c>
      <c r="N505" s="321">
        <v>0</v>
      </c>
      <c r="O505" s="321">
        <v>0</v>
      </c>
      <c r="P505" s="321">
        <v>0</v>
      </c>
      <c r="Q505" s="321">
        <v>0</v>
      </c>
      <c r="R505" s="321">
        <v>0</v>
      </c>
      <c r="S505" s="321">
        <v>0</v>
      </c>
      <c r="T505" s="321">
        <v>0</v>
      </c>
      <c r="U505" s="322">
        <v>0</v>
      </c>
      <c r="V505" s="323">
        <v>0</v>
      </c>
      <c r="W505" s="303"/>
      <c r="X505" s="324">
        <v>0</v>
      </c>
      <c r="Y505" s="325">
        <v>0</v>
      </c>
    </row>
    <row r="506" spans="1:25" hidden="1" outlineLevel="1" x14ac:dyDescent="0.3">
      <c r="E506" s="250" t="s">
        <v>1447</v>
      </c>
      <c r="F506" s="317">
        <v>4303202</v>
      </c>
      <c r="G506" s="318"/>
      <c r="H506" s="319">
        <v>5101330103</v>
      </c>
      <c r="I506" s="320"/>
      <c r="J506" s="337">
        <v>0</v>
      </c>
      <c r="K506" s="321">
        <v>0</v>
      </c>
      <c r="L506" s="321">
        <v>0</v>
      </c>
      <c r="M506" s="321">
        <v>0</v>
      </c>
      <c r="N506" s="321">
        <v>0</v>
      </c>
      <c r="O506" s="321">
        <v>0</v>
      </c>
      <c r="P506" s="321">
        <v>0</v>
      </c>
      <c r="Q506" s="321">
        <v>0</v>
      </c>
      <c r="R506" s="321">
        <v>0</v>
      </c>
      <c r="S506" s="321">
        <v>0</v>
      </c>
      <c r="T506" s="321">
        <v>0</v>
      </c>
      <c r="U506" s="322">
        <v>0</v>
      </c>
      <c r="V506" s="323">
        <v>0</v>
      </c>
      <c r="W506" s="303"/>
      <c r="X506" s="324">
        <v>0</v>
      </c>
      <c r="Y506" s="325">
        <v>0</v>
      </c>
    </row>
    <row r="507" spans="1:25" hidden="1" outlineLevel="1" x14ac:dyDescent="0.3">
      <c r="E507" s="250" t="s">
        <v>1448</v>
      </c>
      <c r="F507" s="317">
        <v>4303203</v>
      </c>
      <c r="G507" s="318"/>
      <c r="H507" s="319">
        <v>5101330105</v>
      </c>
      <c r="I507" s="320"/>
      <c r="J507" s="337">
        <v>0</v>
      </c>
      <c r="K507" s="321">
        <v>0</v>
      </c>
      <c r="L507" s="321">
        <v>0</v>
      </c>
      <c r="M507" s="321">
        <v>0</v>
      </c>
      <c r="N507" s="321">
        <v>0</v>
      </c>
      <c r="O507" s="321">
        <v>0</v>
      </c>
      <c r="P507" s="321">
        <v>0</v>
      </c>
      <c r="Q507" s="321">
        <v>0</v>
      </c>
      <c r="R507" s="321">
        <v>0</v>
      </c>
      <c r="S507" s="321">
        <v>0</v>
      </c>
      <c r="T507" s="321">
        <v>0</v>
      </c>
      <c r="U507" s="322">
        <v>0</v>
      </c>
      <c r="V507" s="323">
        <v>0</v>
      </c>
      <c r="W507" s="303"/>
      <c r="X507" s="324">
        <v>0</v>
      </c>
      <c r="Y507" s="325">
        <v>0</v>
      </c>
    </row>
    <row r="508" spans="1:25" hidden="1" outlineLevel="1" x14ac:dyDescent="0.3">
      <c r="E508" s="250" t="s">
        <v>1449</v>
      </c>
      <c r="F508" s="317">
        <v>4303204</v>
      </c>
      <c r="G508" s="318"/>
      <c r="H508" s="319">
        <v>5101330199</v>
      </c>
      <c r="I508" s="320"/>
      <c r="J508" s="337">
        <v>0</v>
      </c>
      <c r="K508" s="321">
        <v>0</v>
      </c>
      <c r="L508" s="321">
        <v>0</v>
      </c>
      <c r="M508" s="321">
        <v>0</v>
      </c>
      <c r="N508" s="321">
        <v>0</v>
      </c>
      <c r="O508" s="321">
        <v>0</v>
      </c>
      <c r="P508" s="321">
        <v>0</v>
      </c>
      <c r="Q508" s="321">
        <v>0</v>
      </c>
      <c r="R508" s="321">
        <v>0</v>
      </c>
      <c r="S508" s="321">
        <v>0</v>
      </c>
      <c r="T508" s="321">
        <v>0</v>
      </c>
      <c r="U508" s="322">
        <v>0</v>
      </c>
      <c r="V508" s="323">
        <v>0</v>
      </c>
      <c r="W508" s="303"/>
      <c r="X508" s="324">
        <v>0</v>
      </c>
      <c r="Y508" s="325">
        <v>0</v>
      </c>
    </row>
    <row r="509" spans="1:25" hidden="1" outlineLevel="1" x14ac:dyDescent="0.3">
      <c r="E509" s="250" t="s">
        <v>1450</v>
      </c>
      <c r="F509" s="317">
        <v>4303205</v>
      </c>
      <c r="G509" s="318"/>
      <c r="H509" s="319"/>
      <c r="I509" s="320"/>
      <c r="J509" s="337">
        <v>20874.34</v>
      </c>
      <c r="K509" s="321">
        <v>19525.184000000001</v>
      </c>
      <c r="L509" s="321">
        <v>0</v>
      </c>
      <c r="M509" s="321">
        <v>33854.303999999996</v>
      </c>
      <c r="N509" s="321">
        <v>11120.084000000001</v>
      </c>
      <c r="O509" s="321">
        <v>10071.537</v>
      </c>
      <c r="P509" s="321">
        <v>14679.295</v>
      </c>
      <c r="Q509" s="321">
        <v>11430.147999999999</v>
      </c>
      <c r="R509" s="321">
        <v>10595.594999999999</v>
      </c>
      <c r="S509" s="321">
        <v>9602.5969999999998</v>
      </c>
      <c r="T509" s="321">
        <v>9298.5669999999991</v>
      </c>
      <c r="U509" s="322">
        <v>8366.0429999999997</v>
      </c>
      <c r="V509" s="323">
        <v>159417.69400000002</v>
      </c>
      <c r="W509" s="303"/>
      <c r="X509" s="324">
        <v>8366.0429999999997</v>
      </c>
      <c r="Y509" s="325">
        <v>159417.69400000002</v>
      </c>
    </row>
    <row r="510" spans="1:25" hidden="1" outlineLevel="1" x14ac:dyDescent="0.3">
      <c r="E510" s="250" t="s">
        <v>1451</v>
      </c>
      <c r="F510" s="317">
        <v>4303210</v>
      </c>
      <c r="G510" s="318"/>
      <c r="H510" s="319"/>
      <c r="I510" s="320"/>
      <c r="J510" s="337">
        <v>155201.02299999999</v>
      </c>
      <c r="K510" s="321">
        <v>172792.92499999999</v>
      </c>
      <c r="L510" s="321">
        <v>187323.57399999999</v>
      </c>
      <c r="M510" s="321">
        <v>196850.967</v>
      </c>
      <c r="N510" s="321">
        <v>200580.144</v>
      </c>
      <c r="O510" s="321">
        <v>175699.109</v>
      </c>
      <c r="P510" s="321">
        <v>202753.54800000001</v>
      </c>
      <c r="Q510" s="321">
        <v>144790.84899999999</v>
      </c>
      <c r="R510" s="321">
        <v>157696.459</v>
      </c>
      <c r="S510" s="321">
        <v>142117.476</v>
      </c>
      <c r="T510" s="321">
        <v>151950.32699999999</v>
      </c>
      <c r="U510" s="322">
        <v>134018.56</v>
      </c>
      <c r="V510" s="323">
        <v>2021774.9610000001</v>
      </c>
      <c r="W510" s="303"/>
      <c r="X510" s="324">
        <v>134018.56</v>
      </c>
      <c r="Y510" s="325">
        <v>2021774.9610000001</v>
      </c>
    </row>
    <row r="511" spans="1:25" hidden="1" outlineLevel="1" x14ac:dyDescent="0.3">
      <c r="E511" s="250" t="s">
        <v>1452</v>
      </c>
      <c r="F511" s="317">
        <v>4303214</v>
      </c>
      <c r="G511" s="318"/>
      <c r="H511" s="319"/>
      <c r="I511" s="320"/>
      <c r="J511" s="337">
        <v>0</v>
      </c>
      <c r="K511" s="321">
        <v>0</v>
      </c>
      <c r="L511" s="321">
        <v>0</v>
      </c>
      <c r="M511" s="321">
        <v>0</v>
      </c>
      <c r="N511" s="321">
        <v>0</v>
      </c>
      <c r="O511" s="321">
        <v>0</v>
      </c>
      <c r="P511" s="321">
        <v>0</v>
      </c>
      <c r="Q511" s="321">
        <v>0</v>
      </c>
      <c r="R511" s="321">
        <v>0</v>
      </c>
      <c r="S511" s="321">
        <v>0</v>
      </c>
      <c r="T511" s="321">
        <v>0</v>
      </c>
      <c r="U511" s="322">
        <v>0</v>
      </c>
      <c r="V511" s="323">
        <v>0</v>
      </c>
      <c r="W511" s="303"/>
      <c r="X511" s="324">
        <v>0</v>
      </c>
      <c r="Y511" s="325">
        <v>0</v>
      </c>
    </row>
    <row r="512" spans="1:25" hidden="1" outlineLevel="1" x14ac:dyDescent="0.3">
      <c r="E512" s="250" t="s">
        <v>1453</v>
      </c>
      <c r="F512" s="317">
        <v>4303215</v>
      </c>
      <c r="G512" s="318"/>
      <c r="H512" s="319"/>
      <c r="I512" s="320"/>
      <c r="J512" s="337">
        <v>459667.73200000002</v>
      </c>
      <c r="K512" s="321">
        <v>428216.08</v>
      </c>
      <c r="L512" s="321">
        <v>534579.40800000005</v>
      </c>
      <c r="M512" s="321">
        <v>538152.97900000005</v>
      </c>
      <c r="N512" s="321">
        <v>591141.66</v>
      </c>
      <c r="O512" s="321">
        <v>629954.90599999996</v>
      </c>
      <c r="P512" s="321">
        <v>667936.00600000005</v>
      </c>
      <c r="Q512" s="321">
        <v>640396.61800000002</v>
      </c>
      <c r="R512" s="321">
        <v>603231.03099999996</v>
      </c>
      <c r="S512" s="321">
        <v>597138.48699999996</v>
      </c>
      <c r="T512" s="321">
        <v>561220.25699999998</v>
      </c>
      <c r="U512" s="322">
        <v>481856.11200000002</v>
      </c>
      <c r="V512" s="323">
        <v>6733491.2759999996</v>
      </c>
      <c r="W512" s="303"/>
      <c r="X512" s="324">
        <v>481856.11200000002</v>
      </c>
      <c r="Y512" s="325">
        <v>6733491.2759999996</v>
      </c>
    </row>
    <row r="513" spans="1:25" hidden="1" outlineLevel="1" x14ac:dyDescent="0.3">
      <c r="E513" s="250" t="s">
        <v>1454</v>
      </c>
      <c r="F513" s="317">
        <v>4303216</v>
      </c>
      <c r="G513" s="318"/>
      <c r="H513" s="319"/>
      <c r="I513" s="320"/>
      <c r="J513" s="337">
        <v>20000</v>
      </c>
      <c r="K513" s="321">
        <v>20000</v>
      </c>
      <c r="L513" s="321">
        <v>20000</v>
      </c>
      <c r="M513" s="321">
        <v>20000</v>
      </c>
      <c r="N513" s="321">
        <v>20000</v>
      </c>
      <c r="O513" s="321">
        <v>20000</v>
      </c>
      <c r="P513" s="321">
        <v>20000</v>
      </c>
      <c r="Q513" s="321">
        <v>20000</v>
      </c>
      <c r="R513" s="321">
        <v>20000</v>
      </c>
      <c r="S513" s="321">
        <v>20000</v>
      </c>
      <c r="T513" s="321">
        <v>20000</v>
      </c>
      <c r="U513" s="322">
        <v>20000</v>
      </c>
      <c r="V513" s="323">
        <v>240000</v>
      </c>
      <c r="W513" s="303"/>
      <c r="X513" s="324">
        <v>20000</v>
      </c>
      <c r="Y513" s="325">
        <v>240000</v>
      </c>
    </row>
    <row r="514" spans="1:25" hidden="1" outlineLevel="1" x14ac:dyDescent="0.3">
      <c r="E514" s="250" t="s">
        <v>1455</v>
      </c>
      <c r="F514" s="317">
        <v>4303217</v>
      </c>
      <c r="G514" s="318"/>
      <c r="H514" s="319"/>
      <c r="I514" s="320"/>
      <c r="J514" s="337">
        <v>88214.701000000001</v>
      </c>
      <c r="K514" s="321">
        <v>75765.004000000001</v>
      </c>
      <c r="L514" s="321">
        <v>63654.42</v>
      </c>
      <c r="M514" s="321">
        <v>68081.774999999994</v>
      </c>
      <c r="N514" s="321">
        <v>119570.829</v>
      </c>
      <c r="O514" s="321">
        <v>106921.505</v>
      </c>
      <c r="P514" s="321">
        <v>121892.109</v>
      </c>
      <c r="Q514" s="321">
        <v>108498.90399999999</v>
      </c>
      <c r="R514" s="321">
        <v>69258.98</v>
      </c>
      <c r="S514" s="321">
        <v>110790.822</v>
      </c>
      <c r="T514" s="321">
        <v>83527.573999999993</v>
      </c>
      <c r="U514" s="322">
        <v>88331.914999999994</v>
      </c>
      <c r="V514" s="323">
        <v>1104508.5380000002</v>
      </c>
      <c r="W514" s="303"/>
      <c r="X514" s="324">
        <v>88331.914999999994</v>
      </c>
      <c r="Y514" s="325">
        <v>1104508.5380000002</v>
      </c>
    </row>
    <row r="515" spans="1:25" hidden="1" outlineLevel="1" x14ac:dyDescent="0.3">
      <c r="E515" s="250" t="s">
        <v>1456</v>
      </c>
      <c r="F515" s="317">
        <v>4303218</v>
      </c>
      <c r="G515" s="318"/>
      <c r="H515" s="319"/>
      <c r="I515" s="320"/>
      <c r="J515" s="337">
        <v>0</v>
      </c>
      <c r="K515" s="321">
        <v>0</v>
      </c>
      <c r="L515" s="321">
        <v>0</v>
      </c>
      <c r="M515" s="321">
        <v>0</v>
      </c>
      <c r="N515" s="321">
        <v>0</v>
      </c>
      <c r="O515" s="321">
        <v>0</v>
      </c>
      <c r="P515" s="321">
        <v>0</v>
      </c>
      <c r="Q515" s="321">
        <v>0</v>
      </c>
      <c r="R515" s="321">
        <v>0</v>
      </c>
      <c r="S515" s="321">
        <v>0</v>
      </c>
      <c r="T515" s="321">
        <v>0</v>
      </c>
      <c r="U515" s="322">
        <v>0</v>
      </c>
      <c r="V515" s="323">
        <v>0</v>
      </c>
      <c r="W515" s="303"/>
      <c r="X515" s="324">
        <v>0</v>
      </c>
      <c r="Y515" s="325">
        <v>0</v>
      </c>
    </row>
    <row r="516" spans="1:25" hidden="1" outlineLevel="1" x14ac:dyDescent="0.3">
      <c r="E516" s="250" t="s">
        <v>1457</v>
      </c>
      <c r="F516" s="317">
        <v>4303220</v>
      </c>
      <c r="G516" s="318"/>
      <c r="H516" s="319"/>
      <c r="I516" s="320"/>
      <c r="J516" s="337">
        <v>0</v>
      </c>
      <c r="K516" s="321">
        <v>0</v>
      </c>
      <c r="L516" s="321">
        <v>0</v>
      </c>
      <c r="M516" s="321">
        <v>0</v>
      </c>
      <c r="N516" s="321">
        <v>0</v>
      </c>
      <c r="O516" s="321">
        <v>0</v>
      </c>
      <c r="P516" s="321">
        <v>0</v>
      </c>
      <c r="Q516" s="321">
        <v>0</v>
      </c>
      <c r="R516" s="321">
        <v>0</v>
      </c>
      <c r="S516" s="321">
        <v>0</v>
      </c>
      <c r="T516" s="321">
        <v>0</v>
      </c>
      <c r="U516" s="322">
        <v>0</v>
      </c>
      <c r="V516" s="323">
        <v>0</v>
      </c>
      <c r="W516" s="303"/>
      <c r="X516" s="324">
        <v>0</v>
      </c>
      <c r="Y516" s="325">
        <v>0</v>
      </c>
    </row>
    <row r="517" spans="1:25" hidden="1" outlineLevel="1" x14ac:dyDescent="0.3">
      <c r="E517" s="250" t="s">
        <v>1458</v>
      </c>
      <c r="F517" s="317">
        <v>4303221</v>
      </c>
      <c r="G517" s="318"/>
      <c r="H517" s="319"/>
      <c r="I517" s="320"/>
      <c r="J517" s="337">
        <v>0</v>
      </c>
      <c r="K517" s="321">
        <v>0</v>
      </c>
      <c r="L517" s="321">
        <v>0</v>
      </c>
      <c r="M517" s="321">
        <v>0</v>
      </c>
      <c r="N517" s="321">
        <v>0</v>
      </c>
      <c r="O517" s="321">
        <v>0</v>
      </c>
      <c r="P517" s="321">
        <v>0</v>
      </c>
      <c r="Q517" s="321">
        <v>0</v>
      </c>
      <c r="R517" s="321">
        <v>0</v>
      </c>
      <c r="S517" s="321">
        <v>0</v>
      </c>
      <c r="T517" s="321">
        <v>0</v>
      </c>
      <c r="U517" s="322">
        <v>0</v>
      </c>
      <c r="V517" s="323">
        <v>0</v>
      </c>
      <c r="W517" s="303"/>
      <c r="X517" s="324">
        <v>0</v>
      </c>
      <c r="Y517" s="325">
        <v>0</v>
      </c>
    </row>
    <row r="518" spans="1:25" hidden="1" outlineLevel="1" x14ac:dyDescent="0.3">
      <c r="E518" s="250" t="s">
        <v>1459</v>
      </c>
      <c r="F518" s="317">
        <v>4303299</v>
      </c>
      <c r="G518" s="318"/>
      <c r="H518" s="319"/>
      <c r="I518" s="320"/>
      <c r="J518" s="337">
        <v>2129</v>
      </c>
      <c r="K518" s="321">
        <v>1812.5</v>
      </c>
      <c r="L518" s="321">
        <v>3374</v>
      </c>
      <c r="M518" s="321">
        <v>2878.68</v>
      </c>
      <c r="N518" s="321">
        <v>2348.8200000000002</v>
      </c>
      <c r="O518" s="321">
        <v>1584.1</v>
      </c>
      <c r="P518" s="321">
        <v>2456.1</v>
      </c>
      <c r="Q518" s="321">
        <v>3337.31</v>
      </c>
      <c r="R518" s="321">
        <v>1632.6</v>
      </c>
      <c r="S518" s="321">
        <v>120869.644</v>
      </c>
      <c r="T518" s="321">
        <v>2268.9</v>
      </c>
      <c r="U518" s="322">
        <v>4319.45</v>
      </c>
      <c r="V518" s="323">
        <v>149011.10400000002</v>
      </c>
      <c r="W518" s="303"/>
      <c r="X518" s="324">
        <v>4319.45</v>
      </c>
      <c r="Y518" s="325">
        <v>149011.10400000002</v>
      </c>
    </row>
    <row r="519" spans="1:25" s="361" customFormat="1" hidden="1" outlineLevel="2" x14ac:dyDescent="0.3">
      <c r="E519" s="326" t="s">
        <v>1460</v>
      </c>
      <c r="F519" s="351"/>
      <c r="G519" s="352"/>
      <c r="H519" s="353"/>
      <c r="I519" s="354"/>
      <c r="J519" s="362">
        <v>0</v>
      </c>
      <c r="K519" s="355">
        <v>0</v>
      </c>
      <c r="L519" s="355">
        <v>0</v>
      </c>
      <c r="M519" s="355">
        <v>0</v>
      </c>
      <c r="N519" s="355">
        <v>0</v>
      </c>
      <c r="O519" s="355">
        <v>0</v>
      </c>
      <c r="P519" s="355">
        <v>0</v>
      </c>
      <c r="Q519" s="355">
        <v>0</v>
      </c>
      <c r="R519" s="355">
        <v>0</v>
      </c>
      <c r="S519" s="355">
        <v>0</v>
      </c>
      <c r="T519" s="355">
        <v>0</v>
      </c>
      <c r="U519" s="356">
        <v>0</v>
      </c>
      <c r="V519" s="357">
        <v>0</v>
      </c>
      <c r="W519" s="358"/>
      <c r="X519" s="359">
        <v>0</v>
      </c>
      <c r="Y519" s="360">
        <v>0</v>
      </c>
    </row>
    <row r="520" spans="1:25" s="361" customFormat="1" hidden="1" outlineLevel="2" x14ac:dyDescent="0.3">
      <c r="E520" s="326" t="s">
        <v>1461</v>
      </c>
      <c r="F520" s="351"/>
      <c r="G520" s="352"/>
      <c r="H520" s="353"/>
      <c r="I520" s="354"/>
      <c r="J520" s="362">
        <v>0</v>
      </c>
      <c r="K520" s="355">
        <v>0</v>
      </c>
      <c r="L520" s="355">
        <v>0</v>
      </c>
      <c r="M520" s="355">
        <v>0</v>
      </c>
      <c r="N520" s="355">
        <v>0</v>
      </c>
      <c r="O520" s="355">
        <v>0</v>
      </c>
      <c r="P520" s="355">
        <v>0</v>
      </c>
      <c r="Q520" s="355">
        <v>0</v>
      </c>
      <c r="R520" s="355">
        <v>0</v>
      </c>
      <c r="S520" s="355">
        <v>0</v>
      </c>
      <c r="T520" s="355">
        <v>0</v>
      </c>
      <c r="U520" s="356">
        <v>0</v>
      </c>
      <c r="V520" s="357">
        <v>0</v>
      </c>
      <c r="W520" s="358"/>
      <c r="X520" s="359">
        <v>0</v>
      </c>
      <c r="Y520" s="360">
        <v>0</v>
      </c>
    </row>
    <row r="521" spans="1:25" s="361" customFormat="1" hidden="1" outlineLevel="2" x14ac:dyDescent="0.3">
      <c r="E521" s="326" t="s">
        <v>1462</v>
      </c>
      <c r="F521" s="351"/>
      <c r="G521" s="352"/>
      <c r="H521" s="353"/>
      <c r="I521" s="354"/>
      <c r="J521" s="362">
        <v>0</v>
      </c>
      <c r="K521" s="355">
        <v>0</v>
      </c>
      <c r="L521" s="355">
        <v>0</v>
      </c>
      <c r="M521" s="355">
        <v>0</v>
      </c>
      <c r="N521" s="355">
        <v>0</v>
      </c>
      <c r="O521" s="355">
        <v>0</v>
      </c>
      <c r="P521" s="355">
        <v>0</v>
      </c>
      <c r="Q521" s="355">
        <v>0</v>
      </c>
      <c r="R521" s="355">
        <v>0</v>
      </c>
      <c r="S521" s="355">
        <v>0</v>
      </c>
      <c r="T521" s="355">
        <v>0</v>
      </c>
      <c r="U521" s="356">
        <v>0</v>
      </c>
      <c r="V521" s="357">
        <v>0</v>
      </c>
      <c r="W521" s="358"/>
      <c r="X521" s="359">
        <v>0</v>
      </c>
      <c r="Y521" s="360">
        <v>0</v>
      </c>
    </row>
    <row r="522" spans="1:25" collapsed="1" x14ac:dyDescent="0.3">
      <c r="A522" s="233"/>
      <c r="B522" s="234" t="s">
        <v>26</v>
      </c>
      <c r="D522" s="293" t="s">
        <v>1463</v>
      </c>
      <c r="E522" s="294"/>
      <c r="F522" s="295" t="s">
        <v>1464</v>
      </c>
      <c r="G522" s="296"/>
      <c r="H522" s="297"/>
      <c r="I522" s="298"/>
      <c r="J522" s="299">
        <v>0</v>
      </c>
      <c r="K522" s="300">
        <v>0</v>
      </c>
      <c r="L522" s="300">
        <v>0</v>
      </c>
      <c r="M522" s="300">
        <v>0</v>
      </c>
      <c r="N522" s="300">
        <v>0</v>
      </c>
      <c r="O522" s="300">
        <v>0</v>
      </c>
      <c r="P522" s="300">
        <v>0</v>
      </c>
      <c r="Q522" s="300">
        <v>0</v>
      </c>
      <c r="R522" s="300">
        <v>0</v>
      </c>
      <c r="S522" s="300">
        <v>0</v>
      </c>
      <c r="T522" s="300">
        <v>0</v>
      </c>
      <c r="U522" s="301">
        <v>0</v>
      </c>
      <c r="V522" s="302">
        <v>0</v>
      </c>
      <c r="W522" s="303"/>
      <c r="X522" s="304">
        <v>0</v>
      </c>
      <c r="Y522" s="305">
        <v>0</v>
      </c>
    </row>
    <row r="523" spans="1:25" hidden="1" outlineLevel="1" x14ac:dyDescent="0.3">
      <c r="E523" s="250" t="s">
        <v>1465</v>
      </c>
      <c r="F523" s="317">
        <v>4303501</v>
      </c>
      <c r="G523" s="318"/>
      <c r="H523" s="319">
        <v>5101350101</v>
      </c>
      <c r="I523" s="320"/>
      <c r="J523" s="337">
        <v>0</v>
      </c>
      <c r="K523" s="321">
        <v>0</v>
      </c>
      <c r="L523" s="321">
        <v>0</v>
      </c>
      <c r="M523" s="321">
        <v>0</v>
      </c>
      <c r="N523" s="321">
        <v>0</v>
      </c>
      <c r="O523" s="321">
        <v>0</v>
      </c>
      <c r="P523" s="321">
        <v>0</v>
      </c>
      <c r="Q523" s="321">
        <v>0</v>
      </c>
      <c r="R523" s="321">
        <v>0</v>
      </c>
      <c r="S523" s="321">
        <v>0</v>
      </c>
      <c r="T523" s="321">
        <v>0</v>
      </c>
      <c r="U523" s="322">
        <v>0</v>
      </c>
      <c r="V523" s="323">
        <v>0</v>
      </c>
      <c r="W523" s="303"/>
      <c r="X523" s="324">
        <v>0</v>
      </c>
      <c r="Y523" s="325">
        <v>0</v>
      </c>
    </row>
    <row r="524" spans="1:25" hidden="1" outlineLevel="1" x14ac:dyDescent="0.3">
      <c r="E524" s="250" t="s">
        <v>1466</v>
      </c>
      <c r="F524" s="317">
        <v>4303502</v>
      </c>
      <c r="G524" s="318"/>
      <c r="H524" s="319">
        <v>5101350103</v>
      </c>
      <c r="I524" s="320"/>
      <c r="J524" s="337">
        <v>0</v>
      </c>
      <c r="K524" s="321">
        <v>0</v>
      </c>
      <c r="L524" s="321">
        <v>0</v>
      </c>
      <c r="M524" s="321">
        <v>0</v>
      </c>
      <c r="N524" s="321">
        <v>0</v>
      </c>
      <c r="O524" s="321">
        <v>0</v>
      </c>
      <c r="P524" s="321">
        <v>0</v>
      </c>
      <c r="Q524" s="321">
        <v>0</v>
      </c>
      <c r="R524" s="321">
        <v>0</v>
      </c>
      <c r="S524" s="321">
        <v>0</v>
      </c>
      <c r="T524" s="321">
        <v>0</v>
      </c>
      <c r="U524" s="322">
        <v>0</v>
      </c>
      <c r="V524" s="323">
        <v>0</v>
      </c>
      <c r="W524" s="303"/>
      <c r="X524" s="324">
        <v>0</v>
      </c>
      <c r="Y524" s="325">
        <v>0</v>
      </c>
    </row>
    <row r="525" spans="1:25" hidden="1" outlineLevel="1" x14ac:dyDescent="0.3">
      <c r="E525" s="250" t="s">
        <v>1467</v>
      </c>
      <c r="F525" s="317">
        <v>4303504</v>
      </c>
      <c r="G525" s="318"/>
      <c r="H525" s="319">
        <v>5101350105</v>
      </c>
      <c r="I525" s="320"/>
      <c r="J525" s="337">
        <v>0</v>
      </c>
      <c r="K525" s="321">
        <v>0</v>
      </c>
      <c r="L525" s="321">
        <v>0</v>
      </c>
      <c r="M525" s="321">
        <v>0</v>
      </c>
      <c r="N525" s="321">
        <v>0</v>
      </c>
      <c r="O525" s="321">
        <v>0</v>
      </c>
      <c r="P525" s="321">
        <v>0</v>
      </c>
      <c r="Q525" s="321">
        <v>0</v>
      </c>
      <c r="R525" s="321">
        <v>0</v>
      </c>
      <c r="S525" s="321">
        <v>0</v>
      </c>
      <c r="T525" s="321">
        <v>0</v>
      </c>
      <c r="U525" s="322">
        <v>0</v>
      </c>
      <c r="V525" s="323">
        <v>0</v>
      </c>
      <c r="W525" s="303"/>
      <c r="X525" s="324">
        <v>0</v>
      </c>
      <c r="Y525" s="325">
        <v>0</v>
      </c>
    </row>
    <row r="526" spans="1:25" hidden="1" outlineLevel="1" x14ac:dyDescent="0.3">
      <c r="E526" s="250" t="s">
        <v>1468</v>
      </c>
      <c r="F526" s="317">
        <v>4303599</v>
      </c>
      <c r="G526" s="318"/>
      <c r="H526" s="319">
        <v>5101350199</v>
      </c>
      <c r="I526" s="320"/>
      <c r="J526" s="337">
        <v>0</v>
      </c>
      <c r="K526" s="321">
        <v>0</v>
      </c>
      <c r="L526" s="321">
        <v>0</v>
      </c>
      <c r="M526" s="321">
        <v>0</v>
      </c>
      <c r="N526" s="321">
        <v>0</v>
      </c>
      <c r="O526" s="321">
        <v>0</v>
      </c>
      <c r="P526" s="321">
        <v>0</v>
      </c>
      <c r="Q526" s="321">
        <v>0</v>
      </c>
      <c r="R526" s="321">
        <v>0</v>
      </c>
      <c r="S526" s="321">
        <v>0</v>
      </c>
      <c r="T526" s="321">
        <v>0</v>
      </c>
      <c r="U526" s="322">
        <v>0</v>
      </c>
      <c r="V526" s="323">
        <v>0</v>
      </c>
      <c r="W526" s="303"/>
      <c r="X526" s="324">
        <v>0</v>
      </c>
      <c r="Y526" s="325">
        <v>0</v>
      </c>
    </row>
    <row r="527" spans="1:25" s="326" customFormat="1" hidden="1" outlineLevel="2" x14ac:dyDescent="0.3">
      <c r="E527" s="326" t="s">
        <v>1469</v>
      </c>
      <c r="F527" s="336"/>
      <c r="G527" s="327"/>
      <c r="H527" s="328"/>
      <c r="I527" s="329"/>
      <c r="J527" s="338">
        <v>0</v>
      </c>
      <c r="K527" s="330">
        <v>0</v>
      </c>
      <c r="L527" s="330">
        <v>0</v>
      </c>
      <c r="M527" s="330">
        <v>0</v>
      </c>
      <c r="N527" s="330">
        <v>0</v>
      </c>
      <c r="O527" s="330">
        <v>0</v>
      </c>
      <c r="P527" s="330">
        <v>0</v>
      </c>
      <c r="Q527" s="330">
        <v>0</v>
      </c>
      <c r="R527" s="330">
        <v>0</v>
      </c>
      <c r="S527" s="330">
        <v>0</v>
      </c>
      <c r="T527" s="330">
        <v>0</v>
      </c>
      <c r="U527" s="331">
        <v>0</v>
      </c>
      <c r="V527" s="332">
        <v>0</v>
      </c>
      <c r="W527" s="333"/>
      <c r="X527" s="334">
        <v>0</v>
      </c>
      <c r="Y527" s="335">
        <v>0</v>
      </c>
    </row>
    <row r="528" spans="1:25" s="326" customFormat="1" hidden="1" outlineLevel="2" x14ac:dyDescent="0.3">
      <c r="E528" s="326" t="s">
        <v>1470</v>
      </c>
      <c r="F528" s="336"/>
      <c r="G528" s="327"/>
      <c r="H528" s="328"/>
      <c r="I528" s="329"/>
      <c r="J528" s="338">
        <v>0</v>
      </c>
      <c r="K528" s="330">
        <v>0</v>
      </c>
      <c r="L528" s="330">
        <v>0</v>
      </c>
      <c r="M528" s="330">
        <v>0</v>
      </c>
      <c r="N528" s="330">
        <v>0</v>
      </c>
      <c r="O528" s="330">
        <v>0</v>
      </c>
      <c r="P528" s="330">
        <v>0</v>
      </c>
      <c r="Q528" s="330">
        <v>0</v>
      </c>
      <c r="R528" s="330">
        <v>0</v>
      </c>
      <c r="S528" s="330">
        <v>0</v>
      </c>
      <c r="T528" s="330">
        <v>0</v>
      </c>
      <c r="U528" s="331">
        <v>0</v>
      </c>
      <c r="V528" s="332">
        <v>0</v>
      </c>
      <c r="W528" s="333"/>
      <c r="X528" s="334">
        <v>0</v>
      </c>
      <c r="Y528" s="335">
        <v>0</v>
      </c>
    </row>
    <row r="529" spans="1:25" s="326" customFormat="1" hidden="1" outlineLevel="2" x14ac:dyDescent="0.3">
      <c r="E529" s="326" t="s">
        <v>1471</v>
      </c>
      <c r="F529" s="336"/>
      <c r="G529" s="327"/>
      <c r="H529" s="328"/>
      <c r="I529" s="329"/>
      <c r="J529" s="338">
        <v>0</v>
      </c>
      <c r="K529" s="330">
        <v>0</v>
      </c>
      <c r="L529" s="330">
        <v>0</v>
      </c>
      <c r="M529" s="330">
        <v>0</v>
      </c>
      <c r="N529" s="330">
        <v>0</v>
      </c>
      <c r="O529" s="330">
        <v>0</v>
      </c>
      <c r="P529" s="330">
        <v>0</v>
      </c>
      <c r="Q529" s="330">
        <v>0</v>
      </c>
      <c r="R529" s="330">
        <v>0</v>
      </c>
      <c r="S529" s="330">
        <v>0</v>
      </c>
      <c r="T529" s="330">
        <v>0</v>
      </c>
      <c r="U529" s="331">
        <v>0</v>
      </c>
      <c r="V529" s="332">
        <v>0</v>
      </c>
      <c r="W529" s="333"/>
      <c r="X529" s="334">
        <v>0</v>
      </c>
      <c r="Y529" s="335">
        <v>0</v>
      </c>
    </row>
    <row r="530" spans="1:25" collapsed="1" x14ac:dyDescent="0.3">
      <c r="A530" s="233"/>
      <c r="B530" s="234" t="s">
        <v>18</v>
      </c>
      <c r="D530" s="293" t="s">
        <v>1472</v>
      </c>
      <c r="E530" s="294"/>
      <c r="F530" s="295" t="s">
        <v>1473</v>
      </c>
      <c r="G530" s="296"/>
      <c r="H530" s="297"/>
      <c r="I530" s="298"/>
      <c r="J530" s="299">
        <v>789969.47199999972</v>
      </c>
      <c r="K530" s="300">
        <v>783059.29500000004</v>
      </c>
      <c r="L530" s="300">
        <v>777693.57300000009</v>
      </c>
      <c r="M530" s="300">
        <v>775009.23600000003</v>
      </c>
      <c r="N530" s="300">
        <v>771848.11</v>
      </c>
      <c r="O530" s="300">
        <v>762974.14299999992</v>
      </c>
      <c r="P530" s="300">
        <v>762642.27799999993</v>
      </c>
      <c r="Q530" s="300">
        <v>768267.21299999999</v>
      </c>
      <c r="R530" s="300">
        <v>769425.23399999994</v>
      </c>
      <c r="S530" s="300">
        <v>772707.62199999997</v>
      </c>
      <c r="T530" s="300">
        <v>773286.5</v>
      </c>
      <c r="U530" s="301">
        <v>769842.67099999997</v>
      </c>
      <c r="V530" s="302">
        <v>9276725.3469999991</v>
      </c>
      <c r="W530" s="303"/>
      <c r="X530" s="304">
        <v>769842.67099999997</v>
      </c>
      <c r="Y530" s="305">
        <v>9276725.3469999991</v>
      </c>
    </row>
    <row r="531" spans="1:25" hidden="1" outlineLevel="1" x14ac:dyDescent="0.3">
      <c r="E531" s="250" t="s">
        <v>1474</v>
      </c>
      <c r="F531" s="317">
        <v>4301401</v>
      </c>
      <c r="G531" s="318"/>
      <c r="H531" s="319">
        <v>5101370101</v>
      </c>
      <c r="I531" s="320"/>
      <c r="J531" s="337">
        <v>274420.37099999998</v>
      </c>
      <c r="K531" s="321">
        <v>274420.38</v>
      </c>
      <c r="L531" s="321">
        <v>274420.37199999997</v>
      </c>
      <c r="M531" s="321">
        <v>274420.37599999999</v>
      </c>
      <c r="N531" s="321">
        <v>274420.375</v>
      </c>
      <c r="O531" s="321">
        <v>274420.37599999999</v>
      </c>
      <c r="P531" s="321">
        <v>274420.375</v>
      </c>
      <c r="Q531" s="321">
        <v>274420.375</v>
      </c>
      <c r="R531" s="321">
        <v>274420.37400000001</v>
      </c>
      <c r="S531" s="321">
        <v>274420.375</v>
      </c>
      <c r="T531" s="321">
        <v>274420.37300000002</v>
      </c>
      <c r="U531" s="322">
        <v>274420.37599999999</v>
      </c>
      <c r="V531" s="323">
        <v>3293044.4980000001</v>
      </c>
      <c r="W531" s="303"/>
      <c r="X531" s="324">
        <v>274420.37599999999</v>
      </c>
      <c r="Y531" s="325">
        <v>3293044.4980000001</v>
      </c>
    </row>
    <row r="532" spans="1:25" hidden="1" outlineLevel="1" x14ac:dyDescent="0.3">
      <c r="E532" s="250" t="s">
        <v>1475</v>
      </c>
      <c r="F532" s="317">
        <v>4301402</v>
      </c>
      <c r="G532" s="318"/>
      <c r="H532" s="319">
        <v>5101370103</v>
      </c>
      <c r="I532" s="320"/>
      <c r="J532" s="337">
        <v>259080.26300000001</v>
      </c>
      <c r="K532" s="321">
        <v>259113.09</v>
      </c>
      <c r="L532" s="321">
        <v>259096.72</v>
      </c>
      <c r="M532" s="321">
        <v>259096.66099999999</v>
      </c>
      <c r="N532" s="321">
        <v>259096.723</v>
      </c>
      <c r="O532" s="321">
        <v>259249.986</v>
      </c>
      <c r="P532" s="321">
        <v>259252.04399999999</v>
      </c>
      <c r="Q532" s="321">
        <v>259131.09700000001</v>
      </c>
      <c r="R532" s="321">
        <v>259131.07399999999</v>
      </c>
      <c r="S532" s="321">
        <v>259131.02799999999</v>
      </c>
      <c r="T532" s="321">
        <v>259131.11799999999</v>
      </c>
      <c r="U532" s="322">
        <v>259293.837</v>
      </c>
      <c r="V532" s="323">
        <v>3109803.6409999994</v>
      </c>
      <c r="W532" s="303"/>
      <c r="X532" s="324">
        <v>259293.837</v>
      </c>
      <c r="Y532" s="325">
        <v>3109803.6409999994</v>
      </c>
    </row>
    <row r="533" spans="1:25" hidden="1" outlineLevel="1" x14ac:dyDescent="0.3">
      <c r="E533" s="250" t="s">
        <v>1476</v>
      </c>
      <c r="F533" s="317">
        <v>4301403</v>
      </c>
      <c r="G533" s="318"/>
      <c r="H533" s="319">
        <v>5101370105</v>
      </c>
      <c r="I533" s="320"/>
      <c r="J533" s="337">
        <v>2890.529</v>
      </c>
      <c r="K533" s="321">
        <v>2890.53</v>
      </c>
      <c r="L533" s="321">
        <v>2890.529</v>
      </c>
      <c r="M533" s="321">
        <v>2890.5279999999998</v>
      </c>
      <c r="N533" s="321">
        <v>2890.5329999999999</v>
      </c>
      <c r="O533" s="321">
        <v>2890.5259999999998</v>
      </c>
      <c r="P533" s="321">
        <v>2890.5320000000002</v>
      </c>
      <c r="Q533" s="321">
        <v>2890.529</v>
      </c>
      <c r="R533" s="321">
        <v>2890.53</v>
      </c>
      <c r="S533" s="321">
        <v>2890.5279999999998</v>
      </c>
      <c r="T533" s="321">
        <v>2890.5309999999999</v>
      </c>
      <c r="U533" s="322">
        <v>2890.5279999999998</v>
      </c>
      <c r="V533" s="323">
        <v>34686.352999999996</v>
      </c>
      <c r="W533" s="303"/>
      <c r="X533" s="324">
        <v>2890.5279999999998</v>
      </c>
      <c r="Y533" s="325">
        <v>34686.352999999996</v>
      </c>
    </row>
    <row r="534" spans="1:25" hidden="1" outlineLevel="1" x14ac:dyDescent="0.3">
      <c r="E534" s="250" t="s">
        <v>1477</v>
      </c>
      <c r="F534" s="317">
        <v>4301404</v>
      </c>
      <c r="G534" s="318"/>
      <c r="H534" s="319">
        <v>5101370107</v>
      </c>
      <c r="I534" s="320"/>
      <c r="J534" s="337">
        <v>0</v>
      </c>
      <c r="K534" s="321">
        <v>0</v>
      </c>
      <c r="L534" s="321">
        <v>0</v>
      </c>
      <c r="M534" s="321">
        <v>0</v>
      </c>
      <c r="N534" s="321">
        <v>0</v>
      </c>
      <c r="O534" s="321">
        <v>0</v>
      </c>
      <c r="P534" s="321">
        <v>0</v>
      </c>
      <c r="Q534" s="321">
        <v>0</v>
      </c>
      <c r="R534" s="321">
        <v>0</v>
      </c>
      <c r="S534" s="321">
        <v>0</v>
      </c>
      <c r="T534" s="321">
        <v>0</v>
      </c>
      <c r="U534" s="322">
        <v>0</v>
      </c>
      <c r="V534" s="323">
        <v>0</v>
      </c>
      <c r="W534" s="303"/>
      <c r="X534" s="324">
        <v>0</v>
      </c>
      <c r="Y534" s="325">
        <v>0</v>
      </c>
    </row>
    <row r="535" spans="1:25" hidden="1" outlineLevel="1" x14ac:dyDescent="0.3">
      <c r="E535" s="250" t="s">
        <v>1478</v>
      </c>
      <c r="F535" s="317">
        <v>4301405</v>
      </c>
      <c r="G535" s="318"/>
      <c r="H535" s="319">
        <v>5101370109</v>
      </c>
      <c r="I535" s="320"/>
      <c r="J535" s="337">
        <v>970.85500000000002</v>
      </c>
      <c r="K535" s="321">
        <v>969.85500000000002</v>
      </c>
      <c r="L535" s="321">
        <v>700</v>
      </c>
      <c r="M535" s="321">
        <v>700</v>
      </c>
      <c r="N535" s="321">
        <v>1196.6669999999999</v>
      </c>
      <c r="O535" s="321">
        <v>1196.6659999999999</v>
      </c>
      <c r="P535" s="321">
        <v>1196.7470000000001</v>
      </c>
      <c r="Q535" s="321">
        <v>1196.693</v>
      </c>
      <c r="R535" s="321">
        <v>1196.693</v>
      </c>
      <c r="S535" s="321">
        <v>1196.694</v>
      </c>
      <c r="T535" s="321">
        <v>1196.693</v>
      </c>
      <c r="U535" s="322">
        <v>1196.693</v>
      </c>
      <c r="V535" s="323">
        <v>12914.255999999999</v>
      </c>
      <c r="W535" s="303"/>
      <c r="X535" s="324">
        <v>1196.693</v>
      </c>
      <c r="Y535" s="325">
        <v>12914.255999999999</v>
      </c>
    </row>
    <row r="536" spans="1:25" hidden="1" outlineLevel="1" x14ac:dyDescent="0.3">
      <c r="E536" s="250" t="s">
        <v>1479</v>
      </c>
      <c r="F536" s="317">
        <v>4301406</v>
      </c>
      <c r="G536" s="318"/>
      <c r="H536" s="319">
        <v>5101370111</v>
      </c>
      <c r="I536" s="320"/>
      <c r="J536" s="337">
        <v>0</v>
      </c>
      <c r="K536" s="321">
        <v>0</v>
      </c>
      <c r="L536" s="321">
        <v>0</v>
      </c>
      <c r="M536" s="321">
        <v>0</v>
      </c>
      <c r="N536" s="321">
        <v>0</v>
      </c>
      <c r="O536" s="321">
        <v>0</v>
      </c>
      <c r="P536" s="321">
        <v>0</v>
      </c>
      <c r="Q536" s="321">
        <v>0</v>
      </c>
      <c r="R536" s="321">
        <v>0</v>
      </c>
      <c r="S536" s="321">
        <v>0</v>
      </c>
      <c r="T536" s="321">
        <v>0</v>
      </c>
      <c r="U536" s="322">
        <v>0</v>
      </c>
      <c r="V536" s="323">
        <v>0</v>
      </c>
      <c r="W536" s="303"/>
      <c r="X536" s="324">
        <v>0</v>
      </c>
      <c r="Y536" s="325">
        <v>0</v>
      </c>
    </row>
    <row r="537" spans="1:25" hidden="1" outlineLevel="1" x14ac:dyDescent="0.3">
      <c r="E537" s="250" t="s">
        <v>1480</v>
      </c>
      <c r="F537" s="317">
        <v>4301407</v>
      </c>
      <c r="G537" s="318"/>
      <c r="H537" s="319">
        <v>5101370113</v>
      </c>
      <c r="I537" s="320"/>
      <c r="J537" s="337">
        <v>0</v>
      </c>
      <c r="K537" s="321">
        <v>0</v>
      </c>
      <c r="L537" s="321">
        <v>0</v>
      </c>
      <c r="M537" s="321">
        <v>0</v>
      </c>
      <c r="N537" s="321">
        <v>0</v>
      </c>
      <c r="O537" s="321">
        <v>0</v>
      </c>
      <c r="P537" s="321">
        <v>0</v>
      </c>
      <c r="Q537" s="321">
        <v>0</v>
      </c>
      <c r="R537" s="321">
        <v>0</v>
      </c>
      <c r="S537" s="321">
        <v>0</v>
      </c>
      <c r="T537" s="321">
        <v>0</v>
      </c>
      <c r="U537" s="322">
        <v>0</v>
      </c>
      <c r="V537" s="323">
        <v>0</v>
      </c>
      <c r="W537" s="303"/>
      <c r="X537" s="324">
        <v>0</v>
      </c>
      <c r="Y537" s="325">
        <v>0</v>
      </c>
    </row>
    <row r="538" spans="1:25" hidden="1" outlineLevel="1" x14ac:dyDescent="0.3">
      <c r="E538" s="250" t="s">
        <v>1481</v>
      </c>
      <c r="F538" s="317">
        <v>4301408</v>
      </c>
      <c r="G538" s="318"/>
      <c r="H538" s="319">
        <v>5101370115</v>
      </c>
      <c r="I538" s="320"/>
      <c r="J538" s="337">
        <v>31767.271000000001</v>
      </c>
      <c r="K538" s="321">
        <v>31656.062000000002</v>
      </c>
      <c r="L538" s="321">
        <v>31273.574000000001</v>
      </c>
      <c r="M538" s="321">
        <v>29863.797999999999</v>
      </c>
      <c r="N538" s="321">
        <v>28495.559000000001</v>
      </c>
      <c r="O538" s="321">
        <v>17074.832999999999</v>
      </c>
      <c r="P538" s="321">
        <v>17209.641</v>
      </c>
      <c r="Q538" s="321">
        <v>17682.771000000001</v>
      </c>
      <c r="R538" s="321">
        <v>18222.797999999999</v>
      </c>
      <c r="S538" s="321">
        <v>18637.163</v>
      </c>
      <c r="T538" s="321">
        <v>18648.146000000001</v>
      </c>
      <c r="U538" s="322">
        <v>20186.858</v>
      </c>
      <c r="V538" s="323">
        <v>280718.47400000005</v>
      </c>
      <c r="W538" s="303"/>
      <c r="X538" s="324">
        <v>20186.858</v>
      </c>
      <c r="Y538" s="325">
        <v>280718.47400000005</v>
      </c>
    </row>
    <row r="539" spans="1:25" hidden="1" outlineLevel="1" x14ac:dyDescent="0.3">
      <c r="E539" s="250" t="s">
        <v>1482</v>
      </c>
      <c r="F539" s="317">
        <v>4301410</v>
      </c>
      <c r="G539" s="318"/>
      <c r="H539" s="319">
        <v>5101370117</v>
      </c>
      <c r="I539" s="320"/>
      <c r="J539" s="337">
        <v>73288.358999999997</v>
      </c>
      <c r="K539" s="321">
        <v>77525.198000000004</v>
      </c>
      <c r="L539" s="321">
        <v>75826.126000000004</v>
      </c>
      <c r="M539" s="321">
        <v>74275.03</v>
      </c>
      <c r="N539" s="321">
        <v>72537.156000000003</v>
      </c>
      <c r="O539" s="321">
        <v>72288.209000000003</v>
      </c>
      <c r="P539" s="321">
        <v>72668.672999999995</v>
      </c>
      <c r="Q539" s="321">
        <v>73056.11</v>
      </c>
      <c r="R539" s="321">
        <v>73330.633000000002</v>
      </c>
      <c r="S539" s="321">
        <v>73605.114000000001</v>
      </c>
      <c r="T539" s="321">
        <v>74184.278999999995</v>
      </c>
      <c r="U539" s="322">
        <v>74674.228000000003</v>
      </c>
      <c r="V539" s="323">
        <v>887259.11499999999</v>
      </c>
      <c r="W539" s="303"/>
      <c r="X539" s="324">
        <v>74674.228000000003</v>
      </c>
      <c r="Y539" s="325">
        <v>887259.11499999999</v>
      </c>
    </row>
    <row r="540" spans="1:25" hidden="1" outlineLevel="1" x14ac:dyDescent="0.3">
      <c r="E540" s="250" t="s">
        <v>1483</v>
      </c>
      <c r="F540" s="317">
        <v>4301496</v>
      </c>
      <c r="G540" s="318"/>
      <c r="H540" s="319">
        <v>5101370119</v>
      </c>
      <c r="I540" s="320"/>
      <c r="J540" s="337">
        <v>91425.573000000004</v>
      </c>
      <c r="K540" s="321">
        <v>70300.91</v>
      </c>
      <c r="L540" s="321">
        <v>71096.576000000001</v>
      </c>
      <c r="M540" s="321">
        <v>71372.866999999998</v>
      </c>
      <c r="N540" s="321">
        <v>70851.686000000002</v>
      </c>
      <c r="O540" s="321">
        <v>70845.573999999993</v>
      </c>
      <c r="P540" s="321">
        <v>70911.956000000006</v>
      </c>
      <c r="Q540" s="321">
        <v>70966.823999999993</v>
      </c>
      <c r="R540" s="321">
        <v>71095.111999999994</v>
      </c>
      <c r="S540" s="321">
        <v>73544.600000000006</v>
      </c>
      <c r="T540" s="321">
        <v>73542.078999999998</v>
      </c>
      <c r="U540" s="322">
        <v>73940.062999999995</v>
      </c>
      <c r="V540" s="323">
        <v>879893.82</v>
      </c>
      <c r="W540" s="303"/>
      <c r="X540" s="324">
        <v>73940.062999999995</v>
      </c>
      <c r="Y540" s="325">
        <v>879893.82</v>
      </c>
    </row>
    <row r="541" spans="1:25" hidden="1" outlineLevel="1" x14ac:dyDescent="0.3">
      <c r="E541" s="250" t="s">
        <v>1484</v>
      </c>
      <c r="F541" s="317">
        <v>4301497</v>
      </c>
      <c r="G541" s="318"/>
      <c r="H541" s="319"/>
      <c r="I541" s="320"/>
      <c r="J541" s="337">
        <v>104916.29300000001</v>
      </c>
      <c r="K541" s="321">
        <v>104898.257</v>
      </c>
      <c r="L541" s="321">
        <v>101104.663</v>
      </c>
      <c r="M541" s="321">
        <v>101104.962</v>
      </c>
      <c r="N541" s="321">
        <v>101074.399</v>
      </c>
      <c r="O541" s="321">
        <v>103722.958</v>
      </c>
      <c r="P541" s="321">
        <v>102807.29700000001</v>
      </c>
      <c r="Q541" s="321">
        <v>107637.8</v>
      </c>
      <c r="R541" s="321">
        <v>107853.007</v>
      </c>
      <c r="S541" s="321">
        <v>107997.106</v>
      </c>
      <c r="T541" s="321">
        <v>107988.265</v>
      </c>
      <c r="U541" s="322">
        <v>101955.07399999999</v>
      </c>
      <c r="V541" s="323">
        <v>1253060.081</v>
      </c>
      <c r="W541" s="303"/>
      <c r="X541" s="324">
        <v>101955.07399999999</v>
      </c>
      <c r="Y541" s="325">
        <v>1253060.081</v>
      </c>
    </row>
    <row r="542" spans="1:25" hidden="1" outlineLevel="1" x14ac:dyDescent="0.3">
      <c r="E542" s="250" t="s">
        <v>1485</v>
      </c>
      <c r="F542" s="317">
        <v>4301480</v>
      </c>
      <c r="G542" s="318"/>
      <c r="H542" s="319">
        <v>5101370199</v>
      </c>
      <c r="I542" s="320"/>
      <c r="J542" s="337">
        <v>0</v>
      </c>
      <c r="K542" s="321">
        <v>0</v>
      </c>
      <c r="L542" s="321">
        <v>0</v>
      </c>
      <c r="M542" s="321">
        <v>0</v>
      </c>
      <c r="N542" s="321">
        <v>0</v>
      </c>
      <c r="O542" s="321">
        <v>0</v>
      </c>
      <c r="P542" s="321">
        <v>0</v>
      </c>
      <c r="Q542" s="321">
        <v>0</v>
      </c>
      <c r="R542" s="321">
        <v>0</v>
      </c>
      <c r="S542" s="321">
        <v>0</v>
      </c>
      <c r="T542" s="321">
        <v>0</v>
      </c>
      <c r="U542" s="322">
        <v>0</v>
      </c>
      <c r="V542" s="323">
        <v>0</v>
      </c>
      <c r="W542" s="303"/>
      <c r="X542" s="324">
        <v>0</v>
      </c>
      <c r="Y542" s="325">
        <v>0</v>
      </c>
    </row>
    <row r="543" spans="1:25" hidden="1" outlineLevel="1" x14ac:dyDescent="0.3">
      <c r="E543" s="250" t="s">
        <v>1486</v>
      </c>
      <c r="F543" s="317">
        <v>4301411</v>
      </c>
      <c r="G543" s="318"/>
      <c r="H543" s="319"/>
      <c r="I543" s="320"/>
      <c r="J543" s="337">
        <v>-48790.042000000001</v>
      </c>
      <c r="K543" s="321">
        <v>-38714.987000000001</v>
      </c>
      <c r="L543" s="321">
        <v>-38714.987000000001</v>
      </c>
      <c r="M543" s="321">
        <v>-38714.985999999997</v>
      </c>
      <c r="N543" s="321">
        <v>-38714.987999999998</v>
      </c>
      <c r="O543" s="321">
        <v>-38714.985000000001</v>
      </c>
      <c r="P543" s="321">
        <v>-38714.987000000001</v>
      </c>
      <c r="Q543" s="321">
        <v>-38714.985999999997</v>
      </c>
      <c r="R543" s="321">
        <v>-38714.987000000001</v>
      </c>
      <c r="S543" s="321">
        <v>-38714.985999999997</v>
      </c>
      <c r="T543" s="321">
        <v>-38714.983999999997</v>
      </c>
      <c r="U543" s="322">
        <v>-38714.985999999997</v>
      </c>
      <c r="V543" s="323">
        <v>-474654.89099999995</v>
      </c>
      <c r="W543" s="303"/>
      <c r="X543" s="324">
        <v>-38714.985999999997</v>
      </c>
      <c r="Y543" s="325">
        <v>-474654.89099999995</v>
      </c>
    </row>
    <row r="544" spans="1:25" s="326" customFormat="1" hidden="1" outlineLevel="2" x14ac:dyDescent="0.3">
      <c r="E544" s="326" t="s">
        <v>1487</v>
      </c>
      <c r="F544" s="336"/>
      <c r="G544" s="327"/>
      <c r="H544" s="328"/>
      <c r="I544" s="329"/>
      <c r="J544" s="338">
        <v>0</v>
      </c>
      <c r="K544" s="330">
        <v>0</v>
      </c>
      <c r="L544" s="330">
        <v>0</v>
      </c>
      <c r="M544" s="330">
        <v>0</v>
      </c>
      <c r="N544" s="330">
        <v>0</v>
      </c>
      <c r="O544" s="330">
        <v>0</v>
      </c>
      <c r="P544" s="330">
        <v>0</v>
      </c>
      <c r="Q544" s="330">
        <v>0</v>
      </c>
      <c r="R544" s="330">
        <v>0</v>
      </c>
      <c r="S544" s="330">
        <v>0</v>
      </c>
      <c r="T544" s="330">
        <v>0</v>
      </c>
      <c r="U544" s="331">
        <v>0</v>
      </c>
      <c r="V544" s="332">
        <v>0</v>
      </c>
      <c r="W544" s="333"/>
      <c r="X544" s="334">
        <v>0</v>
      </c>
      <c r="Y544" s="335">
        <v>0</v>
      </c>
    </row>
    <row r="545" spans="1:25" s="326" customFormat="1" hidden="1" outlineLevel="2" x14ac:dyDescent="0.3">
      <c r="E545" s="326" t="s">
        <v>1488</v>
      </c>
      <c r="F545" s="336"/>
      <c r="G545" s="327"/>
      <c r="H545" s="328"/>
      <c r="I545" s="329"/>
      <c r="J545" s="338">
        <v>0</v>
      </c>
      <c r="K545" s="330">
        <v>0</v>
      </c>
      <c r="L545" s="330">
        <v>0</v>
      </c>
      <c r="M545" s="330">
        <v>0</v>
      </c>
      <c r="N545" s="330">
        <v>0</v>
      </c>
      <c r="O545" s="330">
        <v>0</v>
      </c>
      <c r="P545" s="330">
        <v>0</v>
      </c>
      <c r="Q545" s="330">
        <v>0</v>
      </c>
      <c r="R545" s="330">
        <v>0</v>
      </c>
      <c r="S545" s="330">
        <v>0</v>
      </c>
      <c r="T545" s="330">
        <v>0</v>
      </c>
      <c r="U545" s="331">
        <v>0</v>
      </c>
      <c r="V545" s="332">
        <v>0</v>
      </c>
      <c r="W545" s="333"/>
      <c r="X545" s="334">
        <v>0</v>
      </c>
      <c r="Y545" s="335">
        <v>0</v>
      </c>
    </row>
    <row r="546" spans="1:25" s="326" customFormat="1" hidden="1" outlineLevel="2" x14ac:dyDescent="0.3">
      <c r="E546" s="326" t="s">
        <v>1489</v>
      </c>
      <c r="F546" s="336"/>
      <c r="G546" s="327"/>
      <c r="H546" s="328"/>
      <c r="I546" s="329"/>
      <c r="J546" s="338">
        <v>0</v>
      </c>
      <c r="K546" s="330">
        <v>0</v>
      </c>
      <c r="L546" s="330">
        <v>0</v>
      </c>
      <c r="M546" s="330">
        <v>0</v>
      </c>
      <c r="N546" s="330">
        <v>0</v>
      </c>
      <c r="O546" s="330">
        <v>0</v>
      </c>
      <c r="P546" s="330">
        <v>0</v>
      </c>
      <c r="Q546" s="330">
        <v>0</v>
      </c>
      <c r="R546" s="330">
        <v>0</v>
      </c>
      <c r="S546" s="330">
        <v>0</v>
      </c>
      <c r="T546" s="330">
        <v>0</v>
      </c>
      <c r="U546" s="331">
        <v>0</v>
      </c>
      <c r="V546" s="332">
        <v>0</v>
      </c>
      <c r="W546" s="333"/>
      <c r="X546" s="334">
        <v>0</v>
      </c>
      <c r="Y546" s="335">
        <v>0</v>
      </c>
    </row>
    <row r="547" spans="1:25" collapsed="1" x14ac:dyDescent="0.3">
      <c r="A547" s="233"/>
      <c r="B547" s="234" t="s">
        <v>18</v>
      </c>
      <c r="D547" s="293" t="s">
        <v>1490</v>
      </c>
      <c r="E547" s="294"/>
      <c r="F547" s="295" t="s">
        <v>1491</v>
      </c>
      <c r="G547" s="296"/>
      <c r="H547" s="297"/>
      <c r="I547" s="298"/>
      <c r="J547" s="299">
        <v>56211.462</v>
      </c>
      <c r="K547" s="300">
        <v>56052.300999999999</v>
      </c>
      <c r="L547" s="300">
        <v>56179.754000000001</v>
      </c>
      <c r="M547" s="300">
        <v>52792.830999999998</v>
      </c>
      <c r="N547" s="300">
        <v>52792.833999999995</v>
      </c>
      <c r="O547" s="300">
        <v>52886.485000000001</v>
      </c>
      <c r="P547" s="300">
        <v>52257.502</v>
      </c>
      <c r="Q547" s="300">
        <v>52890.936000000002</v>
      </c>
      <c r="R547" s="300">
        <v>52890.937999999995</v>
      </c>
      <c r="S547" s="300">
        <v>50583.85</v>
      </c>
      <c r="T547" s="300">
        <v>50583.856</v>
      </c>
      <c r="U547" s="301">
        <v>50583.849000000002</v>
      </c>
      <c r="V547" s="302">
        <v>636706.59799999988</v>
      </c>
      <c r="W547" s="303"/>
      <c r="X547" s="304">
        <v>50583.849000000002</v>
      </c>
      <c r="Y547" s="305">
        <v>636706.59799999988</v>
      </c>
    </row>
    <row r="548" spans="1:25" hidden="1" outlineLevel="1" x14ac:dyDescent="0.3">
      <c r="E548" s="250" t="s">
        <v>1492</v>
      </c>
      <c r="F548" s="317">
        <v>4301491</v>
      </c>
      <c r="G548" s="318"/>
      <c r="H548" s="319">
        <v>5101370200</v>
      </c>
      <c r="I548" s="320"/>
      <c r="J548" s="337">
        <v>2888.4670000000001</v>
      </c>
      <c r="K548" s="321">
        <v>2888.4670000000001</v>
      </c>
      <c r="L548" s="321">
        <v>2888.4670000000001</v>
      </c>
      <c r="M548" s="321">
        <v>2888.4670000000001</v>
      </c>
      <c r="N548" s="321">
        <v>2888.4670000000001</v>
      </c>
      <c r="O548" s="321">
        <v>2888.4670000000001</v>
      </c>
      <c r="P548" s="321">
        <v>2291.3719999999998</v>
      </c>
      <c r="Q548" s="321">
        <v>2905.28</v>
      </c>
      <c r="R548" s="321">
        <v>2905.28</v>
      </c>
      <c r="S548" s="321">
        <v>2905.28</v>
      </c>
      <c r="T548" s="321">
        <v>2905.28</v>
      </c>
      <c r="U548" s="322">
        <v>2905.279</v>
      </c>
      <c r="V548" s="323">
        <v>34148.572999999997</v>
      </c>
      <c r="W548" s="303"/>
      <c r="X548" s="324">
        <v>2905.279</v>
      </c>
      <c r="Y548" s="325">
        <v>34148.572999999997</v>
      </c>
    </row>
    <row r="549" spans="1:25" hidden="1" outlineLevel="1" x14ac:dyDescent="0.3">
      <c r="E549" s="250" t="s">
        <v>1493</v>
      </c>
      <c r="F549" s="317">
        <v>4301492</v>
      </c>
      <c r="G549" s="318"/>
      <c r="H549" s="319"/>
      <c r="I549" s="320"/>
      <c r="J549" s="337">
        <v>0</v>
      </c>
      <c r="K549" s="321">
        <v>0</v>
      </c>
      <c r="L549" s="321">
        <v>0</v>
      </c>
      <c r="M549" s="321">
        <v>0</v>
      </c>
      <c r="N549" s="321">
        <v>0</v>
      </c>
      <c r="O549" s="321">
        <v>0</v>
      </c>
      <c r="P549" s="321">
        <v>0</v>
      </c>
      <c r="Q549" s="321">
        <v>0</v>
      </c>
      <c r="R549" s="321">
        <v>0</v>
      </c>
      <c r="S549" s="321">
        <v>0</v>
      </c>
      <c r="T549" s="321">
        <v>0</v>
      </c>
      <c r="U549" s="322">
        <v>0</v>
      </c>
      <c r="V549" s="323">
        <v>0</v>
      </c>
      <c r="W549" s="303"/>
      <c r="X549" s="324">
        <v>0</v>
      </c>
      <c r="Y549" s="325">
        <v>0</v>
      </c>
    </row>
    <row r="550" spans="1:25" hidden="1" outlineLevel="1" x14ac:dyDescent="0.3">
      <c r="E550" s="250" t="s">
        <v>1494</v>
      </c>
      <c r="F550" s="317">
        <v>4301493</v>
      </c>
      <c r="G550" s="318"/>
      <c r="H550" s="319"/>
      <c r="I550" s="320"/>
      <c r="J550" s="337">
        <v>0</v>
      </c>
      <c r="K550" s="321">
        <v>0</v>
      </c>
      <c r="L550" s="321">
        <v>0</v>
      </c>
      <c r="M550" s="321">
        <v>0</v>
      </c>
      <c r="N550" s="321">
        <v>0</v>
      </c>
      <c r="O550" s="321">
        <v>0</v>
      </c>
      <c r="P550" s="321">
        <v>0</v>
      </c>
      <c r="Q550" s="321">
        <v>0</v>
      </c>
      <c r="R550" s="321">
        <v>0</v>
      </c>
      <c r="S550" s="321">
        <v>0</v>
      </c>
      <c r="T550" s="321">
        <v>0</v>
      </c>
      <c r="U550" s="322">
        <v>0</v>
      </c>
      <c r="V550" s="323">
        <v>0</v>
      </c>
      <c r="W550" s="303"/>
      <c r="X550" s="324">
        <v>0</v>
      </c>
      <c r="Y550" s="325">
        <v>0</v>
      </c>
    </row>
    <row r="551" spans="1:25" hidden="1" outlineLevel="1" x14ac:dyDescent="0.3">
      <c r="E551" s="250" t="s">
        <v>1495</v>
      </c>
      <c r="F551" s="317">
        <v>4301494</v>
      </c>
      <c r="G551" s="318"/>
      <c r="H551" s="319">
        <v>5101370203</v>
      </c>
      <c r="I551" s="320"/>
      <c r="J551" s="337">
        <v>53160.557000000001</v>
      </c>
      <c r="K551" s="321">
        <v>53001.398000000001</v>
      </c>
      <c r="L551" s="321">
        <v>53128.849000000002</v>
      </c>
      <c r="M551" s="321">
        <v>49741.928</v>
      </c>
      <c r="N551" s="321">
        <v>49741.928999999996</v>
      </c>
      <c r="O551" s="321">
        <v>49835.582000000002</v>
      </c>
      <c r="P551" s="321">
        <v>49835.580999999998</v>
      </c>
      <c r="Q551" s="321">
        <v>49835.58</v>
      </c>
      <c r="R551" s="321">
        <v>49835.580999999998</v>
      </c>
      <c r="S551" s="321">
        <v>47528.493999999999</v>
      </c>
      <c r="T551" s="321">
        <v>47528.499000000003</v>
      </c>
      <c r="U551" s="322">
        <v>47528.493999999999</v>
      </c>
      <c r="V551" s="323">
        <v>600702.47199999995</v>
      </c>
      <c r="W551" s="303"/>
      <c r="X551" s="324">
        <v>47528.493999999999</v>
      </c>
      <c r="Y551" s="325">
        <v>600702.47199999995</v>
      </c>
    </row>
    <row r="552" spans="1:25" hidden="1" outlineLevel="1" x14ac:dyDescent="0.3">
      <c r="E552" s="250" t="s">
        <v>1496</v>
      </c>
      <c r="F552" s="317">
        <v>4301495</v>
      </c>
      <c r="G552" s="318"/>
      <c r="H552" s="319"/>
      <c r="I552" s="320"/>
      <c r="J552" s="337">
        <v>0</v>
      </c>
      <c r="K552" s="321">
        <v>0</v>
      </c>
      <c r="L552" s="321">
        <v>0</v>
      </c>
      <c r="M552" s="321">
        <v>0</v>
      </c>
      <c r="N552" s="321">
        <v>0</v>
      </c>
      <c r="O552" s="321">
        <v>0</v>
      </c>
      <c r="P552" s="321">
        <v>0</v>
      </c>
      <c r="Q552" s="321">
        <v>0</v>
      </c>
      <c r="R552" s="321">
        <v>0</v>
      </c>
      <c r="S552" s="321">
        <v>0</v>
      </c>
      <c r="T552" s="321">
        <v>0</v>
      </c>
      <c r="U552" s="322">
        <v>0</v>
      </c>
      <c r="V552" s="323">
        <v>0</v>
      </c>
      <c r="W552" s="303"/>
      <c r="X552" s="324">
        <v>0</v>
      </c>
      <c r="Y552" s="325">
        <v>0</v>
      </c>
    </row>
    <row r="553" spans="1:25" hidden="1" outlineLevel="1" x14ac:dyDescent="0.3">
      <c r="E553" s="250" t="s">
        <v>1497</v>
      </c>
      <c r="F553" s="317">
        <v>4301500</v>
      </c>
      <c r="G553" s="318"/>
      <c r="H553" s="319"/>
      <c r="I553" s="320"/>
      <c r="J553" s="337">
        <v>162.43799999999999</v>
      </c>
      <c r="K553" s="321">
        <v>162.43600000000001</v>
      </c>
      <c r="L553" s="321">
        <v>162.43799999999999</v>
      </c>
      <c r="M553" s="321">
        <v>162.43600000000001</v>
      </c>
      <c r="N553" s="321">
        <v>162.43799999999999</v>
      </c>
      <c r="O553" s="321">
        <v>162.43600000000001</v>
      </c>
      <c r="P553" s="321">
        <v>130.54900000000001</v>
      </c>
      <c r="Q553" s="321">
        <v>150.07599999999999</v>
      </c>
      <c r="R553" s="321">
        <v>150.077</v>
      </c>
      <c r="S553" s="321">
        <v>150.07599999999999</v>
      </c>
      <c r="T553" s="321">
        <v>150.077</v>
      </c>
      <c r="U553" s="322">
        <v>150.07599999999999</v>
      </c>
      <c r="V553" s="323">
        <v>1855.5530000000001</v>
      </c>
      <c r="W553" s="303"/>
      <c r="X553" s="324">
        <v>150.07599999999999</v>
      </c>
      <c r="Y553" s="325">
        <v>1855.5530000000001</v>
      </c>
    </row>
    <row r="554" spans="1:25" s="361" customFormat="1" hidden="1" outlineLevel="2" x14ac:dyDescent="0.3">
      <c r="E554" s="326" t="s">
        <v>1498</v>
      </c>
      <c r="F554" s="351"/>
      <c r="G554" s="352"/>
      <c r="H554" s="353"/>
      <c r="I554" s="354"/>
      <c r="J554" s="362">
        <v>0</v>
      </c>
      <c r="K554" s="355">
        <v>0</v>
      </c>
      <c r="L554" s="355">
        <v>0</v>
      </c>
      <c r="M554" s="355">
        <v>0</v>
      </c>
      <c r="N554" s="355">
        <v>0</v>
      </c>
      <c r="O554" s="355">
        <v>0</v>
      </c>
      <c r="P554" s="355">
        <v>0</v>
      </c>
      <c r="Q554" s="355">
        <v>0</v>
      </c>
      <c r="R554" s="355">
        <v>0</v>
      </c>
      <c r="S554" s="355">
        <v>0</v>
      </c>
      <c r="T554" s="355">
        <v>0</v>
      </c>
      <c r="U554" s="356">
        <v>0</v>
      </c>
      <c r="V554" s="357">
        <v>0</v>
      </c>
      <c r="W554" s="358"/>
      <c r="X554" s="359">
        <v>0</v>
      </c>
      <c r="Y554" s="360">
        <v>0</v>
      </c>
    </row>
    <row r="555" spans="1:25" s="361" customFormat="1" hidden="1" outlineLevel="2" x14ac:dyDescent="0.3">
      <c r="E555" s="326" t="s">
        <v>1499</v>
      </c>
      <c r="F555" s="351"/>
      <c r="G555" s="352"/>
      <c r="H555" s="353"/>
      <c r="I555" s="354"/>
      <c r="J555" s="362">
        <v>0</v>
      </c>
      <c r="K555" s="355">
        <v>0</v>
      </c>
      <c r="L555" s="355">
        <v>0</v>
      </c>
      <c r="M555" s="355">
        <v>0</v>
      </c>
      <c r="N555" s="355">
        <v>0</v>
      </c>
      <c r="O555" s="355">
        <v>0</v>
      </c>
      <c r="P555" s="355">
        <v>0</v>
      </c>
      <c r="Q555" s="355">
        <v>0</v>
      </c>
      <c r="R555" s="355">
        <v>0</v>
      </c>
      <c r="S555" s="355">
        <v>0</v>
      </c>
      <c r="T555" s="355">
        <v>0</v>
      </c>
      <c r="U555" s="356">
        <v>0</v>
      </c>
      <c r="V555" s="357">
        <v>0</v>
      </c>
      <c r="W555" s="358"/>
      <c r="X555" s="359">
        <v>0</v>
      </c>
      <c r="Y555" s="360">
        <v>0</v>
      </c>
    </row>
    <row r="556" spans="1:25" s="361" customFormat="1" hidden="1" outlineLevel="2" x14ac:dyDescent="0.3">
      <c r="E556" s="326" t="s">
        <v>1500</v>
      </c>
      <c r="F556" s="351"/>
      <c r="G556" s="352"/>
      <c r="H556" s="353"/>
      <c r="I556" s="354"/>
      <c r="J556" s="362">
        <v>0</v>
      </c>
      <c r="K556" s="355">
        <v>0</v>
      </c>
      <c r="L556" s="355">
        <v>0</v>
      </c>
      <c r="M556" s="355">
        <v>0</v>
      </c>
      <c r="N556" s="355">
        <v>0</v>
      </c>
      <c r="O556" s="355">
        <v>0</v>
      </c>
      <c r="P556" s="355">
        <v>0</v>
      </c>
      <c r="Q556" s="355">
        <v>0</v>
      </c>
      <c r="R556" s="355">
        <v>0</v>
      </c>
      <c r="S556" s="355">
        <v>0</v>
      </c>
      <c r="T556" s="355">
        <v>0</v>
      </c>
      <c r="U556" s="356">
        <v>0</v>
      </c>
      <c r="V556" s="357">
        <v>0</v>
      </c>
      <c r="W556" s="358"/>
      <c r="X556" s="359">
        <v>0</v>
      </c>
      <c r="Y556" s="360">
        <v>0</v>
      </c>
    </row>
    <row r="557" spans="1:25" collapsed="1" x14ac:dyDescent="0.3">
      <c r="A557" s="233"/>
      <c r="B557" s="234" t="s">
        <v>19</v>
      </c>
      <c r="D557" s="293" t="s">
        <v>1501</v>
      </c>
      <c r="E557" s="294"/>
      <c r="F557" s="295" t="s">
        <v>1502</v>
      </c>
      <c r="G557" s="296"/>
      <c r="H557" s="297"/>
      <c r="I557" s="298"/>
      <c r="J557" s="299">
        <v>384665.52</v>
      </c>
      <c r="K557" s="300">
        <v>370248.60200000001</v>
      </c>
      <c r="L557" s="300">
        <v>403172.76899999997</v>
      </c>
      <c r="M557" s="300">
        <v>398667.19</v>
      </c>
      <c r="N557" s="300">
        <v>396643.77799999999</v>
      </c>
      <c r="O557" s="300">
        <v>393510.217</v>
      </c>
      <c r="P557" s="300">
        <v>393507.34</v>
      </c>
      <c r="Q557" s="300">
        <v>394803.65500000003</v>
      </c>
      <c r="R557" s="300">
        <v>397438.28499999997</v>
      </c>
      <c r="S557" s="300">
        <v>397458.96399999998</v>
      </c>
      <c r="T557" s="300">
        <v>398228.761</v>
      </c>
      <c r="U557" s="301">
        <v>403789.995</v>
      </c>
      <c r="V557" s="302">
        <v>4732135.0760000004</v>
      </c>
      <c r="W557" s="303"/>
      <c r="X557" s="304">
        <v>403789.995</v>
      </c>
      <c r="Y557" s="305">
        <v>4732135.0760000004</v>
      </c>
    </row>
    <row r="558" spans="1:25" hidden="1" outlineLevel="1" x14ac:dyDescent="0.3">
      <c r="E558" s="250" t="s">
        <v>1503</v>
      </c>
      <c r="F558" s="317">
        <v>4309501</v>
      </c>
      <c r="G558" s="318"/>
      <c r="H558" s="319">
        <v>5101390199</v>
      </c>
      <c r="I558" s="320"/>
      <c r="J558" s="337">
        <v>0</v>
      </c>
      <c r="K558" s="321">
        <v>0</v>
      </c>
      <c r="L558" s="321">
        <v>0</v>
      </c>
      <c r="M558" s="321">
        <v>0</v>
      </c>
      <c r="N558" s="321">
        <v>0</v>
      </c>
      <c r="O558" s="321">
        <v>0</v>
      </c>
      <c r="P558" s="321">
        <v>0</v>
      </c>
      <c r="Q558" s="321">
        <v>0</v>
      </c>
      <c r="R558" s="321">
        <v>0</v>
      </c>
      <c r="S558" s="321">
        <v>0</v>
      </c>
      <c r="T558" s="321">
        <v>0</v>
      </c>
      <c r="U558" s="322">
        <v>0</v>
      </c>
      <c r="V558" s="323">
        <v>0</v>
      </c>
      <c r="W558" s="303"/>
      <c r="X558" s="324">
        <v>0</v>
      </c>
      <c r="Y558" s="325">
        <v>0</v>
      </c>
    </row>
    <row r="559" spans="1:25" hidden="1" outlineLevel="1" x14ac:dyDescent="0.3">
      <c r="E559" s="250" t="s">
        <v>1504</v>
      </c>
      <c r="F559" s="317">
        <v>4309503</v>
      </c>
      <c r="G559" s="318"/>
      <c r="H559" s="319">
        <v>5101390105</v>
      </c>
      <c r="I559" s="320"/>
      <c r="J559" s="337">
        <v>0</v>
      </c>
      <c r="K559" s="321">
        <v>0</v>
      </c>
      <c r="L559" s="321">
        <v>0</v>
      </c>
      <c r="M559" s="321">
        <v>0</v>
      </c>
      <c r="N559" s="321">
        <v>0</v>
      </c>
      <c r="O559" s="321">
        <v>0</v>
      </c>
      <c r="P559" s="321">
        <v>0</v>
      </c>
      <c r="Q559" s="321">
        <v>0</v>
      </c>
      <c r="R559" s="321">
        <v>0</v>
      </c>
      <c r="S559" s="321">
        <v>0</v>
      </c>
      <c r="T559" s="321">
        <v>0</v>
      </c>
      <c r="U559" s="322">
        <v>0</v>
      </c>
      <c r="V559" s="323">
        <v>0</v>
      </c>
      <c r="W559" s="303"/>
      <c r="X559" s="324">
        <v>0</v>
      </c>
      <c r="Y559" s="325">
        <v>0</v>
      </c>
    </row>
    <row r="560" spans="1:25" hidden="1" outlineLevel="1" x14ac:dyDescent="0.3">
      <c r="E560" s="250" t="s">
        <v>1505</v>
      </c>
      <c r="F560" s="317">
        <v>4309509</v>
      </c>
      <c r="G560" s="318"/>
      <c r="H560" s="319">
        <v>5101390115</v>
      </c>
      <c r="I560" s="320"/>
      <c r="J560" s="337">
        <v>384665.52</v>
      </c>
      <c r="K560" s="321">
        <v>370248.60200000001</v>
      </c>
      <c r="L560" s="321">
        <v>403172.76899999997</v>
      </c>
      <c r="M560" s="321">
        <v>398667.19</v>
      </c>
      <c r="N560" s="321">
        <v>396643.77799999999</v>
      </c>
      <c r="O560" s="321">
        <v>393510.217</v>
      </c>
      <c r="P560" s="321">
        <v>393507.34</v>
      </c>
      <c r="Q560" s="321">
        <v>394803.65500000003</v>
      </c>
      <c r="R560" s="321">
        <v>397438.28499999997</v>
      </c>
      <c r="S560" s="321">
        <v>397458.96399999998</v>
      </c>
      <c r="T560" s="321">
        <v>398228.761</v>
      </c>
      <c r="U560" s="322">
        <v>403789.995</v>
      </c>
      <c r="V560" s="323">
        <v>4732135.0760000004</v>
      </c>
      <c r="W560" s="303"/>
      <c r="X560" s="324">
        <v>403789.995</v>
      </c>
      <c r="Y560" s="325">
        <v>4732135.0760000004</v>
      </c>
    </row>
    <row r="561" spans="1:25" hidden="1" outlineLevel="1" x14ac:dyDescent="0.3">
      <c r="E561" s="250" t="s">
        <v>1506</v>
      </c>
      <c r="F561" s="317">
        <v>4309502</v>
      </c>
      <c r="G561" s="318"/>
      <c r="H561" s="319">
        <v>5101390103</v>
      </c>
      <c r="I561" s="320"/>
      <c r="J561" s="337">
        <v>0</v>
      </c>
      <c r="K561" s="321">
        <v>0</v>
      </c>
      <c r="L561" s="321">
        <v>0</v>
      </c>
      <c r="M561" s="321">
        <v>0</v>
      </c>
      <c r="N561" s="321">
        <v>0</v>
      </c>
      <c r="O561" s="321">
        <v>0</v>
      </c>
      <c r="P561" s="321">
        <v>0</v>
      </c>
      <c r="Q561" s="321">
        <v>0</v>
      </c>
      <c r="R561" s="321">
        <v>0</v>
      </c>
      <c r="S561" s="321">
        <v>0</v>
      </c>
      <c r="T561" s="321">
        <v>0</v>
      </c>
      <c r="U561" s="322">
        <v>0</v>
      </c>
      <c r="V561" s="323">
        <v>0</v>
      </c>
      <c r="W561" s="303"/>
      <c r="X561" s="324">
        <v>0</v>
      </c>
      <c r="Y561" s="325">
        <v>0</v>
      </c>
    </row>
    <row r="562" spans="1:25" hidden="1" outlineLevel="1" x14ac:dyDescent="0.3">
      <c r="E562" s="250" t="s">
        <v>1507</v>
      </c>
      <c r="F562" s="317">
        <v>4309780</v>
      </c>
      <c r="G562" s="318"/>
      <c r="H562" s="319"/>
      <c r="I562" s="320"/>
      <c r="J562" s="337">
        <v>0</v>
      </c>
      <c r="K562" s="321">
        <v>0</v>
      </c>
      <c r="L562" s="321">
        <v>0</v>
      </c>
      <c r="M562" s="321">
        <v>0</v>
      </c>
      <c r="N562" s="321">
        <v>0</v>
      </c>
      <c r="O562" s="321">
        <v>0</v>
      </c>
      <c r="P562" s="321">
        <v>0</v>
      </c>
      <c r="Q562" s="321">
        <v>0</v>
      </c>
      <c r="R562" s="321">
        <v>0</v>
      </c>
      <c r="S562" s="321">
        <v>0</v>
      </c>
      <c r="T562" s="321">
        <v>0</v>
      </c>
      <c r="U562" s="322">
        <v>0</v>
      </c>
      <c r="V562" s="323">
        <v>0</v>
      </c>
      <c r="W562" s="303"/>
      <c r="X562" s="324">
        <v>0</v>
      </c>
      <c r="Y562" s="325">
        <v>0</v>
      </c>
    </row>
    <row r="563" spans="1:25" hidden="1" outlineLevel="1" x14ac:dyDescent="0.3">
      <c r="E563" s="250" t="s">
        <v>1508</v>
      </c>
      <c r="F563" s="317">
        <v>4309505</v>
      </c>
      <c r="G563" s="318"/>
      <c r="H563" s="319"/>
      <c r="I563" s="320"/>
      <c r="J563" s="337">
        <v>0</v>
      </c>
      <c r="K563" s="321">
        <v>0</v>
      </c>
      <c r="L563" s="321">
        <v>0</v>
      </c>
      <c r="M563" s="321">
        <v>0</v>
      </c>
      <c r="N563" s="321">
        <v>0</v>
      </c>
      <c r="O563" s="321">
        <v>0</v>
      </c>
      <c r="P563" s="321">
        <v>0</v>
      </c>
      <c r="Q563" s="321">
        <v>0</v>
      </c>
      <c r="R563" s="321">
        <v>0</v>
      </c>
      <c r="S563" s="321">
        <v>0</v>
      </c>
      <c r="T563" s="321">
        <v>0</v>
      </c>
      <c r="U563" s="322">
        <v>0</v>
      </c>
      <c r="V563" s="323">
        <v>0</v>
      </c>
      <c r="W563" s="303"/>
      <c r="X563" s="324">
        <v>0</v>
      </c>
      <c r="Y563" s="325">
        <v>0</v>
      </c>
    </row>
    <row r="564" spans="1:25" s="350" customFormat="1" hidden="1" outlineLevel="2" x14ac:dyDescent="0.3">
      <c r="E564" s="250" t="s">
        <v>1509</v>
      </c>
      <c r="F564" s="306">
        <v>4309600</v>
      </c>
      <c r="G564" s="307"/>
      <c r="H564" s="308">
        <v>5101390117</v>
      </c>
      <c r="I564" s="309"/>
      <c r="J564" s="310">
        <v>0</v>
      </c>
      <c r="K564" s="311">
        <v>0</v>
      </c>
      <c r="L564" s="311">
        <v>0</v>
      </c>
      <c r="M564" s="311">
        <v>0</v>
      </c>
      <c r="N564" s="311">
        <v>0</v>
      </c>
      <c r="O564" s="311">
        <v>0</v>
      </c>
      <c r="P564" s="311">
        <v>0</v>
      </c>
      <c r="Q564" s="311">
        <v>0</v>
      </c>
      <c r="R564" s="311">
        <v>0</v>
      </c>
      <c r="S564" s="311">
        <v>0</v>
      </c>
      <c r="T564" s="311">
        <v>0</v>
      </c>
      <c r="U564" s="312">
        <v>0</v>
      </c>
      <c r="V564" s="313">
        <v>0</v>
      </c>
      <c r="W564" s="314"/>
      <c r="X564" s="315">
        <v>0</v>
      </c>
      <c r="Y564" s="316">
        <v>0</v>
      </c>
    </row>
    <row r="565" spans="1:25" s="361" customFormat="1" hidden="1" outlineLevel="2" x14ac:dyDescent="0.3">
      <c r="A565"/>
      <c r="B565"/>
      <c r="E565" s="326" t="s">
        <v>1510</v>
      </c>
      <c r="F565" s="351"/>
      <c r="G565" s="352"/>
      <c r="H565" s="353"/>
      <c r="I565" s="354"/>
      <c r="J565" s="362">
        <v>0</v>
      </c>
      <c r="K565" s="355">
        <v>0</v>
      </c>
      <c r="L565" s="355">
        <v>0</v>
      </c>
      <c r="M565" s="355">
        <v>0</v>
      </c>
      <c r="N565" s="355">
        <v>0</v>
      </c>
      <c r="O565" s="355">
        <v>0</v>
      </c>
      <c r="P565" s="355">
        <v>0</v>
      </c>
      <c r="Q565" s="355">
        <v>0</v>
      </c>
      <c r="R565" s="355">
        <v>0</v>
      </c>
      <c r="S565" s="355">
        <v>0</v>
      </c>
      <c r="T565" s="355">
        <v>0</v>
      </c>
      <c r="U565" s="356">
        <v>0</v>
      </c>
      <c r="V565" s="357">
        <v>0</v>
      </c>
      <c r="W565" s="358"/>
      <c r="X565" s="359">
        <v>0</v>
      </c>
      <c r="Y565" s="360">
        <v>0</v>
      </c>
    </row>
    <row r="566" spans="1:25" s="361" customFormat="1" hidden="1" outlineLevel="2" x14ac:dyDescent="0.3">
      <c r="E566" s="326" t="s">
        <v>1511</v>
      </c>
      <c r="F566" s="351"/>
      <c r="G566" s="352"/>
      <c r="H566" s="353"/>
      <c r="I566" s="354"/>
      <c r="J566" s="362">
        <v>0</v>
      </c>
      <c r="K566" s="355">
        <v>0</v>
      </c>
      <c r="L566" s="355">
        <v>0</v>
      </c>
      <c r="M566" s="355">
        <v>0</v>
      </c>
      <c r="N566" s="355">
        <v>0</v>
      </c>
      <c r="O566" s="355">
        <v>0</v>
      </c>
      <c r="P566" s="355">
        <v>0</v>
      </c>
      <c r="Q566" s="355">
        <v>0</v>
      </c>
      <c r="R566" s="355">
        <v>0</v>
      </c>
      <c r="S566" s="355">
        <v>0</v>
      </c>
      <c r="T566" s="355">
        <v>0</v>
      </c>
      <c r="U566" s="356">
        <v>0</v>
      </c>
      <c r="V566" s="357">
        <v>0</v>
      </c>
      <c r="W566" s="358"/>
      <c r="X566" s="359">
        <v>0</v>
      </c>
      <c r="Y566" s="360">
        <v>0</v>
      </c>
    </row>
    <row r="567" spans="1:25" s="361" customFormat="1" hidden="1" outlineLevel="2" x14ac:dyDescent="0.3">
      <c r="E567" s="326" t="s">
        <v>1512</v>
      </c>
      <c r="F567" s="351"/>
      <c r="G567" s="352"/>
      <c r="H567" s="353"/>
      <c r="I567" s="354"/>
      <c r="J567" s="362">
        <v>0</v>
      </c>
      <c r="K567" s="355">
        <v>0</v>
      </c>
      <c r="L567" s="355">
        <v>0</v>
      </c>
      <c r="M567" s="355">
        <v>0</v>
      </c>
      <c r="N567" s="355">
        <v>0</v>
      </c>
      <c r="O567" s="355">
        <v>0</v>
      </c>
      <c r="P567" s="355">
        <v>0</v>
      </c>
      <c r="Q567" s="355">
        <v>0</v>
      </c>
      <c r="R567" s="355">
        <v>0</v>
      </c>
      <c r="S567" s="355">
        <v>0</v>
      </c>
      <c r="T567" s="355">
        <v>0</v>
      </c>
      <c r="U567" s="356">
        <v>0</v>
      </c>
      <c r="V567" s="357">
        <v>0</v>
      </c>
      <c r="W567" s="358"/>
      <c r="X567" s="359">
        <v>0</v>
      </c>
      <c r="Y567" s="360">
        <v>0</v>
      </c>
    </row>
    <row r="568" spans="1:25" collapsed="1" x14ac:dyDescent="0.3">
      <c r="A568" s="233"/>
      <c r="B568" s="234" t="s">
        <v>18</v>
      </c>
      <c r="D568" s="293" t="s">
        <v>1513</v>
      </c>
      <c r="E568" s="294"/>
      <c r="F568" s="295" t="s">
        <v>1514</v>
      </c>
      <c r="G568" s="296"/>
      <c r="H568" s="297"/>
      <c r="I568" s="298"/>
      <c r="J568" s="299">
        <v>48790.042000000001</v>
      </c>
      <c r="K568" s="300">
        <v>38714.987000000001</v>
      </c>
      <c r="L568" s="300">
        <v>38714.987000000001</v>
      </c>
      <c r="M568" s="300">
        <v>38714.985999999997</v>
      </c>
      <c r="N568" s="300">
        <v>38714.987999999998</v>
      </c>
      <c r="O568" s="300">
        <v>38714.985000000001</v>
      </c>
      <c r="P568" s="300">
        <v>38714.987000000001</v>
      </c>
      <c r="Q568" s="300">
        <v>38714.985999999997</v>
      </c>
      <c r="R568" s="300">
        <v>38714.987000000001</v>
      </c>
      <c r="S568" s="300">
        <v>38714.985999999997</v>
      </c>
      <c r="T568" s="300">
        <v>38714.983999999997</v>
      </c>
      <c r="U568" s="301">
        <v>38714.985999999997</v>
      </c>
      <c r="V568" s="302">
        <v>474654.89099999995</v>
      </c>
      <c r="W568" s="303"/>
      <c r="X568" s="304">
        <v>38714.985999999997</v>
      </c>
      <c r="Y568" s="305">
        <v>474654.89099999995</v>
      </c>
    </row>
    <row r="569" spans="1:25" hidden="1" outlineLevel="1" x14ac:dyDescent="0.3">
      <c r="E569" s="250" t="s">
        <v>1515</v>
      </c>
      <c r="F569" s="317">
        <v>4309683</v>
      </c>
      <c r="G569" s="318"/>
      <c r="H569" s="319"/>
      <c r="I569" s="320"/>
      <c r="J569" s="337">
        <v>0</v>
      </c>
      <c r="K569" s="321">
        <v>0</v>
      </c>
      <c r="L569" s="321">
        <v>0</v>
      </c>
      <c r="M569" s="321">
        <v>0</v>
      </c>
      <c r="N569" s="321">
        <v>0</v>
      </c>
      <c r="O569" s="321">
        <v>0</v>
      </c>
      <c r="P569" s="321">
        <v>0</v>
      </c>
      <c r="Q569" s="321">
        <v>0</v>
      </c>
      <c r="R569" s="321">
        <v>0</v>
      </c>
      <c r="S569" s="321">
        <v>0</v>
      </c>
      <c r="T569" s="321">
        <v>0</v>
      </c>
      <c r="U569" s="322">
        <v>0</v>
      </c>
      <c r="V569" s="323">
        <v>0</v>
      </c>
      <c r="W569" s="303"/>
      <c r="X569" s="324">
        <v>0</v>
      </c>
      <c r="Y569" s="325">
        <v>0</v>
      </c>
    </row>
    <row r="570" spans="1:25" hidden="1" outlineLevel="1" x14ac:dyDescent="0.3">
      <c r="E570" s="250" t="s">
        <v>1516</v>
      </c>
      <c r="F570" s="317">
        <v>4309681</v>
      </c>
      <c r="G570" s="318"/>
      <c r="H570" s="319">
        <v>5101410200</v>
      </c>
      <c r="I570" s="320"/>
      <c r="J570" s="337">
        <v>0</v>
      </c>
      <c r="K570" s="321">
        <v>0</v>
      </c>
      <c r="L570" s="321">
        <v>0</v>
      </c>
      <c r="M570" s="321">
        <v>0</v>
      </c>
      <c r="N570" s="321">
        <v>0</v>
      </c>
      <c r="O570" s="321">
        <v>0</v>
      </c>
      <c r="P570" s="321">
        <v>0</v>
      </c>
      <c r="Q570" s="321">
        <v>0</v>
      </c>
      <c r="R570" s="321">
        <v>0</v>
      </c>
      <c r="S570" s="321">
        <v>0</v>
      </c>
      <c r="T570" s="321">
        <v>0</v>
      </c>
      <c r="U570" s="322">
        <v>0</v>
      </c>
      <c r="V570" s="323">
        <v>0</v>
      </c>
      <c r="W570" s="303"/>
      <c r="X570" s="324">
        <v>0</v>
      </c>
      <c r="Y570" s="325">
        <v>0</v>
      </c>
    </row>
    <row r="571" spans="1:25" hidden="1" outlineLevel="1" x14ac:dyDescent="0.3">
      <c r="E571" s="250" t="s">
        <v>1517</v>
      </c>
      <c r="F571" s="317">
        <v>4309685</v>
      </c>
      <c r="G571" s="318"/>
      <c r="H571" s="319">
        <v>5101410101</v>
      </c>
      <c r="I571" s="320"/>
      <c r="J571" s="337">
        <v>48790.042000000001</v>
      </c>
      <c r="K571" s="321">
        <v>38714.987000000001</v>
      </c>
      <c r="L571" s="321">
        <v>38714.987000000001</v>
      </c>
      <c r="M571" s="321">
        <v>38714.985999999997</v>
      </c>
      <c r="N571" s="321">
        <v>38714.987999999998</v>
      </c>
      <c r="O571" s="321">
        <v>38714.985000000001</v>
      </c>
      <c r="P571" s="321">
        <v>38714.987000000001</v>
      </c>
      <c r="Q571" s="321">
        <v>38714.985999999997</v>
      </c>
      <c r="R571" s="321">
        <v>38714.987000000001</v>
      </c>
      <c r="S571" s="321">
        <v>38714.985999999997</v>
      </c>
      <c r="T571" s="321">
        <v>38714.983999999997</v>
      </c>
      <c r="U571" s="322">
        <v>38714.985999999997</v>
      </c>
      <c r="V571" s="323">
        <v>474654.89099999995</v>
      </c>
      <c r="W571" s="303"/>
      <c r="X571" s="324">
        <v>38714.985999999997</v>
      </c>
      <c r="Y571" s="325">
        <v>474654.89099999995</v>
      </c>
    </row>
    <row r="572" spans="1:25" s="361" customFormat="1" hidden="1" outlineLevel="2" x14ac:dyDescent="0.3">
      <c r="E572" s="326" t="s">
        <v>1518</v>
      </c>
      <c r="F572" s="351"/>
      <c r="G572" s="352"/>
      <c r="H572" s="353"/>
      <c r="I572" s="354"/>
      <c r="J572" s="362">
        <v>0</v>
      </c>
      <c r="K572" s="355">
        <v>0</v>
      </c>
      <c r="L572" s="355">
        <v>0</v>
      </c>
      <c r="M572" s="355">
        <v>0</v>
      </c>
      <c r="N572" s="355">
        <v>0</v>
      </c>
      <c r="O572" s="355">
        <v>0</v>
      </c>
      <c r="P572" s="355">
        <v>0</v>
      </c>
      <c r="Q572" s="355">
        <v>0</v>
      </c>
      <c r="R572" s="355">
        <v>0</v>
      </c>
      <c r="S572" s="355">
        <v>0</v>
      </c>
      <c r="T572" s="355">
        <v>0</v>
      </c>
      <c r="U572" s="356">
        <v>0</v>
      </c>
      <c r="V572" s="357">
        <v>0</v>
      </c>
      <c r="W572" s="358"/>
      <c r="X572" s="359">
        <v>0</v>
      </c>
      <c r="Y572" s="360">
        <v>0</v>
      </c>
    </row>
    <row r="573" spans="1:25" s="361" customFormat="1" hidden="1" outlineLevel="2" x14ac:dyDescent="0.3">
      <c r="E573" s="326" t="s">
        <v>1518</v>
      </c>
      <c r="F573" s="351"/>
      <c r="G573" s="352"/>
      <c r="H573" s="353"/>
      <c r="I573" s="354"/>
      <c r="J573" s="362">
        <v>0</v>
      </c>
      <c r="K573" s="355">
        <v>0</v>
      </c>
      <c r="L573" s="355">
        <v>0</v>
      </c>
      <c r="M573" s="355">
        <v>0</v>
      </c>
      <c r="N573" s="355">
        <v>0</v>
      </c>
      <c r="O573" s="355">
        <v>0</v>
      </c>
      <c r="P573" s="355">
        <v>0</v>
      </c>
      <c r="Q573" s="355">
        <v>0</v>
      </c>
      <c r="R573" s="355">
        <v>0</v>
      </c>
      <c r="S573" s="355">
        <v>0</v>
      </c>
      <c r="T573" s="355">
        <v>0</v>
      </c>
      <c r="U573" s="356">
        <v>0</v>
      </c>
      <c r="V573" s="357">
        <v>0</v>
      </c>
      <c r="W573" s="358"/>
      <c r="X573" s="359">
        <v>0</v>
      </c>
      <c r="Y573" s="360">
        <v>0</v>
      </c>
    </row>
    <row r="574" spans="1:25" s="361" customFormat="1" hidden="1" outlineLevel="2" x14ac:dyDescent="0.3">
      <c r="E574" s="326" t="s">
        <v>1519</v>
      </c>
      <c r="F574" s="351"/>
      <c r="G574" s="352"/>
      <c r="H574" s="353"/>
      <c r="I574" s="354"/>
      <c r="J574" s="362">
        <v>0</v>
      </c>
      <c r="K574" s="355">
        <v>0</v>
      </c>
      <c r="L574" s="355">
        <v>0</v>
      </c>
      <c r="M574" s="355">
        <v>0</v>
      </c>
      <c r="N574" s="355">
        <v>0</v>
      </c>
      <c r="O574" s="355">
        <v>0</v>
      </c>
      <c r="P574" s="355">
        <v>0</v>
      </c>
      <c r="Q574" s="355">
        <v>0</v>
      </c>
      <c r="R574" s="355">
        <v>0</v>
      </c>
      <c r="S574" s="355">
        <v>0</v>
      </c>
      <c r="T574" s="355">
        <v>0</v>
      </c>
      <c r="U574" s="356">
        <v>0</v>
      </c>
      <c r="V574" s="357">
        <v>0</v>
      </c>
      <c r="W574" s="358"/>
      <c r="X574" s="359">
        <v>0</v>
      </c>
      <c r="Y574" s="360">
        <v>0</v>
      </c>
    </row>
    <row r="575" spans="1:25" collapsed="1" x14ac:dyDescent="0.3">
      <c r="A575" s="233"/>
      <c r="B575" s="234" t="s">
        <v>41</v>
      </c>
      <c r="D575" s="293" t="s">
        <v>1520</v>
      </c>
      <c r="E575" s="294"/>
      <c r="F575" s="295" t="s">
        <v>1521</v>
      </c>
      <c r="G575" s="296"/>
      <c r="H575" s="297"/>
      <c r="I575" s="298"/>
      <c r="J575" s="299">
        <v>0</v>
      </c>
      <c r="K575" s="300">
        <v>0</v>
      </c>
      <c r="L575" s="300">
        <v>-51304.615999999995</v>
      </c>
      <c r="M575" s="300">
        <v>0</v>
      </c>
      <c r="N575" s="300">
        <v>0</v>
      </c>
      <c r="O575" s="300">
        <v>35841.932999999997</v>
      </c>
      <c r="P575" s="300">
        <v>0</v>
      </c>
      <c r="Q575" s="300">
        <v>0</v>
      </c>
      <c r="R575" s="300">
        <v>-14511.007</v>
      </c>
      <c r="S575" s="300">
        <v>0</v>
      </c>
      <c r="T575" s="300">
        <v>0</v>
      </c>
      <c r="U575" s="301">
        <v>11557.164999999999</v>
      </c>
      <c r="V575" s="302">
        <v>-18416.525000000001</v>
      </c>
      <c r="W575" s="303"/>
      <c r="X575" s="304">
        <v>11557.164999999999</v>
      </c>
      <c r="Y575" s="305">
        <v>-18416.525000000001</v>
      </c>
    </row>
    <row r="576" spans="1:25" hidden="1" outlineLevel="1" x14ac:dyDescent="0.3">
      <c r="E576" s="250" t="s">
        <v>1522</v>
      </c>
      <c r="F576" s="317">
        <v>4309201</v>
      </c>
      <c r="G576" s="318"/>
      <c r="H576" s="319">
        <v>5101430101</v>
      </c>
      <c r="I576" s="320"/>
      <c r="J576" s="337">
        <v>0</v>
      </c>
      <c r="K576" s="321">
        <v>0</v>
      </c>
      <c r="L576" s="321">
        <v>7384.0370000000003</v>
      </c>
      <c r="M576" s="321">
        <v>0</v>
      </c>
      <c r="N576" s="321">
        <v>0</v>
      </c>
      <c r="O576" s="321">
        <v>34639.474999999999</v>
      </c>
      <c r="P576" s="321">
        <v>0</v>
      </c>
      <c r="Q576" s="321">
        <v>0</v>
      </c>
      <c r="R576" s="321">
        <v>4463.8490000000002</v>
      </c>
      <c r="S576" s="321">
        <v>0</v>
      </c>
      <c r="T576" s="321">
        <v>0</v>
      </c>
      <c r="U576" s="322">
        <v>11504.464</v>
      </c>
      <c r="V576" s="323">
        <v>57991.825000000004</v>
      </c>
      <c r="W576" s="303"/>
      <c r="X576" s="324">
        <v>11504.464</v>
      </c>
      <c r="Y576" s="325">
        <v>57991.825000000004</v>
      </c>
    </row>
    <row r="577" spans="1:25" hidden="1" outlineLevel="1" x14ac:dyDescent="0.3">
      <c r="E577" s="250" t="s">
        <v>1523</v>
      </c>
      <c r="F577" s="317">
        <v>4309202</v>
      </c>
      <c r="G577" s="318"/>
      <c r="H577" s="319"/>
      <c r="I577" s="320"/>
      <c r="J577" s="337">
        <v>0</v>
      </c>
      <c r="K577" s="321">
        <v>0</v>
      </c>
      <c r="L577" s="321">
        <v>0</v>
      </c>
      <c r="M577" s="321">
        <v>0</v>
      </c>
      <c r="N577" s="321">
        <v>0</v>
      </c>
      <c r="O577" s="321">
        <v>0</v>
      </c>
      <c r="P577" s="321">
        <v>0</v>
      </c>
      <c r="Q577" s="321">
        <v>0</v>
      </c>
      <c r="R577" s="321">
        <v>0</v>
      </c>
      <c r="S577" s="321">
        <v>0</v>
      </c>
      <c r="T577" s="321">
        <v>0</v>
      </c>
      <c r="U577" s="322">
        <v>0</v>
      </c>
      <c r="V577" s="323">
        <v>0</v>
      </c>
      <c r="W577" s="303"/>
      <c r="X577" s="324">
        <v>0</v>
      </c>
      <c r="Y577" s="325">
        <v>0</v>
      </c>
    </row>
    <row r="578" spans="1:25" hidden="1" outlineLevel="1" x14ac:dyDescent="0.3">
      <c r="E578" s="250" t="s">
        <v>1524</v>
      </c>
      <c r="F578" s="317">
        <v>4309203</v>
      </c>
      <c r="G578" s="318"/>
      <c r="H578" s="319"/>
      <c r="I578" s="320"/>
      <c r="J578" s="337">
        <v>0</v>
      </c>
      <c r="K578" s="321">
        <v>0</v>
      </c>
      <c r="L578" s="321">
        <v>-58688.652999999998</v>
      </c>
      <c r="M578" s="321">
        <v>0</v>
      </c>
      <c r="N578" s="321">
        <v>0</v>
      </c>
      <c r="O578" s="321">
        <v>1202.4580000000001</v>
      </c>
      <c r="P578" s="321">
        <v>0</v>
      </c>
      <c r="Q578" s="321">
        <v>0</v>
      </c>
      <c r="R578" s="321">
        <v>-18974.856</v>
      </c>
      <c r="S578" s="321">
        <v>0</v>
      </c>
      <c r="T578" s="321">
        <v>0</v>
      </c>
      <c r="U578" s="322">
        <v>52.701000000000001</v>
      </c>
      <c r="V578" s="323">
        <v>-76408.350000000006</v>
      </c>
      <c r="W578" s="303"/>
      <c r="X578" s="324">
        <v>52.701000000000001</v>
      </c>
      <c r="Y578" s="325">
        <v>-76408.350000000006</v>
      </c>
    </row>
    <row r="579" spans="1:25" hidden="1" outlineLevel="1" x14ac:dyDescent="0.3">
      <c r="E579" s="250" t="s">
        <v>1525</v>
      </c>
      <c r="F579" s="317">
        <v>4309206</v>
      </c>
      <c r="G579" s="318"/>
      <c r="H579" s="319"/>
      <c r="I579" s="320"/>
      <c r="J579" s="337">
        <v>0</v>
      </c>
      <c r="K579" s="321">
        <v>0</v>
      </c>
      <c r="L579" s="321">
        <v>0</v>
      </c>
      <c r="M579" s="321">
        <v>0</v>
      </c>
      <c r="N579" s="321">
        <v>0</v>
      </c>
      <c r="O579" s="321">
        <v>0</v>
      </c>
      <c r="P579" s="321">
        <v>0</v>
      </c>
      <c r="Q579" s="321">
        <v>0</v>
      </c>
      <c r="R579" s="321">
        <v>0</v>
      </c>
      <c r="S579" s="321">
        <v>0</v>
      </c>
      <c r="T579" s="321">
        <v>0</v>
      </c>
      <c r="U579" s="322">
        <v>0</v>
      </c>
      <c r="V579" s="323">
        <v>0</v>
      </c>
      <c r="W579" s="303"/>
      <c r="X579" s="324">
        <v>0</v>
      </c>
      <c r="Y579" s="325">
        <v>0</v>
      </c>
    </row>
    <row r="580" spans="1:25" s="361" customFormat="1" hidden="1" outlineLevel="2" x14ac:dyDescent="0.3">
      <c r="E580" s="361" t="s">
        <v>1526</v>
      </c>
      <c r="F580" s="351"/>
      <c r="G580" s="352"/>
      <c r="H580" s="353"/>
      <c r="I580" s="354"/>
      <c r="J580" s="362">
        <v>0</v>
      </c>
      <c r="K580" s="355">
        <v>0</v>
      </c>
      <c r="L580" s="355">
        <v>0</v>
      </c>
      <c r="M580" s="355">
        <v>0</v>
      </c>
      <c r="N580" s="355">
        <v>0</v>
      </c>
      <c r="O580" s="355">
        <v>0</v>
      </c>
      <c r="P580" s="355">
        <v>0</v>
      </c>
      <c r="Q580" s="355">
        <v>0</v>
      </c>
      <c r="R580" s="355">
        <v>0</v>
      </c>
      <c r="S580" s="355">
        <v>0</v>
      </c>
      <c r="T580" s="355">
        <v>0</v>
      </c>
      <c r="U580" s="356">
        <v>0</v>
      </c>
      <c r="V580" s="357">
        <v>0</v>
      </c>
      <c r="W580" s="358"/>
      <c r="X580" s="359">
        <v>0</v>
      </c>
      <c r="Y580" s="360">
        <v>0</v>
      </c>
    </row>
    <row r="581" spans="1:25" s="361" customFormat="1" hidden="1" outlineLevel="2" x14ac:dyDescent="0.3">
      <c r="E581" s="326" t="s">
        <v>1527</v>
      </c>
      <c r="F581" s="351"/>
      <c r="G581" s="352"/>
      <c r="H581" s="353"/>
      <c r="I581" s="354"/>
      <c r="J581" s="362">
        <v>0</v>
      </c>
      <c r="K581" s="355">
        <v>0</v>
      </c>
      <c r="L581" s="355">
        <v>0</v>
      </c>
      <c r="M581" s="355">
        <v>0</v>
      </c>
      <c r="N581" s="355">
        <v>0</v>
      </c>
      <c r="O581" s="355">
        <v>0</v>
      </c>
      <c r="P581" s="355">
        <v>0</v>
      </c>
      <c r="Q581" s="355">
        <v>0</v>
      </c>
      <c r="R581" s="355">
        <v>0</v>
      </c>
      <c r="S581" s="355">
        <v>0</v>
      </c>
      <c r="T581" s="355">
        <v>0</v>
      </c>
      <c r="U581" s="356">
        <v>0</v>
      </c>
      <c r="V581" s="357">
        <v>0</v>
      </c>
      <c r="W581" s="358"/>
      <c r="X581" s="359">
        <v>0</v>
      </c>
      <c r="Y581" s="360">
        <v>0</v>
      </c>
    </row>
    <row r="582" spans="1:25" s="361" customFormat="1" hidden="1" outlineLevel="2" x14ac:dyDescent="0.3">
      <c r="E582" s="326" t="s">
        <v>1528</v>
      </c>
      <c r="F582" s="351"/>
      <c r="G582" s="352"/>
      <c r="H582" s="353"/>
      <c r="I582" s="354"/>
      <c r="J582" s="362">
        <v>0</v>
      </c>
      <c r="K582" s="355">
        <v>0</v>
      </c>
      <c r="L582" s="355">
        <v>0</v>
      </c>
      <c r="M582" s="355">
        <v>0</v>
      </c>
      <c r="N582" s="355">
        <v>0</v>
      </c>
      <c r="O582" s="355">
        <v>0</v>
      </c>
      <c r="P582" s="355">
        <v>0</v>
      </c>
      <c r="Q582" s="355">
        <v>0</v>
      </c>
      <c r="R582" s="355">
        <v>0</v>
      </c>
      <c r="S582" s="355">
        <v>0</v>
      </c>
      <c r="T582" s="355">
        <v>0</v>
      </c>
      <c r="U582" s="356">
        <v>0</v>
      </c>
      <c r="V582" s="357">
        <v>0</v>
      </c>
      <c r="W582" s="358"/>
      <c r="X582" s="359">
        <v>0</v>
      </c>
      <c r="Y582" s="360">
        <v>0</v>
      </c>
    </row>
    <row r="583" spans="1:25" s="361" customFormat="1" hidden="1" outlineLevel="2" x14ac:dyDescent="0.3">
      <c r="E583" s="326" t="s">
        <v>1529</v>
      </c>
      <c r="F583" s="351"/>
      <c r="G583" s="352"/>
      <c r="H583" s="353"/>
      <c r="I583" s="354"/>
      <c r="J583" s="362">
        <v>0</v>
      </c>
      <c r="K583" s="355">
        <v>0</v>
      </c>
      <c r="L583" s="355">
        <v>0</v>
      </c>
      <c r="M583" s="355">
        <v>0</v>
      </c>
      <c r="N583" s="355">
        <v>0</v>
      </c>
      <c r="O583" s="355">
        <v>0</v>
      </c>
      <c r="P583" s="355">
        <v>0</v>
      </c>
      <c r="Q583" s="355">
        <v>0</v>
      </c>
      <c r="R583" s="355">
        <v>0</v>
      </c>
      <c r="S583" s="355">
        <v>0</v>
      </c>
      <c r="T583" s="355">
        <v>0</v>
      </c>
      <c r="U583" s="356">
        <v>0</v>
      </c>
      <c r="V583" s="357">
        <v>0</v>
      </c>
      <c r="W583" s="358"/>
      <c r="X583" s="359">
        <v>0</v>
      </c>
      <c r="Y583" s="360">
        <v>0</v>
      </c>
    </row>
    <row r="584" spans="1:25" s="361" customFormat="1" hidden="1" outlineLevel="2" x14ac:dyDescent="0.3">
      <c r="E584" s="326" t="s">
        <v>1530</v>
      </c>
      <c r="F584" s="351"/>
      <c r="G584" s="352"/>
      <c r="H584" s="353"/>
      <c r="I584" s="354"/>
      <c r="J584" s="362">
        <v>0</v>
      </c>
      <c r="K584" s="355">
        <v>0</v>
      </c>
      <c r="L584" s="355">
        <v>0</v>
      </c>
      <c r="M584" s="355">
        <v>0</v>
      </c>
      <c r="N584" s="355">
        <v>0</v>
      </c>
      <c r="O584" s="355">
        <v>0</v>
      </c>
      <c r="P584" s="355">
        <v>0</v>
      </c>
      <c r="Q584" s="355">
        <v>0</v>
      </c>
      <c r="R584" s="355">
        <v>0</v>
      </c>
      <c r="S584" s="355">
        <v>0</v>
      </c>
      <c r="T584" s="355">
        <v>0</v>
      </c>
      <c r="U584" s="356">
        <v>0</v>
      </c>
      <c r="V584" s="357">
        <v>0</v>
      </c>
      <c r="W584" s="358"/>
      <c r="X584" s="359">
        <v>0</v>
      </c>
      <c r="Y584" s="360">
        <v>0</v>
      </c>
    </row>
    <row r="585" spans="1:25" collapsed="1" x14ac:dyDescent="0.3">
      <c r="A585" s="233"/>
      <c r="B585" s="234" t="s">
        <v>41</v>
      </c>
      <c r="D585" s="293" t="s">
        <v>1531</v>
      </c>
      <c r="E585" s="294"/>
      <c r="F585" s="295" t="s">
        <v>1532</v>
      </c>
      <c r="G585" s="296"/>
      <c r="H585" s="297"/>
      <c r="I585" s="298"/>
      <c r="J585" s="299">
        <v>0</v>
      </c>
      <c r="K585" s="300">
        <v>0</v>
      </c>
      <c r="L585" s="300">
        <v>0</v>
      </c>
      <c r="M585" s="300">
        <v>0</v>
      </c>
      <c r="N585" s="300">
        <v>0</v>
      </c>
      <c r="O585" s="300">
        <v>0</v>
      </c>
      <c r="P585" s="300">
        <v>0</v>
      </c>
      <c r="Q585" s="300">
        <v>0</v>
      </c>
      <c r="R585" s="300">
        <v>0</v>
      </c>
      <c r="S585" s="300">
        <v>0</v>
      </c>
      <c r="T585" s="300">
        <v>0</v>
      </c>
      <c r="U585" s="301">
        <v>0</v>
      </c>
      <c r="V585" s="302">
        <v>0</v>
      </c>
      <c r="W585" s="303"/>
      <c r="X585" s="304">
        <v>0</v>
      </c>
      <c r="Y585" s="305">
        <v>0</v>
      </c>
    </row>
    <row r="586" spans="1:25" hidden="1" outlineLevel="1" x14ac:dyDescent="0.3">
      <c r="E586" s="250" t="s">
        <v>1533</v>
      </c>
      <c r="F586" s="317">
        <v>4404000</v>
      </c>
      <c r="G586" s="318"/>
      <c r="H586" s="319"/>
      <c r="I586" s="320"/>
      <c r="J586" s="337">
        <v>0</v>
      </c>
      <c r="K586" s="321">
        <v>0</v>
      </c>
      <c r="L586" s="321">
        <v>0</v>
      </c>
      <c r="M586" s="321">
        <v>0</v>
      </c>
      <c r="N586" s="321">
        <v>0</v>
      </c>
      <c r="O586" s="321">
        <v>0</v>
      </c>
      <c r="P586" s="321">
        <v>0</v>
      </c>
      <c r="Q586" s="321">
        <v>0</v>
      </c>
      <c r="R586" s="321">
        <v>0</v>
      </c>
      <c r="S586" s="321">
        <v>0</v>
      </c>
      <c r="T586" s="321">
        <v>0</v>
      </c>
      <c r="U586" s="322">
        <v>0</v>
      </c>
      <c r="V586" s="323">
        <v>0</v>
      </c>
      <c r="W586" s="303"/>
      <c r="X586" s="324">
        <v>0</v>
      </c>
      <c r="Y586" s="325">
        <v>0</v>
      </c>
    </row>
    <row r="587" spans="1:25" s="326" customFormat="1" hidden="1" outlineLevel="2" x14ac:dyDescent="0.3">
      <c r="E587" s="326" t="s">
        <v>1534</v>
      </c>
      <c r="F587" s="336"/>
      <c r="G587" s="327"/>
      <c r="H587" s="328"/>
      <c r="I587" s="329"/>
      <c r="J587" s="338">
        <v>0</v>
      </c>
      <c r="K587" s="330">
        <v>0</v>
      </c>
      <c r="L587" s="330">
        <v>0</v>
      </c>
      <c r="M587" s="330">
        <v>0</v>
      </c>
      <c r="N587" s="330">
        <v>0</v>
      </c>
      <c r="O587" s="330">
        <v>0</v>
      </c>
      <c r="P587" s="330">
        <v>0</v>
      </c>
      <c r="Q587" s="330">
        <v>0</v>
      </c>
      <c r="R587" s="330">
        <v>0</v>
      </c>
      <c r="S587" s="330">
        <v>0</v>
      </c>
      <c r="T587" s="330">
        <v>0</v>
      </c>
      <c r="U587" s="331">
        <v>0</v>
      </c>
      <c r="V587" s="332">
        <v>0</v>
      </c>
      <c r="W587" s="333"/>
      <c r="X587" s="334">
        <v>0</v>
      </c>
      <c r="Y587" s="335">
        <v>0</v>
      </c>
    </row>
    <row r="588" spans="1:25" s="326" customFormat="1" hidden="1" outlineLevel="2" x14ac:dyDescent="0.3">
      <c r="E588" s="326" t="s">
        <v>1535</v>
      </c>
      <c r="F588" s="336"/>
      <c r="G588" s="327"/>
      <c r="H588" s="328"/>
      <c r="I588" s="329"/>
      <c r="J588" s="338">
        <v>0</v>
      </c>
      <c r="K588" s="330">
        <v>0</v>
      </c>
      <c r="L588" s="330">
        <v>0</v>
      </c>
      <c r="M588" s="330">
        <v>0</v>
      </c>
      <c r="N588" s="330">
        <v>0</v>
      </c>
      <c r="O588" s="330">
        <v>0</v>
      </c>
      <c r="P588" s="330">
        <v>0</v>
      </c>
      <c r="Q588" s="330">
        <v>0</v>
      </c>
      <c r="R588" s="330">
        <v>0</v>
      </c>
      <c r="S588" s="330">
        <v>0</v>
      </c>
      <c r="T588" s="330">
        <v>0</v>
      </c>
      <c r="U588" s="331">
        <v>0</v>
      </c>
      <c r="V588" s="332">
        <v>0</v>
      </c>
      <c r="W588" s="333"/>
      <c r="X588" s="334">
        <v>0</v>
      </c>
      <c r="Y588" s="335">
        <v>0</v>
      </c>
    </row>
    <row r="589" spans="1:25" s="326" customFormat="1" hidden="1" outlineLevel="2" x14ac:dyDescent="0.3">
      <c r="E589" s="326" t="s">
        <v>1536</v>
      </c>
      <c r="F589" s="336"/>
      <c r="G589" s="327"/>
      <c r="H589" s="328"/>
      <c r="I589" s="329"/>
      <c r="J589" s="338">
        <v>0</v>
      </c>
      <c r="K589" s="330">
        <v>0</v>
      </c>
      <c r="L589" s="330">
        <v>0</v>
      </c>
      <c r="M589" s="330">
        <v>0</v>
      </c>
      <c r="N589" s="330">
        <v>0</v>
      </c>
      <c r="O589" s="330">
        <v>0</v>
      </c>
      <c r="P589" s="330">
        <v>0</v>
      </c>
      <c r="Q589" s="330">
        <v>0</v>
      </c>
      <c r="R589" s="330">
        <v>0</v>
      </c>
      <c r="S589" s="330">
        <v>0</v>
      </c>
      <c r="T589" s="330">
        <v>0</v>
      </c>
      <c r="U589" s="331">
        <v>0</v>
      </c>
      <c r="V589" s="332">
        <v>0</v>
      </c>
      <c r="W589" s="333"/>
      <c r="X589" s="334">
        <v>0</v>
      </c>
      <c r="Y589" s="335">
        <v>0</v>
      </c>
    </row>
    <row r="590" spans="1:25" collapsed="1" x14ac:dyDescent="0.3">
      <c r="A590" s="233"/>
      <c r="B590" s="234" t="s">
        <v>28</v>
      </c>
      <c r="D590" s="293" t="s">
        <v>1537</v>
      </c>
      <c r="E590" s="294"/>
      <c r="F590" s="295" t="s">
        <v>1538</v>
      </c>
      <c r="G590" s="296"/>
      <c r="H590" s="297"/>
      <c r="I590" s="298"/>
      <c r="J590" s="299">
        <v>27242.799999999999</v>
      </c>
      <c r="K590" s="300">
        <v>32000.361000000001</v>
      </c>
      <c r="L590" s="300">
        <v>18478</v>
      </c>
      <c r="M590" s="300">
        <v>101076.442</v>
      </c>
      <c r="N590" s="300">
        <v>100189.5</v>
      </c>
      <c r="O590" s="300">
        <v>56407.267999999996</v>
      </c>
      <c r="P590" s="300">
        <v>31265.7</v>
      </c>
      <c r="Q590" s="300">
        <v>25591.599999999999</v>
      </c>
      <c r="R590" s="300">
        <v>96353</v>
      </c>
      <c r="S590" s="300">
        <v>67559.135999999999</v>
      </c>
      <c r="T590" s="300">
        <v>33062.5</v>
      </c>
      <c r="U590" s="301">
        <v>242018.64799999999</v>
      </c>
      <c r="V590" s="302">
        <v>831244.95499999996</v>
      </c>
      <c r="W590" s="303"/>
      <c r="X590" s="304">
        <v>242018.64799999999</v>
      </c>
      <c r="Y590" s="305">
        <v>831244.95499999996</v>
      </c>
    </row>
    <row r="591" spans="1:25" hidden="1" outlineLevel="1" x14ac:dyDescent="0.3">
      <c r="E591" s="250" t="s">
        <v>1539</v>
      </c>
      <c r="F591" s="317">
        <v>4304101</v>
      </c>
      <c r="G591" s="318"/>
      <c r="H591" s="319">
        <v>5101450199</v>
      </c>
      <c r="I591" s="320"/>
      <c r="J591" s="337">
        <v>7142.2</v>
      </c>
      <c r="K591" s="321">
        <v>28790.861000000001</v>
      </c>
      <c r="L591" s="321">
        <v>10902</v>
      </c>
      <c r="M591" s="321">
        <v>59186.841999999997</v>
      </c>
      <c r="N591" s="321">
        <v>90602</v>
      </c>
      <c r="O591" s="321">
        <v>45970.887999999999</v>
      </c>
      <c r="P591" s="321">
        <v>7176</v>
      </c>
      <c r="Q591" s="321">
        <v>17579.599999999999</v>
      </c>
      <c r="R591" s="321">
        <v>55449</v>
      </c>
      <c r="S591" s="321">
        <v>36419</v>
      </c>
      <c r="T591" s="321">
        <v>25213.5</v>
      </c>
      <c r="U591" s="322">
        <v>224400</v>
      </c>
      <c r="V591" s="323">
        <v>608831.89100000006</v>
      </c>
      <c r="W591" s="303"/>
      <c r="X591" s="324">
        <v>224400</v>
      </c>
      <c r="Y591" s="325">
        <v>608831.89100000006</v>
      </c>
    </row>
    <row r="592" spans="1:25" hidden="1" outlineLevel="1" x14ac:dyDescent="0.3">
      <c r="E592" s="250" t="s">
        <v>1540</v>
      </c>
      <c r="F592" s="317">
        <v>4304102</v>
      </c>
      <c r="G592" s="318"/>
      <c r="H592" s="319"/>
      <c r="I592" s="320"/>
      <c r="J592" s="337">
        <v>0</v>
      </c>
      <c r="K592" s="321">
        <v>0</v>
      </c>
      <c r="L592" s="321">
        <v>0</v>
      </c>
      <c r="M592" s="321">
        <v>0</v>
      </c>
      <c r="N592" s="321">
        <v>0</v>
      </c>
      <c r="O592" s="321">
        <v>0</v>
      </c>
      <c r="P592" s="321">
        <v>0</v>
      </c>
      <c r="Q592" s="321">
        <v>0</v>
      </c>
      <c r="R592" s="321">
        <v>0</v>
      </c>
      <c r="S592" s="321">
        <v>0</v>
      </c>
      <c r="T592" s="321">
        <v>0</v>
      </c>
      <c r="U592" s="322">
        <v>0</v>
      </c>
      <c r="V592" s="323">
        <v>0</v>
      </c>
      <c r="W592" s="303"/>
      <c r="X592" s="324">
        <v>0</v>
      </c>
      <c r="Y592" s="325">
        <v>0</v>
      </c>
    </row>
    <row r="593" spans="1:25" hidden="1" outlineLevel="1" x14ac:dyDescent="0.3">
      <c r="A593" s="361"/>
      <c r="B593" s="361"/>
      <c r="E593" s="250" t="s">
        <v>1541</v>
      </c>
      <c r="F593" s="317">
        <v>4304103</v>
      </c>
      <c r="G593" s="318"/>
      <c r="H593" s="319">
        <v>5101450101</v>
      </c>
      <c r="I593" s="320"/>
      <c r="J593" s="337">
        <v>0</v>
      </c>
      <c r="K593" s="321">
        <v>0</v>
      </c>
      <c r="L593" s="321">
        <v>0</v>
      </c>
      <c r="M593" s="321">
        <v>0</v>
      </c>
      <c r="N593" s="321">
        <v>0</v>
      </c>
      <c r="O593" s="321">
        <v>0</v>
      </c>
      <c r="P593" s="321">
        <v>0</v>
      </c>
      <c r="Q593" s="321">
        <v>0</v>
      </c>
      <c r="R593" s="321">
        <v>0</v>
      </c>
      <c r="S593" s="321">
        <v>0</v>
      </c>
      <c r="T593" s="321">
        <v>0</v>
      </c>
      <c r="U593" s="322">
        <v>0</v>
      </c>
      <c r="V593" s="323">
        <v>0</v>
      </c>
      <c r="W593" s="303"/>
      <c r="X593" s="324">
        <v>0</v>
      </c>
      <c r="Y593" s="325">
        <v>0</v>
      </c>
    </row>
    <row r="594" spans="1:25" hidden="1" outlineLevel="1" x14ac:dyDescent="0.3">
      <c r="E594" s="250" t="s">
        <v>1542</v>
      </c>
      <c r="F594" s="317">
        <v>4304104</v>
      </c>
      <c r="G594" s="318"/>
      <c r="H594" s="319">
        <v>5101450103</v>
      </c>
      <c r="I594" s="320"/>
      <c r="J594" s="337">
        <v>0</v>
      </c>
      <c r="K594" s="321">
        <v>0</v>
      </c>
      <c r="L594" s="321">
        <v>0</v>
      </c>
      <c r="M594" s="321">
        <v>0</v>
      </c>
      <c r="N594" s="321">
        <v>0</v>
      </c>
      <c r="O594" s="321">
        <v>0</v>
      </c>
      <c r="P594" s="321">
        <v>0</v>
      </c>
      <c r="Q594" s="321">
        <v>2560</v>
      </c>
      <c r="R594" s="321">
        <v>0</v>
      </c>
      <c r="S594" s="321">
        <v>0</v>
      </c>
      <c r="T594" s="321">
        <v>0</v>
      </c>
      <c r="U594" s="322">
        <v>5180</v>
      </c>
      <c r="V594" s="323">
        <v>7740</v>
      </c>
      <c r="W594" s="303"/>
      <c r="X594" s="324">
        <v>5180</v>
      </c>
      <c r="Y594" s="325">
        <v>7740</v>
      </c>
    </row>
    <row r="595" spans="1:25" hidden="1" outlineLevel="1" x14ac:dyDescent="0.3">
      <c r="E595" s="250" t="s">
        <v>1543</v>
      </c>
      <c r="F595" s="317">
        <v>4304105</v>
      </c>
      <c r="G595" s="318"/>
      <c r="H595" s="319"/>
      <c r="I595" s="320"/>
      <c r="J595" s="337">
        <v>0</v>
      </c>
      <c r="K595" s="321">
        <v>286.5</v>
      </c>
      <c r="L595" s="321">
        <v>284</v>
      </c>
      <c r="M595" s="321">
        <v>0</v>
      </c>
      <c r="N595" s="321">
        <v>1227.5</v>
      </c>
      <c r="O595" s="321">
        <v>324.5</v>
      </c>
      <c r="P595" s="321">
        <v>792.7</v>
      </c>
      <c r="Q595" s="321">
        <v>0</v>
      </c>
      <c r="R595" s="321">
        <v>0</v>
      </c>
      <c r="S595" s="321">
        <v>426.5</v>
      </c>
      <c r="T595" s="321">
        <v>140</v>
      </c>
      <c r="U595" s="322">
        <v>0</v>
      </c>
      <c r="V595" s="323">
        <v>3481.7</v>
      </c>
      <c r="W595" s="303"/>
      <c r="X595" s="324">
        <v>0</v>
      </c>
      <c r="Y595" s="325">
        <v>3481.7</v>
      </c>
    </row>
    <row r="596" spans="1:25" hidden="1" outlineLevel="1" x14ac:dyDescent="0.3">
      <c r="E596" s="250" t="s">
        <v>1544</v>
      </c>
      <c r="F596" s="317">
        <v>4304106</v>
      </c>
      <c r="G596" s="318"/>
      <c r="H596" s="319"/>
      <c r="I596" s="320"/>
      <c r="J596" s="337">
        <v>0</v>
      </c>
      <c r="K596" s="321">
        <v>0</v>
      </c>
      <c r="L596" s="321">
        <v>0</v>
      </c>
      <c r="M596" s="321">
        <v>0</v>
      </c>
      <c r="N596" s="321">
        <v>0</v>
      </c>
      <c r="O596" s="321">
        <v>0</v>
      </c>
      <c r="P596" s="321">
        <v>0</v>
      </c>
      <c r="Q596" s="321">
        <v>0</v>
      </c>
      <c r="R596" s="321">
        <v>0</v>
      </c>
      <c r="S596" s="321">
        <v>0</v>
      </c>
      <c r="T596" s="321">
        <v>0</v>
      </c>
      <c r="U596" s="322">
        <v>0</v>
      </c>
      <c r="V596" s="323">
        <v>0</v>
      </c>
      <c r="W596" s="303"/>
      <c r="X596" s="324">
        <v>0</v>
      </c>
      <c r="Y596" s="325">
        <v>0</v>
      </c>
    </row>
    <row r="597" spans="1:25" hidden="1" outlineLevel="1" x14ac:dyDescent="0.3">
      <c r="E597" s="250" t="s">
        <v>1545</v>
      </c>
      <c r="F597" s="317">
        <v>4304107</v>
      </c>
      <c r="G597" s="318"/>
      <c r="H597" s="319"/>
      <c r="I597" s="320"/>
      <c r="J597" s="337">
        <v>0</v>
      </c>
      <c r="K597" s="321">
        <v>0</v>
      </c>
      <c r="L597" s="321">
        <v>0</v>
      </c>
      <c r="M597" s="321">
        <v>0</v>
      </c>
      <c r="N597" s="321">
        <v>0</v>
      </c>
      <c r="O597" s="321">
        <v>0</v>
      </c>
      <c r="P597" s="321">
        <v>0</v>
      </c>
      <c r="Q597" s="321">
        <v>0</v>
      </c>
      <c r="R597" s="321">
        <v>0</v>
      </c>
      <c r="S597" s="321">
        <v>0</v>
      </c>
      <c r="T597" s="321">
        <v>0</v>
      </c>
      <c r="U597" s="322">
        <v>0</v>
      </c>
      <c r="V597" s="323">
        <v>0</v>
      </c>
      <c r="W597" s="303"/>
      <c r="X597" s="324">
        <v>0</v>
      </c>
      <c r="Y597" s="325">
        <v>0</v>
      </c>
    </row>
    <row r="598" spans="1:25" hidden="1" outlineLevel="1" x14ac:dyDescent="0.3">
      <c r="E598" s="250" t="s">
        <v>1546</v>
      </c>
      <c r="F598" s="317">
        <v>4304108</v>
      </c>
      <c r="G598" s="318"/>
      <c r="H598" s="319"/>
      <c r="I598" s="320"/>
      <c r="J598" s="337">
        <v>0</v>
      </c>
      <c r="K598" s="321">
        <v>0</v>
      </c>
      <c r="L598" s="321">
        <v>0</v>
      </c>
      <c r="M598" s="321">
        <v>0</v>
      </c>
      <c r="N598" s="321">
        <v>0</v>
      </c>
      <c r="O598" s="321">
        <v>0</v>
      </c>
      <c r="P598" s="321">
        <v>0</v>
      </c>
      <c r="Q598" s="321">
        <v>0</v>
      </c>
      <c r="R598" s="321">
        <v>0</v>
      </c>
      <c r="S598" s="321">
        <v>0</v>
      </c>
      <c r="T598" s="321">
        <v>0</v>
      </c>
      <c r="U598" s="322">
        <v>0</v>
      </c>
      <c r="V598" s="323">
        <v>0</v>
      </c>
      <c r="W598" s="303"/>
      <c r="X598" s="324">
        <v>0</v>
      </c>
      <c r="Y598" s="325">
        <v>0</v>
      </c>
    </row>
    <row r="599" spans="1:25" hidden="1" outlineLevel="1" x14ac:dyDescent="0.3">
      <c r="E599" s="250" t="s">
        <v>1547</v>
      </c>
      <c r="F599" s="317">
        <v>4304109</v>
      </c>
      <c r="G599" s="318"/>
      <c r="H599" s="319"/>
      <c r="I599" s="320"/>
      <c r="J599" s="337">
        <v>3680</v>
      </c>
      <c r="K599" s="321">
        <v>1400</v>
      </c>
      <c r="L599" s="321">
        <v>1892</v>
      </c>
      <c r="M599" s="321">
        <v>1330.6</v>
      </c>
      <c r="N599" s="321">
        <v>1500</v>
      </c>
      <c r="O599" s="321">
        <v>4976.88</v>
      </c>
      <c r="P599" s="321">
        <v>1199</v>
      </c>
      <c r="Q599" s="321">
        <v>0</v>
      </c>
      <c r="R599" s="321">
        <v>9000</v>
      </c>
      <c r="S599" s="321">
        <v>14811</v>
      </c>
      <c r="T599" s="321">
        <v>0</v>
      </c>
      <c r="U599" s="322">
        <v>1975</v>
      </c>
      <c r="V599" s="323">
        <v>41764.479999999996</v>
      </c>
      <c r="W599" s="303"/>
      <c r="X599" s="324">
        <v>1975</v>
      </c>
      <c r="Y599" s="325">
        <v>41764.479999999996</v>
      </c>
    </row>
    <row r="600" spans="1:25" hidden="1" outlineLevel="1" x14ac:dyDescent="0.3">
      <c r="E600" s="250" t="s">
        <v>1548</v>
      </c>
      <c r="F600" s="317">
        <v>4304110</v>
      </c>
      <c r="G600" s="318"/>
      <c r="H600" s="319"/>
      <c r="I600" s="320"/>
      <c r="J600" s="337">
        <v>16420.599999999999</v>
      </c>
      <c r="K600" s="321">
        <v>1523</v>
      </c>
      <c r="L600" s="321">
        <v>5400</v>
      </c>
      <c r="M600" s="321">
        <v>40559</v>
      </c>
      <c r="N600" s="321">
        <v>6860</v>
      </c>
      <c r="O600" s="321">
        <v>5135</v>
      </c>
      <c r="P600" s="321">
        <v>22098</v>
      </c>
      <c r="Q600" s="321">
        <v>5452</v>
      </c>
      <c r="R600" s="321">
        <v>31904</v>
      </c>
      <c r="S600" s="321">
        <v>15902.636</v>
      </c>
      <c r="T600" s="321">
        <v>7709</v>
      </c>
      <c r="U600" s="322">
        <v>10463.647999999999</v>
      </c>
      <c r="V600" s="323">
        <v>169426.88399999999</v>
      </c>
      <c r="W600" s="303"/>
      <c r="X600" s="324">
        <v>10463.647999999999</v>
      </c>
      <c r="Y600" s="325">
        <v>169426.88399999999</v>
      </c>
    </row>
    <row r="601" spans="1:25" hidden="1" outlineLevel="1" x14ac:dyDescent="0.3">
      <c r="E601" s="250" t="s">
        <v>1549</v>
      </c>
      <c r="F601" s="317">
        <v>4304199</v>
      </c>
      <c r="G601" s="318"/>
      <c r="H601" s="319"/>
      <c r="I601" s="320"/>
      <c r="J601" s="337">
        <v>0</v>
      </c>
      <c r="K601" s="321">
        <v>0</v>
      </c>
      <c r="L601" s="321">
        <v>0</v>
      </c>
      <c r="M601" s="321">
        <v>0</v>
      </c>
      <c r="N601" s="321">
        <v>0</v>
      </c>
      <c r="O601" s="321">
        <v>0</v>
      </c>
      <c r="P601" s="321">
        <v>0</v>
      </c>
      <c r="Q601" s="321">
        <v>0</v>
      </c>
      <c r="R601" s="321">
        <v>0</v>
      </c>
      <c r="S601" s="321">
        <v>0</v>
      </c>
      <c r="T601" s="321">
        <v>0</v>
      </c>
      <c r="U601" s="322">
        <v>0</v>
      </c>
      <c r="V601" s="323">
        <v>0</v>
      </c>
      <c r="W601" s="303"/>
      <c r="X601" s="324">
        <v>0</v>
      </c>
      <c r="Y601" s="325">
        <v>0</v>
      </c>
    </row>
    <row r="602" spans="1:25" s="326" customFormat="1" hidden="1" outlineLevel="2" x14ac:dyDescent="0.3">
      <c r="E602" s="326" t="s">
        <v>1550</v>
      </c>
      <c r="F602" s="336"/>
      <c r="G602" s="327"/>
      <c r="H602" s="328"/>
      <c r="I602" s="329"/>
      <c r="J602" s="338">
        <v>0</v>
      </c>
      <c r="K602" s="330">
        <v>0</v>
      </c>
      <c r="L602" s="330">
        <v>0</v>
      </c>
      <c r="M602" s="330">
        <v>0</v>
      </c>
      <c r="N602" s="330">
        <v>0</v>
      </c>
      <c r="O602" s="330">
        <v>0</v>
      </c>
      <c r="P602" s="330">
        <v>0</v>
      </c>
      <c r="Q602" s="330">
        <v>0</v>
      </c>
      <c r="R602" s="330">
        <v>0</v>
      </c>
      <c r="S602" s="330">
        <v>0</v>
      </c>
      <c r="T602" s="330">
        <v>0</v>
      </c>
      <c r="U602" s="331">
        <v>0</v>
      </c>
      <c r="V602" s="332">
        <v>0</v>
      </c>
      <c r="W602" s="333"/>
      <c r="X602" s="334">
        <v>0</v>
      </c>
      <c r="Y602" s="335">
        <v>0</v>
      </c>
    </row>
    <row r="603" spans="1:25" s="326" customFormat="1" hidden="1" outlineLevel="2" x14ac:dyDescent="0.3">
      <c r="E603" s="326" t="s">
        <v>1551</v>
      </c>
      <c r="F603" s="336"/>
      <c r="G603" s="327"/>
      <c r="H603" s="328"/>
      <c r="I603" s="329"/>
      <c r="J603" s="338">
        <v>0</v>
      </c>
      <c r="K603" s="330">
        <v>0</v>
      </c>
      <c r="L603" s="330">
        <v>0</v>
      </c>
      <c r="M603" s="330">
        <v>0</v>
      </c>
      <c r="N603" s="330">
        <v>0</v>
      </c>
      <c r="O603" s="330">
        <v>0</v>
      </c>
      <c r="P603" s="330">
        <v>0</v>
      </c>
      <c r="Q603" s="330">
        <v>0</v>
      </c>
      <c r="R603" s="330">
        <v>0</v>
      </c>
      <c r="S603" s="330">
        <v>0</v>
      </c>
      <c r="T603" s="330">
        <v>0</v>
      </c>
      <c r="U603" s="331">
        <v>0</v>
      </c>
      <c r="V603" s="332">
        <v>0</v>
      </c>
      <c r="W603" s="333"/>
      <c r="X603" s="334">
        <v>0</v>
      </c>
      <c r="Y603" s="335">
        <v>0</v>
      </c>
    </row>
    <row r="604" spans="1:25" s="326" customFormat="1" hidden="1" outlineLevel="2" x14ac:dyDescent="0.3">
      <c r="E604" s="326" t="s">
        <v>1552</v>
      </c>
      <c r="F604" s="336"/>
      <c r="G604" s="327"/>
      <c r="H604" s="328"/>
      <c r="I604" s="329"/>
      <c r="J604" s="338">
        <v>0</v>
      </c>
      <c r="K604" s="330">
        <v>0</v>
      </c>
      <c r="L604" s="330">
        <v>0</v>
      </c>
      <c r="M604" s="330">
        <v>0</v>
      </c>
      <c r="N604" s="330">
        <v>0</v>
      </c>
      <c r="O604" s="330">
        <v>0</v>
      </c>
      <c r="P604" s="330">
        <v>0</v>
      </c>
      <c r="Q604" s="330">
        <v>0</v>
      </c>
      <c r="R604" s="330">
        <v>0</v>
      </c>
      <c r="S604" s="330">
        <v>0</v>
      </c>
      <c r="T604" s="330">
        <v>0</v>
      </c>
      <c r="U604" s="331">
        <v>0</v>
      </c>
      <c r="V604" s="332">
        <v>0</v>
      </c>
      <c r="W604" s="333"/>
      <c r="X604" s="334">
        <v>0</v>
      </c>
      <c r="Y604" s="335">
        <v>0</v>
      </c>
    </row>
    <row r="605" spans="1:25" collapsed="1" x14ac:dyDescent="0.3">
      <c r="A605" s="233"/>
      <c r="B605" s="234" t="s">
        <v>30</v>
      </c>
      <c r="D605" s="293" t="s">
        <v>1553</v>
      </c>
      <c r="E605" s="294"/>
      <c r="F605" s="295" t="s">
        <v>1554</v>
      </c>
      <c r="G605" s="296"/>
      <c r="H605" s="297"/>
      <c r="I605" s="298"/>
      <c r="J605" s="299">
        <v>34235.908000000003</v>
      </c>
      <c r="K605" s="300">
        <v>26868.93</v>
      </c>
      <c r="L605" s="300">
        <v>25019.25</v>
      </c>
      <c r="M605" s="300">
        <v>32680.84</v>
      </c>
      <c r="N605" s="300">
        <v>31131.75</v>
      </c>
      <c r="O605" s="300">
        <v>30171.49</v>
      </c>
      <c r="P605" s="300">
        <v>31430.55</v>
      </c>
      <c r="Q605" s="300">
        <v>25061.48</v>
      </c>
      <c r="R605" s="300">
        <v>25120.564999999999</v>
      </c>
      <c r="S605" s="300">
        <v>32022.560000000001</v>
      </c>
      <c r="T605" s="300">
        <v>32763.34</v>
      </c>
      <c r="U605" s="301">
        <v>22253.026000000002</v>
      </c>
      <c r="V605" s="302">
        <v>348759.68900000007</v>
      </c>
      <c r="W605" s="303"/>
      <c r="X605" s="304">
        <v>22253.026000000002</v>
      </c>
      <c r="Y605" s="305">
        <v>348759.68900000007</v>
      </c>
    </row>
    <row r="606" spans="1:25" hidden="1" outlineLevel="1" x14ac:dyDescent="0.3">
      <c r="E606" s="250" t="s">
        <v>1555</v>
      </c>
      <c r="F606" s="317">
        <v>4304702</v>
      </c>
      <c r="G606" s="318"/>
      <c r="H606" s="319"/>
      <c r="I606" s="320"/>
      <c r="J606" s="337">
        <v>0</v>
      </c>
      <c r="K606" s="321">
        <v>0</v>
      </c>
      <c r="L606" s="321">
        <v>0</v>
      </c>
      <c r="M606" s="321">
        <v>0</v>
      </c>
      <c r="N606" s="321">
        <v>0</v>
      </c>
      <c r="O606" s="321">
        <v>0</v>
      </c>
      <c r="P606" s="321">
        <v>0</v>
      </c>
      <c r="Q606" s="321">
        <v>0</v>
      </c>
      <c r="R606" s="321">
        <v>0</v>
      </c>
      <c r="S606" s="321">
        <v>0</v>
      </c>
      <c r="T606" s="321">
        <v>0</v>
      </c>
      <c r="U606" s="322">
        <v>0</v>
      </c>
      <c r="V606" s="323">
        <v>0</v>
      </c>
      <c r="W606" s="303"/>
      <c r="X606" s="324">
        <v>0</v>
      </c>
      <c r="Y606" s="325">
        <v>0</v>
      </c>
    </row>
    <row r="607" spans="1:25" hidden="1" outlineLevel="1" x14ac:dyDescent="0.3">
      <c r="E607" s="250" t="s">
        <v>1556</v>
      </c>
      <c r="F607" s="317">
        <v>4304703</v>
      </c>
      <c r="G607" s="318"/>
      <c r="H607" s="319"/>
      <c r="I607" s="320"/>
      <c r="J607" s="337">
        <v>0</v>
      </c>
      <c r="K607" s="321">
        <v>0</v>
      </c>
      <c r="L607" s="321">
        <v>0</v>
      </c>
      <c r="M607" s="321">
        <v>0</v>
      </c>
      <c r="N607" s="321">
        <v>0</v>
      </c>
      <c r="O607" s="321">
        <v>0</v>
      </c>
      <c r="P607" s="321">
        <v>0</v>
      </c>
      <c r="Q607" s="321">
        <v>0</v>
      </c>
      <c r="R607" s="321">
        <v>0</v>
      </c>
      <c r="S607" s="321">
        <v>0</v>
      </c>
      <c r="T607" s="321">
        <v>0</v>
      </c>
      <c r="U607" s="322">
        <v>0</v>
      </c>
      <c r="V607" s="323">
        <v>0</v>
      </c>
      <c r="W607" s="303"/>
      <c r="X607" s="324">
        <v>0</v>
      </c>
      <c r="Y607" s="325">
        <v>0</v>
      </c>
    </row>
    <row r="608" spans="1:25" hidden="1" outlineLevel="1" x14ac:dyDescent="0.3">
      <c r="E608" s="250" t="s">
        <v>1557</v>
      </c>
      <c r="F608" s="317">
        <v>4304707</v>
      </c>
      <c r="G608" s="318"/>
      <c r="H608" s="319">
        <v>5101470199</v>
      </c>
      <c r="I608" s="320"/>
      <c r="J608" s="337">
        <v>34235.908000000003</v>
      </c>
      <c r="K608" s="321">
        <v>26868.93</v>
      </c>
      <c r="L608" s="321">
        <v>25019.25</v>
      </c>
      <c r="M608" s="321">
        <v>32680.84</v>
      </c>
      <c r="N608" s="321">
        <v>31131.75</v>
      </c>
      <c r="O608" s="321">
        <v>30171.49</v>
      </c>
      <c r="P608" s="321">
        <v>31430.55</v>
      </c>
      <c r="Q608" s="321">
        <v>25061.48</v>
      </c>
      <c r="R608" s="321">
        <v>25120.564999999999</v>
      </c>
      <c r="S608" s="321">
        <v>32022.560000000001</v>
      </c>
      <c r="T608" s="321">
        <v>32763.34</v>
      </c>
      <c r="U608" s="322">
        <v>22253.026000000002</v>
      </c>
      <c r="V608" s="323">
        <v>348759.68900000007</v>
      </c>
      <c r="W608" s="303"/>
      <c r="X608" s="324">
        <v>22253.026000000002</v>
      </c>
      <c r="Y608" s="325">
        <v>348759.68900000007</v>
      </c>
    </row>
    <row r="609" spans="1:25" hidden="1" outlineLevel="1" x14ac:dyDescent="0.3">
      <c r="E609" s="250" t="s">
        <v>1558</v>
      </c>
      <c r="F609" s="317">
        <v>4304799</v>
      </c>
      <c r="G609" s="318"/>
      <c r="H609" s="319"/>
      <c r="I609" s="320"/>
      <c r="J609" s="337">
        <v>0</v>
      </c>
      <c r="K609" s="321">
        <v>0</v>
      </c>
      <c r="L609" s="321">
        <v>0</v>
      </c>
      <c r="M609" s="321">
        <v>0</v>
      </c>
      <c r="N609" s="321">
        <v>0</v>
      </c>
      <c r="O609" s="321">
        <v>0</v>
      </c>
      <c r="P609" s="321">
        <v>0</v>
      </c>
      <c r="Q609" s="321">
        <v>0</v>
      </c>
      <c r="R609" s="321">
        <v>0</v>
      </c>
      <c r="S609" s="321">
        <v>0</v>
      </c>
      <c r="T609" s="321">
        <v>0</v>
      </c>
      <c r="U609" s="322">
        <v>0</v>
      </c>
      <c r="V609" s="323">
        <v>0</v>
      </c>
      <c r="W609" s="303"/>
      <c r="X609" s="324">
        <v>0</v>
      </c>
      <c r="Y609" s="325">
        <v>0</v>
      </c>
    </row>
    <row r="610" spans="1:25" s="326" customFormat="1" hidden="1" outlineLevel="2" x14ac:dyDescent="0.3">
      <c r="E610" s="326" t="s">
        <v>1559</v>
      </c>
      <c r="F610" s="336"/>
      <c r="G610" s="327"/>
      <c r="H610" s="328"/>
      <c r="I610" s="329"/>
      <c r="J610" s="338">
        <v>0</v>
      </c>
      <c r="K610" s="330">
        <v>0</v>
      </c>
      <c r="L610" s="330">
        <v>0</v>
      </c>
      <c r="M610" s="330">
        <v>0</v>
      </c>
      <c r="N610" s="330">
        <v>0</v>
      </c>
      <c r="O610" s="330">
        <v>0</v>
      </c>
      <c r="P610" s="330">
        <v>0</v>
      </c>
      <c r="Q610" s="330">
        <v>0</v>
      </c>
      <c r="R610" s="330">
        <v>0</v>
      </c>
      <c r="S610" s="330">
        <v>0</v>
      </c>
      <c r="T610" s="330">
        <v>0</v>
      </c>
      <c r="U610" s="331">
        <v>0</v>
      </c>
      <c r="V610" s="332">
        <v>0</v>
      </c>
      <c r="W610" s="333"/>
      <c r="X610" s="334">
        <v>0</v>
      </c>
      <c r="Y610" s="335">
        <v>0</v>
      </c>
    </row>
    <row r="611" spans="1:25" s="326" customFormat="1" hidden="1" outlineLevel="2" x14ac:dyDescent="0.3">
      <c r="E611" s="326" t="s">
        <v>1560</v>
      </c>
      <c r="F611" s="336"/>
      <c r="G611" s="327"/>
      <c r="H611" s="328"/>
      <c r="I611" s="329"/>
      <c r="J611" s="338">
        <v>0</v>
      </c>
      <c r="K611" s="330">
        <v>0</v>
      </c>
      <c r="L611" s="330">
        <v>0</v>
      </c>
      <c r="M611" s="330">
        <v>0</v>
      </c>
      <c r="N611" s="330">
        <v>0</v>
      </c>
      <c r="O611" s="330">
        <v>0</v>
      </c>
      <c r="P611" s="330">
        <v>0</v>
      </c>
      <c r="Q611" s="330">
        <v>0</v>
      </c>
      <c r="R611" s="330">
        <v>0</v>
      </c>
      <c r="S611" s="330">
        <v>0</v>
      </c>
      <c r="T611" s="330">
        <v>0</v>
      </c>
      <c r="U611" s="331">
        <v>0</v>
      </c>
      <c r="V611" s="332">
        <v>0</v>
      </c>
      <c r="W611" s="333"/>
      <c r="X611" s="334">
        <v>0</v>
      </c>
      <c r="Y611" s="335">
        <v>0</v>
      </c>
    </row>
    <row r="612" spans="1:25" s="326" customFormat="1" hidden="1" outlineLevel="2" x14ac:dyDescent="0.3">
      <c r="E612" s="326" t="s">
        <v>1561</v>
      </c>
      <c r="F612" s="336"/>
      <c r="G612" s="327"/>
      <c r="H612" s="328"/>
      <c r="I612" s="329"/>
      <c r="J612" s="338">
        <v>0</v>
      </c>
      <c r="K612" s="330">
        <v>0</v>
      </c>
      <c r="L612" s="330">
        <v>0</v>
      </c>
      <c r="M612" s="330">
        <v>0</v>
      </c>
      <c r="N612" s="330">
        <v>0</v>
      </c>
      <c r="O612" s="330">
        <v>0</v>
      </c>
      <c r="P612" s="330">
        <v>0</v>
      </c>
      <c r="Q612" s="330">
        <v>0</v>
      </c>
      <c r="R612" s="330">
        <v>0</v>
      </c>
      <c r="S612" s="330">
        <v>0</v>
      </c>
      <c r="T612" s="330">
        <v>0</v>
      </c>
      <c r="U612" s="331">
        <v>0</v>
      </c>
      <c r="V612" s="332">
        <v>0</v>
      </c>
      <c r="W612" s="333"/>
      <c r="X612" s="334">
        <v>0</v>
      </c>
      <c r="Y612" s="335">
        <v>0</v>
      </c>
    </row>
    <row r="613" spans="1:25" collapsed="1" x14ac:dyDescent="0.3">
      <c r="A613" s="233"/>
      <c r="B613" s="234" t="s">
        <v>34</v>
      </c>
      <c r="D613" s="293" t="s">
        <v>1562</v>
      </c>
      <c r="E613" s="294"/>
      <c r="F613" s="295" t="s">
        <v>1563</v>
      </c>
      <c r="G613" s="296"/>
      <c r="H613" s="297"/>
      <c r="I613" s="298"/>
      <c r="J613" s="299">
        <v>1925.345</v>
      </c>
      <c r="K613" s="300">
        <v>2468.7069999999999</v>
      </c>
      <c r="L613" s="300">
        <v>1717.2149999999999</v>
      </c>
      <c r="M613" s="300">
        <v>1796.5429999999999</v>
      </c>
      <c r="N613" s="300">
        <v>1040.33</v>
      </c>
      <c r="O613" s="300">
        <v>1648.5049999999999</v>
      </c>
      <c r="P613" s="300">
        <v>1500.231</v>
      </c>
      <c r="Q613" s="300">
        <v>894.83500000000004</v>
      </c>
      <c r="R613" s="300">
        <v>741.76499999999999</v>
      </c>
      <c r="S613" s="300">
        <v>4724.9650000000001</v>
      </c>
      <c r="T613" s="300">
        <v>1341.5450000000001</v>
      </c>
      <c r="U613" s="301">
        <v>1591.1890000000001</v>
      </c>
      <c r="V613" s="302">
        <v>21391.174999999999</v>
      </c>
      <c r="W613" s="303"/>
      <c r="X613" s="304">
        <v>1591.1890000000001</v>
      </c>
      <c r="Y613" s="305">
        <v>21391.174999999999</v>
      </c>
    </row>
    <row r="614" spans="1:25" hidden="1" outlineLevel="1" x14ac:dyDescent="0.3">
      <c r="E614" s="250" t="s">
        <v>1564</v>
      </c>
      <c r="F614" s="317">
        <v>4305901</v>
      </c>
      <c r="G614" s="318"/>
      <c r="H614" s="319">
        <v>5101550101</v>
      </c>
      <c r="I614" s="320"/>
      <c r="J614" s="337">
        <v>1517.2950000000001</v>
      </c>
      <c r="K614" s="321">
        <v>1810.557</v>
      </c>
      <c r="L614" s="321">
        <v>1540.9649999999999</v>
      </c>
      <c r="M614" s="321">
        <v>1302.0429999999999</v>
      </c>
      <c r="N614" s="321">
        <v>889.33</v>
      </c>
      <c r="O614" s="321">
        <v>906.95500000000004</v>
      </c>
      <c r="P614" s="321">
        <v>1319.8309999999999</v>
      </c>
      <c r="Q614" s="321">
        <v>736.78499999999997</v>
      </c>
      <c r="R614" s="321">
        <v>511.01499999999999</v>
      </c>
      <c r="S614" s="321">
        <v>1612.365</v>
      </c>
      <c r="T614" s="321">
        <v>629.79499999999996</v>
      </c>
      <c r="U614" s="322">
        <v>1238.421</v>
      </c>
      <c r="V614" s="323">
        <v>14015.356999999998</v>
      </c>
      <c r="W614" s="303"/>
      <c r="X614" s="324">
        <v>1238.421</v>
      </c>
      <c r="Y614" s="325">
        <v>14015.356999999998</v>
      </c>
    </row>
    <row r="615" spans="1:25" hidden="1" outlineLevel="1" x14ac:dyDescent="0.3">
      <c r="E615" s="250" t="s">
        <v>1565</v>
      </c>
      <c r="F615" s="317">
        <v>4305902</v>
      </c>
      <c r="G615" s="318"/>
      <c r="H615" s="319"/>
      <c r="I615" s="320"/>
      <c r="J615" s="337">
        <v>0</v>
      </c>
      <c r="K615" s="321">
        <v>0</v>
      </c>
      <c r="L615" s="321">
        <v>0</v>
      </c>
      <c r="M615" s="321">
        <v>0</v>
      </c>
      <c r="N615" s="321">
        <v>0</v>
      </c>
      <c r="O615" s="321">
        <v>0</v>
      </c>
      <c r="P615" s="321">
        <v>0</v>
      </c>
      <c r="Q615" s="321">
        <v>0</v>
      </c>
      <c r="R615" s="321">
        <v>0</v>
      </c>
      <c r="S615" s="321">
        <v>0</v>
      </c>
      <c r="T615" s="321">
        <v>0</v>
      </c>
      <c r="U615" s="322">
        <v>0</v>
      </c>
      <c r="V615" s="323">
        <v>0</v>
      </c>
      <c r="W615" s="303"/>
      <c r="X615" s="324">
        <v>0</v>
      </c>
      <c r="Y615" s="325">
        <v>0</v>
      </c>
    </row>
    <row r="616" spans="1:25" hidden="1" outlineLevel="1" x14ac:dyDescent="0.3">
      <c r="E616" s="250" t="s">
        <v>1566</v>
      </c>
      <c r="F616" s="317">
        <v>4305904</v>
      </c>
      <c r="G616" s="318"/>
      <c r="H616" s="319"/>
      <c r="I616" s="320"/>
      <c r="J616" s="337">
        <v>0</v>
      </c>
      <c r="K616" s="321">
        <v>450</v>
      </c>
      <c r="L616" s="321">
        <v>75.349999999999994</v>
      </c>
      <c r="M616" s="321">
        <v>284</v>
      </c>
      <c r="N616" s="321">
        <v>0</v>
      </c>
      <c r="O616" s="321">
        <v>500</v>
      </c>
      <c r="P616" s="321">
        <v>0</v>
      </c>
      <c r="Q616" s="321">
        <v>0</v>
      </c>
      <c r="R616" s="321">
        <v>0</v>
      </c>
      <c r="S616" s="321">
        <v>2950.55</v>
      </c>
      <c r="T616" s="321">
        <v>540</v>
      </c>
      <c r="U616" s="322">
        <v>-33.231999999999999</v>
      </c>
      <c r="V616" s="323">
        <v>4766.6679999999997</v>
      </c>
      <c r="W616" s="303"/>
      <c r="X616" s="324">
        <v>-33.231999999999999</v>
      </c>
      <c r="Y616" s="325">
        <v>4766.6679999999997</v>
      </c>
    </row>
    <row r="617" spans="1:25" hidden="1" outlineLevel="1" x14ac:dyDescent="0.3">
      <c r="E617" s="250" t="s">
        <v>1567</v>
      </c>
      <c r="F617" s="317">
        <v>4305999</v>
      </c>
      <c r="G617" s="318"/>
      <c r="H617" s="319">
        <v>5101550199</v>
      </c>
      <c r="I617" s="320"/>
      <c r="J617" s="337">
        <v>408.05</v>
      </c>
      <c r="K617" s="321">
        <v>208.15</v>
      </c>
      <c r="L617" s="321">
        <v>100.9</v>
      </c>
      <c r="M617" s="321">
        <v>210.5</v>
      </c>
      <c r="N617" s="321">
        <v>151</v>
      </c>
      <c r="O617" s="321">
        <v>241.55</v>
      </c>
      <c r="P617" s="321">
        <v>180.4</v>
      </c>
      <c r="Q617" s="321">
        <v>158.05000000000001</v>
      </c>
      <c r="R617" s="321">
        <v>230.75</v>
      </c>
      <c r="S617" s="321">
        <v>162.05000000000001</v>
      </c>
      <c r="T617" s="321">
        <v>171.75</v>
      </c>
      <c r="U617" s="322">
        <v>386</v>
      </c>
      <c r="V617" s="323">
        <v>2609.15</v>
      </c>
      <c r="W617" s="303"/>
      <c r="X617" s="324">
        <v>386</v>
      </c>
      <c r="Y617" s="325">
        <v>2609.15</v>
      </c>
    </row>
    <row r="618" spans="1:25" s="326" customFormat="1" hidden="1" outlineLevel="2" x14ac:dyDescent="0.3">
      <c r="E618" s="326" t="s">
        <v>1568</v>
      </c>
      <c r="F618" s="336"/>
      <c r="G618" s="327"/>
      <c r="H618" s="328"/>
      <c r="I618" s="329"/>
      <c r="J618" s="338">
        <v>0</v>
      </c>
      <c r="K618" s="330">
        <v>0</v>
      </c>
      <c r="L618" s="330">
        <v>0</v>
      </c>
      <c r="M618" s="330">
        <v>0</v>
      </c>
      <c r="N618" s="330">
        <v>0</v>
      </c>
      <c r="O618" s="330">
        <v>0</v>
      </c>
      <c r="P618" s="330">
        <v>0</v>
      </c>
      <c r="Q618" s="330">
        <v>0</v>
      </c>
      <c r="R618" s="330">
        <v>0</v>
      </c>
      <c r="S618" s="330">
        <v>0</v>
      </c>
      <c r="T618" s="330">
        <v>0</v>
      </c>
      <c r="U618" s="331">
        <v>0</v>
      </c>
      <c r="V618" s="332">
        <v>0</v>
      </c>
      <c r="W618" s="333"/>
      <c r="X618" s="334">
        <v>0</v>
      </c>
      <c r="Y618" s="335">
        <v>0</v>
      </c>
    </row>
    <row r="619" spans="1:25" s="326" customFormat="1" hidden="1" outlineLevel="2" x14ac:dyDescent="0.3">
      <c r="E619" s="326" t="s">
        <v>1569</v>
      </c>
      <c r="F619" s="336"/>
      <c r="G619" s="327"/>
      <c r="H619" s="328"/>
      <c r="I619" s="329"/>
      <c r="J619" s="338">
        <v>0</v>
      </c>
      <c r="K619" s="330">
        <v>0</v>
      </c>
      <c r="L619" s="330">
        <v>0</v>
      </c>
      <c r="M619" s="330">
        <v>0</v>
      </c>
      <c r="N619" s="330">
        <v>0</v>
      </c>
      <c r="O619" s="330">
        <v>0</v>
      </c>
      <c r="P619" s="330">
        <v>0</v>
      </c>
      <c r="Q619" s="330">
        <v>0</v>
      </c>
      <c r="R619" s="330">
        <v>0</v>
      </c>
      <c r="S619" s="330">
        <v>0</v>
      </c>
      <c r="T619" s="330">
        <v>0</v>
      </c>
      <c r="U619" s="331">
        <v>0</v>
      </c>
      <c r="V619" s="332">
        <v>0</v>
      </c>
      <c r="W619" s="333"/>
      <c r="X619" s="334">
        <v>0</v>
      </c>
      <c r="Y619" s="335">
        <v>0</v>
      </c>
    </row>
    <row r="620" spans="1:25" s="326" customFormat="1" hidden="1" outlineLevel="2" x14ac:dyDescent="0.3">
      <c r="E620" s="326" t="s">
        <v>1570</v>
      </c>
      <c r="F620" s="336"/>
      <c r="G620" s="327"/>
      <c r="H620" s="328"/>
      <c r="I620" s="329"/>
      <c r="J620" s="338">
        <v>0</v>
      </c>
      <c r="K620" s="330">
        <v>0</v>
      </c>
      <c r="L620" s="330">
        <v>0</v>
      </c>
      <c r="M620" s="330">
        <v>0</v>
      </c>
      <c r="N620" s="330">
        <v>0</v>
      </c>
      <c r="O620" s="330">
        <v>0</v>
      </c>
      <c r="P620" s="330">
        <v>0</v>
      </c>
      <c r="Q620" s="330">
        <v>0</v>
      </c>
      <c r="R620" s="330">
        <v>0</v>
      </c>
      <c r="S620" s="330">
        <v>0</v>
      </c>
      <c r="T620" s="330">
        <v>0</v>
      </c>
      <c r="U620" s="331">
        <v>0</v>
      </c>
      <c r="V620" s="332">
        <v>0</v>
      </c>
      <c r="W620" s="333"/>
      <c r="X620" s="334">
        <v>0</v>
      </c>
      <c r="Y620" s="335">
        <v>0</v>
      </c>
    </row>
    <row r="621" spans="1:25" collapsed="1" x14ac:dyDescent="0.3">
      <c r="A621" s="233"/>
      <c r="B621" s="234" t="s">
        <v>29</v>
      </c>
      <c r="D621" s="293" t="s">
        <v>1571</v>
      </c>
      <c r="E621" s="294"/>
      <c r="F621" s="295" t="s">
        <v>1572</v>
      </c>
      <c r="G621" s="296"/>
      <c r="H621" s="297"/>
      <c r="I621" s="298"/>
      <c r="J621" s="299">
        <v>29791.120000000003</v>
      </c>
      <c r="K621" s="300">
        <v>25167.213</v>
      </c>
      <c r="L621" s="300">
        <v>15252.974</v>
      </c>
      <c r="M621" s="300">
        <v>13273.599</v>
      </c>
      <c r="N621" s="300">
        <v>17297.37</v>
      </c>
      <c r="O621" s="300">
        <v>9919.5580000000009</v>
      </c>
      <c r="P621" s="300">
        <v>14872.055</v>
      </c>
      <c r="Q621" s="300">
        <v>15394.097</v>
      </c>
      <c r="R621" s="300">
        <v>16024.978999999999</v>
      </c>
      <c r="S621" s="300">
        <v>13283.444</v>
      </c>
      <c r="T621" s="300">
        <v>17117.228999999999</v>
      </c>
      <c r="U621" s="301">
        <v>22169.514999999999</v>
      </c>
      <c r="V621" s="302">
        <v>209563.15299999999</v>
      </c>
      <c r="W621" s="303"/>
      <c r="X621" s="304">
        <v>22169.514999999999</v>
      </c>
      <c r="Y621" s="305">
        <v>209563.15299999999</v>
      </c>
    </row>
    <row r="622" spans="1:25" hidden="1" outlineLevel="1" x14ac:dyDescent="0.3">
      <c r="E622" s="250" t="s">
        <v>1573</v>
      </c>
      <c r="F622" s="317">
        <v>4304401</v>
      </c>
      <c r="G622" s="318"/>
      <c r="H622" s="319">
        <v>5101490101</v>
      </c>
      <c r="I622" s="320"/>
      <c r="J622" s="337">
        <v>4685.6499999999996</v>
      </c>
      <c r="K622" s="321">
        <v>4692.0330000000004</v>
      </c>
      <c r="L622" s="321">
        <v>3642.85</v>
      </c>
      <c r="M622" s="321">
        <v>4868.777</v>
      </c>
      <c r="N622" s="321">
        <v>4334.13</v>
      </c>
      <c r="O622" s="321">
        <v>4497.37</v>
      </c>
      <c r="P622" s="321">
        <v>3614.654</v>
      </c>
      <c r="Q622" s="321">
        <v>2888.73</v>
      </c>
      <c r="R622" s="321">
        <v>3947.34</v>
      </c>
      <c r="S622" s="321">
        <v>3929.1379999999999</v>
      </c>
      <c r="T622" s="321">
        <v>4809.0259999999998</v>
      </c>
      <c r="U622" s="322">
        <v>3856.7539999999999</v>
      </c>
      <c r="V622" s="323">
        <v>49766.451999999997</v>
      </c>
      <c r="W622" s="303"/>
      <c r="X622" s="324">
        <v>3856.7539999999999</v>
      </c>
      <c r="Y622" s="325">
        <v>49766.451999999997</v>
      </c>
    </row>
    <row r="623" spans="1:25" hidden="1" outlineLevel="1" x14ac:dyDescent="0.3">
      <c r="E623" s="250" t="s">
        <v>1574</v>
      </c>
      <c r="F623" s="317">
        <v>4304402</v>
      </c>
      <c r="G623" s="318"/>
      <c r="H623" s="319">
        <v>5101490103</v>
      </c>
      <c r="I623" s="320"/>
      <c r="J623" s="337">
        <v>3664</v>
      </c>
      <c r="K623" s="321">
        <v>1244</v>
      </c>
      <c r="L623" s="321">
        <v>878</v>
      </c>
      <c r="M623" s="321">
        <v>596</v>
      </c>
      <c r="N623" s="321">
        <v>689.5</v>
      </c>
      <c r="O623" s="321">
        <v>1185</v>
      </c>
      <c r="P623" s="321">
        <v>1201</v>
      </c>
      <c r="Q623" s="321">
        <v>591</v>
      </c>
      <c r="R623" s="321">
        <v>494</v>
      </c>
      <c r="S623" s="321">
        <v>675</v>
      </c>
      <c r="T623" s="321">
        <v>470</v>
      </c>
      <c r="U623" s="322">
        <v>1154</v>
      </c>
      <c r="V623" s="323">
        <v>12841.5</v>
      </c>
      <c r="W623" s="303"/>
      <c r="X623" s="324">
        <v>1154</v>
      </c>
      <c r="Y623" s="325">
        <v>12841.5</v>
      </c>
    </row>
    <row r="624" spans="1:25" hidden="1" outlineLevel="1" x14ac:dyDescent="0.3">
      <c r="E624" s="250" t="s">
        <v>1575</v>
      </c>
      <c r="F624" s="317">
        <v>4304403</v>
      </c>
      <c r="G624" s="318"/>
      <c r="H624" s="319">
        <v>5101490105</v>
      </c>
      <c r="I624" s="320"/>
      <c r="J624" s="337">
        <v>0</v>
      </c>
      <c r="K624" s="321">
        <v>0</v>
      </c>
      <c r="L624" s="321">
        <v>0</v>
      </c>
      <c r="M624" s="321">
        <v>0</v>
      </c>
      <c r="N624" s="321">
        <v>0</v>
      </c>
      <c r="O624" s="321">
        <v>0</v>
      </c>
      <c r="P624" s="321">
        <v>0</v>
      </c>
      <c r="Q624" s="321">
        <v>0</v>
      </c>
      <c r="R624" s="321">
        <v>0</v>
      </c>
      <c r="S624" s="321">
        <v>378.9</v>
      </c>
      <c r="T624" s="321">
        <v>0</v>
      </c>
      <c r="U624" s="322">
        <v>0</v>
      </c>
      <c r="V624" s="323">
        <v>378.9</v>
      </c>
      <c r="W624" s="303"/>
      <c r="X624" s="324">
        <v>0</v>
      </c>
      <c r="Y624" s="325">
        <v>378.9</v>
      </c>
    </row>
    <row r="625" spans="1:25" hidden="1" outlineLevel="1" x14ac:dyDescent="0.3">
      <c r="E625" s="250" t="s">
        <v>1576</v>
      </c>
      <c r="F625" s="317">
        <v>4304404</v>
      </c>
      <c r="G625" s="318"/>
      <c r="H625" s="319"/>
      <c r="I625" s="320"/>
      <c r="J625" s="337">
        <v>0</v>
      </c>
      <c r="K625" s="321">
        <v>0</v>
      </c>
      <c r="L625" s="321">
        <v>0</v>
      </c>
      <c r="M625" s="321">
        <v>0</v>
      </c>
      <c r="N625" s="321">
        <v>0</v>
      </c>
      <c r="O625" s="321">
        <v>0</v>
      </c>
      <c r="P625" s="321">
        <v>0</v>
      </c>
      <c r="Q625" s="321">
        <v>0</v>
      </c>
      <c r="R625" s="321">
        <v>0</v>
      </c>
      <c r="S625" s="321">
        <v>0</v>
      </c>
      <c r="T625" s="321">
        <v>0</v>
      </c>
      <c r="U625" s="322">
        <v>0</v>
      </c>
      <c r="V625" s="323">
        <v>0</v>
      </c>
      <c r="W625" s="303"/>
      <c r="X625" s="324">
        <v>0</v>
      </c>
      <c r="Y625" s="325">
        <v>0</v>
      </c>
    </row>
    <row r="626" spans="1:25" hidden="1" outlineLevel="1" x14ac:dyDescent="0.3">
      <c r="E626" s="250" t="s">
        <v>1577</v>
      </c>
      <c r="F626" s="317">
        <v>4304405</v>
      </c>
      <c r="G626" s="318"/>
      <c r="H626" s="319">
        <v>5101490107</v>
      </c>
      <c r="I626" s="320"/>
      <c r="J626" s="337">
        <v>0</v>
      </c>
      <c r="K626" s="321">
        <v>0</v>
      </c>
      <c r="L626" s="321">
        <v>0</v>
      </c>
      <c r="M626" s="321">
        <v>0</v>
      </c>
      <c r="N626" s="321">
        <v>0</v>
      </c>
      <c r="O626" s="321">
        <v>0</v>
      </c>
      <c r="P626" s="321">
        <v>0</v>
      </c>
      <c r="Q626" s="321">
        <v>0</v>
      </c>
      <c r="R626" s="321">
        <v>0</v>
      </c>
      <c r="S626" s="321">
        <v>0</v>
      </c>
      <c r="T626" s="321">
        <v>0</v>
      </c>
      <c r="U626" s="322">
        <v>0</v>
      </c>
      <c r="V626" s="323">
        <v>0</v>
      </c>
      <c r="W626" s="303"/>
      <c r="X626" s="324">
        <v>0</v>
      </c>
      <c r="Y626" s="325">
        <v>0</v>
      </c>
    </row>
    <row r="627" spans="1:25" hidden="1" outlineLevel="1" x14ac:dyDescent="0.3">
      <c r="E627" s="250" t="s">
        <v>1578</v>
      </c>
      <c r="F627" s="317">
        <v>4304406</v>
      </c>
      <c r="G627" s="318"/>
      <c r="H627" s="319">
        <v>5101490109</v>
      </c>
      <c r="I627" s="320"/>
      <c r="J627" s="337">
        <v>0</v>
      </c>
      <c r="K627" s="321">
        <v>0</v>
      </c>
      <c r="L627" s="321">
        <v>0</v>
      </c>
      <c r="M627" s="321">
        <v>0</v>
      </c>
      <c r="N627" s="321">
        <v>0</v>
      </c>
      <c r="O627" s="321">
        <v>0</v>
      </c>
      <c r="P627" s="321">
        <v>0</v>
      </c>
      <c r="Q627" s="321">
        <v>0</v>
      </c>
      <c r="R627" s="321">
        <v>0</v>
      </c>
      <c r="S627" s="321">
        <v>0</v>
      </c>
      <c r="T627" s="321">
        <v>0</v>
      </c>
      <c r="U627" s="322">
        <v>0</v>
      </c>
      <c r="V627" s="323">
        <v>0</v>
      </c>
      <c r="W627" s="303"/>
      <c r="X627" s="324">
        <v>0</v>
      </c>
      <c r="Y627" s="325">
        <v>0</v>
      </c>
    </row>
    <row r="628" spans="1:25" hidden="1" outlineLevel="1" x14ac:dyDescent="0.3">
      <c r="E628" s="250" t="s">
        <v>1579</v>
      </c>
      <c r="F628" s="317">
        <v>4304499</v>
      </c>
      <c r="G628" s="318"/>
      <c r="H628" s="319">
        <v>5101490199</v>
      </c>
      <c r="I628" s="320"/>
      <c r="J628" s="337">
        <v>21441.47</v>
      </c>
      <c r="K628" s="321">
        <v>19231.18</v>
      </c>
      <c r="L628" s="321">
        <v>10732.124</v>
      </c>
      <c r="M628" s="321">
        <v>7808.8220000000001</v>
      </c>
      <c r="N628" s="321">
        <v>12273.74</v>
      </c>
      <c r="O628" s="321">
        <v>4237.1880000000001</v>
      </c>
      <c r="P628" s="321">
        <v>10056.401</v>
      </c>
      <c r="Q628" s="321">
        <v>11914.367</v>
      </c>
      <c r="R628" s="321">
        <v>11583.638999999999</v>
      </c>
      <c r="S628" s="321">
        <v>8300.4060000000009</v>
      </c>
      <c r="T628" s="321">
        <v>11838.203</v>
      </c>
      <c r="U628" s="322">
        <v>17158.760999999999</v>
      </c>
      <c r="V628" s="323">
        <v>146576.30099999998</v>
      </c>
      <c r="W628" s="303"/>
      <c r="X628" s="324">
        <v>17158.760999999999</v>
      </c>
      <c r="Y628" s="325">
        <v>146576.30099999998</v>
      </c>
    </row>
    <row r="629" spans="1:25" s="326" customFormat="1" hidden="1" outlineLevel="2" x14ac:dyDescent="0.3">
      <c r="E629" s="326" t="s">
        <v>1580</v>
      </c>
      <c r="F629" s="336"/>
      <c r="G629" s="327"/>
      <c r="H629" s="328"/>
      <c r="I629" s="329"/>
      <c r="J629" s="338">
        <v>0</v>
      </c>
      <c r="K629" s="330">
        <v>0</v>
      </c>
      <c r="L629" s="330">
        <v>0</v>
      </c>
      <c r="M629" s="330">
        <v>0</v>
      </c>
      <c r="N629" s="330">
        <v>0</v>
      </c>
      <c r="O629" s="330">
        <v>0</v>
      </c>
      <c r="P629" s="330">
        <v>0</v>
      </c>
      <c r="Q629" s="330">
        <v>0</v>
      </c>
      <c r="R629" s="330">
        <v>0</v>
      </c>
      <c r="S629" s="330">
        <v>0</v>
      </c>
      <c r="T629" s="330">
        <v>0</v>
      </c>
      <c r="U629" s="331">
        <v>0</v>
      </c>
      <c r="V629" s="332">
        <v>0</v>
      </c>
      <c r="W629" s="333"/>
      <c r="X629" s="334">
        <v>0</v>
      </c>
      <c r="Y629" s="335">
        <v>0</v>
      </c>
    </row>
    <row r="630" spans="1:25" s="326" customFormat="1" hidden="1" outlineLevel="2" x14ac:dyDescent="0.3">
      <c r="E630" s="326" t="s">
        <v>1581</v>
      </c>
      <c r="F630" s="336"/>
      <c r="G630" s="327"/>
      <c r="H630" s="328"/>
      <c r="I630" s="329"/>
      <c r="J630" s="338">
        <v>0</v>
      </c>
      <c r="K630" s="330">
        <v>0</v>
      </c>
      <c r="L630" s="330">
        <v>0</v>
      </c>
      <c r="M630" s="330">
        <v>0</v>
      </c>
      <c r="N630" s="330">
        <v>0</v>
      </c>
      <c r="O630" s="330">
        <v>0</v>
      </c>
      <c r="P630" s="330">
        <v>0</v>
      </c>
      <c r="Q630" s="330">
        <v>0</v>
      </c>
      <c r="R630" s="330">
        <v>0</v>
      </c>
      <c r="S630" s="330">
        <v>0</v>
      </c>
      <c r="T630" s="330">
        <v>0</v>
      </c>
      <c r="U630" s="331">
        <v>0</v>
      </c>
      <c r="V630" s="332">
        <v>0</v>
      </c>
      <c r="W630" s="333"/>
      <c r="X630" s="334">
        <v>0</v>
      </c>
      <c r="Y630" s="335">
        <v>0</v>
      </c>
    </row>
    <row r="631" spans="1:25" s="326" customFormat="1" hidden="1" outlineLevel="2" x14ac:dyDescent="0.3">
      <c r="E631" s="326" t="s">
        <v>1582</v>
      </c>
      <c r="F631" s="336"/>
      <c r="G631" s="327"/>
      <c r="H631" s="328"/>
      <c r="I631" s="329"/>
      <c r="J631" s="338">
        <v>0</v>
      </c>
      <c r="K631" s="330">
        <v>0</v>
      </c>
      <c r="L631" s="330">
        <v>0</v>
      </c>
      <c r="M631" s="330">
        <v>0</v>
      </c>
      <c r="N631" s="330">
        <v>0</v>
      </c>
      <c r="O631" s="330">
        <v>0</v>
      </c>
      <c r="P631" s="330">
        <v>0</v>
      </c>
      <c r="Q631" s="330">
        <v>0</v>
      </c>
      <c r="R631" s="330">
        <v>0</v>
      </c>
      <c r="S631" s="330">
        <v>0</v>
      </c>
      <c r="T631" s="330">
        <v>0</v>
      </c>
      <c r="U631" s="331">
        <v>0</v>
      </c>
      <c r="V631" s="332">
        <v>0</v>
      </c>
      <c r="W631" s="333"/>
      <c r="X631" s="334">
        <v>0</v>
      </c>
      <c r="Y631" s="335">
        <v>0</v>
      </c>
    </row>
    <row r="632" spans="1:25" collapsed="1" x14ac:dyDescent="0.3">
      <c r="A632" s="233"/>
      <c r="B632" s="234" t="s">
        <v>38</v>
      </c>
      <c r="D632" s="293" t="s">
        <v>1583</v>
      </c>
      <c r="E632" s="294"/>
      <c r="F632" s="295" t="s">
        <v>1584</v>
      </c>
      <c r="G632" s="296"/>
      <c r="H632" s="297"/>
      <c r="I632" s="298"/>
      <c r="J632" s="299">
        <v>50954.237999999998</v>
      </c>
      <c r="K632" s="300">
        <v>14871.44</v>
      </c>
      <c r="L632" s="300">
        <v>22036.741000000002</v>
      </c>
      <c r="M632" s="300">
        <v>24108.13</v>
      </c>
      <c r="N632" s="300">
        <v>20471.705000000002</v>
      </c>
      <c r="O632" s="300">
        <v>25317.23</v>
      </c>
      <c r="P632" s="300">
        <v>16639.169999999998</v>
      </c>
      <c r="Q632" s="300">
        <v>16122.635</v>
      </c>
      <c r="R632" s="300">
        <v>38947.489000000001</v>
      </c>
      <c r="S632" s="300">
        <v>21232.364000000001</v>
      </c>
      <c r="T632" s="300">
        <v>18312.768</v>
      </c>
      <c r="U632" s="301">
        <v>25362.55</v>
      </c>
      <c r="V632" s="302">
        <v>294376.45999999996</v>
      </c>
      <c r="W632" s="303"/>
      <c r="X632" s="304">
        <v>25362.55</v>
      </c>
      <c r="Y632" s="305">
        <v>294376.45999999996</v>
      </c>
    </row>
    <row r="633" spans="1:25" hidden="1" outlineLevel="1" x14ac:dyDescent="0.3">
      <c r="E633" s="250" t="s">
        <v>1585</v>
      </c>
      <c r="F633" s="317">
        <v>4307112</v>
      </c>
      <c r="G633" s="318"/>
      <c r="H633" s="319"/>
      <c r="I633" s="320"/>
      <c r="J633" s="337">
        <v>0</v>
      </c>
      <c r="K633" s="321">
        <v>0</v>
      </c>
      <c r="L633" s="321">
        <v>0</v>
      </c>
      <c r="M633" s="321">
        <v>0</v>
      </c>
      <c r="N633" s="321">
        <v>0</v>
      </c>
      <c r="O633" s="321">
        <v>0</v>
      </c>
      <c r="P633" s="321">
        <v>0</v>
      </c>
      <c r="Q633" s="321">
        <v>0</v>
      </c>
      <c r="R633" s="321">
        <v>0</v>
      </c>
      <c r="S633" s="321">
        <v>0</v>
      </c>
      <c r="T633" s="321">
        <v>0</v>
      </c>
      <c r="U633" s="322">
        <v>0</v>
      </c>
      <c r="V633" s="323">
        <v>0</v>
      </c>
      <c r="W633" s="303"/>
      <c r="X633" s="324">
        <v>0</v>
      </c>
      <c r="Y633" s="325">
        <v>0</v>
      </c>
    </row>
    <row r="634" spans="1:25" hidden="1" outlineLevel="1" x14ac:dyDescent="0.3">
      <c r="E634" s="250" t="s">
        <v>1586</v>
      </c>
      <c r="F634" s="317">
        <v>4307109</v>
      </c>
      <c r="G634" s="318"/>
      <c r="H634" s="319"/>
      <c r="I634" s="320"/>
      <c r="J634" s="337">
        <v>0</v>
      </c>
      <c r="K634" s="321">
        <v>0</v>
      </c>
      <c r="L634" s="321">
        <v>0</v>
      </c>
      <c r="M634" s="321">
        <v>0</v>
      </c>
      <c r="N634" s="321">
        <v>0</v>
      </c>
      <c r="O634" s="321">
        <v>0</v>
      </c>
      <c r="P634" s="321">
        <v>0</v>
      </c>
      <c r="Q634" s="321">
        <v>0</v>
      </c>
      <c r="R634" s="321">
        <v>0</v>
      </c>
      <c r="S634" s="321">
        <v>0</v>
      </c>
      <c r="T634" s="321">
        <v>0</v>
      </c>
      <c r="U634" s="322">
        <v>0</v>
      </c>
      <c r="V634" s="323">
        <v>0</v>
      </c>
      <c r="W634" s="303"/>
      <c r="X634" s="324">
        <v>0</v>
      </c>
      <c r="Y634" s="325">
        <v>0</v>
      </c>
    </row>
    <row r="635" spans="1:25" hidden="1" outlineLevel="1" x14ac:dyDescent="0.3">
      <c r="E635" s="250" t="s">
        <v>1587</v>
      </c>
      <c r="F635" s="317">
        <v>4307105</v>
      </c>
      <c r="G635" s="318"/>
      <c r="H635" s="319"/>
      <c r="I635" s="320"/>
      <c r="J635" s="337">
        <v>1978</v>
      </c>
      <c r="K635" s="321">
        <v>0</v>
      </c>
      <c r="L635" s="321">
        <v>0</v>
      </c>
      <c r="M635" s="321">
        <v>0</v>
      </c>
      <c r="N635" s="321">
        <v>0</v>
      </c>
      <c r="O635" s="321">
        <v>0</v>
      </c>
      <c r="P635" s="321">
        <v>0</v>
      </c>
      <c r="Q635" s="321">
        <v>0</v>
      </c>
      <c r="R635" s="321">
        <v>0</v>
      </c>
      <c r="S635" s="321">
        <v>0</v>
      </c>
      <c r="T635" s="321">
        <v>0</v>
      </c>
      <c r="U635" s="322">
        <v>0</v>
      </c>
      <c r="V635" s="323">
        <v>1978</v>
      </c>
      <c r="W635" s="303"/>
      <c r="X635" s="324">
        <v>0</v>
      </c>
      <c r="Y635" s="325">
        <v>1978</v>
      </c>
    </row>
    <row r="636" spans="1:25" hidden="1" outlineLevel="1" x14ac:dyDescent="0.3">
      <c r="E636" s="250" t="s">
        <v>1588</v>
      </c>
      <c r="F636" s="317">
        <v>4307100</v>
      </c>
      <c r="G636" s="318"/>
      <c r="H636" s="319">
        <v>5101510101</v>
      </c>
      <c r="I636" s="320"/>
      <c r="J636" s="337">
        <v>48976.237999999998</v>
      </c>
      <c r="K636" s="321">
        <v>14871.44</v>
      </c>
      <c r="L636" s="321">
        <v>22036.741000000002</v>
      </c>
      <c r="M636" s="321">
        <v>24108.13</v>
      </c>
      <c r="N636" s="321">
        <v>20471.705000000002</v>
      </c>
      <c r="O636" s="321">
        <v>25317.23</v>
      </c>
      <c r="P636" s="321">
        <v>16639.169999999998</v>
      </c>
      <c r="Q636" s="321">
        <v>16122.635</v>
      </c>
      <c r="R636" s="321">
        <v>38947.489000000001</v>
      </c>
      <c r="S636" s="321">
        <v>21232.364000000001</v>
      </c>
      <c r="T636" s="321">
        <v>18312.768</v>
      </c>
      <c r="U636" s="322">
        <v>25362.55</v>
      </c>
      <c r="V636" s="323">
        <v>292398.45999999996</v>
      </c>
      <c r="W636" s="303"/>
      <c r="X636" s="324">
        <v>25362.55</v>
      </c>
      <c r="Y636" s="325">
        <v>292398.45999999996</v>
      </c>
    </row>
    <row r="637" spans="1:25" hidden="1" outlineLevel="1" x14ac:dyDescent="0.3">
      <c r="E637" s="250" t="s">
        <v>1589</v>
      </c>
      <c r="F637" s="317">
        <v>4307111</v>
      </c>
      <c r="G637" s="318"/>
      <c r="H637" s="319">
        <v>5101510103</v>
      </c>
      <c r="I637" s="320"/>
      <c r="J637" s="337">
        <v>0</v>
      </c>
      <c r="K637" s="321">
        <v>0</v>
      </c>
      <c r="L637" s="321">
        <v>0</v>
      </c>
      <c r="M637" s="321">
        <v>0</v>
      </c>
      <c r="N637" s="321">
        <v>0</v>
      </c>
      <c r="O637" s="321">
        <v>0</v>
      </c>
      <c r="P637" s="321">
        <v>0</v>
      </c>
      <c r="Q637" s="321">
        <v>0</v>
      </c>
      <c r="R637" s="321">
        <v>0</v>
      </c>
      <c r="S637" s="321">
        <v>0</v>
      </c>
      <c r="T637" s="321">
        <v>0</v>
      </c>
      <c r="U637" s="322">
        <v>0</v>
      </c>
      <c r="V637" s="323">
        <v>0</v>
      </c>
      <c r="W637" s="303"/>
      <c r="X637" s="324">
        <v>0</v>
      </c>
      <c r="Y637" s="325">
        <v>0</v>
      </c>
    </row>
    <row r="638" spans="1:25" hidden="1" outlineLevel="1" x14ac:dyDescent="0.3">
      <c r="E638" s="250" t="s">
        <v>1590</v>
      </c>
      <c r="F638" s="317">
        <v>4307113</v>
      </c>
      <c r="G638" s="318"/>
      <c r="H638" s="319"/>
      <c r="I638" s="320"/>
      <c r="J638" s="337">
        <v>0</v>
      </c>
      <c r="K638" s="321">
        <v>0</v>
      </c>
      <c r="L638" s="321">
        <v>0</v>
      </c>
      <c r="M638" s="321">
        <v>0</v>
      </c>
      <c r="N638" s="321">
        <v>0</v>
      </c>
      <c r="O638" s="321">
        <v>0</v>
      </c>
      <c r="P638" s="321">
        <v>0</v>
      </c>
      <c r="Q638" s="321">
        <v>0</v>
      </c>
      <c r="R638" s="321">
        <v>0</v>
      </c>
      <c r="S638" s="321">
        <v>0</v>
      </c>
      <c r="T638" s="321">
        <v>0</v>
      </c>
      <c r="U638" s="322">
        <v>0</v>
      </c>
      <c r="V638" s="323">
        <v>0</v>
      </c>
      <c r="W638" s="303"/>
      <c r="X638" s="324">
        <v>0</v>
      </c>
      <c r="Y638" s="325">
        <v>0</v>
      </c>
    </row>
    <row r="639" spans="1:25" s="361" customFormat="1" hidden="1" outlineLevel="2" x14ac:dyDescent="0.3">
      <c r="E639" s="326" t="s">
        <v>1591</v>
      </c>
      <c r="F639" s="351"/>
      <c r="G639" s="352"/>
      <c r="H639" s="353"/>
      <c r="I639" s="354"/>
      <c r="J639" s="362">
        <v>0</v>
      </c>
      <c r="K639" s="355">
        <v>0</v>
      </c>
      <c r="L639" s="355">
        <v>0</v>
      </c>
      <c r="M639" s="355">
        <v>0</v>
      </c>
      <c r="N639" s="355">
        <v>0</v>
      </c>
      <c r="O639" s="355">
        <v>0</v>
      </c>
      <c r="P639" s="355">
        <v>0</v>
      </c>
      <c r="Q639" s="355">
        <v>0</v>
      </c>
      <c r="R639" s="355">
        <v>0</v>
      </c>
      <c r="S639" s="355">
        <v>0</v>
      </c>
      <c r="T639" s="355">
        <v>0</v>
      </c>
      <c r="U639" s="356">
        <v>0</v>
      </c>
      <c r="V639" s="357">
        <v>0</v>
      </c>
      <c r="W639" s="358"/>
      <c r="X639" s="359">
        <v>0</v>
      </c>
      <c r="Y639" s="360">
        <v>0</v>
      </c>
    </row>
    <row r="640" spans="1:25" s="361" customFormat="1" hidden="1" outlineLevel="2" x14ac:dyDescent="0.3">
      <c r="E640" s="326" t="s">
        <v>1592</v>
      </c>
      <c r="F640" s="351"/>
      <c r="G640" s="352"/>
      <c r="H640" s="353"/>
      <c r="I640" s="354"/>
      <c r="J640" s="362">
        <v>0</v>
      </c>
      <c r="K640" s="355">
        <v>0</v>
      </c>
      <c r="L640" s="355">
        <v>0</v>
      </c>
      <c r="M640" s="355">
        <v>0</v>
      </c>
      <c r="N640" s="355">
        <v>0</v>
      </c>
      <c r="O640" s="355">
        <v>0</v>
      </c>
      <c r="P640" s="355">
        <v>0</v>
      </c>
      <c r="Q640" s="355">
        <v>0</v>
      </c>
      <c r="R640" s="355">
        <v>0</v>
      </c>
      <c r="S640" s="355">
        <v>0</v>
      </c>
      <c r="T640" s="355">
        <v>0</v>
      </c>
      <c r="U640" s="356">
        <v>0</v>
      </c>
      <c r="V640" s="357">
        <v>0</v>
      </c>
      <c r="W640" s="358"/>
      <c r="X640" s="359">
        <v>0</v>
      </c>
      <c r="Y640" s="360">
        <v>0</v>
      </c>
    </row>
    <row r="641" spans="1:25" s="361" customFormat="1" hidden="1" outlineLevel="2" x14ac:dyDescent="0.3">
      <c r="E641" s="326" t="s">
        <v>1593</v>
      </c>
      <c r="F641" s="351"/>
      <c r="G641" s="352"/>
      <c r="H641" s="353"/>
      <c r="I641" s="354"/>
      <c r="J641" s="362">
        <v>0</v>
      </c>
      <c r="K641" s="355">
        <v>0</v>
      </c>
      <c r="L641" s="355">
        <v>0</v>
      </c>
      <c r="M641" s="355">
        <v>0</v>
      </c>
      <c r="N641" s="355">
        <v>0</v>
      </c>
      <c r="O641" s="355">
        <v>0</v>
      </c>
      <c r="P641" s="355">
        <v>0</v>
      </c>
      <c r="Q641" s="355">
        <v>0</v>
      </c>
      <c r="R641" s="355">
        <v>0</v>
      </c>
      <c r="S641" s="355">
        <v>0</v>
      </c>
      <c r="T641" s="355">
        <v>0</v>
      </c>
      <c r="U641" s="356">
        <v>0</v>
      </c>
      <c r="V641" s="357">
        <v>0</v>
      </c>
      <c r="W641" s="358"/>
      <c r="X641" s="359">
        <v>0</v>
      </c>
      <c r="Y641" s="360">
        <v>0</v>
      </c>
    </row>
    <row r="642" spans="1:25" collapsed="1" x14ac:dyDescent="0.3">
      <c r="A642" s="233"/>
      <c r="B642" s="234" t="s">
        <v>36</v>
      </c>
      <c r="D642" s="293" t="s">
        <v>1594</v>
      </c>
      <c r="E642" s="294"/>
      <c r="F642" s="295" t="s">
        <v>1595</v>
      </c>
      <c r="G642" s="296"/>
      <c r="H642" s="297"/>
      <c r="I642" s="298"/>
      <c r="J642" s="299">
        <v>1131871.6919999998</v>
      </c>
      <c r="K642" s="300">
        <v>1267701.635</v>
      </c>
      <c r="L642" s="300">
        <v>1666567.4880000001</v>
      </c>
      <c r="M642" s="300">
        <v>1643276.4639999999</v>
      </c>
      <c r="N642" s="300">
        <v>1648794.4559999998</v>
      </c>
      <c r="O642" s="300">
        <v>1626247.9890000001</v>
      </c>
      <c r="P642" s="300">
        <v>1686461.3099999998</v>
      </c>
      <c r="Q642" s="300">
        <v>1255457.5109999999</v>
      </c>
      <c r="R642" s="300">
        <v>1685042.3140000002</v>
      </c>
      <c r="S642" s="300">
        <v>1598446.9779999999</v>
      </c>
      <c r="T642" s="300">
        <v>1558464.115</v>
      </c>
      <c r="U642" s="301">
        <v>1509389.4439999999</v>
      </c>
      <c r="V642" s="302">
        <v>18277721.395999998</v>
      </c>
      <c r="W642" s="303"/>
      <c r="X642" s="304">
        <v>1509389.4439999999</v>
      </c>
      <c r="Y642" s="305">
        <v>18277721.395999998</v>
      </c>
    </row>
    <row r="643" spans="1:25" hidden="1" outlineLevel="1" x14ac:dyDescent="0.3">
      <c r="E643" s="250" t="s">
        <v>1596</v>
      </c>
      <c r="F643" s="317">
        <v>4306501</v>
      </c>
      <c r="G643" s="318"/>
      <c r="H643" s="319">
        <v>5101570101</v>
      </c>
      <c r="I643" s="320"/>
      <c r="J643" s="337">
        <v>900221.44499999995</v>
      </c>
      <c r="K643" s="321">
        <v>992335.06299999997</v>
      </c>
      <c r="L643" s="321">
        <v>1315887.7050000001</v>
      </c>
      <c r="M643" s="321">
        <v>1263037.625</v>
      </c>
      <c r="N643" s="321">
        <v>1250206.1229999999</v>
      </c>
      <c r="O643" s="321">
        <v>1234612.5190000001</v>
      </c>
      <c r="P643" s="321">
        <v>1299090.0009999999</v>
      </c>
      <c r="Q643" s="321">
        <v>1014127.529</v>
      </c>
      <c r="R643" s="321">
        <v>1324485.2690000001</v>
      </c>
      <c r="S643" s="321">
        <v>1213212.0900000001</v>
      </c>
      <c r="T643" s="321">
        <v>1187849.4720000001</v>
      </c>
      <c r="U643" s="322">
        <v>1113882.7709999999</v>
      </c>
      <c r="V643" s="323">
        <v>14108947.611999998</v>
      </c>
      <c r="W643" s="303"/>
      <c r="X643" s="324">
        <v>1113882.7709999999</v>
      </c>
      <c r="Y643" s="325">
        <v>14108947.611999998</v>
      </c>
    </row>
    <row r="644" spans="1:25" hidden="1" outlineLevel="1" x14ac:dyDescent="0.3">
      <c r="E644" s="250" t="s">
        <v>1597</v>
      </c>
      <c r="F644" s="317">
        <v>4306502</v>
      </c>
      <c r="G644" s="318"/>
      <c r="H644" s="319"/>
      <c r="I644" s="320"/>
      <c r="J644" s="337">
        <v>230531.253</v>
      </c>
      <c r="K644" s="321">
        <v>274100.179</v>
      </c>
      <c r="L644" s="321">
        <v>349099.277</v>
      </c>
      <c r="M644" s="321">
        <v>378425.36900000001</v>
      </c>
      <c r="N644" s="321">
        <v>396608.47</v>
      </c>
      <c r="O644" s="321">
        <v>390152.44400000002</v>
      </c>
      <c r="P644" s="321">
        <v>385791.76400000002</v>
      </c>
      <c r="Q644" s="321">
        <v>239871.20600000001</v>
      </c>
      <c r="R644" s="321">
        <v>358940.68800000002</v>
      </c>
      <c r="S644" s="321">
        <v>383727.99800000002</v>
      </c>
      <c r="T644" s="321">
        <v>369167.217</v>
      </c>
      <c r="U644" s="322">
        <v>394228.337</v>
      </c>
      <c r="V644" s="323">
        <v>4150644.2020000005</v>
      </c>
      <c r="W644" s="303"/>
      <c r="X644" s="324">
        <v>394228.337</v>
      </c>
      <c r="Y644" s="325">
        <v>4150644.2020000005</v>
      </c>
    </row>
    <row r="645" spans="1:25" hidden="1" outlineLevel="1" x14ac:dyDescent="0.3">
      <c r="A645" s="250"/>
      <c r="B645" s="250"/>
      <c r="E645" s="250" t="s">
        <v>1598</v>
      </c>
      <c r="F645" s="317">
        <v>4306503</v>
      </c>
      <c r="G645" s="318"/>
      <c r="H645" s="319"/>
      <c r="I645" s="320"/>
      <c r="J645" s="337">
        <v>0</v>
      </c>
      <c r="K645" s="321">
        <v>0</v>
      </c>
      <c r="L645" s="321">
        <v>0</v>
      </c>
      <c r="M645" s="321">
        <v>0</v>
      </c>
      <c r="N645" s="321">
        <v>0</v>
      </c>
      <c r="O645" s="321">
        <v>0</v>
      </c>
      <c r="P645" s="321">
        <v>0</v>
      </c>
      <c r="Q645" s="321">
        <v>0</v>
      </c>
      <c r="R645" s="321">
        <v>0</v>
      </c>
      <c r="S645" s="321">
        <v>0</v>
      </c>
      <c r="T645" s="321">
        <v>0</v>
      </c>
      <c r="U645" s="322">
        <v>0</v>
      </c>
      <c r="V645" s="323">
        <v>0</v>
      </c>
      <c r="W645" s="303"/>
      <c r="X645" s="324">
        <v>0</v>
      </c>
      <c r="Y645" s="325">
        <v>0</v>
      </c>
    </row>
    <row r="646" spans="1:25" hidden="1" outlineLevel="1" x14ac:dyDescent="0.3">
      <c r="E646" s="250" t="s">
        <v>1599</v>
      </c>
      <c r="F646" s="317">
        <v>4306504</v>
      </c>
      <c r="G646" s="318"/>
      <c r="H646" s="319"/>
      <c r="I646" s="320"/>
      <c r="J646" s="337">
        <v>1118.9939999999999</v>
      </c>
      <c r="K646" s="321">
        <v>1266.393</v>
      </c>
      <c r="L646" s="321">
        <v>1580.5060000000001</v>
      </c>
      <c r="M646" s="321">
        <v>1813.47</v>
      </c>
      <c r="N646" s="321">
        <v>1979.8630000000001</v>
      </c>
      <c r="O646" s="321">
        <v>1483.0260000000001</v>
      </c>
      <c r="P646" s="321">
        <v>1579.5450000000001</v>
      </c>
      <c r="Q646" s="321">
        <v>1458.7760000000001</v>
      </c>
      <c r="R646" s="321">
        <v>1616.357</v>
      </c>
      <c r="S646" s="321">
        <v>1506.89</v>
      </c>
      <c r="T646" s="321">
        <v>1447.4259999999999</v>
      </c>
      <c r="U646" s="322">
        <v>1278.336</v>
      </c>
      <c r="V646" s="323">
        <v>18129.581999999999</v>
      </c>
      <c r="W646" s="303"/>
      <c r="X646" s="324">
        <v>1278.336</v>
      </c>
      <c r="Y646" s="325">
        <v>18129.581999999999</v>
      </c>
    </row>
    <row r="647" spans="1:25" hidden="1" outlineLevel="1" x14ac:dyDescent="0.3">
      <c r="E647" s="250" t="s">
        <v>1600</v>
      </c>
      <c r="F647" s="317">
        <v>4306599</v>
      </c>
      <c r="G647" s="318"/>
      <c r="H647" s="319"/>
      <c r="I647" s="320"/>
      <c r="J647" s="337">
        <v>0</v>
      </c>
      <c r="K647" s="321">
        <v>0</v>
      </c>
      <c r="L647" s="321">
        <v>0</v>
      </c>
      <c r="M647" s="321">
        <v>0</v>
      </c>
      <c r="N647" s="321">
        <v>0</v>
      </c>
      <c r="O647" s="321">
        <v>0</v>
      </c>
      <c r="P647" s="321">
        <v>0</v>
      </c>
      <c r="Q647" s="321">
        <v>0</v>
      </c>
      <c r="R647" s="321">
        <v>0</v>
      </c>
      <c r="S647" s="321">
        <v>0</v>
      </c>
      <c r="T647" s="321">
        <v>0</v>
      </c>
      <c r="U647" s="322">
        <v>0</v>
      </c>
      <c r="V647" s="323">
        <v>0</v>
      </c>
      <c r="W647" s="303"/>
      <c r="X647" s="324">
        <v>0</v>
      </c>
      <c r="Y647" s="325">
        <v>0</v>
      </c>
    </row>
    <row r="648" spans="1:25" s="361" customFormat="1" hidden="1" outlineLevel="2" x14ac:dyDescent="0.3">
      <c r="E648" s="326" t="s">
        <v>1601</v>
      </c>
      <c r="F648" s="351"/>
      <c r="G648" s="352"/>
      <c r="H648" s="353"/>
      <c r="I648" s="354"/>
      <c r="J648" s="362">
        <v>0</v>
      </c>
      <c r="K648" s="355">
        <v>0</v>
      </c>
      <c r="L648" s="355">
        <v>0</v>
      </c>
      <c r="M648" s="355">
        <v>0</v>
      </c>
      <c r="N648" s="355">
        <v>0</v>
      </c>
      <c r="O648" s="355">
        <v>0</v>
      </c>
      <c r="P648" s="355">
        <v>0</v>
      </c>
      <c r="Q648" s="355">
        <v>0</v>
      </c>
      <c r="R648" s="355">
        <v>0</v>
      </c>
      <c r="S648" s="355">
        <v>0</v>
      </c>
      <c r="T648" s="355">
        <v>0</v>
      </c>
      <c r="U648" s="356">
        <v>0</v>
      </c>
      <c r="V648" s="357">
        <v>0</v>
      </c>
      <c r="W648" s="358"/>
      <c r="X648" s="359">
        <v>0</v>
      </c>
      <c r="Y648" s="360">
        <v>0</v>
      </c>
    </row>
    <row r="649" spans="1:25" s="361" customFormat="1" hidden="1" outlineLevel="2" x14ac:dyDescent="0.3">
      <c r="E649" s="326" t="s">
        <v>1602</v>
      </c>
      <c r="F649" s="351"/>
      <c r="G649" s="352"/>
      <c r="H649" s="353"/>
      <c r="I649" s="354"/>
      <c r="J649" s="362">
        <v>0</v>
      </c>
      <c r="K649" s="355">
        <v>0</v>
      </c>
      <c r="L649" s="355">
        <v>0</v>
      </c>
      <c r="M649" s="355">
        <v>0</v>
      </c>
      <c r="N649" s="355">
        <v>0</v>
      </c>
      <c r="O649" s="355">
        <v>0</v>
      </c>
      <c r="P649" s="355">
        <v>0</v>
      </c>
      <c r="Q649" s="355">
        <v>0</v>
      </c>
      <c r="R649" s="355">
        <v>0</v>
      </c>
      <c r="S649" s="355">
        <v>0</v>
      </c>
      <c r="T649" s="355">
        <v>0</v>
      </c>
      <c r="U649" s="356">
        <v>0</v>
      </c>
      <c r="V649" s="357">
        <v>0</v>
      </c>
      <c r="W649" s="358"/>
      <c r="X649" s="359">
        <v>0</v>
      </c>
      <c r="Y649" s="360">
        <v>0</v>
      </c>
    </row>
    <row r="650" spans="1:25" s="361" customFormat="1" hidden="1" outlineLevel="2" x14ac:dyDescent="0.3">
      <c r="E650" s="326" t="s">
        <v>1603</v>
      </c>
      <c r="F650" s="351"/>
      <c r="G650" s="352"/>
      <c r="H650" s="353"/>
      <c r="I650" s="354"/>
      <c r="J650" s="362">
        <v>0</v>
      </c>
      <c r="K650" s="355">
        <v>0</v>
      </c>
      <c r="L650" s="355">
        <v>0</v>
      </c>
      <c r="M650" s="355">
        <v>0</v>
      </c>
      <c r="N650" s="355">
        <v>0</v>
      </c>
      <c r="O650" s="355">
        <v>0</v>
      </c>
      <c r="P650" s="355">
        <v>0</v>
      </c>
      <c r="Q650" s="355">
        <v>0</v>
      </c>
      <c r="R650" s="355">
        <v>0</v>
      </c>
      <c r="S650" s="355">
        <v>0</v>
      </c>
      <c r="T650" s="355">
        <v>0</v>
      </c>
      <c r="U650" s="356">
        <v>0</v>
      </c>
      <c r="V650" s="357">
        <v>0</v>
      </c>
      <c r="W650" s="358"/>
      <c r="X650" s="359">
        <v>0</v>
      </c>
      <c r="Y650" s="360">
        <v>0</v>
      </c>
    </row>
    <row r="651" spans="1:25" collapsed="1" x14ac:dyDescent="0.3">
      <c r="A651" s="233"/>
      <c r="B651" s="234" t="s">
        <v>40</v>
      </c>
      <c r="D651" s="293" t="s">
        <v>1604</v>
      </c>
      <c r="E651" s="294"/>
      <c r="F651" s="295" t="s">
        <v>1605</v>
      </c>
      <c r="G651" s="296"/>
      <c r="H651" s="297"/>
      <c r="I651" s="298"/>
      <c r="J651" s="299">
        <v>2793.7350000000001</v>
      </c>
      <c r="K651" s="300">
        <v>3965.3820000000001</v>
      </c>
      <c r="L651" s="300">
        <v>3638.52</v>
      </c>
      <c r="M651" s="300">
        <v>6405.6090000000004</v>
      </c>
      <c r="N651" s="300">
        <v>5199.04</v>
      </c>
      <c r="O651" s="300">
        <v>2364.6350000000002</v>
      </c>
      <c r="P651" s="300">
        <v>2648.4270000000001</v>
      </c>
      <c r="Q651" s="300">
        <v>8509.9220000000005</v>
      </c>
      <c r="R651" s="300">
        <v>11575.415999999999</v>
      </c>
      <c r="S651" s="300">
        <v>8921.1689999999999</v>
      </c>
      <c r="T651" s="300">
        <v>6192.7569999999996</v>
      </c>
      <c r="U651" s="301">
        <v>3597.83</v>
      </c>
      <c r="V651" s="302">
        <v>65812.441999999995</v>
      </c>
      <c r="W651" s="303"/>
      <c r="X651" s="304">
        <v>3597.83</v>
      </c>
      <c r="Y651" s="305">
        <v>65812.441999999995</v>
      </c>
    </row>
    <row r="652" spans="1:25" hidden="1" outlineLevel="1" x14ac:dyDescent="0.3">
      <c r="E652" s="250" t="s">
        <v>1606</v>
      </c>
      <c r="F652" s="317">
        <v>4308000</v>
      </c>
      <c r="G652" s="318"/>
      <c r="H652" s="319">
        <v>5101610101</v>
      </c>
      <c r="I652" s="320"/>
      <c r="J652" s="337">
        <v>2793.7350000000001</v>
      </c>
      <c r="K652" s="321">
        <v>3965.3820000000001</v>
      </c>
      <c r="L652" s="321">
        <v>3638.52</v>
      </c>
      <c r="M652" s="321">
        <v>6405.6090000000004</v>
      </c>
      <c r="N652" s="321">
        <v>5199.04</v>
      </c>
      <c r="O652" s="321">
        <v>2364.6350000000002</v>
      </c>
      <c r="P652" s="321">
        <v>2648.4270000000001</v>
      </c>
      <c r="Q652" s="321">
        <v>8509.9220000000005</v>
      </c>
      <c r="R652" s="321">
        <v>11575.415999999999</v>
      </c>
      <c r="S652" s="321">
        <v>8921.1689999999999</v>
      </c>
      <c r="T652" s="321">
        <v>6192.7569999999996</v>
      </c>
      <c r="U652" s="322">
        <v>3597.83</v>
      </c>
      <c r="V652" s="323">
        <v>65812.441999999995</v>
      </c>
      <c r="W652" s="303"/>
      <c r="X652" s="324">
        <v>3597.83</v>
      </c>
      <c r="Y652" s="325">
        <v>65812.441999999995</v>
      </c>
    </row>
    <row r="653" spans="1:25" s="361" customFormat="1" hidden="1" outlineLevel="2" x14ac:dyDescent="0.3">
      <c r="E653" s="326" t="s">
        <v>1607</v>
      </c>
      <c r="F653" s="351"/>
      <c r="G653" s="352"/>
      <c r="H653" s="353"/>
      <c r="I653" s="354"/>
      <c r="J653" s="362">
        <v>0</v>
      </c>
      <c r="K653" s="355">
        <v>0</v>
      </c>
      <c r="L653" s="355">
        <v>0</v>
      </c>
      <c r="M653" s="355">
        <v>0</v>
      </c>
      <c r="N653" s="355">
        <v>0</v>
      </c>
      <c r="O653" s="355">
        <v>0</v>
      </c>
      <c r="P653" s="355">
        <v>0</v>
      </c>
      <c r="Q653" s="355">
        <v>0</v>
      </c>
      <c r="R653" s="355">
        <v>0</v>
      </c>
      <c r="S653" s="355">
        <v>0</v>
      </c>
      <c r="T653" s="355">
        <v>0</v>
      </c>
      <c r="U653" s="356">
        <v>0</v>
      </c>
      <c r="V653" s="357">
        <v>0</v>
      </c>
      <c r="W653" s="358"/>
      <c r="X653" s="359">
        <v>0</v>
      </c>
      <c r="Y653" s="360">
        <v>0</v>
      </c>
    </row>
    <row r="654" spans="1:25" s="361" customFormat="1" hidden="1" outlineLevel="2" x14ac:dyDescent="0.3">
      <c r="E654" s="326" t="s">
        <v>1608</v>
      </c>
      <c r="F654" s="351"/>
      <c r="G654" s="352"/>
      <c r="H654" s="353"/>
      <c r="I654" s="354"/>
      <c r="J654" s="362">
        <v>0</v>
      </c>
      <c r="K654" s="355">
        <v>0</v>
      </c>
      <c r="L654" s="355">
        <v>0</v>
      </c>
      <c r="M654" s="355">
        <v>0</v>
      </c>
      <c r="N654" s="355">
        <v>0</v>
      </c>
      <c r="O654" s="355">
        <v>0</v>
      </c>
      <c r="P654" s="355">
        <v>0</v>
      </c>
      <c r="Q654" s="355">
        <v>0</v>
      </c>
      <c r="R654" s="355">
        <v>0</v>
      </c>
      <c r="S654" s="355">
        <v>0</v>
      </c>
      <c r="T654" s="355">
        <v>0</v>
      </c>
      <c r="U654" s="356">
        <v>0</v>
      </c>
      <c r="V654" s="357">
        <v>0</v>
      </c>
      <c r="W654" s="358"/>
      <c r="X654" s="359">
        <v>0</v>
      </c>
      <c r="Y654" s="360">
        <v>0</v>
      </c>
    </row>
    <row r="655" spans="1:25" s="361" customFormat="1" hidden="1" outlineLevel="2" x14ac:dyDescent="0.3">
      <c r="E655" s="326" t="s">
        <v>1609</v>
      </c>
      <c r="F655" s="351"/>
      <c r="G655" s="352"/>
      <c r="H655" s="353"/>
      <c r="I655" s="354"/>
      <c r="J655" s="362">
        <v>0</v>
      </c>
      <c r="K655" s="355">
        <v>0</v>
      </c>
      <c r="L655" s="355">
        <v>0</v>
      </c>
      <c r="M655" s="355">
        <v>0</v>
      </c>
      <c r="N655" s="355">
        <v>0</v>
      </c>
      <c r="O655" s="355">
        <v>0</v>
      </c>
      <c r="P655" s="355">
        <v>0</v>
      </c>
      <c r="Q655" s="355">
        <v>0</v>
      </c>
      <c r="R655" s="355">
        <v>0</v>
      </c>
      <c r="S655" s="355">
        <v>0</v>
      </c>
      <c r="T655" s="355">
        <v>0</v>
      </c>
      <c r="U655" s="356">
        <v>0</v>
      </c>
      <c r="V655" s="357">
        <v>0</v>
      </c>
      <c r="W655" s="358"/>
      <c r="X655" s="359">
        <v>0</v>
      </c>
      <c r="Y655" s="360">
        <v>0</v>
      </c>
    </row>
    <row r="656" spans="1:25" collapsed="1" x14ac:dyDescent="0.3">
      <c r="A656" s="233"/>
      <c r="B656" s="234" t="s">
        <v>70</v>
      </c>
      <c r="D656" s="293" t="s">
        <v>1610</v>
      </c>
      <c r="E656" s="294"/>
      <c r="F656" s="295" t="s">
        <v>1611</v>
      </c>
      <c r="G656" s="296"/>
      <c r="H656" s="297"/>
      <c r="I656" s="298"/>
      <c r="J656" s="299">
        <v>1200637.0209999999</v>
      </c>
      <c r="K656" s="300">
        <v>1200875.557</v>
      </c>
      <c r="L656" s="300">
        <v>1304225.4709999999</v>
      </c>
      <c r="M656" s="300">
        <v>1324184.318</v>
      </c>
      <c r="N656" s="300">
        <v>1346198.5899999999</v>
      </c>
      <c r="O656" s="300">
        <v>1178603.6059999999</v>
      </c>
      <c r="P656" s="300">
        <v>1342504.7110000001</v>
      </c>
      <c r="Q656" s="300">
        <v>1280543.5920000002</v>
      </c>
      <c r="R656" s="300">
        <v>1357300.209</v>
      </c>
      <c r="S656" s="300">
        <v>1247184.9720000001</v>
      </c>
      <c r="T656" s="300">
        <v>1291852.3</v>
      </c>
      <c r="U656" s="301">
        <v>834874.99200000009</v>
      </c>
      <c r="V656" s="302">
        <v>14908985.338999998</v>
      </c>
      <c r="W656" s="303"/>
      <c r="X656" s="304">
        <v>834874.99200000009</v>
      </c>
      <c r="Y656" s="305">
        <v>14908985.338999998</v>
      </c>
    </row>
    <row r="657" spans="5:25" hidden="1" outlineLevel="1" x14ac:dyDescent="0.3">
      <c r="E657" s="250" t="s">
        <v>1612</v>
      </c>
      <c r="F657" s="317">
        <v>4310001</v>
      </c>
      <c r="G657" s="318"/>
      <c r="H657" s="319">
        <v>5101650101</v>
      </c>
      <c r="I657" s="320"/>
      <c r="J657" s="337">
        <v>223452.96599999999</v>
      </c>
      <c r="K657" s="321">
        <v>244716.17199999999</v>
      </c>
      <c r="L657" s="321">
        <v>287283.777</v>
      </c>
      <c r="M657" s="321">
        <v>373243.97</v>
      </c>
      <c r="N657" s="321">
        <v>410383.14299999998</v>
      </c>
      <c r="O657" s="321">
        <v>296946.15399999998</v>
      </c>
      <c r="P657" s="321">
        <v>319164.09399999998</v>
      </c>
      <c r="Q657" s="321">
        <v>325705.52500000002</v>
      </c>
      <c r="R657" s="321">
        <v>393932.03499999997</v>
      </c>
      <c r="S657" s="321">
        <v>375843.929</v>
      </c>
      <c r="T657" s="321">
        <v>386125.74400000001</v>
      </c>
      <c r="U657" s="322">
        <v>309597.89799999999</v>
      </c>
      <c r="V657" s="323">
        <v>3946395.4070000001</v>
      </c>
      <c r="W657" s="303"/>
      <c r="X657" s="324">
        <v>309597.89799999999</v>
      </c>
      <c r="Y657" s="325">
        <v>3946395.4070000001</v>
      </c>
    </row>
    <row r="658" spans="5:25" hidden="1" outlineLevel="1" x14ac:dyDescent="0.3">
      <c r="E658" s="250" t="s">
        <v>1613</v>
      </c>
      <c r="F658" s="317">
        <v>4310002</v>
      </c>
      <c r="G658" s="318"/>
      <c r="H658" s="319">
        <v>5101690101</v>
      </c>
      <c r="I658" s="320"/>
      <c r="J658" s="337">
        <v>56410</v>
      </c>
      <c r="K658" s="321">
        <v>74130</v>
      </c>
      <c r="L658" s="321">
        <v>60250</v>
      </c>
      <c r="M658" s="321">
        <v>60140</v>
      </c>
      <c r="N658" s="321">
        <v>50570</v>
      </c>
      <c r="O658" s="321">
        <v>25260</v>
      </c>
      <c r="P658" s="321">
        <v>43485</v>
      </c>
      <c r="Q658" s="321">
        <v>41695</v>
      </c>
      <c r="R658" s="321">
        <v>38795</v>
      </c>
      <c r="S658" s="321">
        <v>40670</v>
      </c>
      <c r="T658" s="321">
        <v>36800</v>
      </c>
      <c r="U658" s="322">
        <v>30570</v>
      </c>
      <c r="V658" s="323">
        <v>558775</v>
      </c>
      <c r="W658" s="303"/>
      <c r="X658" s="324">
        <v>30570</v>
      </c>
      <c r="Y658" s="325">
        <v>558775</v>
      </c>
    </row>
    <row r="659" spans="5:25" hidden="1" outlineLevel="1" x14ac:dyDescent="0.3">
      <c r="E659" s="250" t="s">
        <v>1614</v>
      </c>
      <c r="F659" s="317">
        <v>4310003</v>
      </c>
      <c r="G659" s="318"/>
      <c r="H659" s="319">
        <v>5101990101</v>
      </c>
      <c r="I659" s="320"/>
      <c r="J659" s="337">
        <v>0</v>
      </c>
      <c r="K659" s="321">
        <v>0</v>
      </c>
      <c r="L659" s="321">
        <v>0</v>
      </c>
      <c r="M659" s="321">
        <v>0</v>
      </c>
      <c r="N659" s="321">
        <v>0</v>
      </c>
      <c r="O659" s="321">
        <v>0</v>
      </c>
      <c r="P659" s="321">
        <v>0</v>
      </c>
      <c r="Q659" s="321">
        <v>0</v>
      </c>
      <c r="R659" s="321">
        <v>0</v>
      </c>
      <c r="S659" s="321">
        <v>0</v>
      </c>
      <c r="T659" s="321">
        <v>0</v>
      </c>
      <c r="U659" s="322">
        <v>0</v>
      </c>
      <c r="V659" s="323">
        <v>0</v>
      </c>
      <c r="W659" s="303"/>
      <c r="X659" s="324">
        <v>0</v>
      </c>
      <c r="Y659" s="325">
        <v>0</v>
      </c>
    </row>
    <row r="660" spans="5:25" hidden="1" outlineLevel="1" x14ac:dyDescent="0.3">
      <c r="E660" s="250" t="s">
        <v>1615</v>
      </c>
      <c r="F660" s="317">
        <v>4310004</v>
      </c>
      <c r="G660" s="318"/>
      <c r="H660" s="319"/>
      <c r="I660" s="320"/>
      <c r="J660" s="337">
        <v>3780</v>
      </c>
      <c r="K660" s="321">
        <v>4720</v>
      </c>
      <c r="L660" s="321">
        <v>3420</v>
      </c>
      <c r="M660" s="321">
        <v>3380</v>
      </c>
      <c r="N660" s="321">
        <v>3480</v>
      </c>
      <c r="O660" s="321">
        <v>2320</v>
      </c>
      <c r="P660" s="321">
        <v>2420</v>
      </c>
      <c r="Q660" s="321">
        <v>2920</v>
      </c>
      <c r="R660" s="321">
        <v>2080</v>
      </c>
      <c r="S660" s="321">
        <v>2500</v>
      </c>
      <c r="T660" s="321">
        <v>3200</v>
      </c>
      <c r="U660" s="322">
        <v>2620</v>
      </c>
      <c r="V660" s="323">
        <v>36840</v>
      </c>
      <c r="W660" s="303"/>
      <c r="X660" s="324">
        <v>2620</v>
      </c>
      <c r="Y660" s="325">
        <v>36840</v>
      </c>
    </row>
    <row r="661" spans="5:25" hidden="1" outlineLevel="1" x14ac:dyDescent="0.3">
      <c r="E661" s="250" t="s">
        <v>1616</v>
      </c>
      <c r="F661" s="317">
        <v>4310005</v>
      </c>
      <c r="G661" s="318"/>
      <c r="H661" s="319"/>
      <c r="I661" s="320"/>
      <c r="J661" s="337">
        <v>0</v>
      </c>
      <c r="K661" s="321">
        <v>400</v>
      </c>
      <c r="L661" s="321">
        <v>3660</v>
      </c>
      <c r="M661" s="321">
        <v>4850</v>
      </c>
      <c r="N661" s="321">
        <v>1100</v>
      </c>
      <c r="O661" s="321">
        <v>500</v>
      </c>
      <c r="P661" s="321">
        <v>1000</v>
      </c>
      <c r="Q661" s="321">
        <v>800</v>
      </c>
      <c r="R661" s="321">
        <v>2100</v>
      </c>
      <c r="S661" s="321">
        <v>0</v>
      </c>
      <c r="T661" s="321">
        <v>0</v>
      </c>
      <c r="U661" s="322">
        <v>1000</v>
      </c>
      <c r="V661" s="323">
        <v>15410</v>
      </c>
      <c r="W661" s="303"/>
      <c r="X661" s="324">
        <v>1000</v>
      </c>
      <c r="Y661" s="325">
        <v>15410</v>
      </c>
    </row>
    <row r="662" spans="5:25" hidden="1" outlineLevel="1" x14ac:dyDescent="0.3">
      <c r="E662" s="250" t="s">
        <v>1617</v>
      </c>
      <c r="F662" s="317">
        <v>4310006</v>
      </c>
      <c r="G662" s="318"/>
      <c r="H662" s="319"/>
      <c r="I662" s="320"/>
      <c r="J662" s="337">
        <v>13900</v>
      </c>
      <c r="K662" s="321">
        <v>16150</v>
      </c>
      <c r="L662" s="321">
        <v>13220</v>
      </c>
      <c r="M662" s="321">
        <v>14550</v>
      </c>
      <c r="N662" s="321">
        <v>15050</v>
      </c>
      <c r="O662" s="321">
        <v>13000</v>
      </c>
      <c r="P662" s="321">
        <v>11300</v>
      </c>
      <c r="Q662" s="321">
        <v>14450</v>
      </c>
      <c r="R662" s="321">
        <v>12700</v>
      </c>
      <c r="S662" s="321">
        <v>13000</v>
      </c>
      <c r="T662" s="321">
        <v>11550</v>
      </c>
      <c r="U662" s="322">
        <v>11700</v>
      </c>
      <c r="V662" s="323">
        <v>160570</v>
      </c>
      <c r="W662" s="303"/>
      <c r="X662" s="324">
        <v>11700</v>
      </c>
      <c r="Y662" s="325">
        <v>160570</v>
      </c>
    </row>
    <row r="663" spans="5:25" hidden="1" outlineLevel="1" x14ac:dyDescent="0.3">
      <c r="E663" s="250" t="s">
        <v>1618</v>
      </c>
      <c r="F663" s="317">
        <v>4310007</v>
      </c>
      <c r="G663" s="318"/>
      <c r="H663" s="319"/>
      <c r="I663" s="320"/>
      <c r="J663" s="337">
        <v>7408</v>
      </c>
      <c r="K663" s="321">
        <v>6752</v>
      </c>
      <c r="L663" s="321">
        <v>6774</v>
      </c>
      <c r="M663" s="321">
        <v>11432.184999999999</v>
      </c>
      <c r="N663" s="321">
        <v>10271.700000000001</v>
      </c>
      <c r="O663" s="321">
        <v>2644.5</v>
      </c>
      <c r="P663" s="321">
        <v>14449.9</v>
      </c>
      <c r="Q663" s="321">
        <v>10855.6</v>
      </c>
      <c r="R663" s="321">
        <v>17037.599999999999</v>
      </c>
      <c r="S663" s="321">
        <v>11461.9</v>
      </c>
      <c r="T663" s="321">
        <v>7817</v>
      </c>
      <c r="U663" s="322">
        <v>6008.5</v>
      </c>
      <c r="V663" s="323">
        <v>112912.88499999998</v>
      </c>
      <c r="W663" s="303"/>
      <c r="X663" s="324">
        <v>6008.5</v>
      </c>
      <c r="Y663" s="325">
        <v>112912.88499999998</v>
      </c>
    </row>
    <row r="664" spans="5:25" hidden="1" outlineLevel="1" x14ac:dyDescent="0.3">
      <c r="E664" s="250" t="s">
        <v>1619</v>
      </c>
      <c r="F664" s="317">
        <v>4310008</v>
      </c>
      <c r="G664" s="318"/>
      <c r="H664" s="319"/>
      <c r="I664" s="320"/>
      <c r="J664" s="337">
        <v>1800</v>
      </c>
      <c r="K664" s="321">
        <v>200</v>
      </c>
      <c r="L664" s="321">
        <v>2500</v>
      </c>
      <c r="M664" s="321">
        <v>4600</v>
      </c>
      <c r="N664" s="321">
        <v>5300</v>
      </c>
      <c r="O664" s="321">
        <v>5100</v>
      </c>
      <c r="P664" s="321">
        <v>5800</v>
      </c>
      <c r="Q664" s="321">
        <v>300</v>
      </c>
      <c r="R664" s="321">
        <v>0</v>
      </c>
      <c r="S664" s="321">
        <v>0</v>
      </c>
      <c r="T664" s="321">
        <v>250</v>
      </c>
      <c r="U664" s="322">
        <v>0</v>
      </c>
      <c r="V664" s="323">
        <v>25850</v>
      </c>
      <c r="W664" s="303"/>
      <c r="X664" s="324">
        <v>0</v>
      </c>
      <c r="Y664" s="325">
        <v>25850</v>
      </c>
    </row>
    <row r="665" spans="5:25" hidden="1" outlineLevel="1" x14ac:dyDescent="0.3">
      <c r="E665" s="250" t="s">
        <v>1620</v>
      </c>
      <c r="F665" s="317">
        <v>4310009</v>
      </c>
      <c r="G665" s="318"/>
      <c r="H665" s="319"/>
      <c r="I665" s="320"/>
      <c r="J665" s="337">
        <v>0</v>
      </c>
      <c r="K665" s="321">
        <v>0</v>
      </c>
      <c r="L665" s="321">
        <v>0</v>
      </c>
      <c r="M665" s="321">
        <v>0</v>
      </c>
      <c r="N665" s="321">
        <v>0</v>
      </c>
      <c r="O665" s="321">
        <v>0</v>
      </c>
      <c r="P665" s="321">
        <v>0</v>
      </c>
      <c r="Q665" s="321">
        <v>0</v>
      </c>
      <c r="R665" s="321">
        <v>0</v>
      </c>
      <c r="S665" s="321">
        <v>0</v>
      </c>
      <c r="T665" s="321">
        <v>0</v>
      </c>
      <c r="U665" s="322">
        <v>0</v>
      </c>
      <c r="V665" s="323">
        <v>0</v>
      </c>
      <c r="W665" s="303"/>
      <c r="X665" s="324">
        <v>0</v>
      </c>
      <c r="Y665" s="325">
        <v>0</v>
      </c>
    </row>
    <row r="666" spans="5:25" hidden="1" outlineLevel="1" x14ac:dyDescent="0.3">
      <c r="E666" s="250" t="s">
        <v>1621</v>
      </c>
      <c r="F666" s="317">
        <v>4310010</v>
      </c>
      <c r="G666" s="318"/>
      <c r="H666" s="319"/>
      <c r="I666" s="320"/>
      <c r="J666" s="337">
        <v>0</v>
      </c>
      <c r="K666" s="321">
        <v>0</v>
      </c>
      <c r="L666" s="321">
        <v>0</v>
      </c>
      <c r="M666" s="321">
        <v>0</v>
      </c>
      <c r="N666" s="321">
        <v>0</v>
      </c>
      <c r="O666" s="321">
        <v>0</v>
      </c>
      <c r="P666" s="321">
        <v>0</v>
      </c>
      <c r="Q666" s="321">
        <v>0</v>
      </c>
      <c r="R666" s="321">
        <v>500</v>
      </c>
      <c r="S666" s="321">
        <v>0</v>
      </c>
      <c r="T666" s="321">
        <v>330</v>
      </c>
      <c r="U666" s="322">
        <v>30</v>
      </c>
      <c r="V666" s="323">
        <v>860</v>
      </c>
      <c r="W666" s="303"/>
      <c r="X666" s="324">
        <v>30</v>
      </c>
      <c r="Y666" s="325">
        <v>860</v>
      </c>
    </row>
    <row r="667" spans="5:25" hidden="1" outlineLevel="1" x14ac:dyDescent="0.3">
      <c r="E667" s="250" t="s">
        <v>1622</v>
      </c>
      <c r="F667" s="317">
        <v>4310011</v>
      </c>
      <c r="G667" s="318"/>
      <c r="H667" s="319"/>
      <c r="I667" s="320"/>
      <c r="J667" s="337">
        <v>7467.9</v>
      </c>
      <c r="K667" s="321">
        <v>10015</v>
      </c>
      <c r="L667" s="321">
        <v>-7627.9</v>
      </c>
      <c r="M667" s="321">
        <v>37380</v>
      </c>
      <c r="N667" s="321">
        <v>11596.6</v>
      </c>
      <c r="O667" s="321">
        <v>12385</v>
      </c>
      <c r="P667" s="321">
        <v>14058.5</v>
      </c>
      <c r="Q667" s="321">
        <v>16162.455</v>
      </c>
      <c r="R667" s="321">
        <v>16464.144</v>
      </c>
      <c r="S667" s="321">
        <v>18629.080000000002</v>
      </c>
      <c r="T667" s="321">
        <v>9948.75</v>
      </c>
      <c r="U667" s="322">
        <v>8580</v>
      </c>
      <c r="V667" s="323">
        <v>155059.52900000001</v>
      </c>
      <c r="W667" s="303"/>
      <c r="X667" s="324">
        <v>8580</v>
      </c>
      <c r="Y667" s="325">
        <v>155059.52900000001</v>
      </c>
    </row>
    <row r="668" spans="5:25" hidden="1" outlineLevel="1" x14ac:dyDescent="0.3">
      <c r="E668" s="250" t="s">
        <v>1623</v>
      </c>
      <c r="F668" s="317">
        <v>4310012</v>
      </c>
      <c r="G668" s="318"/>
      <c r="H668" s="319"/>
      <c r="I668" s="320"/>
      <c r="J668" s="337">
        <v>3858</v>
      </c>
      <c r="K668" s="321">
        <v>3263</v>
      </c>
      <c r="L668" s="321">
        <v>12256.8</v>
      </c>
      <c r="M668" s="321">
        <v>13068</v>
      </c>
      <c r="N668" s="321">
        <v>27710</v>
      </c>
      <c r="O668" s="321">
        <v>2902</v>
      </c>
      <c r="P668" s="321">
        <v>8568</v>
      </c>
      <c r="Q668" s="321">
        <v>4900</v>
      </c>
      <c r="R668" s="321">
        <v>14652.5</v>
      </c>
      <c r="S668" s="321">
        <v>150</v>
      </c>
      <c r="T668" s="321">
        <v>8484</v>
      </c>
      <c r="U668" s="322">
        <v>3486</v>
      </c>
      <c r="V668" s="323">
        <v>103298.3</v>
      </c>
      <c r="W668" s="303"/>
      <c r="X668" s="324">
        <v>3486</v>
      </c>
      <c r="Y668" s="325">
        <v>103298.3</v>
      </c>
    </row>
    <row r="669" spans="5:25" hidden="1" outlineLevel="1" x14ac:dyDescent="0.3">
      <c r="E669" s="250" t="s">
        <v>1624</v>
      </c>
      <c r="F669" s="317">
        <v>4310013</v>
      </c>
      <c r="G669" s="318"/>
      <c r="H669" s="319"/>
      <c r="I669" s="320"/>
      <c r="J669" s="337">
        <v>18790</v>
      </c>
      <c r="K669" s="321">
        <v>31528.2</v>
      </c>
      <c r="L669" s="321">
        <v>29722</v>
      </c>
      <c r="M669" s="321">
        <v>20118</v>
      </c>
      <c r="N669" s="321">
        <v>4726</v>
      </c>
      <c r="O669" s="321">
        <v>4517.25</v>
      </c>
      <c r="P669" s="321">
        <v>28714.726999999999</v>
      </c>
      <c r="Q669" s="321">
        <v>11504</v>
      </c>
      <c r="R669" s="321">
        <v>17930</v>
      </c>
      <c r="S669" s="321">
        <v>1152.546</v>
      </c>
      <c r="T669" s="321">
        <v>400</v>
      </c>
      <c r="U669" s="322">
        <v>6260</v>
      </c>
      <c r="V669" s="323">
        <v>175362.723</v>
      </c>
      <c r="W669" s="303"/>
      <c r="X669" s="324">
        <v>6260</v>
      </c>
      <c r="Y669" s="325">
        <v>175362.723</v>
      </c>
    </row>
    <row r="670" spans="5:25" hidden="1" outlineLevel="1" x14ac:dyDescent="0.3">
      <c r="E670" s="250" t="s">
        <v>1625</v>
      </c>
      <c r="F670" s="317">
        <v>4310014</v>
      </c>
      <c r="G670" s="318"/>
      <c r="H670" s="319"/>
      <c r="I670" s="320"/>
      <c r="J670" s="337">
        <v>37550.459000000003</v>
      </c>
      <c r="K670" s="321">
        <v>17068.437999999998</v>
      </c>
      <c r="L670" s="321">
        <v>40820.580999999998</v>
      </c>
      <c r="M670" s="321">
        <v>-25945.319</v>
      </c>
      <c r="N670" s="321">
        <v>-774.70299999999997</v>
      </c>
      <c r="O670" s="321">
        <v>25256.447</v>
      </c>
      <c r="P670" s="321">
        <v>18994.672999999999</v>
      </c>
      <c r="Q670" s="321">
        <v>-18603.263999999999</v>
      </c>
      <c r="R670" s="321">
        <v>-17015.863000000001</v>
      </c>
      <c r="S670" s="321">
        <v>-27231.016</v>
      </c>
      <c r="T670" s="321">
        <v>40741.163</v>
      </c>
      <c r="U670" s="322">
        <v>19461.087</v>
      </c>
      <c r="V670" s="323">
        <v>110322.683</v>
      </c>
      <c r="W670" s="303"/>
      <c r="X670" s="324">
        <v>19461.087</v>
      </c>
      <c r="Y670" s="325">
        <v>110322.683</v>
      </c>
    </row>
    <row r="671" spans="5:25" hidden="1" outlineLevel="1" x14ac:dyDescent="0.3">
      <c r="E671" s="250" t="s">
        <v>1626</v>
      </c>
      <c r="F671" s="317">
        <v>4310015</v>
      </c>
      <c r="G671" s="318"/>
      <c r="H671" s="319"/>
      <c r="I671" s="320"/>
      <c r="J671" s="337">
        <v>23280</v>
      </c>
      <c r="K671" s="321">
        <v>3752</v>
      </c>
      <c r="L671" s="321">
        <v>18508</v>
      </c>
      <c r="M671" s="321">
        <v>6400</v>
      </c>
      <c r="N671" s="321">
        <v>6768</v>
      </c>
      <c r="O671" s="321">
        <v>136</v>
      </c>
      <c r="P671" s="321">
        <v>59896</v>
      </c>
      <c r="Q671" s="321">
        <v>57092</v>
      </c>
      <c r="R671" s="321">
        <v>44706</v>
      </c>
      <c r="S671" s="321">
        <v>11190.911</v>
      </c>
      <c r="T671" s="321">
        <v>0</v>
      </c>
      <c r="U671" s="322">
        <v>7570</v>
      </c>
      <c r="V671" s="323">
        <v>239298.91099999999</v>
      </c>
      <c r="W671" s="303"/>
      <c r="X671" s="324">
        <v>7570</v>
      </c>
      <c r="Y671" s="325">
        <v>239298.91099999999</v>
      </c>
    </row>
    <row r="672" spans="5:25" hidden="1" outlineLevel="1" x14ac:dyDescent="0.3">
      <c r="E672" s="250" t="s">
        <v>1627</v>
      </c>
      <c r="F672" s="317">
        <v>4310016</v>
      </c>
      <c r="G672" s="318"/>
      <c r="H672" s="319"/>
      <c r="I672" s="320"/>
      <c r="J672" s="337">
        <v>7150.5110000000004</v>
      </c>
      <c r="K672" s="321">
        <v>7602.79</v>
      </c>
      <c r="L672" s="321">
        <v>6944.9949999999999</v>
      </c>
      <c r="M672" s="321">
        <v>7483.4480000000003</v>
      </c>
      <c r="N672" s="321">
        <v>3589.58</v>
      </c>
      <c r="O672" s="321">
        <v>1803.952</v>
      </c>
      <c r="P672" s="321">
        <v>5669.8220000000001</v>
      </c>
      <c r="Q672" s="321">
        <v>5970.04</v>
      </c>
      <c r="R672" s="321">
        <v>8346.58</v>
      </c>
      <c r="S672" s="321">
        <v>1318.9690000000001</v>
      </c>
      <c r="T672" s="321">
        <v>617.6</v>
      </c>
      <c r="U672" s="322">
        <v>2687.8780000000002</v>
      </c>
      <c r="V672" s="323">
        <v>59186.164999999994</v>
      </c>
      <c r="W672" s="303"/>
      <c r="X672" s="324">
        <v>2687.8780000000002</v>
      </c>
      <c r="Y672" s="325">
        <v>59186.164999999994</v>
      </c>
    </row>
    <row r="673" spans="1:25" hidden="1" outlineLevel="1" x14ac:dyDescent="0.3">
      <c r="E673" s="250" t="s">
        <v>1628</v>
      </c>
      <c r="F673" s="317">
        <v>4310017</v>
      </c>
      <c r="G673" s="318"/>
      <c r="H673" s="319"/>
      <c r="I673" s="320"/>
      <c r="J673" s="337">
        <v>351208.1</v>
      </c>
      <c r="K673" s="321">
        <v>351208.1</v>
      </c>
      <c r="L673" s="321">
        <v>351308.1</v>
      </c>
      <c r="M673" s="321">
        <v>351308.1</v>
      </c>
      <c r="N673" s="321">
        <v>351308.1</v>
      </c>
      <c r="O673" s="321">
        <v>351308.1</v>
      </c>
      <c r="P673" s="321">
        <v>351308.1</v>
      </c>
      <c r="Q673" s="321">
        <v>351308.1</v>
      </c>
      <c r="R673" s="321">
        <v>352308.1</v>
      </c>
      <c r="S673" s="321">
        <v>352308.1</v>
      </c>
      <c r="T673" s="321">
        <v>355938.1</v>
      </c>
      <c r="U673" s="322">
        <v>355938.1</v>
      </c>
      <c r="V673" s="323">
        <v>4226757.2</v>
      </c>
      <c r="W673" s="303"/>
      <c r="X673" s="324">
        <v>355938.1</v>
      </c>
      <c r="Y673" s="325">
        <v>4226757.2</v>
      </c>
    </row>
    <row r="674" spans="1:25" hidden="1" outlineLevel="1" x14ac:dyDescent="0.3">
      <c r="E674" s="250" t="s">
        <v>1629</v>
      </c>
      <c r="F674" s="317">
        <v>4310018</v>
      </c>
      <c r="G674" s="318"/>
      <c r="H674" s="319"/>
      <c r="I674" s="320"/>
      <c r="J674" s="337">
        <v>54017.796000000002</v>
      </c>
      <c r="K674" s="321">
        <v>54017.796000000002</v>
      </c>
      <c r="L674" s="321">
        <v>48145.319000000003</v>
      </c>
      <c r="M674" s="321">
        <v>48143.120999999999</v>
      </c>
      <c r="N674" s="321">
        <v>48143.120999999999</v>
      </c>
      <c r="O674" s="321">
        <v>48143.120999999999</v>
      </c>
      <c r="P674" s="321">
        <v>48143.120999999999</v>
      </c>
      <c r="Q674" s="321">
        <v>48143.120999999999</v>
      </c>
      <c r="R674" s="321">
        <v>48143.120999999999</v>
      </c>
      <c r="S674" s="321">
        <v>48143.120999999999</v>
      </c>
      <c r="T674" s="321">
        <v>48143.120999999999</v>
      </c>
      <c r="U674" s="322">
        <v>-321661.23599999998</v>
      </c>
      <c r="V674" s="323">
        <v>219664.64299999998</v>
      </c>
      <c r="W674" s="303"/>
      <c r="X674" s="324">
        <v>-321661.23599999998</v>
      </c>
      <c r="Y674" s="325">
        <v>219664.64299999998</v>
      </c>
    </row>
    <row r="675" spans="1:25" hidden="1" outlineLevel="1" x14ac:dyDescent="0.3">
      <c r="E675" s="250" t="s">
        <v>1630</v>
      </c>
      <c r="F675" s="317">
        <v>4310019</v>
      </c>
      <c r="G675" s="318"/>
      <c r="H675" s="319"/>
      <c r="I675" s="320"/>
      <c r="J675" s="337">
        <v>1000</v>
      </c>
      <c r="K675" s="321">
        <v>61.6</v>
      </c>
      <c r="L675" s="321">
        <v>0</v>
      </c>
      <c r="M675" s="321">
        <v>7724.4</v>
      </c>
      <c r="N675" s="321">
        <v>2600</v>
      </c>
      <c r="O675" s="321">
        <v>1605</v>
      </c>
      <c r="P675" s="321">
        <v>-75.909000000000006</v>
      </c>
      <c r="Q675" s="321">
        <v>0</v>
      </c>
      <c r="R675" s="321">
        <v>0</v>
      </c>
      <c r="S675" s="321">
        <v>2400</v>
      </c>
      <c r="T675" s="321">
        <v>2400</v>
      </c>
      <c r="U675" s="322">
        <v>0</v>
      </c>
      <c r="V675" s="323">
        <v>17715.091</v>
      </c>
      <c r="W675" s="303"/>
      <c r="X675" s="324">
        <v>0</v>
      </c>
      <c r="Y675" s="325">
        <v>17715.091</v>
      </c>
    </row>
    <row r="676" spans="1:25" hidden="1" outlineLevel="1" x14ac:dyDescent="0.3">
      <c r="E676" s="250" t="s">
        <v>1631</v>
      </c>
      <c r="F676" s="317">
        <v>4310020</v>
      </c>
      <c r="G676" s="318"/>
      <c r="H676" s="319"/>
      <c r="I676" s="320"/>
      <c r="J676" s="337">
        <v>0</v>
      </c>
      <c r="K676" s="321">
        <v>0</v>
      </c>
      <c r="L676" s="321">
        <v>0</v>
      </c>
      <c r="M676" s="321">
        <v>0</v>
      </c>
      <c r="N676" s="321">
        <v>0</v>
      </c>
      <c r="O676" s="321">
        <v>0</v>
      </c>
      <c r="P676" s="321">
        <v>0</v>
      </c>
      <c r="Q676" s="321">
        <v>0</v>
      </c>
      <c r="R676" s="321">
        <v>0</v>
      </c>
      <c r="S676" s="321">
        <v>0</v>
      </c>
      <c r="T676" s="321">
        <v>0</v>
      </c>
      <c r="U676" s="322">
        <v>0</v>
      </c>
      <c r="V676" s="323">
        <v>0</v>
      </c>
      <c r="W676" s="303"/>
      <c r="X676" s="324">
        <v>0</v>
      </c>
      <c r="Y676" s="325">
        <v>0</v>
      </c>
    </row>
    <row r="677" spans="1:25" hidden="1" outlineLevel="1" x14ac:dyDescent="0.3">
      <c r="E677" s="250" t="s">
        <v>1632</v>
      </c>
      <c r="F677" s="317">
        <v>4310021</v>
      </c>
      <c r="G677" s="318"/>
      <c r="H677" s="319"/>
      <c r="I677" s="320"/>
      <c r="J677" s="337">
        <v>389563.28899999999</v>
      </c>
      <c r="K677" s="321">
        <v>375290.46100000001</v>
      </c>
      <c r="L677" s="321">
        <v>427039.799</v>
      </c>
      <c r="M677" s="321">
        <v>386308.413</v>
      </c>
      <c r="N677" s="321">
        <v>394377.049</v>
      </c>
      <c r="O677" s="321">
        <v>384776.08199999999</v>
      </c>
      <c r="P677" s="321">
        <v>409608.68300000002</v>
      </c>
      <c r="Q677" s="321">
        <v>407341.01500000001</v>
      </c>
      <c r="R677" s="321">
        <v>404620.99200000003</v>
      </c>
      <c r="S677" s="321">
        <v>395647.43199999997</v>
      </c>
      <c r="T677" s="321">
        <v>379106.82199999999</v>
      </c>
      <c r="U677" s="322">
        <v>391026.76500000001</v>
      </c>
      <c r="V677" s="323">
        <v>4744706.8020000001</v>
      </c>
      <c r="W677" s="303"/>
      <c r="X677" s="324">
        <v>391026.76500000001</v>
      </c>
      <c r="Y677" s="325">
        <v>4744706.8020000001</v>
      </c>
    </row>
    <row r="678" spans="1:25" s="361" customFormat="1" hidden="1" outlineLevel="2" x14ac:dyDescent="0.3">
      <c r="E678" s="326" t="s">
        <v>1633</v>
      </c>
      <c r="F678" s="351"/>
      <c r="G678" s="352"/>
      <c r="H678" s="353"/>
      <c r="I678" s="354"/>
      <c r="J678" s="362">
        <v>0</v>
      </c>
      <c r="K678" s="355">
        <v>0</v>
      </c>
      <c r="L678" s="355">
        <v>0</v>
      </c>
      <c r="M678" s="355">
        <v>0</v>
      </c>
      <c r="N678" s="355">
        <v>0</v>
      </c>
      <c r="O678" s="355">
        <v>0</v>
      </c>
      <c r="P678" s="355">
        <v>0</v>
      </c>
      <c r="Q678" s="355">
        <v>0</v>
      </c>
      <c r="R678" s="355">
        <v>0</v>
      </c>
      <c r="S678" s="355">
        <v>0</v>
      </c>
      <c r="T678" s="355">
        <v>0</v>
      </c>
      <c r="U678" s="356">
        <v>0</v>
      </c>
      <c r="V678" s="357">
        <v>0</v>
      </c>
      <c r="W678" s="358"/>
      <c r="X678" s="359">
        <v>0</v>
      </c>
      <c r="Y678" s="360">
        <v>0</v>
      </c>
    </row>
    <row r="679" spans="1:25" s="361" customFormat="1" hidden="1" outlineLevel="2" x14ac:dyDescent="0.3">
      <c r="E679" s="326" t="s">
        <v>1634</v>
      </c>
      <c r="F679" s="351"/>
      <c r="G679" s="352"/>
      <c r="H679" s="353"/>
      <c r="I679" s="354"/>
      <c r="J679" s="362">
        <v>0</v>
      </c>
      <c r="K679" s="355">
        <v>0</v>
      </c>
      <c r="L679" s="355">
        <v>0</v>
      </c>
      <c r="M679" s="355">
        <v>0</v>
      </c>
      <c r="N679" s="355">
        <v>0</v>
      </c>
      <c r="O679" s="355">
        <v>0</v>
      </c>
      <c r="P679" s="355">
        <v>0</v>
      </c>
      <c r="Q679" s="355">
        <v>0</v>
      </c>
      <c r="R679" s="355">
        <v>0</v>
      </c>
      <c r="S679" s="355">
        <v>0</v>
      </c>
      <c r="T679" s="355">
        <v>0</v>
      </c>
      <c r="U679" s="356">
        <v>0</v>
      </c>
      <c r="V679" s="357">
        <v>0</v>
      </c>
      <c r="W679" s="358"/>
      <c r="X679" s="359">
        <v>0</v>
      </c>
      <c r="Y679" s="360">
        <v>0</v>
      </c>
    </row>
    <row r="680" spans="1:25" s="361" customFormat="1" hidden="1" outlineLevel="2" x14ac:dyDescent="0.3">
      <c r="E680" s="326" t="s">
        <v>1635</v>
      </c>
      <c r="F680" s="351"/>
      <c r="G680" s="352"/>
      <c r="H680" s="353"/>
      <c r="I680" s="354"/>
      <c r="J680" s="362">
        <v>0</v>
      </c>
      <c r="K680" s="355">
        <v>0</v>
      </c>
      <c r="L680" s="355">
        <v>0</v>
      </c>
      <c r="M680" s="355">
        <v>0</v>
      </c>
      <c r="N680" s="355">
        <v>0</v>
      </c>
      <c r="O680" s="355">
        <v>0</v>
      </c>
      <c r="P680" s="355">
        <v>0</v>
      </c>
      <c r="Q680" s="355">
        <v>0</v>
      </c>
      <c r="R680" s="355">
        <v>0</v>
      </c>
      <c r="S680" s="355">
        <v>0</v>
      </c>
      <c r="T680" s="355">
        <v>0</v>
      </c>
      <c r="U680" s="356">
        <v>0</v>
      </c>
      <c r="V680" s="357">
        <v>0</v>
      </c>
      <c r="W680" s="358"/>
      <c r="X680" s="359">
        <v>0</v>
      </c>
      <c r="Y680" s="360">
        <v>0</v>
      </c>
    </row>
    <row r="681" spans="1:25" collapsed="1" x14ac:dyDescent="0.3">
      <c r="A681" s="233"/>
      <c r="B681" s="234" t="s">
        <v>70</v>
      </c>
      <c r="D681" s="293" t="s">
        <v>1636</v>
      </c>
      <c r="E681" s="294"/>
      <c r="F681" s="295" t="s">
        <v>1637</v>
      </c>
      <c r="G681" s="296"/>
      <c r="H681" s="297"/>
      <c r="I681" s="298"/>
      <c r="J681" s="299">
        <v>14553.123</v>
      </c>
      <c r="K681" s="300">
        <v>9377.49</v>
      </c>
      <c r="L681" s="300">
        <v>50.188000000000002</v>
      </c>
      <c r="M681" s="300">
        <v>61.579000000000001</v>
      </c>
      <c r="N681" s="300">
        <v>0</v>
      </c>
      <c r="O681" s="300">
        <v>68.745999999999995</v>
      </c>
      <c r="P681" s="300">
        <v>59.497999999999998</v>
      </c>
      <c r="Q681" s="300">
        <v>150.875</v>
      </c>
      <c r="R681" s="300">
        <v>0</v>
      </c>
      <c r="S681" s="300">
        <v>50.215000000000003</v>
      </c>
      <c r="T681" s="300">
        <v>113.258</v>
      </c>
      <c r="U681" s="301">
        <v>60.268999999999998</v>
      </c>
      <c r="V681" s="302">
        <v>24545.240999999998</v>
      </c>
      <c r="W681" s="303"/>
      <c r="X681" s="304">
        <v>60.268999999999998</v>
      </c>
      <c r="Y681" s="305">
        <v>24545.240999999998</v>
      </c>
    </row>
    <row r="682" spans="1:25" hidden="1" outlineLevel="1" x14ac:dyDescent="0.3">
      <c r="E682" s="250" t="s">
        <v>1638</v>
      </c>
      <c r="F682" s="317">
        <v>4311001</v>
      </c>
      <c r="G682" s="318"/>
      <c r="H682" s="319"/>
      <c r="I682" s="320"/>
      <c r="J682" s="337">
        <v>0</v>
      </c>
      <c r="K682" s="321">
        <v>0</v>
      </c>
      <c r="L682" s="321">
        <v>0</v>
      </c>
      <c r="M682" s="321">
        <v>0</v>
      </c>
      <c r="N682" s="321">
        <v>0</v>
      </c>
      <c r="O682" s="321">
        <v>0</v>
      </c>
      <c r="P682" s="321">
        <v>0</v>
      </c>
      <c r="Q682" s="321">
        <v>0</v>
      </c>
      <c r="R682" s="321">
        <v>0</v>
      </c>
      <c r="S682" s="321">
        <v>0</v>
      </c>
      <c r="T682" s="321">
        <v>0</v>
      </c>
      <c r="U682" s="322">
        <v>0</v>
      </c>
      <c r="V682" s="323">
        <v>0</v>
      </c>
      <c r="W682" s="303"/>
      <c r="X682" s="324">
        <v>0</v>
      </c>
      <c r="Y682" s="325">
        <v>0</v>
      </c>
    </row>
    <row r="683" spans="1:25" hidden="1" outlineLevel="1" x14ac:dyDescent="0.3">
      <c r="E683" s="250" t="s">
        <v>1639</v>
      </c>
      <c r="F683" s="317">
        <v>4311002</v>
      </c>
      <c r="G683" s="318"/>
      <c r="H683" s="319"/>
      <c r="I683" s="320"/>
      <c r="J683" s="337">
        <v>67.59</v>
      </c>
      <c r="K683" s="321">
        <v>68.444000000000003</v>
      </c>
      <c r="L683" s="321">
        <v>50.188000000000002</v>
      </c>
      <c r="M683" s="321">
        <v>61.579000000000001</v>
      </c>
      <c r="N683" s="321">
        <v>0</v>
      </c>
      <c r="O683" s="321">
        <v>68.745999999999995</v>
      </c>
      <c r="P683" s="321">
        <v>59.497999999999998</v>
      </c>
      <c r="Q683" s="321">
        <v>150.875</v>
      </c>
      <c r="R683" s="321">
        <v>0</v>
      </c>
      <c r="S683" s="321">
        <v>50.215000000000003</v>
      </c>
      <c r="T683" s="321">
        <v>113.258</v>
      </c>
      <c r="U683" s="322">
        <v>60.268999999999998</v>
      </c>
      <c r="V683" s="323">
        <v>750.66200000000003</v>
      </c>
      <c r="W683" s="303"/>
      <c r="X683" s="324">
        <v>60.268999999999998</v>
      </c>
      <c r="Y683" s="325">
        <v>750.66200000000003</v>
      </c>
    </row>
    <row r="684" spans="1:25" hidden="1" outlineLevel="1" x14ac:dyDescent="0.3">
      <c r="E684" s="250" t="s">
        <v>1640</v>
      </c>
      <c r="F684" s="317">
        <v>4311003</v>
      </c>
      <c r="G684" s="318"/>
      <c r="H684" s="319"/>
      <c r="I684" s="320"/>
      <c r="J684" s="337">
        <v>14485.532999999999</v>
      </c>
      <c r="K684" s="321">
        <v>9309.0460000000003</v>
      </c>
      <c r="L684" s="321">
        <v>0</v>
      </c>
      <c r="M684" s="321">
        <v>0</v>
      </c>
      <c r="N684" s="321">
        <v>0</v>
      </c>
      <c r="O684" s="321">
        <v>0</v>
      </c>
      <c r="P684" s="321">
        <v>0</v>
      </c>
      <c r="Q684" s="321">
        <v>0</v>
      </c>
      <c r="R684" s="321">
        <v>0</v>
      </c>
      <c r="S684" s="321">
        <v>0</v>
      </c>
      <c r="T684" s="321">
        <v>0</v>
      </c>
      <c r="U684" s="322">
        <v>0</v>
      </c>
      <c r="V684" s="323">
        <v>23794.578999999998</v>
      </c>
      <c r="W684" s="303"/>
      <c r="X684" s="324">
        <v>0</v>
      </c>
      <c r="Y684" s="325">
        <v>23794.578999999998</v>
      </c>
    </row>
    <row r="685" spans="1:25" hidden="1" outlineLevel="1" x14ac:dyDescent="0.3">
      <c r="E685" s="250" t="s">
        <v>1641</v>
      </c>
      <c r="F685" s="317">
        <v>4311004</v>
      </c>
      <c r="G685" s="318"/>
      <c r="H685" s="319"/>
      <c r="I685" s="320"/>
      <c r="J685" s="337">
        <v>0</v>
      </c>
      <c r="K685" s="321">
        <v>0</v>
      </c>
      <c r="L685" s="321">
        <v>0</v>
      </c>
      <c r="M685" s="321">
        <v>0</v>
      </c>
      <c r="N685" s="321">
        <v>0</v>
      </c>
      <c r="O685" s="321">
        <v>0</v>
      </c>
      <c r="P685" s="321">
        <v>0</v>
      </c>
      <c r="Q685" s="321">
        <v>0</v>
      </c>
      <c r="R685" s="321">
        <v>0</v>
      </c>
      <c r="S685" s="321">
        <v>0</v>
      </c>
      <c r="T685" s="321">
        <v>0</v>
      </c>
      <c r="U685" s="322">
        <v>0</v>
      </c>
      <c r="V685" s="323">
        <v>0</v>
      </c>
      <c r="W685" s="303"/>
      <c r="X685" s="324">
        <v>0</v>
      </c>
      <c r="Y685" s="325">
        <v>0</v>
      </c>
    </row>
    <row r="686" spans="1:25" s="326" customFormat="1" hidden="1" outlineLevel="2" x14ac:dyDescent="0.3">
      <c r="E686" s="326" t="s">
        <v>1642</v>
      </c>
      <c r="F686" s="336"/>
      <c r="G686" s="327"/>
      <c r="H686" s="328"/>
      <c r="I686" s="329"/>
      <c r="J686" s="338">
        <v>0</v>
      </c>
      <c r="K686" s="330">
        <v>0</v>
      </c>
      <c r="L686" s="330">
        <v>0</v>
      </c>
      <c r="M686" s="330">
        <v>0</v>
      </c>
      <c r="N686" s="330">
        <v>0</v>
      </c>
      <c r="O686" s="330">
        <v>0</v>
      </c>
      <c r="P686" s="330">
        <v>0</v>
      </c>
      <c r="Q686" s="330">
        <v>0</v>
      </c>
      <c r="R686" s="330">
        <v>0</v>
      </c>
      <c r="S686" s="330">
        <v>0</v>
      </c>
      <c r="T686" s="330">
        <v>0</v>
      </c>
      <c r="U686" s="331">
        <v>0</v>
      </c>
      <c r="V686" s="332">
        <v>0</v>
      </c>
      <c r="W686" s="333"/>
      <c r="X686" s="334">
        <v>0</v>
      </c>
      <c r="Y686" s="335">
        <v>0</v>
      </c>
    </row>
    <row r="687" spans="1:25" s="326" customFormat="1" hidden="1" outlineLevel="2" x14ac:dyDescent="0.3">
      <c r="E687" s="326" t="s">
        <v>1643</v>
      </c>
      <c r="F687" s="336"/>
      <c r="G687" s="327"/>
      <c r="H687" s="328"/>
      <c r="I687" s="329"/>
      <c r="J687" s="338">
        <v>0</v>
      </c>
      <c r="K687" s="330">
        <v>0</v>
      </c>
      <c r="L687" s="330">
        <v>0</v>
      </c>
      <c r="M687" s="330">
        <v>0</v>
      </c>
      <c r="N687" s="330">
        <v>0</v>
      </c>
      <c r="O687" s="330">
        <v>0</v>
      </c>
      <c r="P687" s="330">
        <v>0</v>
      </c>
      <c r="Q687" s="330">
        <v>0</v>
      </c>
      <c r="R687" s="330">
        <v>0</v>
      </c>
      <c r="S687" s="330">
        <v>0</v>
      </c>
      <c r="T687" s="330">
        <v>0</v>
      </c>
      <c r="U687" s="331">
        <v>0</v>
      </c>
      <c r="V687" s="332">
        <v>0</v>
      </c>
      <c r="W687" s="333"/>
      <c r="X687" s="334">
        <v>0</v>
      </c>
      <c r="Y687" s="335">
        <v>0</v>
      </c>
    </row>
    <row r="688" spans="1:25" s="326" customFormat="1" hidden="1" outlineLevel="2" x14ac:dyDescent="0.3">
      <c r="E688" s="326" t="s">
        <v>1644</v>
      </c>
      <c r="F688" s="336"/>
      <c r="G688" s="327"/>
      <c r="H688" s="328"/>
      <c r="I688" s="329"/>
      <c r="J688" s="338">
        <v>0</v>
      </c>
      <c r="K688" s="330">
        <v>0</v>
      </c>
      <c r="L688" s="330">
        <v>0</v>
      </c>
      <c r="M688" s="330">
        <v>0</v>
      </c>
      <c r="N688" s="330">
        <v>0</v>
      </c>
      <c r="O688" s="330">
        <v>0</v>
      </c>
      <c r="P688" s="330">
        <v>0</v>
      </c>
      <c r="Q688" s="330">
        <v>0</v>
      </c>
      <c r="R688" s="330">
        <v>0</v>
      </c>
      <c r="S688" s="330">
        <v>0</v>
      </c>
      <c r="T688" s="330">
        <v>0</v>
      </c>
      <c r="U688" s="331">
        <v>0</v>
      </c>
      <c r="V688" s="332">
        <v>0</v>
      </c>
      <c r="W688" s="333"/>
      <c r="X688" s="334">
        <v>0</v>
      </c>
      <c r="Y688" s="335">
        <v>0</v>
      </c>
    </row>
    <row r="689" spans="1:25" collapsed="1" x14ac:dyDescent="0.3">
      <c r="A689" s="233"/>
      <c r="B689" s="234" t="s">
        <v>70</v>
      </c>
      <c r="D689" s="293" t="s">
        <v>1645</v>
      </c>
      <c r="E689" s="294"/>
      <c r="F689" s="295" t="s">
        <v>1646</v>
      </c>
      <c r="G689" s="296"/>
      <c r="H689" s="297"/>
      <c r="I689" s="298"/>
      <c r="J689" s="299">
        <v>66807.959000000003</v>
      </c>
      <c r="K689" s="300">
        <v>70204.304999999993</v>
      </c>
      <c r="L689" s="300">
        <v>24085.621000000003</v>
      </c>
      <c r="M689" s="300">
        <v>68796.070000000007</v>
      </c>
      <c r="N689" s="300">
        <v>66878.880000000005</v>
      </c>
      <c r="O689" s="300">
        <v>91654.910999999993</v>
      </c>
      <c r="P689" s="300">
        <v>96376.531000000003</v>
      </c>
      <c r="Q689" s="300">
        <v>-15292.220000000001</v>
      </c>
      <c r="R689" s="300">
        <v>88724.654999999999</v>
      </c>
      <c r="S689" s="300">
        <v>80832.97</v>
      </c>
      <c r="T689" s="300">
        <v>77830.866999999998</v>
      </c>
      <c r="U689" s="301">
        <v>58525.546000000002</v>
      </c>
      <c r="V689" s="302">
        <v>775426.09499999997</v>
      </c>
      <c r="W689" s="303"/>
      <c r="X689" s="304">
        <v>58525.546000000002</v>
      </c>
      <c r="Y689" s="305">
        <v>775426.09499999997</v>
      </c>
    </row>
    <row r="690" spans="1:25" hidden="1" outlineLevel="1" x14ac:dyDescent="0.3">
      <c r="E690" s="250" t="s">
        <v>1647</v>
      </c>
      <c r="F690" s="317">
        <v>4312001</v>
      </c>
      <c r="G690" s="318"/>
      <c r="H690" s="319"/>
      <c r="I690" s="320"/>
      <c r="J690" s="337">
        <v>4134.8069999999998</v>
      </c>
      <c r="K690" s="321">
        <v>6334.9380000000001</v>
      </c>
      <c r="L690" s="321">
        <v>6140.643</v>
      </c>
      <c r="M690" s="321">
        <v>7293.1589999999997</v>
      </c>
      <c r="N690" s="321">
        <v>8081.28</v>
      </c>
      <c r="O690" s="321">
        <v>8316.9860000000008</v>
      </c>
      <c r="P690" s="321">
        <v>8908.4369999999999</v>
      </c>
      <c r="Q690" s="321">
        <v>6401.9849999999997</v>
      </c>
      <c r="R690" s="321">
        <v>9001.2939999999999</v>
      </c>
      <c r="S690" s="321">
        <v>5755.2529999999997</v>
      </c>
      <c r="T690" s="321">
        <v>3027.828</v>
      </c>
      <c r="U690" s="322">
        <v>9217.0550000000003</v>
      </c>
      <c r="V690" s="323">
        <v>82613.664999999979</v>
      </c>
      <c r="W690" s="303"/>
      <c r="X690" s="324">
        <v>9217.0550000000003</v>
      </c>
      <c r="Y690" s="325">
        <v>82613.664999999979</v>
      </c>
    </row>
    <row r="691" spans="1:25" hidden="1" outlineLevel="1" x14ac:dyDescent="0.3">
      <c r="E691" s="250" t="s">
        <v>1648</v>
      </c>
      <c r="F691" s="317">
        <v>4312002</v>
      </c>
      <c r="G691" s="318"/>
      <c r="H691" s="319">
        <v>5101670101</v>
      </c>
      <c r="I691" s="320"/>
      <c r="J691" s="337">
        <v>-90.07</v>
      </c>
      <c r="K691" s="321">
        <v>0</v>
      </c>
      <c r="L691" s="321">
        <v>-117</v>
      </c>
      <c r="M691" s="321">
        <v>-173.20699999999999</v>
      </c>
      <c r="N691" s="321">
        <v>-61.94</v>
      </c>
      <c r="O691" s="321">
        <v>0</v>
      </c>
      <c r="P691" s="321">
        <v>0</v>
      </c>
      <c r="Q691" s="321">
        <v>-20</v>
      </c>
      <c r="R691" s="321">
        <v>766.73</v>
      </c>
      <c r="S691" s="321">
        <v>-507.16199999999998</v>
      </c>
      <c r="T691" s="321">
        <v>-565.13599999999997</v>
      </c>
      <c r="U691" s="322">
        <v>72.668000000000006</v>
      </c>
      <c r="V691" s="323">
        <v>-695.11699999999985</v>
      </c>
      <c r="W691" s="303"/>
      <c r="X691" s="324">
        <v>72.668000000000006</v>
      </c>
      <c r="Y691" s="325">
        <v>-695.11699999999985</v>
      </c>
    </row>
    <row r="692" spans="1:25" hidden="1" outlineLevel="1" x14ac:dyDescent="0.3">
      <c r="E692" s="250" t="s">
        <v>1649</v>
      </c>
      <c r="F692" s="317">
        <v>4312003</v>
      </c>
      <c r="G692" s="318"/>
      <c r="H692" s="319"/>
      <c r="I692" s="320"/>
      <c r="J692" s="337">
        <v>0</v>
      </c>
      <c r="K692" s="321">
        <v>0</v>
      </c>
      <c r="L692" s="321">
        <v>-35609.591</v>
      </c>
      <c r="M692" s="321">
        <v>0</v>
      </c>
      <c r="N692" s="321">
        <v>0</v>
      </c>
      <c r="O692" s="321">
        <v>9654.5879999999997</v>
      </c>
      <c r="P692" s="321">
        <v>0</v>
      </c>
      <c r="Q692" s="321">
        <v>0</v>
      </c>
      <c r="R692" s="321">
        <v>-4977.0200000000004</v>
      </c>
      <c r="S692" s="321">
        <v>0</v>
      </c>
      <c r="T692" s="321">
        <v>0</v>
      </c>
      <c r="U692" s="322">
        <v>-39476.125</v>
      </c>
      <c r="V692" s="323">
        <v>-70408.148000000001</v>
      </c>
      <c r="W692" s="303"/>
      <c r="X692" s="324">
        <v>-39476.125</v>
      </c>
      <c r="Y692" s="325">
        <v>-70408.148000000001</v>
      </c>
    </row>
    <row r="693" spans="1:25" hidden="1" outlineLevel="1" x14ac:dyDescent="0.3">
      <c r="E693" s="250" t="s">
        <v>1650</v>
      </c>
      <c r="F693" s="317">
        <v>4312004</v>
      </c>
      <c r="G693" s="318"/>
      <c r="H693" s="319"/>
      <c r="I693" s="320"/>
      <c r="J693" s="337">
        <v>62763.222000000002</v>
      </c>
      <c r="K693" s="321">
        <v>63869.366999999998</v>
      </c>
      <c r="L693" s="321">
        <v>53671.569000000003</v>
      </c>
      <c r="M693" s="321">
        <v>61676.118000000002</v>
      </c>
      <c r="N693" s="321">
        <v>58859.54</v>
      </c>
      <c r="O693" s="321">
        <v>73683.337</v>
      </c>
      <c r="P693" s="321">
        <v>87468.093999999997</v>
      </c>
      <c r="Q693" s="321">
        <v>-21674.205000000002</v>
      </c>
      <c r="R693" s="321">
        <v>83933.650999999998</v>
      </c>
      <c r="S693" s="321">
        <v>75584.879000000001</v>
      </c>
      <c r="T693" s="321">
        <v>75368.175000000003</v>
      </c>
      <c r="U693" s="322">
        <v>88711.948000000004</v>
      </c>
      <c r="V693" s="323">
        <v>763915.69499999995</v>
      </c>
      <c r="W693" s="303"/>
      <c r="X693" s="324">
        <v>88711.948000000004</v>
      </c>
      <c r="Y693" s="325">
        <v>763915.69499999995</v>
      </c>
    </row>
    <row r="694" spans="1:25" s="326" customFormat="1" hidden="1" outlineLevel="2" x14ac:dyDescent="0.3">
      <c r="E694" s="326" t="s">
        <v>1651</v>
      </c>
      <c r="F694" s="336"/>
      <c r="G694" s="327"/>
      <c r="H694" s="328"/>
      <c r="I694" s="329"/>
      <c r="J694" s="338">
        <v>0</v>
      </c>
      <c r="K694" s="330">
        <v>0</v>
      </c>
      <c r="L694" s="330">
        <v>0</v>
      </c>
      <c r="M694" s="330">
        <v>0</v>
      </c>
      <c r="N694" s="330">
        <v>0</v>
      </c>
      <c r="O694" s="330">
        <v>0</v>
      </c>
      <c r="P694" s="330">
        <v>0</v>
      </c>
      <c r="Q694" s="330">
        <v>0</v>
      </c>
      <c r="R694" s="330">
        <v>0</v>
      </c>
      <c r="S694" s="330">
        <v>0</v>
      </c>
      <c r="T694" s="330">
        <v>0</v>
      </c>
      <c r="U694" s="331">
        <v>0</v>
      </c>
      <c r="V694" s="332">
        <v>0</v>
      </c>
      <c r="W694" s="333"/>
      <c r="X694" s="334">
        <v>0</v>
      </c>
      <c r="Y694" s="335">
        <v>0</v>
      </c>
    </row>
    <row r="695" spans="1:25" s="326" customFormat="1" hidden="1" outlineLevel="2" x14ac:dyDescent="0.3">
      <c r="E695" s="326" t="s">
        <v>1652</v>
      </c>
      <c r="F695" s="336"/>
      <c r="G695" s="327"/>
      <c r="H695" s="328"/>
      <c r="I695" s="329"/>
      <c r="J695" s="338">
        <v>0</v>
      </c>
      <c r="K695" s="330">
        <v>0</v>
      </c>
      <c r="L695" s="330">
        <v>0</v>
      </c>
      <c r="M695" s="330">
        <v>0</v>
      </c>
      <c r="N695" s="330">
        <v>0</v>
      </c>
      <c r="O695" s="330">
        <v>0</v>
      </c>
      <c r="P695" s="330">
        <v>0</v>
      </c>
      <c r="Q695" s="330">
        <v>0</v>
      </c>
      <c r="R695" s="330">
        <v>0</v>
      </c>
      <c r="S695" s="330">
        <v>0</v>
      </c>
      <c r="T695" s="330">
        <v>0</v>
      </c>
      <c r="U695" s="331">
        <v>0</v>
      </c>
      <c r="V695" s="332">
        <v>0</v>
      </c>
      <c r="W695" s="333"/>
      <c r="X695" s="334">
        <v>0</v>
      </c>
      <c r="Y695" s="335">
        <v>0</v>
      </c>
    </row>
    <row r="696" spans="1:25" s="326" customFormat="1" hidden="1" outlineLevel="2" x14ac:dyDescent="0.3">
      <c r="E696" s="326" t="s">
        <v>1653</v>
      </c>
      <c r="F696" s="336"/>
      <c r="G696" s="327"/>
      <c r="H696" s="328"/>
      <c r="I696" s="329"/>
      <c r="J696" s="338">
        <v>0</v>
      </c>
      <c r="K696" s="330">
        <v>0</v>
      </c>
      <c r="L696" s="330">
        <v>0</v>
      </c>
      <c r="M696" s="330">
        <v>0</v>
      </c>
      <c r="N696" s="330">
        <v>0</v>
      </c>
      <c r="O696" s="330">
        <v>0</v>
      </c>
      <c r="P696" s="330">
        <v>0</v>
      </c>
      <c r="Q696" s="330">
        <v>0</v>
      </c>
      <c r="R696" s="330">
        <v>0</v>
      </c>
      <c r="S696" s="330">
        <v>0</v>
      </c>
      <c r="T696" s="330">
        <v>0</v>
      </c>
      <c r="U696" s="331">
        <v>0</v>
      </c>
      <c r="V696" s="332">
        <v>0</v>
      </c>
      <c r="W696" s="333"/>
      <c r="X696" s="334">
        <v>0</v>
      </c>
      <c r="Y696" s="335">
        <v>0</v>
      </c>
    </row>
    <row r="697" spans="1:25" collapsed="1" x14ac:dyDescent="0.3">
      <c r="D697" s="293" t="s">
        <v>1654</v>
      </c>
      <c r="E697" s="294"/>
      <c r="F697" s="295" t="s">
        <v>1655</v>
      </c>
      <c r="G697" s="296"/>
      <c r="H697" s="297"/>
      <c r="I697" s="298"/>
      <c r="J697" s="299">
        <v>1525558.6969999999</v>
      </c>
      <c r="K697" s="300">
        <v>1575557.6879999998</v>
      </c>
      <c r="L697" s="300">
        <v>1439489.5830000001</v>
      </c>
      <c r="M697" s="300">
        <v>1662810.105</v>
      </c>
      <c r="N697" s="300">
        <v>1552016.7860000001</v>
      </c>
      <c r="O697" s="300">
        <v>1499681.3669999999</v>
      </c>
      <c r="P697" s="300">
        <v>1893602.6809999999</v>
      </c>
      <c r="Q697" s="300">
        <v>1673875.324</v>
      </c>
      <c r="R697" s="300">
        <v>1562037.15</v>
      </c>
      <c r="S697" s="300">
        <v>1613929.2069999999</v>
      </c>
      <c r="T697" s="300">
        <v>1459059.5970000001</v>
      </c>
      <c r="U697" s="301">
        <v>1843565.3629999999</v>
      </c>
      <c r="V697" s="302">
        <v>19301183.548</v>
      </c>
      <c r="W697" s="303"/>
      <c r="X697" s="304">
        <v>1843565.3629999999</v>
      </c>
      <c r="Y697" s="305">
        <v>19301183.548</v>
      </c>
    </row>
    <row r="698" spans="1:25" x14ac:dyDescent="0.3">
      <c r="A698" s="233"/>
      <c r="B698" s="234" t="s">
        <v>45</v>
      </c>
      <c r="E698" s="339" t="s">
        <v>1656</v>
      </c>
      <c r="F698" s="340" t="s">
        <v>1657</v>
      </c>
      <c r="G698" s="341"/>
      <c r="H698" s="342"/>
      <c r="I698" s="343"/>
      <c r="J698" s="344">
        <v>0</v>
      </c>
      <c r="K698" s="345">
        <v>0</v>
      </c>
      <c r="L698" s="345">
        <v>0</v>
      </c>
      <c r="M698" s="345">
        <v>0</v>
      </c>
      <c r="N698" s="345">
        <v>0</v>
      </c>
      <c r="O698" s="345">
        <v>0</v>
      </c>
      <c r="P698" s="345">
        <v>0</v>
      </c>
      <c r="Q698" s="345">
        <v>0</v>
      </c>
      <c r="R698" s="345">
        <v>0</v>
      </c>
      <c r="S698" s="345">
        <v>0</v>
      </c>
      <c r="T698" s="345">
        <v>0</v>
      </c>
      <c r="U698" s="346">
        <v>0</v>
      </c>
      <c r="V698" s="347">
        <v>0</v>
      </c>
      <c r="W698" s="303"/>
      <c r="X698" s="348">
        <v>0</v>
      </c>
      <c r="Y698" s="349">
        <v>0</v>
      </c>
    </row>
    <row r="699" spans="1:25" hidden="1" outlineLevel="1" x14ac:dyDescent="0.3">
      <c r="E699" s="250" t="s">
        <v>1658</v>
      </c>
      <c r="F699" s="317">
        <v>8950004</v>
      </c>
      <c r="G699" s="318"/>
      <c r="H699" s="319"/>
      <c r="I699" s="320"/>
      <c r="J699" s="337">
        <v>0</v>
      </c>
      <c r="K699" s="321">
        <v>0</v>
      </c>
      <c r="L699" s="321">
        <v>0</v>
      </c>
      <c r="M699" s="321">
        <v>0</v>
      </c>
      <c r="N699" s="321">
        <v>0</v>
      </c>
      <c r="O699" s="321">
        <v>0</v>
      </c>
      <c r="P699" s="321">
        <v>0</v>
      </c>
      <c r="Q699" s="321">
        <v>0</v>
      </c>
      <c r="R699" s="321">
        <v>0</v>
      </c>
      <c r="S699" s="321">
        <v>0</v>
      </c>
      <c r="T699" s="321">
        <v>0</v>
      </c>
      <c r="U699" s="322">
        <v>0</v>
      </c>
      <c r="V699" s="323">
        <v>0</v>
      </c>
      <c r="W699" s="303"/>
      <c r="X699" s="324">
        <v>0</v>
      </c>
      <c r="Y699" s="325">
        <v>0</v>
      </c>
    </row>
    <row r="700" spans="1:25" hidden="1" outlineLevel="1" x14ac:dyDescent="0.3">
      <c r="E700" s="250" t="s">
        <v>1659</v>
      </c>
      <c r="F700" s="317">
        <v>8950005</v>
      </c>
      <c r="G700" s="318"/>
      <c r="H700" s="319"/>
      <c r="I700" s="320"/>
      <c r="J700" s="337">
        <v>0</v>
      </c>
      <c r="K700" s="321">
        <v>0</v>
      </c>
      <c r="L700" s="321">
        <v>0</v>
      </c>
      <c r="M700" s="321">
        <v>0</v>
      </c>
      <c r="N700" s="321">
        <v>0</v>
      </c>
      <c r="O700" s="321">
        <v>0</v>
      </c>
      <c r="P700" s="321">
        <v>0</v>
      </c>
      <c r="Q700" s="321">
        <v>0</v>
      </c>
      <c r="R700" s="321">
        <v>0</v>
      </c>
      <c r="S700" s="321">
        <v>0</v>
      </c>
      <c r="T700" s="321">
        <v>0</v>
      </c>
      <c r="U700" s="322">
        <v>0</v>
      </c>
      <c r="V700" s="323">
        <v>0</v>
      </c>
      <c r="W700" s="303"/>
      <c r="X700" s="324">
        <v>0</v>
      </c>
      <c r="Y700" s="325">
        <v>0</v>
      </c>
    </row>
    <row r="701" spans="1:25" hidden="1" outlineLevel="1" x14ac:dyDescent="0.3">
      <c r="E701" s="250" t="s">
        <v>1660</v>
      </c>
      <c r="F701" s="317">
        <v>8950006</v>
      </c>
      <c r="G701" s="318"/>
      <c r="H701" s="319"/>
      <c r="I701" s="320"/>
      <c r="J701" s="337">
        <v>0</v>
      </c>
      <c r="K701" s="321">
        <v>0</v>
      </c>
      <c r="L701" s="321">
        <v>0</v>
      </c>
      <c r="M701" s="321">
        <v>0</v>
      </c>
      <c r="N701" s="321">
        <v>0</v>
      </c>
      <c r="O701" s="321">
        <v>0</v>
      </c>
      <c r="P701" s="321">
        <v>0</v>
      </c>
      <c r="Q701" s="321">
        <v>0</v>
      </c>
      <c r="R701" s="321">
        <v>0</v>
      </c>
      <c r="S701" s="321">
        <v>0</v>
      </c>
      <c r="T701" s="321">
        <v>0</v>
      </c>
      <c r="U701" s="322">
        <v>0</v>
      </c>
      <c r="V701" s="323">
        <v>0</v>
      </c>
      <c r="W701" s="303"/>
      <c r="X701" s="324">
        <v>0</v>
      </c>
      <c r="Y701" s="325">
        <v>0</v>
      </c>
    </row>
    <row r="702" spans="1:25" hidden="1" outlineLevel="1" x14ac:dyDescent="0.3">
      <c r="E702" s="250" t="s">
        <v>1661</v>
      </c>
      <c r="F702" s="317">
        <v>8950012</v>
      </c>
      <c r="G702" s="318"/>
      <c r="H702" s="319"/>
      <c r="I702" s="320"/>
      <c r="J702" s="337">
        <v>0</v>
      </c>
      <c r="K702" s="321">
        <v>0</v>
      </c>
      <c r="L702" s="321">
        <v>0</v>
      </c>
      <c r="M702" s="321">
        <v>0</v>
      </c>
      <c r="N702" s="321">
        <v>0</v>
      </c>
      <c r="O702" s="321">
        <v>0</v>
      </c>
      <c r="P702" s="321">
        <v>0</v>
      </c>
      <c r="Q702" s="321">
        <v>0</v>
      </c>
      <c r="R702" s="321">
        <v>0</v>
      </c>
      <c r="S702" s="321">
        <v>0</v>
      </c>
      <c r="T702" s="321">
        <v>0</v>
      </c>
      <c r="U702" s="322">
        <v>0</v>
      </c>
      <c r="V702" s="323">
        <v>0</v>
      </c>
      <c r="W702" s="303"/>
      <c r="X702" s="324">
        <v>0</v>
      </c>
      <c r="Y702" s="325">
        <v>0</v>
      </c>
    </row>
    <row r="703" spans="1:25" hidden="1" outlineLevel="1" x14ac:dyDescent="0.3">
      <c r="E703" s="250" t="s">
        <v>1662</v>
      </c>
      <c r="F703" s="317">
        <v>8950013</v>
      </c>
      <c r="G703" s="318"/>
      <c r="H703" s="319"/>
      <c r="I703" s="320"/>
      <c r="J703" s="337">
        <v>0</v>
      </c>
      <c r="K703" s="321">
        <v>0</v>
      </c>
      <c r="L703" s="321">
        <v>0</v>
      </c>
      <c r="M703" s="321">
        <v>0</v>
      </c>
      <c r="N703" s="321">
        <v>0</v>
      </c>
      <c r="O703" s="321">
        <v>0</v>
      </c>
      <c r="P703" s="321">
        <v>0</v>
      </c>
      <c r="Q703" s="321">
        <v>0</v>
      </c>
      <c r="R703" s="321">
        <v>0</v>
      </c>
      <c r="S703" s="321">
        <v>0</v>
      </c>
      <c r="T703" s="321">
        <v>0</v>
      </c>
      <c r="U703" s="322">
        <v>0</v>
      </c>
      <c r="V703" s="323">
        <v>0</v>
      </c>
      <c r="W703" s="303"/>
      <c r="X703" s="324">
        <v>0</v>
      </c>
      <c r="Y703" s="325">
        <v>0</v>
      </c>
    </row>
    <row r="704" spans="1:25" hidden="1" outlineLevel="1" x14ac:dyDescent="0.3">
      <c r="E704" s="250" t="s">
        <v>1663</v>
      </c>
      <c r="F704" s="317">
        <v>8950017</v>
      </c>
      <c r="G704" s="318"/>
      <c r="H704" s="319"/>
      <c r="I704" s="320"/>
      <c r="J704" s="337">
        <v>0</v>
      </c>
      <c r="K704" s="321">
        <v>0</v>
      </c>
      <c r="L704" s="321">
        <v>0</v>
      </c>
      <c r="M704" s="321">
        <v>0</v>
      </c>
      <c r="N704" s="321">
        <v>0</v>
      </c>
      <c r="O704" s="321">
        <v>0</v>
      </c>
      <c r="P704" s="321">
        <v>0</v>
      </c>
      <c r="Q704" s="321">
        <v>0</v>
      </c>
      <c r="R704" s="321">
        <v>0</v>
      </c>
      <c r="S704" s="321">
        <v>0</v>
      </c>
      <c r="T704" s="321">
        <v>0</v>
      </c>
      <c r="U704" s="322">
        <v>0</v>
      </c>
      <c r="V704" s="323">
        <v>0</v>
      </c>
      <c r="W704" s="303"/>
      <c r="X704" s="324">
        <v>0</v>
      </c>
      <c r="Y704" s="325">
        <v>0</v>
      </c>
    </row>
    <row r="705" spans="1:25" s="326" customFormat="1" hidden="1" outlineLevel="2" x14ac:dyDescent="0.3">
      <c r="E705" s="326" t="s">
        <v>1664</v>
      </c>
      <c r="F705" s="336"/>
      <c r="G705" s="327"/>
      <c r="H705" s="328"/>
      <c r="I705" s="329"/>
      <c r="J705" s="338">
        <v>0</v>
      </c>
      <c r="K705" s="330">
        <v>0</v>
      </c>
      <c r="L705" s="330">
        <v>0</v>
      </c>
      <c r="M705" s="330">
        <v>0</v>
      </c>
      <c r="N705" s="330">
        <v>0</v>
      </c>
      <c r="O705" s="330">
        <v>0</v>
      </c>
      <c r="P705" s="330">
        <v>0</v>
      </c>
      <c r="Q705" s="330">
        <v>0</v>
      </c>
      <c r="R705" s="330">
        <v>0</v>
      </c>
      <c r="S705" s="330">
        <v>0</v>
      </c>
      <c r="T705" s="330">
        <v>0</v>
      </c>
      <c r="U705" s="331">
        <v>0</v>
      </c>
      <c r="V705" s="332">
        <v>0</v>
      </c>
      <c r="W705" s="333"/>
      <c r="X705" s="334">
        <v>0</v>
      </c>
      <c r="Y705" s="335">
        <v>0</v>
      </c>
    </row>
    <row r="706" spans="1:25" s="326" customFormat="1" hidden="1" outlineLevel="2" x14ac:dyDescent="0.3">
      <c r="E706" s="326" t="s">
        <v>1665</v>
      </c>
      <c r="F706" s="336"/>
      <c r="G706" s="327"/>
      <c r="H706" s="328"/>
      <c r="I706" s="329"/>
      <c r="J706" s="338">
        <v>0</v>
      </c>
      <c r="K706" s="330">
        <v>0</v>
      </c>
      <c r="L706" s="330">
        <v>0</v>
      </c>
      <c r="M706" s="330">
        <v>0</v>
      </c>
      <c r="N706" s="330">
        <v>0</v>
      </c>
      <c r="O706" s="330">
        <v>0</v>
      </c>
      <c r="P706" s="330">
        <v>0</v>
      </c>
      <c r="Q706" s="330">
        <v>0</v>
      </c>
      <c r="R706" s="330">
        <v>0</v>
      </c>
      <c r="S706" s="330">
        <v>0</v>
      </c>
      <c r="T706" s="330">
        <v>0</v>
      </c>
      <c r="U706" s="331">
        <v>0</v>
      </c>
      <c r="V706" s="332">
        <v>0</v>
      </c>
      <c r="W706" s="333"/>
      <c r="X706" s="334">
        <v>0</v>
      </c>
      <c r="Y706" s="335">
        <v>0</v>
      </c>
    </row>
    <row r="707" spans="1:25" s="326" customFormat="1" hidden="1" outlineLevel="2" x14ac:dyDescent="0.3">
      <c r="E707" s="326" t="s">
        <v>1666</v>
      </c>
      <c r="F707" s="336"/>
      <c r="G707" s="327"/>
      <c r="H707" s="328"/>
      <c r="I707" s="329"/>
      <c r="J707" s="338">
        <v>0</v>
      </c>
      <c r="K707" s="330">
        <v>0</v>
      </c>
      <c r="L707" s="330">
        <v>0</v>
      </c>
      <c r="M707" s="330">
        <v>0</v>
      </c>
      <c r="N707" s="330">
        <v>0</v>
      </c>
      <c r="O707" s="330">
        <v>0</v>
      </c>
      <c r="P707" s="330">
        <v>0</v>
      </c>
      <c r="Q707" s="330">
        <v>0</v>
      </c>
      <c r="R707" s="330">
        <v>0</v>
      </c>
      <c r="S707" s="330">
        <v>0</v>
      </c>
      <c r="T707" s="330">
        <v>0</v>
      </c>
      <c r="U707" s="331">
        <v>0</v>
      </c>
      <c r="V707" s="332">
        <v>0</v>
      </c>
      <c r="W707" s="333"/>
      <c r="X707" s="334">
        <v>0</v>
      </c>
      <c r="Y707" s="335">
        <v>0</v>
      </c>
    </row>
    <row r="708" spans="1:25" collapsed="1" x14ac:dyDescent="0.3">
      <c r="E708" s="339" t="s">
        <v>1667</v>
      </c>
      <c r="F708" s="340" t="s">
        <v>1668</v>
      </c>
      <c r="G708" s="341"/>
      <c r="H708" s="342"/>
      <c r="I708" s="343"/>
      <c r="J708" s="344">
        <v>1485052.3929999999</v>
      </c>
      <c r="K708" s="345">
        <v>1587417.4409999999</v>
      </c>
      <c r="L708" s="345">
        <v>1416345.8730000001</v>
      </c>
      <c r="M708" s="345">
        <v>1609903.209</v>
      </c>
      <c r="N708" s="345">
        <v>1499371.983</v>
      </c>
      <c r="O708" s="345">
        <v>1442851.2289999998</v>
      </c>
      <c r="P708" s="345">
        <v>1845274.953</v>
      </c>
      <c r="Q708" s="345">
        <v>1587432.3060000001</v>
      </c>
      <c r="R708" s="345">
        <v>1444176.004</v>
      </c>
      <c r="S708" s="345">
        <v>1516003.6189999999</v>
      </c>
      <c r="T708" s="345">
        <v>1386288.929</v>
      </c>
      <c r="U708" s="346">
        <v>1741444.872</v>
      </c>
      <c r="V708" s="347">
        <v>18561562.811000001</v>
      </c>
      <c r="W708" s="303"/>
      <c r="X708" s="348">
        <v>1741444.872</v>
      </c>
      <c r="Y708" s="349">
        <v>18561562.811000001</v>
      </c>
    </row>
    <row r="709" spans="1:25" hidden="1" outlineLevel="1" x14ac:dyDescent="0.3">
      <c r="A709" s="233"/>
      <c r="B709" s="234" t="s">
        <v>49</v>
      </c>
      <c r="E709" s="250" t="s">
        <v>1669</v>
      </c>
      <c r="F709" s="317">
        <v>8900000</v>
      </c>
      <c r="G709" s="318"/>
      <c r="H709" s="319"/>
      <c r="I709" s="320"/>
      <c r="J709" s="337">
        <v>105533.56600000001</v>
      </c>
      <c r="K709" s="321">
        <v>111576.86</v>
      </c>
      <c r="L709" s="321">
        <v>-45875.968999999997</v>
      </c>
      <c r="M709" s="321">
        <v>93332.712</v>
      </c>
      <c r="N709" s="321">
        <v>91927.26</v>
      </c>
      <c r="O709" s="321">
        <v>74039.334000000003</v>
      </c>
      <c r="P709" s="321">
        <v>83858.907000000007</v>
      </c>
      <c r="Q709" s="321">
        <v>82049.604999999996</v>
      </c>
      <c r="R709" s="321">
        <v>82992.993000000002</v>
      </c>
      <c r="S709" s="321">
        <v>86339.248999999996</v>
      </c>
      <c r="T709" s="321">
        <v>90716.695000000007</v>
      </c>
      <c r="U709" s="322">
        <v>-170298.83300000001</v>
      </c>
      <c r="V709" s="323">
        <v>686192.37900000007</v>
      </c>
      <c r="W709" s="303"/>
      <c r="X709" s="324">
        <v>-170298.83300000001</v>
      </c>
      <c r="Y709" s="325">
        <v>686192.37900000007</v>
      </c>
    </row>
    <row r="710" spans="1:25" hidden="1" outlineLevel="1" x14ac:dyDescent="0.3">
      <c r="A710" s="233"/>
      <c r="B710" s="234" t="s">
        <v>49</v>
      </c>
      <c r="E710" s="250" t="s">
        <v>1670</v>
      </c>
      <c r="F710" s="317">
        <v>8900001</v>
      </c>
      <c r="G710" s="318"/>
      <c r="H710" s="319"/>
      <c r="I710" s="320"/>
      <c r="J710" s="337">
        <v>302513.82500000001</v>
      </c>
      <c r="K710" s="321">
        <v>263032.17200000002</v>
      </c>
      <c r="L710" s="321">
        <v>239713.54199999999</v>
      </c>
      <c r="M710" s="321">
        <v>291921.29399999999</v>
      </c>
      <c r="N710" s="321">
        <v>249814.49900000001</v>
      </c>
      <c r="O710" s="321">
        <v>203981.65900000001</v>
      </c>
      <c r="P710" s="321">
        <v>233685.63500000001</v>
      </c>
      <c r="Q710" s="321">
        <v>250682.22099999999</v>
      </c>
      <c r="R710" s="321">
        <v>243701.77100000001</v>
      </c>
      <c r="S710" s="321">
        <v>258515.54399999999</v>
      </c>
      <c r="T710" s="321">
        <v>248780.49299999999</v>
      </c>
      <c r="U710" s="322">
        <v>-252099.701</v>
      </c>
      <c r="V710" s="323">
        <v>2534242.9540000004</v>
      </c>
      <c r="W710" s="303"/>
      <c r="X710" s="324">
        <v>-252099.701</v>
      </c>
      <c r="Y710" s="325">
        <v>2534242.9540000004</v>
      </c>
    </row>
    <row r="711" spans="1:25" hidden="1" outlineLevel="1" x14ac:dyDescent="0.3">
      <c r="A711" s="233"/>
      <c r="B711" s="234" t="s">
        <v>49</v>
      </c>
      <c r="E711" s="250" t="s">
        <v>1671</v>
      </c>
      <c r="F711" s="317">
        <v>8900002</v>
      </c>
      <c r="G711" s="318"/>
      <c r="H711" s="319"/>
      <c r="I711" s="320"/>
      <c r="J711" s="337">
        <v>141633.77100000001</v>
      </c>
      <c r="K711" s="321">
        <v>158540.321</v>
      </c>
      <c r="L711" s="321">
        <v>134806.41</v>
      </c>
      <c r="M711" s="321">
        <v>156063.70600000001</v>
      </c>
      <c r="N711" s="321">
        <v>144687.52799999999</v>
      </c>
      <c r="O711" s="321">
        <v>122550.25199999999</v>
      </c>
      <c r="P711" s="321">
        <v>145550.38500000001</v>
      </c>
      <c r="Q711" s="321">
        <v>153056.516</v>
      </c>
      <c r="R711" s="321">
        <v>140550.003</v>
      </c>
      <c r="S711" s="321">
        <v>128292.965</v>
      </c>
      <c r="T711" s="321">
        <v>132423.48300000001</v>
      </c>
      <c r="U711" s="322">
        <v>308474.74400000001</v>
      </c>
      <c r="V711" s="323">
        <v>1866630.084</v>
      </c>
      <c r="W711" s="303"/>
      <c r="X711" s="324">
        <v>308474.74400000001</v>
      </c>
      <c r="Y711" s="325">
        <v>1866630.084</v>
      </c>
    </row>
    <row r="712" spans="1:25" hidden="1" outlineLevel="1" x14ac:dyDescent="0.3">
      <c r="A712" s="233"/>
      <c r="B712" s="234" t="s">
        <v>49</v>
      </c>
      <c r="E712" s="250" t="s">
        <v>1672</v>
      </c>
      <c r="F712" s="317">
        <v>8900003</v>
      </c>
      <c r="G712" s="318"/>
      <c r="H712" s="319"/>
      <c r="I712" s="320"/>
      <c r="J712" s="337">
        <v>312460.83799999999</v>
      </c>
      <c r="K712" s="321">
        <v>296363.935</v>
      </c>
      <c r="L712" s="321">
        <v>218341.128</v>
      </c>
      <c r="M712" s="321">
        <v>510131.40399999998</v>
      </c>
      <c r="N712" s="321">
        <v>396683.05099999998</v>
      </c>
      <c r="O712" s="321">
        <v>307135.97100000002</v>
      </c>
      <c r="P712" s="321">
        <v>274668.49699999997</v>
      </c>
      <c r="Q712" s="321">
        <v>360941.27799999999</v>
      </c>
      <c r="R712" s="321">
        <v>312133.91100000002</v>
      </c>
      <c r="S712" s="321">
        <v>336972.701</v>
      </c>
      <c r="T712" s="321">
        <v>364742.67200000002</v>
      </c>
      <c r="U712" s="322">
        <v>708366.56799999997</v>
      </c>
      <c r="V712" s="323">
        <v>4398941.9539999999</v>
      </c>
      <c r="W712" s="303"/>
      <c r="X712" s="324">
        <v>708366.56799999997</v>
      </c>
      <c r="Y712" s="325">
        <v>4398941.9539999999</v>
      </c>
    </row>
    <row r="713" spans="1:25" hidden="1" outlineLevel="1" x14ac:dyDescent="0.3">
      <c r="A713" s="233"/>
      <c r="B713" s="234" t="s">
        <v>47</v>
      </c>
      <c r="E713" s="250" t="s">
        <v>1673</v>
      </c>
      <c r="F713" s="317">
        <v>8900004</v>
      </c>
      <c r="G713" s="318"/>
      <c r="H713" s="319"/>
      <c r="I713" s="320"/>
      <c r="J713" s="337">
        <v>330605.60399999999</v>
      </c>
      <c r="K713" s="321">
        <v>226816.057</v>
      </c>
      <c r="L713" s="321">
        <v>235842.15700000001</v>
      </c>
      <c r="M713" s="321">
        <v>251074.35399999999</v>
      </c>
      <c r="N713" s="321">
        <v>253684.878</v>
      </c>
      <c r="O713" s="321">
        <v>261669.389</v>
      </c>
      <c r="P713" s="321">
        <v>314863.37400000001</v>
      </c>
      <c r="Q713" s="321">
        <v>501081.28700000001</v>
      </c>
      <c r="R713" s="321">
        <v>179650.56299999999</v>
      </c>
      <c r="S713" s="321">
        <v>164809.204</v>
      </c>
      <c r="T713" s="321">
        <v>170600.038</v>
      </c>
      <c r="U713" s="322">
        <v>277665.69</v>
      </c>
      <c r="V713" s="323">
        <v>3168362.5950000002</v>
      </c>
      <c r="W713" s="303"/>
      <c r="X713" s="324">
        <v>277665.69</v>
      </c>
      <c r="Y713" s="325">
        <v>3168362.5950000002</v>
      </c>
    </row>
    <row r="714" spans="1:25" hidden="1" outlineLevel="1" x14ac:dyDescent="0.3">
      <c r="A714" s="233"/>
      <c r="B714" s="234" t="s">
        <v>47</v>
      </c>
      <c r="E714" s="250" t="s">
        <v>1674</v>
      </c>
      <c r="F714" s="317">
        <v>8900005</v>
      </c>
      <c r="G714" s="318"/>
      <c r="H714" s="319"/>
      <c r="I714" s="320"/>
      <c r="J714" s="337">
        <v>1455.9169999999999</v>
      </c>
      <c r="K714" s="321">
        <v>3986.471</v>
      </c>
      <c r="L714" s="321">
        <v>2092.9029999999998</v>
      </c>
      <c r="M714" s="321">
        <v>2052.297</v>
      </c>
      <c r="N714" s="321">
        <v>2073.5450000000001</v>
      </c>
      <c r="O714" s="321">
        <v>2025.6489999999999</v>
      </c>
      <c r="P714" s="321">
        <v>2073.989</v>
      </c>
      <c r="Q714" s="321">
        <v>2073.991</v>
      </c>
      <c r="R714" s="321">
        <v>2048.127</v>
      </c>
      <c r="S714" s="321">
        <v>2068.1489999999999</v>
      </c>
      <c r="T714" s="321">
        <v>2157.0880000000002</v>
      </c>
      <c r="U714" s="322">
        <v>2221.8649999999998</v>
      </c>
      <c r="V714" s="323">
        <v>26329.991000000002</v>
      </c>
      <c r="W714" s="303"/>
      <c r="X714" s="324">
        <v>2221.8649999999998</v>
      </c>
      <c r="Y714" s="325">
        <v>26329.991000000002</v>
      </c>
    </row>
    <row r="715" spans="1:25" hidden="1" outlineLevel="1" x14ac:dyDescent="0.3">
      <c r="A715" s="233"/>
      <c r="B715" s="234" t="s">
        <v>49</v>
      </c>
      <c r="E715" s="250" t="s">
        <v>1675</v>
      </c>
      <c r="F715" s="317">
        <v>8900006</v>
      </c>
      <c r="G715" s="318"/>
      <c r="H715" s="319"/>
      <c r="I715" s="320"/>
      <c r="J715" s="337">
        <v>290848.87199999997</v>
      </c>
      <c r="K715" s="321">
        <v>527101.625</v>
      </c>
      <c r="L715" s="321">
        <v>631425.70200000005</v>
      </c>
      <c r="M715" s="321">
        <v>305327.44199999998</v>
      </c>
      <c r="N715" s="321">
        <v>360501.22200000001</v>
      </c>
      <c r="O715" s="321">
        <v>471448.97499999998</v>
      </c>
      <c r="P715" s="321">
        <v>790574.16599999997</v>
      </c>
      <c r="Q715" s="321">
        <v>237547.408</v>
      </c>
      <c r="R715" s="321">
        <v>483098.636</v>
      </c>
      <c r="S715" s="321">
        <v>539005.80700000003</v>
      </c>
      <c r="T715" s="321">
        <v>376868.46</v>
      </c>
      <c r="U715" s="322">
        <v>867114.53899999999</v>
      </c>
      <c r="V715" s="323">
        <v>5880862.8539999994</v>
      </c>
      <c r="W715" s="303"/>
      <c r="X715" s="324">
        <v>867114.53899999999</v>
      </c>
      <c r="Y715" s="325">
        <v>5880862.8539999994</v>
      </c>
    </row>
    <row r="716" spans="1:25" s="361" customFormat="1" hidden="1" outlineLevel="2" x14ac:dyDescent="0.3">
      <c r="E716" s="326" t="s">
        <v>1676</v>
      </c>
      <c r="F716" s="351"/>
      <c r="G716" s="352"/>
      <c r="H716" s="353"/>
      <c r="I716" s="354"/>
      <c r="J716" s="362">
        <v>0</v>
      </c>
      <c r="K716" s="355">
        <v>0</v>
      </c>
      <c r="L716" s="355">
        <v>0</v>
      </c>
      <c r="M716" s="355">
        <v>0</v>
      </c>
      <c r="N716" s="355">
        <v>0</v>
      </c>
      <c r="O716" s="355">
        <v>0</v>
      </c>
      <c r="P716" s="355">
        <v>0</v>
      </c>
      <c r="Q716" s="355">
        <v>0</v>
      </c>
      <c r="R716" s="355">
        <v>0</v>
      </c>
      <c r="S716" s="355">
        <v>0</v>
      </c>
      <c r="T716" s="355">
        <v>0</v>
      </c>
      <c r="U716" s="356">
        <v>0</v>
      </c>
      <c r="V716" s="357">
        <v>0</v>
      </c>
      <c r="W716" s="358"/>
      <c r="X716" s="359">
        <v>0</v>
      </c>
      <c r="Y716" s="360">
        <v>0</v>
      </c>
    </row>
    <row r="717" spans="1:25" s="361" customFormat="1" hidden="1" outlineLevel="2" x14ac:dyDescent="0.3">
      <c r="E717" s="326" t="s">
        <v>1677</v>
      </c>
      <c r="F717" s="351"/>
      <c r="G717" s="352"/>
      <c r="H717" s="353"/>
      <c r="I717" s="354"/>
      <c r="J717" s="362">
        <v>0</v>
      </c>
      <c r="K717" s="355">
        <v>0</v>
      </c>
      <c r="L717" s="355">
        <v>0</v>
      </c>
      <c r="M717" s="355">
        <v>0</v>
      </c>
      <c r="N717" s="355">
        <v>0</v>
      </c>
      <c r="O717" s="355">
        <v>0</v>
      </c>
      <c r="P717" s="355">
        <v>0</v>
      </c>
      <c r="Q717" s="355">
        <v>0</v>
      </c>
      <c r="R717" s="355">
        <v>0</v>
      </c>
      <c r="S717" s="355">
        <v>0</v>
      </c>
      <c r="T717" s="355">
        <v>0</v>
      </c>
      <c r="U717" s="356">
        <v>0</v>
      </c>
      <c r="V717" s="357">
        <v>0</v>
      </c>
      <c r="W717" s="358"/>
      <c r="X717" s="359">
        <v>0</v>
      </c>
      <c r="Y717" s="360">
        <v>0</v>
      </c>
    </row>
    <row r="718" spans="1:25" s="361" customFormat="1" hidden="1" outlineLevel="2" x14ac:dyDescent="0.3">
      <c r="E718" s="326" t="s">
        <v>1678</v>
      </c>
      <c r="F718" s="351"/>
      <c r="G718" s="352"/>
      <c r="H718" s="353"/>
      <c r="I718" s="354"/>
      <c r="J718" s="362">
        <v>0</v>
      </c>
      <c r="K718" s="355">
        <v>0</v>
      </c>
      <c r="L718" s="355">
        <v>0</v>
      </c>
      <c r="M718" s="355">
        <v>0</v>
      </c>
      <c r="N718" s="355">
        <v>0</v>
      </c>
      <c r="O718" s="355">
        <v>0</v>
      </c>
      <c r="P718" s="355">
        <v>0</v>
      </c>
      <c r="Q718" s="355">
        <v>0</v>
      </c>
      <c r="R718" s="355">
        <v>0</v>
      </c>
      <c r="S718" s="355">
        <v>0</v>
      </c>
      <c r="T718" s="355">
        <v>0</v>
      </c>
      <c r="U718" s="356">
        <v>0</v>
      </c>
      <c r="V718" s="357">
        <v>0</v>
      </c>
      <c r="W718" s="358"/>
      <c r="X718" s="359">
        <v>0</v>
      </c>
      <c r="Y718" s="360">
        <v>0</v>
      </c>
    </row>
    <row r="719" spans="1:25" collapsed="1" x14ac:dyDescent="0.3">
      <c r="E719" s="339" t="s">
        <v>1679</v>
      </c>
      <c r="F719" s="340" t="s">
        <v>1680</v>
      </c>
      <c r="G719" s="341"/>
      <c r="H719" s="342"/>
      <c r="I719" s="343"/>
      <c r="J719" s="344">
        <v>40506.303999999996</v>
      </c>
      <c r="K719" s="345">
        <v>-11859.753000000001</v>
      </c>
      <c r="L719" s="345">
        <v>23143.71</v>
      </c>
      <c r="M719" s="345">
        <v>52906.896000000001</v>
      </c>
      <c r="N719" s="345">
        <v>52644.803</v>
      </c>
      <c r="O719" s="345">
        <v>56830.137999999999</v>
      </c>
      <c r="P719" s="345">
        <v>48327.728000000003</v>
      </c>
      <c r="Q719" s="345">
        <v>86443.017999999996</v>
      </c>
      <c r="R719" s="345">
        <v>117861.14599999999</v>
      </c>
      <c r="S719" s="345">
        <v>97925.588000000003</v>
      </c>
      <c r="T719" s="345">
        <v>72770.668000000005</v>
      </c>
      <c r="U719" s="346">
        <v>102120.49099999999</v>
      </c>
      <c r="V719" s="347">
        <v>739620.73700000008</v>
      </c>
      <c r="W719" s="303"/>
      <c r="X719" s="348">
        <v>102120.49099999999</v>
      </c>
      <c r="Y719" s="349">
        <v>739620.73700000008</v>
      </c>
    </row>
    <row r="720" spans="1:25" hidden="1" outlineLevel="1" x14ac:dyDescent="0.3">
      <c r="A720" s="233"/>
      <c r="B720" s="234" t="s">
        <v>48</v>
      </c>
      <c r="E720" s="250" t="s">
        <v>1681</v>
      </c>
      <c r="F720" s="317">
        <v>8950000</v>
      </c>
      <c r="G720" s="318"/>
      <c r="H720" s="319"/>
      <c r="I720" s="320"/>
      <c r="J720" s="337">
        <v>0</v>
      </c>
      <c r="K720" s="321">
        <v>0</v>
      </c>
      <c r="L720" s="321">
        <v>0</v>
      </c>
      <c r="M720" s="321">
        <v>0</v>
      </c>
      <c r="N720" s="321">
        <v>0</v>
      </c>
      <c r="O720" s="321">
        <v>0</v>
      </c>
      <c r="P720" s="321">
        <v>0</v>
      </c>
      <c r="Q720" s="321">
        <v>0</v>
      </c>
      <c r="R720" s="321">
        <v>0</v>
      </c>
      <c r="S720" s="321">
        <v>0</v>
      </c>
      <c r="T720" s="321">
        <v>0</v>
      </c>
      <c r="U720" s="322">
        <v>0</v>
      </c>
      <c r="V720" s="323">
        <v>0</v>
      </c>
      <c r="W720" s="303"/>
      <c r="X720" s="324">
        <v>0</v>
      </c>
      <c r="Y720" s="325">
        <v>0</v>
      </c>
    </row>
    <row r="721" spans="1:25" hidden="1" outlineLevel="1" x14ac:dyDescent="0.3">
      <c r="A721" s="233"/>
      <c r="B721" s="234" t="s">
        <v>48</v>
      </c>
      <c r="E721" s="250" t="s">
        <v>1682</v>
      </c>
      <c r="F721" s="317">
        <v>8950001</v>
      </c>
      <c r="G721" s="318"/>
      <c r="H721" s="319"/>
      <c r="I721" s="320"/>
      <c r="J721" s="337">
        <v>0</v>
      </c>
      <c r="K721" s="321">
        <v>0</v>
      </c>
      <c r="L721" s="321">
        <v>0</v>
      </c>
      <c r="M721" s="321">
        <v>0</v>
      </c>
      <c r="N721" s="321">
        <v>0</v>
      </c>
      <c r="O721" s="321">
        <v>0</v>
      </c>
      <c r="P721" s="321">
        <v>0</v>
      </c>
      <c r="Q721" s="321">
        <v>0</v>
      </c>
      <c r="R721" s="321">
        <v>0</v>
      </c>
      <c r="S721" s="321">
        <v>0</v>
      </c>
      <c r="T721" s="321">
        <v>0</v>
      </c>
      <c r="U721" s="322">
        <v>0</v>
      </c>
      <c r="V721" s="323">
        <v>0</v>
      </c>
      <c r="W721" s="303"/>
      <c r="X721" s="324">
        <v>0</v>
      </c>
      <c r="Y721" s="325">
        <v>0</v>
      </c>
    </row>
    <row r="722" spans="1:25" hidden="1" outlineLevel="1" x14ac:dyDescent="0.3">
      <c r="A722" s="233"/>
      <c r="B722" s="234" t="s">
        <v>48</v>
      </c>
      <c r="E722" s="250" t="s">
        <v>1683</v>
      </c>
      <c r="F722" s="317">
        <v>8950002</v>
      </c>
      <c r="G722" s="318"/>
      <c r="H722" s="319"/>
      <c r="I722" s="320"/>
      <c r="J722" s="337">
        <v>40506.303999999996</v>
      </c>
      <c r="K722" s="321">
        <v>-11859.753000000001</v>
      </c>
      <c r="L722" s="321">
        <v>23143.71</v>
      </c>
      <c r="M722" s="321">
        <v>52906.896000000001</v>
      </c>
      <c r="N722" s="321">
        <v>52644.803</v>
      </c>
      <c r="O722" s="321">
        <v>56830.137999999999</v>
      </c>
      <c r="P722" s="321">
        <v>48327.728000000003</v>
      </c>
      <c r="Q722" s="321">
        <v>86443.017999999996</v>
      </c>
      <c r="R722" s="321">
        <v>117861.14599999999</v>
      </c>
      <c r="S722" s="321">
        <v>97925.588000000003</v>
      </c>
      <c r="T722" s="321">
        <v>72770.668000000005</v>
      </c>
      <c r="U722" s="322">
        <v>102120.49099999999</v>
      </c>
      <c r="V722" s="323">
        <v>739620.73700000008</v>
      </c>
      <c r="W722" s="303"/>
      <c r="X722" s="324">
        <v>102120.49099999999</v>
      </c>
      <c r="Y722" s="325">
        <v>739620.73700000008</v>
      </c>
    </row>
    <row r="723" spans="1:25" hidden="1" outlineLevel="1" x14ac:dyDescent="0.3">
      <c r="A723" s="233"/>
      <c r="B723" s="234" t="s">
        <v>48</v>
      </c>
      <c r="E723" s="250" t="s">
        <v>1684</v>
      </c>
      <c r="F723" s="317">
        <v>8950003</v>
      </c>
      <c r="G723" s="318"/>
      <c r="H723" s="319"/>
      <c r="I723" s="320"/>
      <c r="J723" s="337">
        <v>0</v>
      </c>
      <c r="K723" s="321">
        <v>0</v>
      </c>
      <c r="L723" s="321">
        <v>0</v>
      </c>
      <c r="M723" s="321">
        <v>0</v>
      </c>
      <c r="N723" s="321">
        <v>0</v>
      </c>
      <c r="O723" s="321">
        <v>0</v>
      </c>
      <c r="P723" s="321">
        <v>0</v>
      </c>
      <c r="Q723" s="321">
        <v>0</v>
      </c>
      <c r="R723" s="321">
        <v>0</v>
      </c>
      <c r="S723" s="321">
        <v>0</v>
      </c>
      <c r="T723" s="321">
        <v>0</v>
      </c>
      <c r="U723" s="322">
        <v>0</v>
      </c>
      <c r="V723" s="323">
        <v>0</v>
      </c>
      <c r="W723" s="303"/>
      <c r="X723" s="324">
        <v>0</v>
      </c>
      <c r="Y723" s="325">
        <v>0</v>
      </c>
    </row>
    <row r="724" spans="1:25" hidden="1" outlineLevel="1" x14ac:dyDescent="0.3">
      <c r="A724" s="233"/>
      <c r="B724" s="234" t="s">
        <v>44</v>
      </c>
      <c r="E724" s="250" t="s">
        <v>1685</v>
      </c>
      <c r="F724" s="317">
        <v>8950007</v>
      </c>
      <c r="G724" s="318"/>
      <c r="H724" s="319"/>
      <c r="I724" s="320"/>
      <c r="J724" s="337">
        <v>0</v>
      </c>
      <c r="K724" s="321">
        <v>0</v>
      </c>
      <c r="L724" s="321">
        <v>0</v>
      </c>
      <c r="M724" s="321">
        <v>0</v>
      </c>
      <c r="N724" s="321">
        <v>0</v>
      </c>
      <c r="O724" s="321">
        <v>0</v>
      </c>
      <c r="P724" s="321">
        <v>0</v>
      </c>
      <c r="Q724" s="321">
        <v>0</v>
      </c>
      <c r="R724" s="321">
        <v>0</v>
      </c>
      <c r="S724" s="321">
        <v>0</v>
      </c>
      <c r="T724" s="321">
        <v>0</v>
      </c>
      <c r="U724" s="322">
        <v>0</v>
      </c>
      <c r="V724" s="323">
        <v>0</v>
      </c>
      <c r="W724" s="303"/>
      <c r="X724" s="324">
        <v>0</v>
      </c>
      <c r="Y724" s="325">
        <v>0</v>
      </c>
    </row>
    <row r="725" spans="1:25" hidden="1" outlineLevel="1" x14ac:dyDescent="0.3">
      <c r="A725" s="233"/>
      <c r="B725" s="234" t="s">
        <v>44</v>
      </c>
      <c r="E725" s="250" t="s">
        <v>1686</v>
      </c>
      <c r="F725" s="317">
        <v>8950008</v>
      </c>
      <c r="G725" s="318"/>
      <c r="H725" s="319"/>
      <c r="I725" s="320"/>
      <c r="J725" s="337">
        <v>0</v>
      </c>
      <c r="K725" s="321">
        <v>0</v>
      </c>
      <c r="L725" s="321">
        <v>0</v>
      </c>
      <c r="M725" s="321">
        <v>0</v>
      </c>
      <c r="N725" s="321">
        <v>0</v>
      </c>
      <c r="O725" s="321">
        <v>0</v>
      </c>
      <c r="P725" s="321">
        <v>0</v>
      </c>
      <c r="Q725" s="321">
        <v>0</v>
      </c>
      <c r="R725" s="321">
        <v>0</v>
      </c>
      <c r="S725" s="321">
        <v>0</v>
      </c>
      <c r="T725" s="321">
        <v>0</v>
      </c>
      <c r="U725" s="322">
        <v>0</v>
      </c>
      <c r="V725" s="323">
        <v>0</v>
      </c>
      <c r="W725" s="303"/>
      <c r="X725" s="324">
        <v>0</v>
      </c>
      <c r="Y725" s="325">
        <v>0</v>
      </c>
    </row>
    <row r="726" spans="1:25" hidden="1" outlineLevel="1" x14ac:dyDescent="0.3">
      <c r="A726" s="233"/>
      <c r="B726" s="234" t="s">
        <v>48</v>
      </c>
      <c r="E726" s="250" t="s">
        <v>1687</v>
      </c>
      <c r="F726" s="317">
        <v>8950009</v>
      </c>
      <c r="G726" s="318"/>
      <c r="H726" s="319"/>
      <c r="I726" s="320"/>
      <c r="J726" s="337">
        <v>0</v>
      </c>
      <c r="K726" s="321">
        <v>0</v>
      </c>
      <c r="L726" s="321">
        <v>0</v>
      </c>
      <c r="M726" s="321">
        <v>0</v>
      </c>
      <c r="N726" s="321">
        <v>0</v>
      </c>
      <c r="O726" s="321">
        <v>0</v>
      </c>
      <c r="P726" s="321">
        <v>0</v>
      </c>
      <c r="Q726" s="321">
        <v>0</v>
      </c>
      <c r="R726" s="321">
        <v>0</v>
      </c>
      <c r="S726" s="321">
        <v>0</v>
      </c>
      <c r="T726" s="321">
        <v>0</v>
      </c>
      <c r="U726" s="322">
        <v>0</v>
      </c>
      <c r="V726" s="323">
        <v>0</v>
      </c>
      <c r="W726" s="303"/>
      <c r="X726" s="324">
        <v>0</v>
      </c>
      <c r="Y726" s="325">
        <v>0</v>
      </c>
    </row>
    <row r="727" spans="1:25" hidden="1" outlineLevel="1" x14ac:dyDescent="0.3">
      <c r="A727" s="233"/>
      <c r="B727" s="234" t="s">
        <v>44</v>
      </c>
      <c r="E727" s="250" t="s">
        <v>1688</v>
      </c>
      <c r="F727" s="317">
        <v>8950010</v>
      </c>
      <c r="G727" s="318"/>
      <c r="H727" s="319"/>
      <c r="I727" s="320"/>
      <c r="J727" s="337">
        <v>0</v>
      </c>
      <c r="K727" s="321">
        <v>0</v>
      </c>
      <c r="L727" s="321">
        <v>0</v>
      </c>
      <c r="M727" s="321">
        <v>0</v>
      </c>
      <c r="N727" s="321">
        <v>0</v>
      </c>
      <c r="O727" s="321">
        <v>0</v>
      </c>
      <c r="P727" s="321">
        <v>0</v>
      </c>
      <c r="Q727" s="321">
        <v>0</v>
      </c>
      <c r="R727" s="321">
        <v>0</v>
      </c>
      <c r="S727" s="321">
        <v>0</v>
      </c>
      <c r="T727" s="321">
        <v>0</v>
      </c>
      <c r="U727" s="322">
        <v>0</v>
      </c>
      <c r="V727" s="323">
        <v>0</v>
      </c>
      <c r="W727" s="303"/>
      <c r="X727" s="324">
        <v>0</v>
      </c>
      <c r="Y727" s="325">
        <v>0</v>
      </c>
    </row>
    <row r="728" spans="1:25" hidden="1" outlineLevel="1" x14ac:dyDescent="0.3">
      <c r="A728" s="233"/>
      <c r="B728" s="234" t="s">
        <v>44</v>
      </c>
      <c r="E728" s="250" t="s">
        <v>1689</v>
      </c>
      <c r="F728" s="317">
        <v>8950011</v>
      </c>
      <c r="G728" s="318"/>
      <c r="H728" s="319"/>
      <c r="I728" s="320"/>
      <c r="J728" s="337">
        <v>0</v>
      </c>
      <c r="K728" s="321">
        <v>0</v>
      </c>
      <c r="L728" s="321">
        <v>0</v>
      </c>
      <c r="M728" s="321">
        <v>0</v>
      </c>
      <c r="N728" s="321">
        <v>0</v>
      </c>
      <c r="O728" s="321">
        <v>0</v>
      </c>
      <c r="P728" s="321">
        <v>0</v>
      </c>
      <c r="Q728" s="321">
        <v>0</v>
      </c>
      <c r="R728" s="321">
        <v>0</v>
      </c>
      <c r="S728" s="321">
        <v>0</v>
      </c>
      <c r="T728" s="321">
        <v>0</v>
      </c>
      <c r="U728" s="322">
        <v>0</v>
      </c>
      <c r="V728" s="323">
        <v>0</v>
      </c>
      <c r="W728" s="303"/>
      <c r="X728" s="324">
        <v>0</v>
      </c>
      <c r="Y728" s="325">
        <v>0</v>
      </c>
    </row>
    <row r="729" spans="1:25" hidden="1" outlineLevel="1" x14ac:dyDescent="0.3">
      <c r="A729" s="233"/>
      <c r="B729" s="234" t="s">
        <v>44</v>
      </c>
      <c r="E729" s="250" t="s">
        <v>1690</v>
      </c>
      <c r="F729" s="317">
        <v>8950014</v>
      </c>
      <c r="G729" s="318"/>
      <c r="H729" s="319"/>
      <c r="I729" s="320"/>
      <c r="J729" s="337">
        <v>0</v>
      </c>
      <c r="K729" s="321">
        <v>0</v>
      </c>
      <c r="L729" s="321">
        <v>0</v>
      </c>
      <c r="M729" s="321">
        <v>0</v>
      </c>
      <c r="N729" s="321">
        <v>0</v>
      </c>
      <c r="O729" s="321">
        <v>0</v>
      </c>
      <c r="P729" s="321">
        <v>0</v>
      </c>
      <c r="Q729" s="321">
        <v>0</v>
      </c>
      <c r="R729" s="321">
        <v>0</v>
      </c>
      <c r="S729" s="321">
        <v>0</v>
      </c>
      <c r="T729" s="321">
        <v>0</v>
      </c>
      <c r="U729" s="322">
        <v>0</v>
      </c>
      <c r="V729" s="323">
        <v>0</v>
      </c>
      <c r="W729" s="303"/>
      <c r="X729" s="324">
        <v>0</v>
      </c>
      <c r="Y729" s="325">
        <v>0</v>
      </c>
    </row>
    <row r="730" spans="1:25" hidden="1" outlineLevel="1" x14ac:dyDescent="0.3">
      <c r="A730" s="233"/>
      <c r="B730" s="234" t="s">
        <v>44</v>
      </c>
      <c r="E730" s="250" t="s">
        <v>1691</v>
      </c>
      <c r="F730" s="317">
        <v>8950015</v>
      </c>
      <c r="G730" s="318"/>
      <c r="H730" s="319"/>
      <c r="I730" s="320"/>
      <c r="J730" s="337">
        <v>0</v>
      </c>
      <c r="K730" s="321">
        <v>0</v>
      </c>
      <c r="L730" s="321">
        <v>0</v>
      </c>
      <c r="M730" s="321">
        <v>0</v>
      </c>
      <c r="N730" s="321">
        <v>0</v>
      </c>
      <c r="O730" s="321">
        <v>0</v>
      </c>
      <c r="P730" s="321">
        <v>0</v>
      </c>
      <c r="Q730" s="321">
        <v>0</v>
      </c>
      <c r="R730" s="321">
        <v>0</v>
      </c>
      <c r="S730" s="321">
        <v>0</v>
      </c>
      <c r="T730" s="321">
        <v>0</v>
      </c>
      <c r="U730" s="322">
        <v>0</v>
      </c>
      <c r="V730" s="323">
        <v>0</v>
      </c>
      <c r="W730" s="303"/>
      <c r="X730" s="324">
        <v>0</v>
      </c>
      <c r="Y730" s="325">
        <v>0</v>
      </c>
    </row>
    <row r="731" spans="1:25" hidden="1" outlineLevel="1" x14ac:dyDescent="0.3">
      <c r="A731" s="233"/>
      <c r="B731" s="234" t="s">
        <v>44</v>
      </c>
      <c r="E731" s="250" t="s">
        <v>1692</v>
      </c>
      <c r="F731" s="317">
        <v>8950016</v>
      </c>
      <c r="G731" s="318"/>
      <c r="H731" s="319"/>
      <c r="I731" s="320"/>
      <c r="J731" s="337">
        <v>0</v>
      </c>
      <c r="K731" s="321">
        <v>0</v>
      </c>
      <c r="L731" s="321">
        <v>0</v>
      </c>
      <c r="M731" s="321">
        <v>0</v>
      </c>
      <c r="N731" s="321">
        <v>0</v>
      </c>
      <c r="O731" s="321">
        <v>0</v>
      </c>
      <c r="P731" s="321">
        <v>0</v>
      </c>
      <c r="Q731" s="321">
        <v>0</v>
      </c>
      <c r="R731" s="321">
        <v>0</v>
      </c>
      <c r="S731" s="321">
        <v>0</v>
      </c>
      <c r="T731" s="321">
        <v>0</v>
      </c>
      <c r="U731" s="322">
        <v>0</v>
      </c>
      <c r="V731" s="323">
        <v>0</v>
      </c>
      <c r="W731" s="303"/>
      <c r="X731" s="324">
        <v>0</v>
      </c>
      <c r="Y731" s="325">
        <v>0</v>
      </c>
    </row>
    <row r="732" spans="1:25" hidden="1" outlineLevel="1" x14ac:dyDescent="0.3">
      <c r="A732" s="233"/>
      <c r="B732" s="234" t="s">
        <v>44</v>
      </c>
      <c r="E732" s="250" t="s">
        <v>1693</v>
      </c>
      <c r="F732" s="317">
        <v>8950018</v>
      </c>
      <c r="G732" s="318"/>
      <c r="H732" s="319"/>
      <c r="I732" s="320"/>
      <c r="J732" s="337">
        <v>0</v>
      </c>
      <c r="K732" s="321">
        <v>0</v>
      </c>
      <c r="L732" s="321">
        <v>0</v>
      </c>
      <c r="M732" s="321">
        <v>0</v>
      </c>
      <c r="N732" s="321">
        <v>0</v>
      </c>
      <c r="O732" s="321">
        <v>0</v>
      </c>
      <c r="P732" s="321">
        <v>0</v>
      </c>
      <c r="Q732" s="321">
        <v>0</v>
      </c>
      <c r="R732" s="321">
        <v>0</v>
      </c>
      <c r="S732" s="321">
        <v>0</v>
      </c>
      <c r="T732" s="321">
        <v>0</v>
      </c>
      <c r="U732" s="322">
        <v>0</v>
      </c>
      <c r="V732" s="323">
        <v>0</v>
      </c>
      <c r="W732" s="303"/>
      <c r="X732" s="324">
        <v>0</v>
      </c>
      <c r="Y732" s="325">
        <v>0</v>
      </c>
    </row>
    <row r="733" spans="1:25" hidden="1" outlineLevel="1" x14ac:dyDescent="0.3">
      <c r="A733" s="233"/>
      <c r="B733" s="234" t="s">
        <v>44</v>
      </c>
      <c r="E733" s="250" t="s">
        <v>1694</v>
      </c>
      <c r="F733" s="317">
        <v>8950019</v>
      </c>
      <c r="G733" s="318"/>
      <c r="H733" s="319"/>
      <c r="I733" s="320"/>
      <c r="J733" s="337">
        <v>0</v>
      </c>
      <c r="K733" s="321">
        <v>0</v>
      </c>
      <c r="L733" s="321">
        <v>0</v>
      </c>
      <c r="M733" s="321">
        <v>0</v>
      </c>
      <c r="N733" s="321">
        <v>0</v>
      </c>
      <c r="O733" s="321">
        <v>0</v>
      </c>
      <c r="P733" s="321">
        <v>0</v>
      </c>
      <c r="Q733" s="321">
        <v>0</v>
      </c>
      <c r="R733" s="321">
        <v>0</v>
      </c>
      <c r="S733" s="321">
        <v>0</v>
      </c>
      <c r="T733" s="321">
        <v>0</v>
      </c>
      <c r="U733" s="322">
        <v>0</v>
      </c>
      <c r="V733" s="323">
        <v>0</v>
      </c>
      <c r="W733" s="303"/>
      <c r="X733" s="324">
        <v>0</v>
      </c>
      <c r="Y733" s="325">
        <v>0</v>
      </c>
    </row>
    <row r="734" spans="1:25" hidden="1" outlineLevel="1" x14ac:dyDescent="0.3">
      <c r="A734" s="233"/>
      <c r="B734" s="234" t="s">
        <v>44</v>
      </c>
      <c r="E734" s="250" t="s">
        <v>1695</v>
      </c>
      <c r="F734" s="317">
        <v>8950020</v>
      </c>
      <c r="G734" s="318"/>
      <c r="H734" s="319"/>
      <c r="I734" s="320"/>
      <c r="J734" s="337">
        <v>0</v>
      </c>
      <c r="K734" s="321">
        <v>0</v>
      </c>
      <c r="L734" s="321">
        <v>0</v>
      </c>
      <c r="M734" s="321">
        <v>0</v>
      </c>
      <c r="N734" s="321">
        <v>0</v>
      </c>
      <c r="O734" s="321">
        <v>0</v>
      </c>
      <c r="P734" s="321">
        <v>0</v>
      </c>
      <c r="Q734" s="321">
        <v>0</v>
      </c>
      <c r="R734" s="321">
        <v>0</v>
      </c>
      <c r="S734" s="321">
        <v>0</v>
      </c>
      <c r="T734" s="321">
        <v>0</v>
      </c>
      <c r="U734" s="322">
        <v>0</v>
      </c>
      <c r="V734" s="323">
        <v>0</v>
      </c>
      <c r="W734" s="303"/>
      <c r="X734" s="324">
        <v>0</v>
      </c>
      <c r="Y734" s="325">
        <v>0</v>
      </c>
    </row>
    <row r="735" spans="1:25" hidden="1" outlineLevel="1" x14ac:dyDescent="0.3">
      <c r="A735" s="233"/>
      <c r="B735" s="234" t="s">
        <v>44</v>
      </c>
      <c r="E735" s="250" t="s">
        <v>1696</v>
      </c>
      <c r="F735" s="317">
        <v>8950021</v>
      </c>
      <c r="G735" s="318"/>
      <c r="H735" s="319"/>
      <c r="I735" s="320"/>
      <c r="J735" s="337">
        <v>0</v>
      </c>
      <c r="K735" s="321">
        <v>0</v>
      </c>
      <c r="L735" s="321">
        <v>0</v>
      </c>
      <c r="M735" s="321">
        <v>0</v>
      </c>
      <c r="N735" s="321">
        <v>0</v>
      </c>
      <c r="O735" s="321">
        <v>0</v>
      </c>
      <c r="P735" s="321">
        <v>0</v>
      </c>
      <c r="Q735" s="321">
        <v>0</v>
      </c>
      <c r="R735" s="321">
        <v>0</v>
      </c>
      <c r="S735" s="321">
        <v>0</v>
      </c>
      <c r="T735" s="321">
        <v>0</v>
      </c>
      <c r="U735" s="322">
        <v>0</v>
      </c>
      <c r="V735" s="323">
        <v>0</v>
      </c>
      <c r="W735" s="303"/>
      <c r="X735" s="324">
        <v>0</v>
      </c>
      <c r="Y735" s="325">
        <v>0</v>
      </c>
    </row>
    <row r="736" spans="1:25" s="350" customFormat="1" hidden="1" outlineLevel="2" x14ac:dyDescent="0.3">
      <c r="A736" s="233"/>
      <c r="B736" s="234" t="s">
        <v>44</v>
      </c>
      <c r="E736" s="350" t="s">
        <v>1697</v>
      </c>
      <c r="F736" s="306">
        <v>8950022</v>
      </c>
      <c r="G736" s="307"/>
      <c r="H736" s="308"/>
      <c r="I736" s="309"/>
      <c r="J736" s="310">
        <v>0</v>
      </c>
      <c r="K736" s="311">
        <v>0</v>
      </c>
      <c r="L736" s="311">
        <v>0</v>
      </c>
      <c r="M736" s="311">
        <v>0</v>
      </c>
      <c r="N736" s="311">
        <v>0</v>
      </c>
      <c r="O736" s="311">
        <v>0</v>
      </c>
      <c r="P736" s="311">
        <v>0</v>
      </c>
      <c r="Q736" s="311">
        <v>0</v>
      </c>
      <c r="R736" s="311">
        <v>0</v>
      </c>
      <c r="S736" s="311">
        <v>0</v>
      </c>
      <c r="T736" s="311">
        <v>0</v>
      </c>
      <c r="U736" s="312">
        <v>0</v>
      </c>
      <c r="V736" s="313">
        <v>0</v>
      </c>
      <c r="W736" s="314"/>
      <c r="X736" s="315">
        <v>0</v>
      </c>
      <c r="Y736" s="316">
        <v>0</v>
      </c>
    </row>
    <row r="737" spans="1:25" s="361" customFormat="1" hidden="1" outlineLevel="2" x14ac:dyDescent="0.3">
      <c r="E737" s="326" t="s">
        <v>1698</v>
      </c>
      <c r="F737" s="351"/>
      <c r="G737" s="352"/>
      <c r="H737" s="353"/>
      <c r="I737" s="354"/>
      <c r="J737" s="362">
        <v>0</v>
      </c>
      <c r="K737" s="355">
        <v>0</v>
      </c>
      <c r="L737" s="355">
        <v>0</v>
      </c>
      <c r="M737" s="355">
        <v>0</v>
      </c>
      <c r="N737" s="355">
        <v>0</v>
      </c>
      <c r="O737" s="355">
        <v>0</v>
      </c>
      <c r="P737" s="355">
        <v>0</v>
      </c>
      <c r="Q737" s="355">
        <v>0</v>
      </c>
      <c r="R737" s="355">
        <v>0</v>
      </c>
      <c r="S737" s="355">
        <v>0</v>
      </c>
      <c r="T737" s="355">
        <v>0</v>
      </c>
      <c r="U737" s="356">
        <v>0</v>
      </c>
      <c r="V737" s="357">
        <v>0</v>
      </c>
      <c r="W737" s="358"/>
      <c r="X737" s="359">
        <v>0</v>
      </c>
      <c r="Y737" s="360">
        <v>0</v>
      </c>
    </row>
    <row r="738" spans="1:25" s="361" customFormat="1" hidden="1" outlineLevel="2" x14ac:dyDescent="0.3">
      <c r="E738" s="326" t="s">
        <v>1699</v>
      </c>
      <c r="F738" s="351"/>
      <c r="G738" s="352"/>
      <c r="H738" s="353"/>
      <c r="I738" s="354"/>
      <c r="J738" s="362">
        <v>0</v>
      </c>
      <c r="K738" s="355">
        <v>0</v>
      </c>
      <c r="L738" s="355">
        <v>0</v>
      </c>
      <c r="M738" s="355">
        <v>0</v>
      </c>
      <c r="N738" s="355">
        <v>0</v>
      </c>
      <c r="O738" s="355">
        <v>0</v>
      </c>
      <c r="P738" s="355">
        <v>0</v>
      </c>
      <c r="Q738" s="355">
        <v>0</v>
      </c>
      <c r="R738" s="355">
        <v>0</v>
      </c>
      <c r="S738" s="355">
        <v>0</v>
      </c>
      <c r="T738" s="355">
        <v>0</v>
      </c>
      <c r="U738" s="356">
        <v>0</v>
      </c>
      <c r="V738" s="357">
        <v>0</v>
      </c>
      <c r="W738" s="358"/>
      <c r="X738" s="359">
        <v>0</v>
      </c>
      <c r="Y738" s="360">
        <v>0</v>
      </c>
    </row>
    <row r="739" spans="1:25" s="361" customFormat="1" hidden="1" outlineLevel="2" x14ac:dyDescent="0.3">
      <c r="E739" s="326" t="s">
        <v>1700</v>
      </c>
      <c r="F739" s="351"/>
      <c r="G739" s="352"/>
      <c r="H739" s="353"/>
      <c r="I739" s="354"/>
      <c r="J739" s="362">
        <v>0</v>
      </c>
      <c r="K739" s="355">
        <v>0</v>
      </c>
      <c r="L739" s="355">
        <v>0</v>
      </c>
      <c r="M739" s="355">
        <v>0</v>
      </c>
      <c r="N739" s="355">
        <v>0</v>
      </c>
      <c r="O739" s="355">
        <v>0</v>
      </c>
      <c r="P739" s="355">
        <v>0</v>
      </c>
      <c r="Q739" s="355">
        <v>0</v>
      </c>
      <c r="R739" s="355">
        <v>0</v>
      </c>
      <c r="S739" s="355">
        <v>0</v>
      </c>
      <c r="T739" s="355">
        <v>0</v>
      </c>
      <c r="U739" s="356">
        <v>0</v>
      </c>
      <c r="V739" s="357">
        <v>0</v>
      </c>
      <c r="W739" s="358"/>
      <c r="X739" s="359">
        <v>0</v>
      </c>
      <c r="Y739" s="360">
        <v>0</v>
      </c>
    </row>
    <row r="740" spans="1:25" collapsed="1" x14ac:dyDescent="0.3">
      <c r="A740" s="233"/>
      <c r="B740" s="234" t="s">
        <v>43</v>
      </c>
      <c r="D740" s="293" t="s">
        <v>1701</v>
      </c>
      <c r="E740" s="294"/>
      <c r="F740" s="295"/>
      <c r="G740" s="296"/>
      <c r="H740" s="297"/>
      <c r="I740" s="298"/>
      <c r="J740" s="299">
        <v>0</v>
      </c>
      <c r="K740" s="300">
        <v>0</v>
      </c>
      <c r="L740" s="300">
        <v>0</v>
      </c>
      <c r="M740" s="300">
        <v>0</v>
      </c>
      <c r="N740" s="300">
        <v>0</v>
      </c>
      <c r="O740" s="300">
        <v>0</v>
      </c>
      <c r="P740" s="300">
        <v>0</v>
      </c>
      <c r="Q740" s="300">
        <v>0</v>
      </c>
      <c r="R740" s="300">
        <v>0</v>
      </c>
      <c r="S740" s="300">
        <v>0</v>
      </c>
      <c r="T740" s="300">
        <v>0</v>
      </c>
      <c r="U740" s="301">
        <v>0</v>
      </c>
      <c r="V740" s="302">
        <v>0</v>
      </c>
      <c r="W740" s="303"/>
      <c r="X740" s="304">
        <v>0</v>
      </c>
      <c r="Y740" s="305">
        <v>0</v>
      </c>
    </row>
    <row r="741" spans="1:25" hidden="1" outlineLevel="1" x14ac:dyDescent="0.3">
      <c r="E741" s="250" t="s">
        <v>1702</v>
      </c>
      <c r="F741" s="317">
        <v>8951000</v>
      </c>
      <c r="G741" s="318"/>
      <c r="H741" s="319"/>
      <c r="I741" s="320"/>
      <c r="J741" s="337">
        <v>0</v>
      </c>
      <c r="K741" s="321">
        <v>0</v>
      </c>
      <c r="L741" s="321">
        <v>0</v>
      </c>
      <c r="M741" s="321">
        <v>0</v>
      </c>
      <c r="N741" s="321">
        <v>0</v>
      </c>
      <c r="O741" s="321">
        <v>0</v>
      </c>
      <c r="P741" s="321">
        <v>0</v>
      </c>
      <c r="Q741" s="321">
        <v>0</v>
      </c>
      <c r="R741" s="321">
        <v>0</v>
      </c>
      <c r="S741" s="321">
        <v>0</v>
      </c>
      <c r="T741" s="321">
        <v>0</v>
      </c>
      <c r="U741" s="322">
        <v>0</v>
      </c>
      <c r="V741" s="323">
        <v>0</v>
      </c>
      <c r="W741" s="303"/>
      <c r="X741" s="324">
        <v>0</v>
      </c>
      <c r="Y741" s="325">
        <v>0</v>
      </c>
    </row>
    <row r="742" spans="1:25" hidden="1" outlineLevel="1" x14ac:dyDescent="0.3">
      <c r="E742" s="250" t="s">
        <v>1703</v>
      </c>
      <c r="F742" s="317">
        <v>8951001</v>
      </c>
      <c r="G742" s="318"/>
      <c r="H742" s="319"/>
      <c r="I742" s="320"/>
      <c r="J742" s="337">
        <v>0</v>
      </c>
      <c r="K742" s="321">
        <v>0</v>
      </c>
      <c r="L742" s="321">
        <v>0</v>
      </c>
      <c r="M742" s="321">
        <v>0</v>
      </c>
      <c r="N742" s="321">
        <v>0</v>
      </c>
      <c r="O742" s="321">
        <v>0</v>
      </c>
      <c r="P742" s="321">
        <v>0</v>
      </c>
      <c r="Q742" s="321">
        <v>0</v>
      </c>
      <c r="R742" s="321">
        <v>0</v>
      </c>
      <c r="S742" s="321">
        <v>0</v>
      </c>
      <c r="T742" s="321">
        <v>0</v>
      </c>
      <c r="U742" s="322">
        <v>0</v>
      </c>
      <c r="V742" s="323">
        <v>0</v>
      </c>
      <c r="W742" s="303"/>
      <c r="X742" s="324">
        <v>0</v>
      </c>
      <c r="Y742" s="325">
        <v>0</v>
      </c>
    </row>
    <row r="743" spans="1:25" hidden="1" outlineLevel="1" x14ac:dyDescent="0.3">
      <c r="E743" s="250" t="s">
        <v>1704</v>
      </c>
      <c r="F743" s="317">
        <v>8951002</v>
      </c>
      <c r="G743" s="318"/>
      <c r="H743" s="319"/>
      <c r="I743" s="320"/>
      <c r="J743" s="337">
        <v>0</v>
      </c>
      <c r="K743" s="321">
        <v>0</v>
      </c>
      <c r="L743" s="321">
        <v>0</v>
      </c>
      <c r="M743" s="321">
        <v>0</v>
      </c>
      <c r="N743" s="321">
        <v>0</v>
      </c>
      <c r="O743" s="321">
        <v>0</v>
      </c>
      <c r="P743" s="321">
        <v>0</v>
      </c>
      <c r="Q743" s="321">
        <v>0</v>
      </c>
      <c r="R743" s="321">
        <v>0</v>
      </c>
      <c r="S743" s="321">
        <v>0</v>
      </c>
      <c r="T743" s="321">
        <v>0</v>
      </c>
      <c r="U743" s="322">
        <v>0</v>
      </c>
      <c r="V743" s="323">
        <v>0</v>
      </c>
      <c r="W743" s="303"/>
      <c r="X743" s="324">
        <v>0</v>
      </c>
      <c r="Y743" s="325">
        <v>0</v>
      </c>
    </row>
    <row r="744" spans="1:25" hidden="1" outlineLevel="1" x14ac:dyDescent="0.3">
      <c r="E744" s="250" t="s">
        <v>1705</v>
      </c>
      <c r="F744" s="317">
        <v>8951003</v>
      </c>
      <c r="G744" s="318"/>
      <c r="H744" s="319"/>
      <c r="I744" s="320"/>
      <c r="J744" s="337">
        <v>0</v>
      </c>
      <c r="K744" s="321">
        <v>0</v>
      </c>
      <c r="L744" s="321">
        <v>0</v>
      </c>
      <c r="M744" s="321">
        <v>0</v>
      </c>
      <c r="N744" s="321">
        <v>0</v>
      </c>
      <c r="O744" s="321">
        <v>0</v>
      </c>
      <c r="P744" s="321">
        <v>0</v>
      </c>
      <c r="Q744" s="321">
        <v>0</v>
      </c>
      <c r="R744" s="321">
        <v>0</v>
      </c>
      <c r="S744" s="321">
        <v>0</v>
      </c>
      <c r="T744" s="321">
        <v>0</v>
      </c>
      <c r="U744" s="322">
        <v>0</v>
      </c>
      <c r="V744" s="323">
        <v>0</v>
      </c>
      <c r="W744" s="303"/>
      <c r="X744" s="324">
        <v>0</v>
      </c>
      <c r="Y744" s="325">
        <v>0</v>
      </c>
    </row>
    <row r="745" spans="1:25" s="361" customFormat="1" hidden="1" outlineLevel="2" x14ac:dyDescent="0.3">
      <c r="E745" s="326" t="s">
        <v>1706</v>
      </c>
      <c r="F745" s="351"/>
      <c r="G745" s="352"/>
      <c r="H745" s="353"/>
      <c r="I745" s="354"/>
      <c r="J745" s="362">
        <v>0</v>
      </c>
      <c r="K745" s="355">
        <v>0</v>
      </c>
      <c r="L745" s="355">
        <v>0</v>
      </c>
      <c r="M745" s="355">
        <v>0</v>
      </c>
      <c r="N745" s="355">
        <v>0</v>
      </c>
      <c r="O745" s="355">
        <v>0</v>
      </c>
      <c r="P745" s="355">
        <v>0</v>
      </c>
      <c r="Q745" s="355">
        <v>0</v>
      </c>
      <c r="R745" s="355">
        <v>0</v>
      </c>
      <c r="S745" s="355">
        <v>0</v>
      </c>
      <c r="T745" s="355">
        <v>0</v>
      </c>
      <c r="U745" s="356">
        <v>0</v>
      </c>
      <c r="V745" s="357">
        <v>0</v>
      </c>
      <c r="W745" s="358"/>
      <c r="X745" s="359">
        <v>0</v>
      </c>
      <c r="Y745" s="360">
        <v>0</v>
      </c>
    </row>
    <row r="746" spans="1:25" s="361" customFormat="1" hidden="1" outlineLevel="2" x14ac:dyDescent="0.3">
      <c r="E746" s="326" t="s">
        <v>1707</v>
      </c>
      <c r="F746" s="351"/>
      <c r="G746" s="352"/>
      <c r="H746" s="353"/>
      <c r="I746" s="354"/>
      <c r="J746" s="362">
        <v>0</v>
      </c>
      <c r="K746" s="355">
        <v>0</v>
      </c>
      <c r="L746" s="355">
        <v>0</v>
      </c>
      <c r="M746" s="355">
        <v>0</v>
      </c>
      <c r="N746" s="355">
        <v>0</v>
      </c>
      <c r="O746" s="355">
        <v>0</v>
      </c>
      <c r="P746" s="355">
        <v>0</v>
      </c>
      <c r="Q746" s="355">
        <v>0</v>
      </c>
      <c r="R746" s="355">
        <v>0</v>
      </c>
      <c r="S746" s="355">
        <v>0</v>
      </c>
      <c r="T746" s="355">
        <v>0</v>
      </c>
      <c r="U746" s="356">
        <v>0</v>
      </c>
      <c r="V746" s="357">
        <v>0</v>
      </c>
      <c r="W746" s="358"/>
      <c r="X746" s="359">
        <v>0</v>
      </c>
      <c r="Y746" s="360">
        <v>0</v>
      </c>
    </row>
    <row r="747" spans="1:25" s="361" customFormat="1" hidden="1" outlineLevel="2" x14ac:dyDescent="0.3">
      <c r="E747" s="326" t="s">
        <v>1708</v>
      </c>
      <c r="F747" s="351"/>
      <c r="G747" s="352"/>
      <c r="H747" s="353"/>
      <c r="I747" s="354"/>
      <c r="J747" s="362">
        <v>0</v>
      </c>
      <c r="K747" s="355">
        <v>0</v>
      </c>
      <c r="L747" s="355">
        <v>0</v>
      </c>
      <c r="M747" s="355">
        <v>0</v>
      </c>
      <c r="N747" s="355">
        <v>0</v>
      </c>
      <c r="O747" s="355">
        <v>0</v>
      </c>
      <c r="P747" s="355">
        <v>0</v>
      </c>
      <c r="Q747" s="355">
        <v>0</v>
      </c>
      <c r="R747" s="355">
        <v>0</v>
      </c>
      <c r="S747" s="355">
        <v>0</v>
      </c>
      <c r="T747" s="355">
        <v>0</v>
      </c>
      <c r="U747" s="356">
        <v>0</v>
      </c>
      <c r="V747" s="357">
        <v>0</v>
      </c>
      <c r="W747" s="358"/>
      <c r="X747" s="359">
        <v>0</v>
      </c>
      <c r="Y747" s="360">
        <v>0</v>
      </c>
    </row>
    <row r="748" spans="1:25" collapsed="1" x14ac:dyDescent="0.3">
      <c r="A748" s="233"/>
      <c r="B748" s="234" t="s">
        <v>70</v>
      </c>
      <c r="D748" s="293" t="s">
        <v>1709</v>
      </c>
      <c r="E748" s="294"/>
      <c r="F748" s="295" t="s">
        <v>1710</v>
      </c>
      <c r="G748" s="296"/>
      <c r="H748" s="297"/>
      <c r="I748" s="298"/>
      <c r="J748" s="299">
        <v>-19095.807000000001</v>
      </c>
      <c r="K748" s="300">
        <v>-14980.716</v>
      </c>
      <c r="L748" s="300">
        <v>-13954.636</v>
      </c>
      <c r="M748" s="300">
        <v>-12434.169</v>
      </c>
      <c r="N748" s="300">
        <v>-11512.87</v>
      </c>
      <c r="O748" s="300">
        <v>-11436.13</v>
      </c>
      <c r="P748" s="300">
        <v>-12735.633</v>
      </c>
      <c r="Q748" s="300">
        <v>-12654.714</v>
      </c>
      <c r="R748" s="300">
        <v>-16009.472</v>
      </c>
      <c r="S748" s="300">
        <v>-12270.512000000001</v>
      </c>
      <c r="T748" s="300">
        <v>-12947.84</v>
      </c>
      <c r="U748" s="301">
        <v>-16921.620999999999</v>
      </c>
      <c r="V748" s="302">
        <v>-166954.12</v>
      </c>
      <c r="W748" s="303"/>
      <c r="X748" s="304">
        <v>-16921.620999999999</v>
      </c>
      <c r="Y748" s="305">
        <v>-166954.12</v>
      </c>
    </row>
    <row r="749" spans="1:25" s="250" customFormat="1" hidden="1" outlineLevel="1" x14ac:dyDescent="0.3">
      <c r="E749" s="250" t="s">
        <v>1711</v>
      </c>
      <c r="F749" s="306">
        <v>4308500</v>
      </c>
      <c r="G749" s="307"/>
      <c r="H749" s="308"/>
      <c r="I749" s="309"/>
      <c r="J749" s="310">
        <v>0</v>
      </c>
      <c r="K749" s="311">
        <v>0</v>
      </c>
      <c r="L749" s="311">
        <v>0</v>
      </c>
      <c r="M749" s="311">
        <v>0</v>
      </c>
      <c r="N749" s="311">
        <v>0</v>
      </c>
      <c r="O749" s="311">
        <v>0</v>
      </c>
      <c r="P749" s="311">
        <v>0</v>
      </c>
      <c r="Q749" s="311">
        <v>0</v>
      </c>
      <c r="R749" s="311">
        <v>0</v>
      </c>
      <c r="S749" s="311">
        <v>0</v>
      </c>
      <c r="T749" s="311">
        <v>0</v>
      </c>
      <c r="U749" s="312">
        <v>0</v>
      </c>
      <c r="V749" s="313">
        <v>0</v>
      </c>
      <c r="W749" s="314"/>
      <c r="X749" s="315">
        <v>0</v>
      </c>
      <c r="Y749" s="316">
        <v>0</v>
      </c>
    </row>
    <row r="750" spans="1:25" s="250" customFormat="1" hidden="1" outlineLevel="1" x14ac:dyDescent="0.3">
      <c r="E750" s="250" t="s">
        <v>1712</v>
      </c>
      <c r="F750" s="306">
        <v>4309880</v>
      </c>
      <c r="G750" s="307"/>
      <c r="H750" s="308"/>
      <c r="I750" s="309"/>
      <c r="J750" s="310">
        <v>0</v>
      </c>
      <c r="K750" s="311">
        <v>0</v>
      </c>
      <c r="L750" s="311">
        <v>0</v>
      </c>
      <c r="M750" s="311">
        <v>0</v>
      </c>
      <c r="N750" s="311">
        <v>0</v>
      </c>
      <c r="O750" s="311">
        <v>0</v>
      </c>
      <c r="P750" s="311">
        <v>0</v>
      </c>
      <c r="Q750" s="311">
        <v>0</v>
      </c>
      <c r="R750" s="311">
        <v>0</v>
      </c>
      <c r="S750" s="311">
        <v>0</v>
      </c>
      <c r="T750" s="311">
        <v>0</v>
      </c>
      <c r="U750" s="312">
        <v>0</v>
      </c>
      <c r="V750" s="313">
        <v>0</v>
      </c>
      <c r="W750" s="314"/>
      <c r="X750" s="315">
        <v>0</v>
      </c>
      <c r="Y750" s="316">
        <v>0</v>
      </c>
    </row>
    <row r="751" spans="1:25" s="250" customFormat="1" hidden="1" outlineLevel="1" x14ac:dyDescent="0.3">
      <c r="E751" s="250" t="s">
        <v>1713</v>
      </c>
      <c r="F751" s="306">
        <v>4309507</v>
      </c>
      <c r="G751" s="307"/>
      <c r="H751" s="308"/>
      <c r="I751" s="309"/>
      <c r="J751" s="310">
        <v>0</v>
      </c>
      <c r="K751" s="311">
        <v>0</v>
      </c>
      <c r="L751" s="311">
        <v>0</v>
      </c>
      <c r="M751" s="311">
        <v>0</v>
      </c>
      <c r="N751" s="311">
        <v>0</v>
      </c>
      <c r="O751" s="311">
        <v>0</v>
      </c>
      <c r="P751" s="311">
        <v>0</v>
      </c>
      <c r="Q751" s="311">
        <v>0</v>
      </c>
      <c r="R751" s="311">
        <v>0</v>
      </c>
      <c r="S751" s="311">
        <v>0</v>
      </c>
      <c r="T751" s="311">
        <v>0</v>
      </c>
      <c r="U751" s="312">
        <v>0</v>
      </c>
      <c r="V751" s="313">
        <v>0</v>
      </c>
      <c r="W751" s="314"/>
      <c r="X751" s="315">
        <v>0</v>
      </c>
      <c r="Y751" s="316">
        <v>0</v>
      </c>
    </row>
    <row r="752" spans="1:25" s="250" customFormat="1" hidden="1" outlineLevel="1" x14ac:dyDescent="0.3">
      <c r="E752" s="250" t="s">
        <v>1714</v>
      </c>
      <c r="F752" s="306">
        <v>4901000</v>
      </c>
      <c r="G752" s="307"/>
      <c r="H752" s="308"/>
      <c r="I752" s="309"/>
      <c r="J752" s="310">
        <v>0</v>
      </c>
      <c r="K752" s="311">
        <v>0</v>
      </c>
      <c r="L752" s="311">
        <v>0</v>
      </c>
      <c r="M752" s="311">
        <v>0</v>
      </c>
      <c r="N752" s="311">
        <v>0</v>
      </c>
      <c r="O752" s="311">
        <v>0</v>
      </c>
      <c r="P752" s="311">
        <v>0</v>
      </c>
      <c r="Q752" s="311">
        <v>0</v>
      </c>
      <c r="R752" s="311">
        <v>0</v>
      </c>
      <c r="S752" s="311">
        <v>0</v>
      </c>
      <c r="T752" s="311">
        <v>0</v>
      </c>
      <c r="U752" s="312">
        <v>0</v>
      </c>
      <c r="V752" s="313">
        <v>0</v>
      </c>
      <c r="W752" s="314"/>
      <c r="X752" s="315">
        <v>0</v>
      </c>
      <c r="Y752" s="316">
        <v>0</v>
      </c>
    </row>
    <row r="753" spans="4:25" s="250" customFormat="1" hidden="1" outlineLevel="1" x14ac:dyDescent="0.3">
      <c r="E753" s="250" t="s">
        <v>1715</v>
      </c>
      <c r="F753" s="306">
        <v>4901001</v>
      </c>
      <c r="G753" s="307"/>
      <c r="H753" s="308"/>
      <c r="I753" s="309"/>
      <c r="J753" s="310">
        <v>0</v>
      </c>
      <c r="K753" s="311">
        <v>0</v>
      </c>
      <c r="L753" s="311">
        <v>0</v>
      </c>
      <c r="M753" s="311">
        <v>0</v>
      </c>
      <c r="N753" s="311">
        <v>0</v>
      </c>
      <c r="O753" s="311">
        <v>0</v>
      </c>
      <c r="P753" s="311">
        <v>0</v>
      </c>
      <c r="Q753" s="311">
        <v>0</v>
      </c>
      <c r="R753" s="311">
        <v>0</v>
      </c>
      <c r="S753" s="311">
        <v>0</v>
      </c>
      <c r="T753" s="311">
        <v>0</v>
      </c>
      <c r="U753" s="312">
        <v>0</v>
      </c>
      <c r="V753" s="313">
        <v>0</v>
      </c>
      <c r="W753" s="314"/>
      <c r="X753" s="315">
        <v>0</v>
      </c>
      <c r="Y753" s="316">
        <v>0</v>
      </c>
    </row>
    <row r="754" spans="4:25" s="250" customFormat="1" hidden="1" outlineLevel="1" x14ac:dyDescent="0.3">
      <c r="E754" s="250" t="s">
        <v>1716</v>
      </c>
      <c r="F754" s="306">
        <v>4901003</v>
      </c>
      <c r="G754" s="307"/>
      <c r="H754" s="308"/>
      <c r="I754" s="309"/>
      <c r="J754" s="310">
        <v>-19095.807000000001</v>
      </c>
      <c r="K754" s="311">
        <v>-14980.716</v>
      </c>
      <c r="L754" s="311">
        <v>-13954.636</v>
      </c>
      <c r="M754" s="311">
        <v>-12434.169</v>
      </c>
      <c r="N754" s="311">
        <v>-11512.87</v>
      </c>
      <c r="O754" s="311">
        <v>-11436.13</v>
      </c>
      <c r="P754" s="311">
        <v>-12735.633</v>
      </c>
      <c r="Q754" s="311">
        <v>-12654.714</v>
      </c>
      <c r="R754" s="311">
        <v>-16009.472</v>
      </c>
      <c r="S754" s="311">
        <v>-12270.512000000001</v>
      </c>
      <c r="T754" s="311">
        <v>-12947.84</v>
      </c>
      <c r="U754" s="312">
        <v>-16921.620999999999</v>
      </c>
      <c r="V754" s="313">
        <v>-166954.12</v>
      </c>
      <c r="W754" s="314"/>
      <c r="X754" s="315">
        <v>-16921.620999999999</v>
      </c>
      <c r="Y754" s="316">
        <v>-166954.12</v>
      </c>
    </row>
    <row r="755" spans="4:25" s="250" customFormat="1" hidden="1" outlineLevel="1" x14ac:dyDescent="0.3">
      <c r="E755" s="250" t="s">
        <v>1717</v>
      </c>
      <c r="F755" s="306">
        <v>4901004</v>
      </c>
      <c r="G755" s="307"/>
      <c r="H755" s="308"/>
      <c r="I755" s="309"/>
      <c r="J755" s="310">
        <v>0</v>
      </c>
      <c r="K755" s="311">
        <v>0</v>
      </c>
      <c r="L755" s="311">
        <v>0</v>
      </c>
      <c r="M755" s="311">
        <v>0</v>
      </c>
      <c r="N755" s="311">
        <v>0</v>
      </c>
      <c r="O755" s="311">
        <v>0</v>
      </c>
      <c r="P755" s="311">
        <v>0</v>
      </c>
      <c r="Q755" s="311">
        <v>0</v>
      </c>
      <c r="R755" s="311">
        <v>0</v>
      </c>
      <c r="S755" s="311">
        <v>0</v>
      </c>
      <c r="T755" s="311">
        <v>0</v>
      </c>
      <c r="U755" s="312">
        <v>0</v>
      </c>
      <c r="V755" s="313">
        <v>0</v>
      </c>
      <c r="W755" s="314"/>
      <c r="X755" s="315">
        <v>0</v>
      </c>
      <c r="Y755" s="316">
        <v>0</v>
      </c>
    </row>
    <row r="756" spans="4:25" s="250" customFormat="1" hidden="1" outlineLevel="1" x14ac:dyDescent="0.3">
      <c r="E756" s="250" t="s">
        <v>1718</v>
      </c>
      <c r="F756" s="306">
        <v>4901099</v>
      </c>
      <c r="G756" s="307"/>
      <c r="H756" s="308"/>
      <c r="I756" s="309"/>
      <c r="J756" s="310">
        <v>0</v>
      </c>
      <c r="K756" s="311">
        <v>0</v>
      </c>
      <c r="L756" s="311">
        <v>0</v>
      </c>
      <c r="M756" s="311">
        <v>0</v>
      </c>
      <c r="N756" s="311">
        <v>0</v>
      </c>
      <c r="O756" s="311">
        <v>0</v>
      </c>
      <c r="P756" s="311">
        <v>0</v>
      </c>
      <c r="Q756" s="311">
        <v>0</v>
      </c>
      <c r="R756" s="311">
        <v>0</v>
      </c>
      <c r="S756" s="311">
        <v>0</v>
      </c>
      <c r="T756" s="311">
        <v>0</v>
      </c>
      <c r="U756" s="312">
        <v>0</v>
      </c>
      <c r="V756" s="313">
        <v>0</v>
      </c>
      <c r="W756" s="314"/>
      <c r="X756" s="315">
        <v>0</v>
      </c>
      <c r="Y756" s="316">
        <v>0</v>
      </c>
    </row>
    <row r="757" spans="4:25" s="250" customFormat="1" hidden="1" outlineLevel="1" x14ac:dyDescent="0.3">
      <c r="E757" s="250" t="s">
        <v>1719</v>
      </c>
      <c r="F757" s="306">
        <v>4902000</v>
      </c>
      <c r="G757" s="307"/>
      <c r="H757" s="308"/>
      <c r="I757" s="309"/>
      <c r="J757" s="310">
        <v>0</v>
      </c>
      <c r="K757" s="311">
        <v>0</v>
      </c>
      <c r="L757" s="311">
        <v>0</v>
      </c>
      <c r="M757" s="311">
        <v>0</v>
      </c>
      <c r="N757" s="311">
        <v>0</v>
      </c>
      <c r="O757" s="311">
        <v>0</v>
      </c>
      <c r="P757" s="311">
        <v>0</v>
      </c>
      <c r="Q757" s="311">
        <v>0</v>
      </c>
      <c r="R757" s="311">
        <v>0</v>
      </c>
      <c r="S757" s="311">
        <v>0</v>
      </c>
      <c r="T757" s="311">
        <v>0</v>
      </c>
      <c r="U757" s="312">
        <v>0</v>
      </c>
      <c r="V757" s="313">
        <v>0</v>
      </c>
      <c r="W757" s="314"/>
      <c r="X757" s="315">
        <v>0</v>
      </c>
      <c r="Y757" s="316">
        <v>0</v>
      </c>
    </row>
    <row r="758" spans="4:25" s="250" customFormat="1" hidden="1" outlineLevel="1" x14ac:dyDescent="0.3">
      <c r="E758" s="250" t="s">
        <v>1720</v>
      </c>
      <c r="F758" s="306">
        <v>4902001</v>
      </c>
      <c r="G758" s="307"/>
      <c r="H758" s="308"/>
      <c r="I758" s="309"/>
      <c r="J758" s="310">
        <v>0</v>
      </c>
      <c r="K758" s="311">
        <v>0</v>
      </c>
      <c r="L758" s="311">
        <v>0</v>
      </c>
      <c r="M758" s="311">
        <v>0</v>
      </c>
      <c r="N758" s="311">
        <v>0</v>
      </c>
      <c r="O758" s="311">
        <v>0</v>
      </c>
      <c r="P758" s="311">
        <v>0</v>
      </c>
      <c r="Q758" s="311">
        <v>0</v>
      </c>
      <c r="R758" s="311">
        <v>0</v>
      </c>
      <c r="S758" s="311">
        <v>0</v>
      </c>
      <c r="T758" s="311">
        <v>0</v>
      </c>
      <c r="U758" s="312">
        <v>0</v>
      </c>
      <c r="V758" s="313">
        <v>0</v>
      </c>
      <c r="W758" s="314"/>
      <c r="X758" s="315">
        <v>0</v>
      </c>
      <c r="Y758" s="316">
        <v>0</v>
      </c>
    </row>
    <row r="759" spans="4:25" s="250" customFormat="1" hidden="1" outlineLevel="1" x14ac:dyDescent="0.3">
      <c r="E759" s="250" t="s">
        <v>1721</v>
      </c>
      <c r="F759" s="306">
        <v>4902003</v>
      </c>
      <c r="G759" s="307"/>
      <c r="H759" s="308"/>
      <c r="I759" s="309"/>
      <c r="J759" s="310">
        <v>0</v>
      </c>
      <c r="K759" s="311">
        <v>0</v>
      </c>
      <c r="L759" s="311">
        <v>0</v>
      </c>
      <c r="M759" s="311">
        <v>0</v>
      </c>
      <c r="N759" s="311">
        <v>0</v>
      </c>
      <c r="O759" s="311">
        <v>0</v>
      </c>
      <c r="P759" s="311">
        <v>0</v>
      </c>
      <c r="Q759" s="311">
        <v>0</v>
      </c>
      <c r="R759" s="311">
        <v>0</v>
      </c>
      <c r="S759" s="311">
        <v>0</v>
      </c>
      <c r="T759" s="311">
        <v>0</v>
      </c>
      <c r="U759" s="312">
        <v>0</v>
      </c>
      <c r="V759" s="313">
        <v>0</v>
      </c>
      <c r="W759" s="314"/>
      <c r="X759" s="315">
        <v>0</v>
      </c>
      <c r="Y759" s="316">
        <v>0</v>
      </c>
    </row>
    <row r="760" spans="4:25" s="250" customFormat="1" hidden="1" outlineLevel="1" x14ac:dyDescent="0.3">
      <c r="E760" s="250" t="s">
        <v>1722</v>
      </c>
      <c r="F760" s="306">
        <v>4902004</v>
      </c>
      <c r="G760" s="307"/>
      <c r="H760" s="308"/>
      <c r="I760" s="309"/>
      <c r="J760" s="310">
        <v>0</v>
      </c>
      <c r="K760" s="311">
        <v>0</v>
      </c>
      <c r="L760" s="311">
        <v>0</v>
      </c>
      <c r="M760" s="311">
        <v>0</v>
      </c>
      <c r="N760" s="311">
        <v>0</v>
      </c>
      <c r="O760" s="311">
        <v>0</v>
      </c>
      <c r="P760" s="311">
        <v>0</v>
      </c>
      <c r="Q760" s="311">
        <v>0</v>
      </c>
      <c r="R760" s="311">
        <v>0</v>
      </c>
      <c r="S760" s="311">
        <v>0</v>
      </c>
      <c r="T760" s="311">
        <v>0</v>
      </c>
      <c r="U760" s="312">
        <v>0</v>
      </c>
      <c r="V760" s="313">
        <v>0</v>
      </c>
      <c r="W760" s="314"/>
      <c r="X760" s="315">
        <v>0</v>
      </c>
      <c r="Y760" s="316">
        <v>0</v>
      </c>
    </row>
    <row r="761" spans="4:25" s="250" customFormat="1" hidden="1" outlineLevel="1" x14ac:dyDescent="0.3">
      <c r="E761" s="250" t="s">
        <v>1723</v>
      </c>
      <c r="F761" s="306">
        <v>4313001</v>
      </c>
      <c r="G761" s="307"/>
      <c r="H761" s="308"/>
      <c r="I761" s="309"/>
      <c r="J761" s="310">
        <v>0</v>
      </c>
      <c r="K761" s="311">
        <v>0</v>
      </c>
      <c r="L761" s="311">
        <v>0</v>
      </c>
      <c r="M761" s="311">
        <v>0</v>
      </c>
      <c r="N761" s="311">
        <v>0</v>
      </c>
      <c r="O761" s="311">
        <v>0</v>
      </c>
      <c r="P761" s="311">
        <v>0</v>
      </c>
      <c r="Q761" s="311">
        <v>0</v>
      </c>
      <c r="R761" s="311">
        <v>0</v>
      </c>
      <c r="S761" s="311">
        <v>0</v>
      </c>
      <c r="T761" s="311">
        <v>0</v>
      </c>
      <c r="U761" s="312">
        <v>0</v>
      </c>
      <c r="V761" s="313">
        <v>0</v>
      </c>
      <c r="W761" s="314"/>
      <c r="X761" s="315">
        <v>0</v>
      </c>
      <c r="Y761" s="316">
        <v>0</v>
      </c>
    </row>
    <row r="762" spans="4:25" collapsed="1" x14ac:dyDescent="0.3">
      <c r="D762" s="293" t="s">
        <v>1724</v>
      </c>
      <c r="E762" s="294"/>
      <c r="F762" s="295"/>
      <c r="G762" s="296"/>
      <c r="H762" s="297"/>
      <c r="I762" s="298"/>
      <c r="J762" s="299">
        <v>0</v>
      </c>
      <c r="K762" s="300">
        <v>0</v>
      </c>
      <c r="L762" s="300">
        <v>0</v>
      </c>
      <c r="M762" s="300">
        <v>0</v>
      </c>
      <c r="N762" s="300">
        <v>0</v>
      </c>
      <c r="O762" s="300">
        <v>0</v>
      </c>
      <c r="P762" s="300">
        <v>0</v>
      </c>
      <c r="Q762" s="300">
        <v>0</v>
      </c>
      <c r="R762" s="300">
        <v>0</v>
      </c>
      <c r="S762" s="300">
        <v>0</v>
      </c>
      <c r="T762" s="300">
        <v>0</v>
      </c>
      <c r="U762" s="301">
        <v>0</v>
      </c>
      <c r="V762" s="302">
        <v>0</v>
      </c>
      <c r="W762" s="303"/>
      <c r="X762" s="304">
        <v>0</v>
      </c>
      <c r="Y762" s="305">
        <v>0</v>
      </c>
    </row>
    <row r="763" spans="4:25" s="326" customFormat="1" hidden="1" outlineLevel="2" x14ac:dyDescent="0.3">
      <c r="E763" s="326" t="s">
        <v>1725</v>
      </c>
      <c r="F763" s="351"/>
      <c r="G763" s="352"/>
      <c r="H763" s="353"/>
      <c r="I763" s="354"/>
      <c r="J763" s="362">
        <v>0</v>
      </c>
      <c r="K763" s="355">
        <v>0</v>
      </c>
      <c r="L763" s="355">
        <v>0</v>
      </c>
      <c r="M763" s="355">
        <v>0</v>
      </c>
      <c r="N763" s="355">
        <v>0</v>
      </c>
      <c r="O763" s="355">
        <v>0</v>
      </c>
      <c r="P763" s="355">
        <v>0</v>
      </c>
      <c r="Q763" s="355">
        <v>0</v>
      </c>
      <c r="R763" s="355">
        <v>0</v>
      </c>
      <c r="S763" s="355">
        <v>0</v>
      </c>
      <c r="T763" s="355">
        <v>0</v>
      </c>
      <c r="U763" s="356">
        <v>0</v>
      </c>
      <c r="V763" s="357">
        <v>0</v>
      </c>
      <c r="W763" s="358"/>
      <c r="X763" s="359">
        <v>0</v>
      </c>
      <c r="Y763" s="360">
        <v>0</v>
      </c>
    </row>
    <row r="764" spans="4:25" s="326" customFormat="1" hidden="1" outlineLevel="2" x14ac:dyDescent="0.3">
      <c r="E764" s="326" t="s">
        <v>1726</v>
      </c>
      <c r="F764" s="351"/>
      <c r="G764" s="352"/>
      <c r="H764" s="353"/>
      <c r="I764" s="354"/>
      <c r="J764" s="362">
        <v>0</v>
      </c>
      <c r="K764" s="355">
        <v>0</v>
      </c>
      <c r="L764" s="355">
        <v>0</v>
      </c>
      <c r="M764" s="355">
        <v>0</v>
      </c>
      <c r="N764" s="355">
        <v>0</v>
      </c>
      <c r="O764" s="355">
        <v>0</v>
      </c>
      <c r="P764" s="355">
        <v>0</v>
      </c>
      <c r="Q764" s="355">
        <v>0</v>
      </c>
      <c r="R764" s="355">
        <v>0</v>
      </c>
      <c r="S764" s="355">
        <v>0</v>
      </c>
      <c r="T764" s="355">
        <v>0</v>
      </c>
      <c r="U764" s="356">
        <v>0</v>
      </c>
      <c r="V764" s="357">
        <v>0</v>
      </c>
      <c r="W764" s="358"/>
      <c r="X764" s="359">
        <v>0</v>
      </c>
      <c r="Y764" s="360">
        <v>0</v>
      </c>
    </row>
    <row r="765" spans="4:25" s="326" customFormat="1" hidden="1" outlineLevel="2" x14ac:dyDescent="0.3">
      <c r="E765" s="326" t="s">
        <v>1727</v>
      </c>
      <c r="F765" s="351"/>
      <c r="G765" s="352"/>
      <c r="H765" s="353"/>
      <c r="I765" s="354"/>
      <c r="J765" s="362">
        <v>0</v>
      </c>
      <c r="K765" s="355">
        <v>0</v>
      </c>
      <c r="L765" s="355">
        <v>0</v>
      </c>
      <c r="M765" s="355">
        <v>0</v>
      </c>
      <c r="N765" s="355">
        <v>0</v>
      </c>
      <c r="O765" s="355">
        <v>0</v>
      </c>
      <c r="P765" s="355">
        <v>0</v>
      </c>
      <c r="Q765" s="355">
        <v>0</v>
      </c>
      <c r="R765" s="355">
        <v>0</v>
      </c>
      <c r="S765" s="355">
        <v>0</v>
      </c>
      <c r="T765" s="355">
        <v>0</v>
      </c>
      <c r="U765" s="356">
        <v>0</v>
      </c>
      <c r="V765" s="357">
        <v>0</v>
      </c>
      <c r="W765" s="358"/>
      <c r="X765" s="359">
        <v>0</v>
      </c>
      <c r="Y765" s="360">
        <v>0</v>
      </c>
    </row>
    <row r="766" spans="4:25" collapsed="1" x14ac:dyDescent="0.3">
      <c r="D766" s="293" t="s">
        <v>1728</v>
      </c>
      <c r="E766" s="294"/>
      <c r="F766" s="295"/>
      <c r="G766" s="296"/>
      <c r="H766" s="297"/>
      <c r="I766" s="298"/>
      <c r="J766" s="299">
        <v>0</v>
      </c>
      <c r="K766" s="300">
        <v>0</v>
      </c>
      <c r="L766" s="300">
        <v>0</v>
      </c>
      <c r="M766" s="300">
        <v>0</v>
      </c>
      <c r="N766" s="300">
        <v>0</v>
      </c>
      <c r="O766" s="300">
        <v>0</v>
      </c>
      <c r="P766" s="300">
        <v>0</v>
      </c>
      <c r="Q766" s="300">
        <v>0</v>
      </c>
      <c r="R766" s="300">
        <v>0</v>
      </c>
      <c r="S766" s="300">
        <v>0</v>
      </c>
      <c r="T766" s="300">
        <v>0</v>
      </c>
      <c r="U766" s="301">
        <v>0</v>
      </c>
      <c r="V766" s="302">
        <v>0</v>
      </c>
      <c r="W766" s="303"/>
      <c r="X766" s="304">
        <v>0</v>
      </c>
      <c r="Y766" s="305">
        <v>0</v>
      </c>
    </row>
    <row r="767" spans="4:25" s="326" customFormat="1" hidden="1" outlineLevel="2" x14ac:dyDescent="0.3">
      <c r="E767" s="326" t="s">
        <v>1729</v>
      </c>
      <c r="F767" s="336"/>
      <c r="G767" s="327"/>
      <c r="H767" s="328"/>
      <c r="I767" s="329"/>
      <c r="J767" s="338">
        <v>0</v>
      </c>
      <c r="K767" s="330">
        <v>0</v>
      </c>
      <c r="L767" s="330">
        <v>0</v>
      </c>
      <c r="M767" s="330">
        <v>0</v>
      </c>
      <c r="N767" s="330">
        <v>0</v>
      </c>
      <c r="O767" s="330">
        <v>0</v>
      </c>
      <c r="P767" s="330">
        <v>0</v>
      </c>
      <c r="Q767" s="330">
        <v>0</v>
      </c>
      <c r="R767" s="330">
        <v>0</v>
      </c>
      <c r="S767" s="330">
        <v>0</v>
      </c>
      <c r="T767" s="330">
        <v>0</v>
      </c>
      <c r="U767" s="331">
        <v>0</v>
      </c>
      <c r="V767" s="332">
        <v>0</v>
      </c>
      <c r="W767" s="333"/>
      <c r="X767" s="334">
        <v>0</v>
      </c>
      <c r="Y767" s="335">
        <v>0</v>
      </c>
    </row>
    <row r="768" spans="4:25" s="326" customFormat="1" hidden="1" outlineLevel="2" x14ac:dyDescent="0.3">
      <c r="E768" s="326" t="s">
        <v>1730</v>
      </c>
      <c r="F768" s="336"/>
      <c r="G768" s="327"/>
      <c r="H768" s="328"/>
      <c r="I768" s="329"/>
      <c r="J768" s="338">
        <v>0</v>
      </c>
      <c r="K768" s="330">
        <v>0</v>
      </c>
      <c r="L768" s="330">
        <v>0</v>
      </c>
      <c r="M768" s="330">
        <v>0</v>
      </c>
      <c r="N768" s="330">
        <v>0</v>
      </c>
      <c r="O768" s="330">
        <v>0</v>
      </c>
      <c r="P768" s="330">
        <v>0</v>
      </c>
      <c r="Q768" s="330">
        <v>0</v>
      </c>
      <c r="R768" s="330">
        <v>0</v>
      </c>
      <c r="S768" s="330">
        <v>0</v>
      </c>
      <c r="T768" s="330">
        <v>0</v>
      </c>
      <c r="U768" s="331">
        <v>0</v>
      </c>
      <c r="V768" s="332">
        <v>0</v>
      </c>
      <c r="W768" s="333"/>
      <c r="X768" s="334">
        <v>0</v>
      </c>
      <c r="Y768" s="335">
        <v>0</v>
      </c>
    </row>
    <row r="769" spans="1:28" s="326" customFormat="1" hidden="1" outlineLevel="2" x14ac:dyDescent="0.3">
      <c r="E769" s="326" t="s">
        <v>1731</v>
      </c>
      <c r="F769" s="336"/>
      <c r="G769" s="327"/>
      <c r="H769" s="328"/>
      <c r="I769" s="329"/>
      <c r="J769" s="338">
        <v>0</v>
      </c>
      <c r="K769" s="330">
        <v>0</v>
      </c>
      <c r="L769" s="330">
        <v>0</v>
      </c>
      <c r="M769" s="330">
        <v>0</v>
      </c>
      <c r="N769" s="330">
        <v>0</v>
      </c>
      <c r="O769" s="330">
        <v>0</v>
      </c>
      <c r="P769" s="330">
        <v>0</v>
      </c>
      <c r="Q769" s="330">
        <v>0</v>
      </c>
      <c r="R769" s="330">
        <v>0</v>
      </c>
      <c r="S769" s="330">
        <v>0</v>
      </c>
      <c r="T769" s="330">
        <v>0</v>
      </c>
      <c r="U769" s="331">
        <v>0</v>
      </c>
      <c r="V769" s="332">
        <v>0</v>
      </c>
      <c r="W769" s="333"/>
      <c r="X769" s="334">
        <v>0</v>
      </c>
      <c r="Y769" s="335">
        <v>0</v>
      </c>
    </row>
    <row r="770" spans="1:28" collapsed="1" x14ac:dyDescent="0.3">
      <c r="D770" s="293" t="s">
        <v>1732</v>
      </c>
      <c r="E770" s="294"/>
      <c r="F770" s="295"/>
      <c r="G770" s="296"/>
      <c r="H770" s="297"/>
      <c r="I770" s="298"/>
      <c r="J770" s="299">
        <v>0</v>
      </c>
      <c r="K770" s="300">
        <v>0</v>
      </c>
      <c r="L770" s="300">
        <v>0</v>
      </c>
      <c r="M770" s="300">
        <v>0</v>
      </c>
      <c r="N770" s="300">
        <v>0</v>
      </c>
      <c r="O770" s="300">
        <v>0</v>
      </c>
      <c r="P770" s="300">
        <v>0</v>
      </c>
      <c r="Q770" s="300">
        <v>0</v>
      </c>
      <c r="R770" s="300">
        <v>0</v>
      </c>
      <c r="S770" s="300">
        <v>0</v>
      </c>
      <c r="T770" s="300">
        <v>0</v>
      </c>
      <c r="U770" s="301">
        <v>0</v>
      </c>
      <c r="V770" s="302">
        <v>0</v>
      </c>
      <c r="W770" s="303"/>
      <c r="X770" s="304">
        <v>0</v>
      </c>
      <c r="Y770" s="305">
        <v>0</v>
      </c>
    </row>
    <row r="771" spans="1:28" s="326" customFormat="1" hidden="1" outlineLevel="2" x14ac:dyDescent="0.3">
      <c r="E771" s="326" t="s">
        <v>1733</v>
      </c>
      <c r="F771" s="336"/>
      <c r="G771" s="327"/>
      <c r="H771" s="328"/>
      <c r="I771" s="329"/>
      <c r="J771" s="338">
        <v>0</v>
      </c>
      <c r="K771" s="330">
        <v>0</v>
      </c>
      <c r="L771" s="330">
        <v>0</v>
      </c>
      <c r="M771" s="330">
        <v>0</v>
      </c>
      <c r="N771" s="330">
        <v>0</v>
      </c>
      <c r="O771" s="330">
        <v>0</v>
      </c>
      <c r="P771" s="330">
        <v>0</v>
      </c>
      <c r="Q771" s="330">
        <v>0</v>
      </c>
      <c r="R771" s="330">
        <v>0</v>
      </c>
      <c r="S771" s="330">
        <v>0</v>
      </c>
      <c r="T771" s="330">
        <v>0</v>
      </c>
      <c r="U771" s="331">
        <v>0</v>
      </c>
      <c r="V771" s="332">
        <v>0</v>
      </c>
      <c r="W771" s="333"/>
      <c r="X771" s="334">
        <v>0</v>
      </c>
      <c r="Y771" s="335">
        <v>0</v>
      </c>
    </row>
    <row r="772" spans="1:28" s="326" customFormat="1" hidden="1" outlineLevel="2" x14ac:dyDescent="0.3">
      <c r="E772" s="326" t="s">
        <v>1734</v>
      </c>
      <c r="F772" s="336"/>
      <c r="G772" s="327"/>
      <c r="H772" s="328"/>
      <c r="I772" s="329"/>
      <c r="J772" s="338">
        <v>0</v>
      </c>
      <c r="K772" s="330">
        <v>0</v>
      </c>
      <c r="L772" s="330">
        <v>0</v>
      </c>
      <c r="M772" s="330">
        <v>0</v>
      </c>
      <c r="N772" s="330">
        <v>0</v>
      </c>
      <c r="O772" s="330">
        <v>0</v>
      </c>
      <c r="P772" s="330">
        <v>0</v>
      </c>
      <c r="Q772" s="330">
        <v>0</v>
      </c>
      <c r="R772" s="330">
        <v>0</v>
      </c>
      <c r="S772" s="330">
        <v>0</v>
      </c>
      <c r="T772" s="330">
        <v>0</v>
      </c>
      <c r="U772" s="331">
        <v>0</v>
      </c>
      <c r="V772" s="332">
        <v>0</v>
      </c>
      <c r="W772" s="333"/>
      <c r="X772" s="334">
        <v>0</v>
      </c>
      <c r="Y772" s="335">
        <v>0</v>
      </c>
    </row>
    <row r="773" spans="1:28" s="326" customFormat="1" hidden="1" outlineLevel="2" x14ac:dyDescent="0.3">
      <c r="E773" s="326" t="s">
        <v>1735</v>
      </c>
      <c r="F773" s="336"/>
      <c r="G773" s="327"/>
      <c r="H773" s="328"/>
      <c r="I773" s="329"/>
      <c r="J773" s="338">
        <v>0</v>
      </c>
      <c r="K773" s="330">
        <v>0</v>
      </c>
      <c r="L773" s="330">
        <v>0</v>
      </c>
      <c r="M773" s="330">
        <v>0</v>
      </c>
      <c r="N773" s="330">
        <v>0</v>
      </c>
      <c r="O773" s="330">
        <v>0</v>
      </c>
      <c r="P773" s="330">
        <v>0</v>
      </c>
      <c r="Q773" s="330">
        <v>0</v>
      </c>
      <c r="R773" s="330">
        <v>0</v>
      </c>
      <c r="S773" s="330">
        <v>0</v>
      </c>
      <c r="T773" s="330">
        <v>0</v>
      </c>
      <c r="U773" s="331">
        <v>0</v>
      </c>
      <c r="V773" s="332">
        <v>0</v>
      </c>
      <c r="W773" s="333"/>
      <c r="X773" s="334">
        <v>0</v>
      </c>
      <c r="Y773" s="335">
        <v>0</v>
      </c>
    </row>
    <row r="774" spans="1:28" s="2" customFormat="1" ht="16.5" customHeight="1" collapsed="1" x14ac:dyDescent="0.3">
      <c r="A774" s="930" t="s">
        <v>50</v>
      </c>
      <c r="B774" s="248"/>
      <c r="C774" s="267" t="s">
        <v>1736</v>
      </c>
      <c r="D774" s="267"/>
      <c r="E774" s="268"/>
      <c r="F774" s="269"/>
      <c r="G774" s="270"/>
      <c r="H774" s="271"/>
      <c r="I774" s="272"/>
      <c r="J774" s="273">
        <v>6100198.9519999847</v>
      </c>
      <c r="K774" s="274">
        <v>4923488.7819999903</v>
      </c>
      <c r="L774" s="274">
        <v>11414654.42899999</v>
      </c>
      <c r="M774" s="274">
        <v>8336292.7309999913</v>
      </c>
      <c r="N774" s="274">
        <v>10572447.198000029</v>
      </c>
      <c r="O774" s="274">
        <v>6304105.9990000129</v>
      </c>
      <c r="P774" s="274">
        <v>5013409.3389999568</v>
      </c>
      <c r="Q774" s="274">
        <v>3035617.0020000041</v>
      </c>
      <c r="R774" s="274">
        <v>3599392.7599999979</v>
      </c>
      <c r="S774" s="274">
        <v>9169727.8330000043</v>
      </c>
      <c r="T774" s="274">
        <v>14960852.327999979</v>
      </c>
      <c r="U774" s="275">
        <v>9582464.7180000395</v>
      </c>
      <c r="V774" s="276">
        <v>93012652.070999861</v>
      </c>
      <c r="W774" s="277"/>
      <c r="X774" s="278">
        <v>9582464.7180000395</v>
      </c>
      <c r="Y774" s="279">
        <v>93012652.070999861</v>
      </c>
    </row>
    <row r="775" spans="1:28" ht="16.5" customHeight="1" collapsed="1" x14ac:dyDescent="0.3">
      <c r="A775" s="930" t="s">
        <v>72</v>
      </c>
      <c r="B775" s="248"/>
      <c r="C775" s="280" t="s">
        <v>1737</v>
      </c>
      <c r="D775" s="281"/>
      <c r="E775" s="282"/>
      <c r="F775" s="283"/>
      <c r="G775" s="284"/>
      <c r="H775" s="285"/>
      <c r="I775" s="286"/>
      <c r="J775" s="287">
        <v>2304.6880000000001</v>
      </c>
      <c r="K775" s="288">
        <v>6064.1720000000005</v>
      </c>
      <c r="L775" s="288">
        <v>23988.664999999997</v>
      </c>
      <c r="M775" s="288">
        <v>5212.79</v>
      </c>
      <c r="N775" s="288">
        <v>713.48599999999999</v>
      </c>
      <c r="O775" s="288">
        <v>73883.86</v>
      </c>
      <c r="P775" s="288">
        <v>302.87400000000002</v>
      </c>
      <c r="Q775" s="288">
        <v>2507.1819999999998</v>
      </c>
      <c r="R775" s="288">
        <v>14619.888000000001</v>
      </c>
      <c r="S775" s="288">
        <v>6230.0349999999999</v>
      </c>
      <c r="T775" s="288">
        <v>4454.3320000000003</v>
      </c>
      <c r="U775" s="289">
        <v>901455.16</v>
      </c>
      <c r="V775" s="290">
        <v>1041737.132</v>
      </c>
      <c r="W775" s="277"/>
      <c r="X775" s="291">
        <v>901455.16</v>
      </c>
      <c r="Y775" s="292">
        <v>1041737.132</v>
      </c>
      <c r="AA775">
        <f>'9. 추정 IS'!J88</f>
        <v>1041.737132</v>
      </c>
      <c r="AB775" s="931">
        <f>AA775*1000-V775</f>
        <v>0</v>
      </c>
    </row>
    <row r="776" spans="1:28" collapsed="1" x14ac:dyDescent="0.3">
      <c r="A776" s="233"/>
      <c r="B776" s="234" t="s">
        <v>51</v>
      </c>
      <c r="D776" s="293" t="s">
        <v>1738</v>
      </c>
      <c r="E776" s="294"/>
      <c r="F776" s="295" t="s">
        <v>1739</v>
      </c>
      <c r="G776" s="296"/>
      <c r="H776" s="297"/>
      <c r="I776" s="298"/>
      <c r="J776" s="299">
        <v>0</v>
      </c>
      <c r="K776" s="300">
        <v>0</v>
      </c>
      <c r="L776" s="300">
        <v>0</v>
      </c>
      <c r="M776" s="300">
        <v>0</v>
      </c>
      <c r="N776" s="300">
        <v>0</v>
      </c>
      <c r="O776" s="300">
        <v>54233</v>
      </c>
      <c r="P776" s="300">
        <v>0</v>
      </c>
      <c r="Q776" s="300">
        <v>0</v>
      </c>
      <c r="R776" s="300">
        <v>0</v>
      </c>
      <c r="S776" s="300">
        <v>0</v>
      </c>
      <c r="T776" s="300">
        <v>0</v>
      </c>
      <c r="U776" s="301">
        <v>0</v>
      </c>
      <c r="V776" s="302">
        <v>54233</v>
      </c>
      <c r="W776" s="303"/>
      <c r="X776" s="304">
        <v>0</v>
      </c>
      <c r="Y776" s="305">
        <v>54233</v>
      </c>
    </row>
    <row r="777" spans="1:28" hidden="1" outlineLevel="1" x14ac:dyDescent="0.3">
      <c r="E777" s="250" t="s">
        <v>1740</v>
      </c>
      <c r="F777" s="317">
        <v>4403082</v>
      </c>
      <c r="G777" s="318"/>
      <c r="H777" s="319">
        <v>7101010101</v>
      </c>
      <c r="I777" s="320"/>
      <c r="J777" s="337">
        <v>0</v>
      </c>
      <c r="K777" s="321">
        <v>0</v>
      </c>
      <c r="L777" s="321">
        <v>0</v>
      </c>
      <c r="M777" s="321">
        <v>0</v>
      </c>
      <c r="N777" s="321">
        <v>0</v>
      </c>
      <c r="O777" s="321">
        <v>0</v>
      </c>
      <c r="P777" s="321">
        <v>0</v>
      </c>
      <c r="Q777" s="321">
        <v>0</v>
      </c>
      <c r="R777" s="321">
        <v>0</v>
      </c>
      <c r="S777" s="321">
        <v>0</v>
      </c>
      <c r="T777" s="321">
        <v>0</v>
      </c>
      <c r="U777" s="322">
        <v>0</v>
      </c>
      <c r="V777" s="323">
        <v>0</v>
      </c>
      <c r="W777" s="303"/>
      <c r="X777" s="324">
        <v>0</v>
      </c>
      <c r="Y777" s="325">
        <v>0</v>
      </c>
    </row>
    <row r="778" spans="1:28" hidden="1" outlineLevel="1" x14ac:dyDescent="0.3">
      <c r="E778" s="250" t="s">
        <v>1741</v>
      </c>
      <c r="F778" s="317">
        <v>4403083</v>
      </c>
      <c r="G778" s="318"/>
      <c r="H778" s="319"/>
      <c r="I778" s="320"/>
      <c r="J778" s="337">
        <v>0</v>
      </c>
      <c r="K778" s="321">
        <v>0</v>
      </c>
      <c r="L778" s="321">
        <v>0</v>
      </c>
      <c r="M778" s="321">
        <v>0</v>
      </c>
      <c r="N778" s="321">
        <v>0</v>
      </c>
      <c r="O778" s="321">
        <v>0</v>
      </c>
      <c r="P778" s="321">
        <v>0</v>
      </c>
      <c r="Q778" s="321">
        <v>0</v>
      </c>
      <c r="R778" s="321">
        <v>0</v>
      </c>
      <c r="S778" s="321">
        <v>0</v>
      </c>
      <c r="T778" s="321">
        <v>0</v>
      </c>
      <c r="U778" s="322">
        <v>0</v>
      </c>
      <c r="V778" s="323">
        <v>0</v>
      </c>
      <c r="W778" s="303"/>
      <c r="X778" s="324">
        <v>0</v>
      </c>
      <c r="Y778" s="325">
        <v>0</v>
      </c>
    </row>
    <row r="779" spans="1:28" hidden="1" outlineLevel="1" x14ac:dyDescent="0.3">
      <c r="E779" s="250" t="s">
        <v>1742</v>
      </c>
      <c r="F779" s="317">
        <v>4403092</v>
      </c>
      <c r="G779" s="318"/>
      <c r="H779" s="319"/>
      <c r="I779" s="320"/>
      <c r="J779" s="337">
        <v>0</v>
      </c>
      <c r="K779" s="321">
        <v>0</v>
      </c>
      <c r="L779" s="321">
        <v>0</v>
      </c>
      <c r="M779" s="321">
        <v>0</v>
      </c>
      <c r="N779" s="321">
        <v>0</v>
      </c>
      <c r="O779" s="321">
        <v>0</v>
      </c>
      <c r="P779" s="321">
        <v>0</v>
      </c>
      <c r="Q779" s="321">
        <v>0</v>
      </c>
      <c r="R779" s="321">
        <v>0</v>
      </c>
      <c r="S779" s="321">
        <v>0</v>
      </c>
      <c r="T779" s="321">
        <v>0</v>
      </c>
      <c r="U779" s="322">
        <v>0</v>
      </c>
      <c r="V779" s="323">
        <v>0</v>
      </c>
      <c r="W779" s="303"/>
      <c r="X779" s="324">
        <v>0</v>
      </c>
      <c r="Y779" s="325">
        <v>0</v>
      </c>
    </row>
    <row r="780" spans="1:28" hidden="1" outlineLevel="1" x14ac:dyDescent="0.3">
      <c r="A780" s="326"/>
      <c r="B780" s="326"/>
      <c r="E780" s="250" t="s">
        <v>1743</v>
      </c>
      <c r="F780" s="317">
        <v>4403084</v>
      </c>
      <c r="G780" s="318"/>
      <c r="H780" s="319"/>
      <c r="I780" s="320"/>
      <c r="J780" s="337">
        <v>0</v>
      </c>
      <c r="K780" s="321">
        <v>0</v>
      </c>
      <c r="L780" s="321">
        <v>0</v>
      </c>
      <c r="M780" s="321">
        <v>0</v>
      </c>
      <c r="N780" s="321">
        <v>0</v>
      </c>
      <c r="O780" s="321">
        <v>0</v>
      </c>
      <c r="P780" s="321">
        <v>0</v>
      </c>
      <c r="Q780" s="321">
        <v>0</v>
      </c>
      <c r="R780" s="321">
        <v>0</v>
      </c>
      <c r="S780" s="321">
        <v>0</v>
      </c>
      <c r="T780" s="321">
        <v>0</v>
      </c>
      <c r="U780" s="322">
        <v>0</v>
      </c>
      <c r="V780" s="323">
        <v>0</v>
      </c>
      <c r="W780" s="303"/>
      <c r="X780" s="324">
        <v>0</v>
      </c>
      <c r="Y780" s="325">
        <v>0</v>
      </c>
    </row>
    <row r="781" spans="1:28" hidden="1" outlineLevel="1" x14ac:dyDescent="0.3">
      <c r="A781" s="326"/>
      <c r="B781" s="326"/>
      <c r="E781" s="250" t="s">
        <v>1744</v>
      </c>
      <c r="F781" s="317">
        <v>4403089</v>
      </c>
      <c r="G781" s="318"/>
      <c r="H781" s="319"/>
      <c r="I781" s="320"/>
      <c r="J781" s="337">
        <v>0</v>
      </c>
      <c r="K781" s="321">
        <v>0</v>
      </c>
      <c r="L781" s="321">
        <v>0</v>
      </c>
      <c r="M781" s="321">
        <v>0</v>
      </c>
      <c r="N781" s="321">
        <v>0</v>
      </c>
      <c r="O781" s="321">
        <v>0</v>
      </c>
      <c r="P781" s="321">
        <v>0</v>
      </c>
      <c r="Q781" s="321">
        <v>0</v>
      </c>
      <c r="R781" s="321">
        <v>0</v>
      </c>
      <c r="S781" s="321">
        <v>0</v>
      </c>
      <c r="T781" s="321">
        <v>0</v>
      </c>
      <c r="U781" s="322">
        <v>0</v>
      </c>
      <c r="V781" s="323">
        <v>0</v>
      </c>
      <c r="W781" s="303"/>
      <c r="X781" s="324">
        <v>0</v>
      </c>
      <c r="Y781" s="325">
        <v>0</v>
      </c>
    </row>
    <row r="782" spans="1:28" hidden="1" outlineLevel="1" x14ac:dyDescent="0.3">
      <c r="E782" s="250" t="s">
        <v>1745</v>
      </c>
      <c r="F782" s="317">
        <v>4403085</v>
      </c>
      <c r="G782" s="318"/>
      <c r="H782" s="319"/>
      <c r="I782" s="320"/>
      <c r="J782" s="337">
        <v>0</v>
      </c>
      <c r="K782" s="321">
        <v>0</v>
      </c>
      <c r="L782" s="321">
        <v>0</v>
      </c>
      <c r="M782" s="321">
        <v>0</v>
      </c>
      <c r="N782" s="321">
        <v>0</v>
      </c>
      <c r="O782" s="321">
        <v>43389</v>
      </c>
      <c r="P782" s="321">
        <v>0</v>
      </c>
      <c r="Q782" s="321">
        <v>0</v>
      </c>
      <c r="R782" s="321">
        <v>0</v>
      </c>
      <c r="S782" s="321">
        <v>0</v>
      </c>
      <c r="T782" s="321">
        <v>0</v>
      </c>
      <c r="U782" s="322">
        <v>0</v>
      </c>
      <c r="V782" s="323">
        <v>43389</v>
      </c>
      <c r="W782" s="303"/>
      <c r="X782" s="324">
        <v>0</v>
      </c>
      <c r="Y782" s="325">
        <v>43389</v>
      </c>
    </row>
    <row r="783" spans="1:28" hidden="1" outlineLevel="1" x14ac:dyDescent="0.3">
      <c r="E783" s="250" t="s">
        <v>1746</v>
      </c>
      <c r="F783" s="317">
        <v>4403088</v>
      </c>
      <c r="G783" s="318"/>
      <c r="H783" s="319"/>
      <c r="I783" s="320"/>
      <c r="J783" s="337">
        <v>0</v>
      </c>
      <c r="K783" s="321">
        <v>0</v>
      </c>
      <c r="L783" s="321">
        <v>0</v>
      </c>
      <c r="M783" s="321">
        <v>0</v>
      </c>
      <c r="N783" s="321">
        <v>0</v>
      </c>
      <c r="O783" s="321">
        <v>0</v>
      </c>
      <c r="P783" s="321">
        <v>0</v>
      </c>
      <c r="Q783" s="321">
        <v>0</v>
      </c>
      <c r="R783" s="321">
        <v>0</v>
      </c>
      <c r="S783" s="321">
        <v>0</v>
      </c>
      <c r="T783" s="321">
        <v>0</v>
      </c>
      <c r="U783" s="322">
        <v>0</v>
      </c>
      <c r="V783" s="323">
        <v>0</v>
      </c>
      <c r="W783" s="303"/>
      <c r="X783" s="324">
        <v>0</v>
      </c>
      <c r="Y783" s="325">
        <v>0</v>
      </c>
    </row>
    <row r="784" spans="1:28" hidden="1" outlineLevel="1" x14ac:dyDescent="0.3">
      <c r="E784" s="250" t="s">
        <v>1747</v>
      </c>
      <c r="F784" s="317">
        <v>4403093</v>
      </c>
      <c r="G784" s="318"/>
      <c r="H784" s="319"/>
      <c r="I784" s="320"/>
      <c r="J784" s="337">
        <v>0</v>
      </c>
      <c r="K784" s="321">
        <v>0</v>
      </c>
      <c r="L784" s="321">
        <v>0</v>
      </c>
      <c r="M784" s="321">
        <v>0</v>
      </c>
      <c r="N784" s="321">
        <v>0</v>
      </c>
      <c r="O784" s="321">
        <v>0</v>
      </c>
      <c r="P784" s="321">
        <v>0</v>
      </c>
      <c r="Q784" s="321">
        <v>0</v>
      </c>
      <c r="R784" s="321">
        <v>0</v>
      </c>
      <c r="S784" s="321">
        <v>0</v>
      </c>
      <c r="T784" s="321">
        <v>0</v>
      </c>
      <c r="U784" s="322">
        <v>0</v>
      </c>
      <c r="V784" s="323">
        <v>0</v>
      </c>
      <c r="W784" s="303"/>
      <c r="X784" s="324">
        <v>0</v>
      </c>
      <c r="Y784" s="325">
        <v>0</v>
      </c>
    </row>
    <row r="785" spans="1:25" hidden="1" outlineLevel="1" x14ac:dyDescent="0.3">
      <c r="E785" s="250" t="s">
        <v>1748</v>
      </c>
      <c r="F785" s="317">
        <v>4403087</v>
      </c>
      <c r="G785" s="318"/>
      <c r="H785" s="319"/>
      <c r="I785" s="320"/>
      <c r="J785" s="337">
        <v>0</v>
      </c>
      <c r="K785" s="321">
        <v>0</v>
      </c>
      <c r="L785" s="321">
        <v>0</v>
      </c>
      <c r="M785" s="321">
        <v>0</v>
      </c>
      <c r="N785" s="321">
        <v>0</v>
      </c>
      <c r="O785" s="321">
        <v>10844</v>
      </c>
      <c r="P785" s="321">
        <v>0</v>
      </c>
      <c r="Q785" s="321">
        <v>0</v>
      </c>
      <c r="R785" s="321">
        <v>0</v>
      </c>
      <c r="S785" s="321">
        <v>0</v>
      </c>
      <c r="T785" s="321">
        <v>0</v>
      </c>
      <c r="U785" s="322">
        <v>0</v>
      </c>
      <c r="V785" s="323">
        <v>10844</v>
      </c>
      <c r="W785" s="303"/>
      <c r="X785" s="324">
        <v>0</v>
      </c>
      <c r="Y785" s="325">
        <v>10844</v>
      </c>
    </row>
    <row r="786" spans="1:25" hidden="1" outlineLevel="1" x14ac:dyDescent="0.3">
      <c r="E786" s="250" t="s">
        <v>1749</v>
      </c>
      <c r="F786" s="317">
        <v>4403090</v>
      </c>
      <c r="G786" s="318"/>
      <c r="H786" s="319"/>
      <c r="I786" s="320"/>
      <c r="J786" s="337">
        <v>0</v>
      </c>
      <c r="K786" s="321">
        <v>0</v>
      </c>
      <c r="L786" s="321">
        <v>0</v>
      </c>
      <c r="M786" s="321">
        <v>0</v>
      </c>
      <c r="N786" s="321">
        <v>0</v>
      </c>
      <c r="O786" s="321">
        <v>0</v>
      </c>
      <c r="P786" s="321">
        <v>0</v>
      </c>
      <c r="Q786" s="321">
        <v>0</v>
      </c>
      <c r="R786" s="321">
        <v>0</v>
      </c>
      <c r="S786" s="321">
        <v>0</v>
      </c>
      <c r="T786" s="321">
        <v>0</v>
      </c>
      <c r="U786" s="322">
        <v>0</v>
      </c>
      <c r="V786" s="323">
        <v>0</v>
      </c>
      <c r="W786" s="303"/>
      <c r="X786" s="324">
        <v>0</v>
      </c>
      <c r="Y786" s="325">
        <v>0</v>
      </c>
    </row>
    <row r="787" spans="1:25" hidden="1" outlineLevel="1" x14ac:dyDescent="0.3">
      <c r="E787" s="250" t="s">
        <v>1750</v>
      </c>
      <c r="F787" s="317">
        <v>4403094</v>
      </c>
      <c r="G787" s="318"/>
      <c r="H787" s="319"/>
      <c r="I787" s="320"/>
      <c r="J787" s="337">
        <v>0</v>
      </c>
      <c r="K787" s="321">
        <v>0</v>
      </c>
      <c r="L787" s="321">
        <v>0</v>
      </c>
      <c r="M787" s="321">
        <v>0</v>
      </c>
      <c r="N787" s="321">
        <v>0</v>
      </c>
      <c r="O787" s="321">
        <v>0</v>
      </c>
      <c r="P787" s="321">
        <v>0</v>
      </c>
      <c r="Q787" s="321">
        <v>0</v>
      </c>
      <c r="R787" s="321">
        <v>0</v>
      </c>
      <c r="S787" s="321">
        <v>0</v>
      </c>
      <c r="T787" s="321">
        <v>0</v>
      </c>
      <c r="U787" s="322">
        <v>0</v>
      </c>
      <c r="V787" s="323">
        <v>0</v>
      </c>
      <c r="W787" s="303"/>
      <c r="X787" s="324">
        <v>0</v>
      </c>
      <c r="Y787" s="325">
        <v>0</v>
      </c>
    </row>
    <row r="788" spans="1:25" hidden="1" outlineLevel="1" x14ac:dyDescent="0.3">
      <c r="E788" s="250" t="s">
        <v>1751</v>
      </c>
      <c r="F788" s="317">
        <v>4403086</v>
      </c>
      <c r="G788" s="318"/>
      <c r="H788" s="319"/>
      <c r="I788" s="320"/>
      <c r="J788" s="337">
        <v>0</v>
      </c>
      <c r="K788" s="321">
        <v>0</v>
      </c>
      <c r="L788" s="321">
        <v>0</v>
      </c>
      <c r="M788" s="321">
        <v>0</v>
      </c>
      <c r="N788" s="321">
        <v>0</v>
      </c>
      <c r="O788" s="321">
        <v>0</v>
      </c>
      <c r="P788" s="321">
        <v>0</v>
      </c>
      <c r="Q788" s="321">
        <v>0</v>
      </c>
      <c r="R788" s="321">
        <v>0</v>
      </c>
      <c r="S788" s="321">
        <v>0</v>
      </c>
      <c r="T788" s="321">
        <v>0</v>
      </c>
      <c r="U788" s="322">
        <v>0</v>
      </c>
      <c r="V788" s="323">
        <v>0</v>
      </c>
      <c r="W788" s="303"/>
      <c r="X788" s="324">
        <v>0</v>
      </c>
      <c r="Y788" s="325">
        <v>0</v>
      </c>
    </row>
    <row r="789" spans="1:25" hidden="1" outlineLevel="1" x14ac:dyDescent="0.3">
      <c r="E789" s="250" t="s">
        <v>1752</v>
      </c>
      <c r="F789" s="317">
        <v>4403091</v>
      </c>
      <c r="G789" s="318"/>
      <c r="H789" s="319"/>
      <c r="I789" s="320"/>
      <c r="J789" s="337">
        <v>0</v>
      </c>
      <c r="K789" s="321">
        <v>0</v>
      </c>
      <c r="L789" s="321">
        <v>0</v>
      </c>
      <c r="M789" s="321">
        <v>0</v>
      </c>
      <c r="N789" s="321">
        <v>0</v>
      </c>
      <c r="O789" s="321">
        <v>0</v>
      </c>
      <c r="P789" s="321">
        <v>0</v>
      </c>
      <c r="Q789" s="321">
        <v>0</v>
      </c>
      <c r="R789" s="321">
        <v>0</v>
      </c>
      <c r="S789" s="321">
        <v>0</v>
      </c>
      <c r="T789" s="321">
        <v>0</v>
      </c>
      <c r="U789" s="322">
        <v>0</v>
      </c>
      <c r="V789" s="323">
        <v>0</v>
      </c>
      <c r="W789" s="303"/>
      <c r="X789" s="324">
        <v>0</v>
      </c>
      <c r="Y789" s="325">
        <v>0</v>
      </c>
    </row>
    <row r="790" spans="1:25" hidden="1" outlineLevel="1" x14ac:dyDescent="0.3">
      <c r="E790" s="250" t="s">
        <v>1753</v>
      </c>
      <c r="F790" s="317">
        <v>4403099</v>
      </c>
      <c r="G790" s="318"/>
      <c r="H790" s="319"/>
      <c r="I790" s="320"/>
      <c r="J790" s="337">
        <v>0</v>
      </c>
      <c r="K790" s="321">
        <v>0</v>
      </c>
      <c r="L790" s="321">
        <v>0</v>
      </c>
      <c r="M790" s="321">
        <v>0</v>
      </c>
      <c r="N790" s="321">
        <v>0</v>
      </c>
      <c r="O790" s="321">
        <v>0</v>
      </c>
      <c r="P790" s="321">
        <v>0</v>
      </c>
      <c r="Q790" s="321">
        <v>0</v>
      </c>
      <c r="R790" s="321">
        <v>0</v>
      </c>
      <c r="S790" s="321">
        <v>0</v>
      </c>
      <c r="T790" s="321">
        <v>0</v>
      </c>
      <c r="U790" s="322">
        <v>0</v>
      </c>
      <c r="V790" s="323">
        <v>0</v>
      </c>
      <c r="W790" s="303"/>
      <c r="X790" s="324">
        <v>0</v>
      </c>
      <c r="Y790" s="325">
        <v>0</v>
      </c>
    </row>
    <row r="791" spans="1:25" s="361" customFormat="1" hidden="1" outlineLevel="2" x14ac:dyDescent="0.3">
      <c r="E791" s="326" t="s">
        <v>1754</v>
      </c>
      <c r="F791" s="351"/>
      <c r="G791" s="352"/>
      <c r="H791" s="353"/>
      <c r="I791" s="354"/>
      <c r="J791" s="362">
        <v>0</v>
      </c>
      <c r="K791" s="355">
        <v>0</v>
      </c>
      <c r="L791" s="355">
        <v>0</v>
      </c>
      <c r="M791" s="355">
        <v>0</v>
      </c>
      <c r="N791" s="355">
        <v>0</v>
      </c>
      <c r="O791" s="355">
        <v>0</v>
      </c>
      <c r="P791" s="355">
        <v>0</v>
      </c>
      <c r="Q791" s="355">
        <v>0</v>
      </c>
      <c r="R791" s="355">
        <v>0</v>
      </c>
      <c r="S791" s="355">
        <v>0</v>
      </c>
      <c r="T791" s="355">
        <v>0</v>
      </c>
      <c r="U791" s="356">
        <v>0</v>
      </c>
      <c r="V791" s="357">
        <v>0</v>
      </c>
      <c r="W791" s="358"/>
      <c r="X791" s="359">
        <v>0</v>
      </c>
      <c r="Y791" s="360">
        <v>0</v>
      </c>
    </row>
    <row r="792" spans="1:25" s="361" customFormat="1" hidden="1" outlineLevel="2" x14ac:dyDescent="0.3">
      <c r="E792" s="326" t="s">
        <v>1754</v>
      </c>
      <c r="F792" s="351"/>
      <c r="G792" s="352"/>
      <c r="H792" s="353"/>
      <c r="I792" s="354"/>
      <c r="J792" s="362">
        <v>0</v>
      </c>
      <c r="K792" s="355">
        <v>0</v>
      </c>
      <c r="L792" s="355">
        <v>0</v>
      </c>
      <c r="M792" s="355">
        <v>0</v>
      </c>
      <c r="N792" s="355">
        <v>0</v>
      </c>
      <c r="O792" s="355">
        <v>0</v>
      </c>
      <c r="P792" s="355">
        <v>0</v>
      </c>
      <c r="Q792" s="355">
        <v>0</v>
      </c>
      <c r="R792" s="355">
        <v>0</v>
      </c>
      <c r="S792" s="355">
        <v>0</v>
      </c>
      <c r="T792" s="355">
        <v>0</v>
      </c>
      <c r="U792" s="356">
        <v>0</v>
      </c>
      <c r="V792" s="357">
        <v>0</v>
      </c>
      <c r="W792" s="358"/>
      <c r="X792" s="359">
        <v>0</v>
      </c>
      <c r="Y792" s="360">
        <v>0</v>
      </c>
    </row>
    <row r="793" spans="1:25" s="361" customFormat="1" hidden="1" outlineLevel="2" x14ac:dyDescent="0.3">
      <c r="E793" s="326" t="s">
        <v>1755</v>
      </c>
      <c r="F793" s="351"/>
      <c r="G793" s="352"/>
      <c r="H793" s="353"/>
      <c r="I793" s="354"/>
      <c r="J793" s="362">
        <v>0</v>
      </c>
      <c r="K793" s="355">
        <v>0</v>
      </c>
      <c r="L793" s="355">
        <v>0</v>
      </c>
      <c r="M793" s="355">
        <v>0</v>
      </c>
      <c r="N793" s="355">
        <v>0</v>
      </c>
      <c r="O793" s="355">
        <v>0</v>
      </c>
      <c r="P793" s="355">
        <v>0</v>
      </c>
      <c r="Q793" s="355">
        <v>0</v>
      </c>
      <c r="R793" s="355">
        <v>0</v>
      </c>
      <c r="S793" s="355">
        <v>0</v>
      </c>
      <c r="T793" s="355">
        <v>0</v>
      </c>
      <c r="U793" s="356">
        <v>0</v>
      </c>
      <c r="V793" s="357">
        <v>0</v>
      </c>
      <c r="W793" s="358"/>
      <c r="X793" s="359">
        <v>0</v>
      </c>
      <c r="Y793" s="360">
        <v>0</v>
      </c>
    </row>
    <row r="794" spans="1:25" collapsed="1" x14ac:dyDescent="0.3">
      <c r="A794" s="233"/>
      <c r="B794" s="234" t="s">
        <v>52</v>
      </c>
      <c r="D794" s="293" t="s">
        <v>1756</v>
      </c>
      <c r="E794" s="294"/>
      <c r="F794" s="295" t="s">
        <v>1757</v>
      </c>
      <c r="G794" s="296"/>
      <c r="H794" s="297"/>
      <c r="I794" s="298"/>
      <c r="J794" s="299">
        <v>0</v>
      </c>
      <c r="K794" s="300">
        <v>0</v>
      </c>
      <c r="L794" s="300">
        <v>0</v>
      </c>
      <c r="M794" s="300">
        <v>0</v>
      </c>
      <c r="N794" s="300">
        <v>0</v>
      </c>
      <c r="O794" s="300">
        <v>0</v>
      </c>
      <c r="P794" s="300">
        <v>0</v>
      </c>
      <c r="Q794" s="300">
        <v>0</v>
      </c>
      <c r="R794" s="300">
        <v>0</v>
      </c>
      <c r="S794" s="300">
        <v>0</v>
      </c>
      <c r="T794" s="300">
        <v>0</v>
      </c>
      <c r="U794" s="301">
        <v>0</v>
      </c>
      <c r="V794" s="302">
        <v>0</v>
      </c>
      <c r="W794" s="303"/>
      <c r="X794" s="304">
        <v>0</v>
      </c>
      <c r="Y794" s="305">
        <v>0</v>
      </c>
    </row>
    <row r="795" spans="1:25" hidden="1" outlineLevel="1" x14ac:dyDescent="0.3">
      <c r="E795" s="250" t="s">
        <v>1758</v>
      </c>
      <c r="F795" s="317">
        <v>4403589</v>
      </c>
      <c r="G795" s="318"/>
      <c r="H795" s="319">
        <v>7101050101</v>
      </c>
      <c r="I795" s="320"/>
      <c r="J795" s="337">
        <v>0</v>
      </c>
      <c r="K795" s="321">
        <v>0</v>
      </c>
      <c r="L795" s="321">
        <v>0</v>
      </c>
      <c r="M795" s="321">
        <v>0</v>
      </c>
      <c r="N795" s="321">
        <v>0</v>
      </c>
      <c r="O795" s="321">
        <v>0</v>
      </c>
      <c r="P795" s="321">
        <v>0</v>
      </c>
      <c r="Q795" s="321">
        <v>0</v>
      </c>
      <c r="R795" s="321">
        <v>0</v>
      </c>
      <c r="S795" s="321">
        <v>0</v>
      </c>
      <c r="T795" s="321">
        <v>0</v>
      </c>
      <c r="U795" s="322">
        <v>0</v>
      </c>
      <c r="V795" s="323">
        <v>0</v>
      </c>
      <c r="W795" s="303"/>
      <c r="X795" s="324">
        <v>0</v>
      </c>
      <c r="Y795" s="325">
        <v>0</v>
      </c>
    </row>
    <row r="796" spans="1:25" hidden="1" outlineLevel="1" x14ac:dyDescent="0.3">
      <c r="E796" s="250" t="s">
        <v>1759</v>
      </c>
      <c r="F796" s="317">
        <v>4403594</v>
      </c>
      <c r="G796" s="318"/>
      <c r="H796" s="319"/>
      <c r="I796" s="320"/>
      <c r="J796" s="337">
        <v>0</v>
      </c>
      <c r="K796" s="321">
        <v>0</v>
      </c>
      <c r="L796" s="321">
        <v>0</v>
      </c>
      <c r="M796" s="321">
        <v>0</v>
      </c>
      <c r="N796" s="321">
        <v>0</v>
      </c>
      <c r="O796" s="321">
        <v>0</v>
      </c>
      <c r="P796" s="321">
        <v>0</v>
      </c>
      <c r="Q796" s="321">
        <v>0</v>
      </c>
      <c r="R796" s="321">
        <v>0</v>
      </c>
      <c r="S796" s="321">
        <v>0</v>
      </c>
      <c r="T796" s="321">
        <v>0</v>
      </c>
      <c r="U796" s="322">
        <v>0</v>
      </c>
      <c r="V796" s="323">
        <v>0</v>
      </c>
      <c r="W796" s="303"/>
      <c r="X796" s="324">
        <v>0</v>
      </c>
      <c r="Y796" s="325">
        <v>0</v>
      </c>
    </row>
    <row r="797" spans="1:25" hidden="1" outlineLevel="1" x14ac:dyDescent="0.3">
      <c r="E797" s="250" t="s">
        <v>1760</v>
      </c>
      <c r="F797" s="317">
        <v>4403588</v>
      </c>
      <c r="G797" s="318"/>
      <c r="H797" s="319"/>
      <c r="I797" s="320"/>
      <c r="J797" s="337">
        <v>0</v>
      </c>
      <c r="K797" s="321">
        <v>0</v>
      </c>
      <c r="L797" s="321">
        <v>0</v>
      </c>
      <c r="M797" s="321">
        <v>0</v>
      </c>
      <c r="N797" s="321">
        <v>0</v>
      </c>
      <c r="O797" s="321">
        <v>0</v>
      </c>
      <c r="P797" s="321">
        <v>0</v>
      </c>
      <c r="Q797" s="321">
        <v>0</v>
      </c>
      <c r="R797" s="321">
        <v>0</v>
      </c>
      <c r="S797" s="321">
        <v>0</v>
      </c>
      <c r="T797" s="321">
        <v>0</v>
      </c>
      <c r="U797" s="322">
        <v>0</v>
      </c>
      <c r="V797" s="323">
        <v>0</v>
      </c>
      <c r="W797" s="303"/>
      <c r="X797" s="324">
        <v>0</v>
      </c>
      <c r="Y797" s="325">
        <v>0</v>
      </c>
    </row>
    <row r="798" spans="1:25" hidden="1" outlineLevel="1" x14ac:dyDescent="0.3">
      <c r="E798" s="250" t="s">
        <v>1761</v>
      </c>
      <c r="F798" s="317">
        <v>4403584</v>
      </c>
      <c r="G798" s="318"/>
      <c r="H798" s="319"/>
      <c r="I798" s="320"/>
      <c r="J798" s="337">
        <v>0</v>
      </c>
      <c r="K798" s="321">
        <v>0</v>
      </c>
      <c r="L798" s="321">
        <v>0</v>
      </c>
      <c r="M798" s="321">
        <v>0</v>
      </c>
      <c r="N798" s="321">
        <v>0</v>
      </c>
      <c r="O798" s="321">
        <v>0</v>
      </c>
      <c r="P798" s="321">
        <v>0</v>
      </c>
      <c r="Q798" s="321">
        <v>0</v>
      </c>
      <c r="R798" s="321">
        <v>0</v>
      </c>
      <c r="S798" s="321">
        <v>0</v>
      </c>
      <c r="T798" s="321">
        <v>0</v>
      </c>
      <c r="U798" s="322">
        <v>0</v>
      </c>
      <c r="V798" s="323">
        <v>0</v>
      </c>
      <c r="W798" s="303"/>
      <c r="X798" s="324">
        <v>0</v>
      </c>
      <c r="Y798" s="325">
        <v>0</v>
      </c>
    </row>
    <row r="799" spans="1:25" hidden="1" outlineLevel="1" x14ac:dyDescent="0.3">
      <c r="E799" s="250" t="s">
        <v>1762</v>
      </c>
      <c r="F799" s="317">
        <v>4403583</v>
      </c>
      <c r="G799" s="318"/>
      <c r="H799" s="319"/>
      <c r="I799" s="320"/>
      <c r="J799" s="337">
        <v>0</v>
      </c>
      <c r="K799" s="321">
        <v>0</v>
      </c>
      <c r="L799" s="321">
        <v>0</v>
      </c>
      <c r="M799" s="321">
        <v>0</v>
      </c>
      <c r="N799" s="321">
        <v>0</v>
      </c>
      <c r="O799" s="321">
        <v>0</v>
      </c>
      <c r="P799" s="321">
        <v>0</v>
      </c>
      <c r="Q799" s="321">
        <v>0</v>
      </c>
      <c r="R799" s="321">
        <v>0</v>
      </c>
      <c r="S799" s="321">
        <v>0</v>
      </c>
      <c r="T799" s="321">
        <v>0</v>
      </c>
      <c r="U799" s="322">
        <v>0</v>
      </c>
      <c r="V799" s="323">
        <v>0</v>
      </c>
      <c r="W799" s="303"/>
      <c r="X799" s="324">
        <v>0</v>
      </c>
      <c r="Y799" s="325">
        <v>0</v>
      </c>
    </row>
    <row r="800" spans="1:25" hidden="1" outlineLevel="1" x14ac:dyDescent="0.3">
      <c r="E800" s="250" t="s">
        <v>1763</v>
      </c>
      <c r="F800" s="317">
        <v>4403590</v>
      </c>
      <c r="G800" s="318"/>
      <c r="H800" s="319"/>
      <c r="I800" s="320"/>
      <c r="J800" s="337">
        <v>0</v>
      </c>
      <c r="K800" s="321">
        <v>0</v>
      </c>
      <c r="L800" s="321">
        <v>0</v>
      </c>
      <c r="M800" s="321">
        <v>0</v>
      </c>
      <c r="N800" s="321">
        <v>0</v>
      </c>
      <c r="O800" s="321">
        <v>0</v>
      </c>
      <c r="P800" s="321">
        <v>0</v>
      </c>
      <c r="Q800" s="321">
        <v>0</v>
      </c>
      <c r="R800" s="321">
        <v>0</v>
      </c>
      <c r="S800" s="321">
        <v>0</v>
      </c>
      <c r="T800" s="321">
        <v>0</v>
      </c>
      <c r="U800" s="322">
        <v>0</v>
      </c>
      <c r="V800" s="323">
        <v>0</v>
      </c>
      <c r="W800" s="303"/>
      <c r="X800" s="324">
        <v>0</v>
      </c>
      <c r="Y800" s="325">
        <v>0</v>
      </c>
    </row>
    <row r="801" spans="1:25" hidden="1" outlineLevel="1" x14ac:dyDescent="0.3">
      <c r="E801" s="250" t="s">
        <v>1764</v>
      </c>
      <c r="F801" s="317">
        <v>4403592</v>
      </c>
      <c r="G801" s="318"/>
      <c r="H801" s="319"/>
      <c r="I801" s="320"/>
      <c r="J801" s="337">
        <v>0</v>
      </c>
      <c r="K801" s="321">
        <v>0</v>
      </c>
      <c r="L801" s="321">
        <v>0</v>
      </c>
      <c r="M801" s="321">
        <v>0</v>
      </c>
      <c r="N801" s="321">
        <v>0</v>
      </c>
      <c r="O801" s="321">
        <v>0</v>
      </c>
      <c r="P801" s="321">
        <v>0</v>
      </c>
      <c r="Q801" s="321">
        <v>0</v>
      </c>
      <c r="R801" s="321">
        <v>0</v>
      </c>
      <c r="S801" s="321">
        <v>0</v>
      </c>
      <c r="T801" s="321">
        <v>0</v>
      </c>
      <c r="U801" s="322">
        <v>0</v>
      </c>
      <c r="V801" s="323">
        <v>0</v>
      </c>
      <c r="W801" s="303"/>
      <c r="X801" s="324">
        <v>0</v>
      </c>
      <c r="Y801" s="325">
        <v>0</v>
      </c>
    </row>
    <row r="802" spans="1:25" hidden="1" outlineLevel="1" x14ac:dyDescent="0.3">
      <c r="E802" s="250" t="s">
        <v>1765</v>
      </c>
      <c r="F802" s="317">
        <v>4403593</v>
      </c>
      <c r="G802" s="318"/>
      <c r="H802" s="319"/>
      <c r="I802" s="320"/>
      <c r="J802" s="337">
        <v>0</v>
      </c>
      <c r="K802" s="321">
        <v>0</v>
      </c>
      <c r="L802" s="321">
        <v>0</v>
      </c>
      <c r="M802" s="321">
        <v>0</v>
      </c>
      <c r="N802" s="321">
        <v>0</v>
      </c>
      <c r="O802" s="321">
        <v>0</v>
      </c>
      <c r="P802" s="321">
        <v>0</v>
      </c>
      <c r="Q802" s="321">
        <v>0</v>
      </c>
      <c r="R802" s="321">
        <v>0</v>
      </c>
      <c r="S802" s="321">
        <v>0</v>
      </c>
      <c r="T802" s="321">
        <v>0</v>
      </c>
      <c r="U802" s="322">
        <v>0</v>
      </c>
      <c r="V802" s="323">
        <v>0</v>
      </c>
      <c r="W802" s="303"/>
      <c r="X802" s="324">
        <v>0</v>
      </c>
      <c r="Y802" s="325">
        <v>0</v>
      </c>
    </row>
    <row r="803" spans="1:25" hidden="1" outlineLevel="1" x14ac:dyDescent="0.3">
      <c r="E803" s="250" t="s">
        <v>1766</v>
      </c>
      <c r="F803" s="317">
        <v>4403582</v>
      </c>
      <c r="G803" s="318"/>
      <c r="H803" s="319"/>
      <c r="I803" s="320"/>
      <c r="J803" s="337">
        <v>0</v>
      </c>
      <c r="K803" s="321">
        <v>0</v>
      </c>
      <c r="L803" s="321">
        <v>0</v>
      </c>
      <c r="M803" s="321">
        <v>0</v>
      </c>
      <c r="N803" s="321">
        <v>0</v>
      </c>
      <c r="O803" s="321">
        <v>0</v>
      </c>
      <c r="P803" s="321">
        <v>0</v>
      </c>
      <c r="Q803" s="321">
        <v>0</v>
      </c>
      <c r="R803" s="321">
        <v>0</v>
      </c>
      <c r="S803" s="321">
        <v>0</v>
      </c>
      <c r="T803" s="321">
        <v>0</v>
      </c>
      <c r="U803" s="322">
        <v>0</v>
      </c>
      <c r="V803" s="323">
        <v>0</v>
      </c>
      <c r="W803" s="303"/>
      <c r="X803" s="324">
        <v>0</v>
      </c>
      <c r="Y803" s="325">
        <v>0</v>
      </c>
    </row>
    <row r="804" spans="1:25" hidden="1" outlineLevel="1" x14ac:dyDescent="0.3">
      <c r="E804" s="250" t="s">
        <v>1767</v>
      </c>
      <c r="F804" s="317">
        <v>4403585</v>
      </c>
      <c r="G804" s="318"/>
      <c r="H804" s="319"/>
      <c r="I804" s="320"/>
      <c r="J804" s="337">
        <v>0</v>
      </c>
      <c r="K804" s="321">
        <v>0</v>
      </c>
      <c r="L804" s="321">
        <v>0</v>
      </c>
      <c r="M804" s="321">
        <v>0</v>
      </c>
      <c r="N804" s="321">
        <v>0</v>
      </c>
      <c r="O804" s="321">
        <v>0</v>
      </c>
      <c r="P804" s="321">
        <v>0</v>
      </c>
      <c r="Q804" s="321">
        <v>0</v>
      </c>
      <c r="R804" s="321">
        <v>0</v>
      </c>
      <c r="S804" s="321">
        <v>0</v>
      </c>
      <c r="T804" s="321">
        <v>0</v>
      </c>
      <c r="U804" s="322">
        <v>0</v>
      </c>
      <c r="V804" s="323">
        <v>0</v>
      </c>
      <c r="W804" s="303"/>
      <c r="X804" s="324">
        <v>0</v>
      </c>
      <c r="Y804" s="325">
        <v>0</v>
      </c>
    </row>
    <row r="805" spans="1:25" hidden="1" outlineLevel="1" x14ac:dyDescent="0.3">
      <c r="E805" s="250" t="s">
        <v>1768</v>
      </c>
      <c r="F805" s="317">
        <v>4403586</v>
      </c>
      <c r="G805" s="318"/>
      <c r="H805" s="319"/>
      <c r="I805" s="320"/>
      <c r="J805" s="337">
        <v>0</v>
      </c>
      <c r="K805" s="321">
        <v>0</v>
      </c>
      <c r="L805" s="321">
        <v>0</v>
      </c>
      <c r="M805" s="321">
        <v>0</v>
      </c>
      <c r="N805" s="321">
        <v>0</v>
      </c>
      <c r="O805" s="321">
        <v>0</v>
      </c>
      <c r="P805" s="321">
        <v>0</v>
      </c>
      <c r="Q805" s="321">
        <v>0</v>
      </c>
      <c r="R805" s="321">
        <v>0</v>
      </c>
      <c r="S805" s="321">
        <v>0</v>
      </c>
      <c r="T805" s="321">
        <v>0</v>
      </c>
      <c r="U805" s="322">
        <v>0</v>
      </c>
      <c r="V805" s="323">
        <v>0</v>
      </c>
      <c r="W805" s="303"/>
      <c r="X805" s="324">
        <v>0</v>
      </c>
      <c r="Y805" s="325">
        <v>0</v>
      </c>
    </row>
    <row r="806" spans="1:25" hidden="1" outlineLevel="1" x14ac:dyDescent="0.3">
      <c r="E806" s="250" t="s">
        <v>1769</v>
      </c>
      <c r="F806" s="317">
        <v>4403587</v>
      </c>
      <c r="G806" s="318"/>
      <c r="H806" s="319"/>
      <c r="I806" s="320"/>
      <c r="J806" s="337">
        <v>0</v>
      </c>
      <c r="K806" s="321">
        <v>0</v>
      </c>
      <c r="L806" s="321">
        <v>0</v>
      </c>
      <c r="M806" s="321">
        <v>0</v>
      </c>
      <c r="N806" s="321">
        <v>0</v>
      </c>
      <c r="O806" s="321">
        <v>0</v>
      </c>
      <c r="P806" s="321">
        <v>0</v>
      </c>
      <c r="Q806" s="321">
        <v>0</v>
      </c>
      <c r="R806" s="321">
        <v>0</v>
      </c>
      <c r="S806" s="321">
        <v>0</v>
      </c>
      <c r="T806" s="321">
        <v>0</v>
      </c>
      <c r="U806" s="322">
        <v>0</v>
      </c>
      <c r="V806" s="323">
        <v>0</v>
      </c>
      <c r="W806" s="303"/>
      <c r="X806" s="324">
        <v>0</v>
      </c>
      <c r="Y806" s="325">
        <v>0</v>
      </c>
    </row>
    <row r="807" spans="1:25" hidden="1" outlineLevel="1" x14ac:dyDescent="0.3">
      <c r="E807" s="250" t="s">
        <v>1770</v>
      </c>
      <c r="F807" s="317">
        <v>4403591</v>
      </c>
      <c r="G807" s="318"/>
      <c r="H807" s="319"/>
      <c r="I807" s="320"/>
      <c r="J807" s="337">
        <v>0</v>
      </c>
      <c r="K807" s="321">
        <v>0</v>
      </c>
      <c r="L807" s="321">
        <v>0</v>
      </c>
      <c r="M807" s="321">
        <v>0</v>
      </c>
      <c r="N807" s="321">
        <v>0</v>
      </c>
      <c r="O807" s="321">
        <v>0</v>
      </c>
      <c r="P807" s="321">
        <v>0</v>
      </c>
      <c r="Q807" s="321">
        <v>0</v>
      </c>
      <c r="R807" s="321">
        <v>0</v>
      </c>
      <c r="S807" s="321">
        <v>0</v>
      </c>
      <c r="T807" s="321">
        <v>0</v>
      </c>
      <c r="U807" s="322">
        <v>0</v>
      </c>
      <c r="V807" s="323">
        <v>0</v>
      </c>
      <c r="W807" s="303"/>
      <c r="X807" s="324">
        <v>0</v>
      </c>
      <c r="Y807" s="325">
        <v>0</v>
      </c>
    </row>
    <row r="808" spans="1:25" s="250" customFormat="1" hidden="1" outlineLevel="2" x14ac:dyDescent="0.3">
      <c r="E808" s="250" t="s">
        <v>1771</v>
      </c>
      <c r="F808" s="306">
        <v>4405515</v>
      </c>
      <c r="G808" s="307"/>
      <c r="H808" s="308"/>
      <c r="I808" s="309"/>
      <c r="J808" s="310">
        <v>0</v>
      </c>
      <c r="K808" s="311">
        <v>0</v>
      </c>
      <c r="L808" s="311">
        <v>0</v>
      </c>
      <c r="M808" s="311">
        <v>0</v>
      </c>
      <c r="N808" s="311">
        <v>0</v>
      </c>
      <c r="O808" s="311">
        <v>0</v>
      </c>
      <c r="P808" s="311">
        <v>0</v>
      </c>
      <c r="Q808" s="311">
        <v>0</v>
      </c>
      <c r="R808" s="311">
        <v>0</v>
      </c>
      <c r="S808" s="311">
        <v>0</v>
      </c>
      <c r="T808" s="311">
        <v>0</v>
      </c>
      <c r="U808" s="312">
        <v>0</v>
      </c>
      <c r="V808" s="313">
        <v>0</v>
      </c>
      <c r="W808" s="314"/>
      <c r="X808" s="315">
        <v>0</v>
      </c>
      <c r="Y808" s="316">
        <v>0</v>
      </c>
    </row>
    <row r="809" spans="1:25" s="250" customFormat="1" hidden="1" outlineLevel="2" x14ac:dyDescent="0.3">
      <c r="E809" s="250" t="s">
        <v>1772</v>
      </c>
      <c r="F809" s="306">
        <v>4405517</v>
      </c>
      <c r="G809" s="307"/>
      <c r="H809" s="308"/>
      <c r="I809" s="309"/>
      <c r="J809" s="310">
        <v>0</v>
      </c>
      <c r="K809" s="311">
        <v>0</v>
      </c>
      <c r="L809" s="311">
        <v>0</v>
      </c>
      <c r="M809" s="311">
        <v>0</v>
      </c>
      <c r="N809" s="311">
        <v>0</v>
      </c>
      <c r="O809" s="311">
        <v>0</v>
      </c>
      <c r="P809" s="311">
        <v>0</v>
      </c>
      <c r="Q809" s="311">
        <v>0</v>
      </c>
      <c r="R809" s="311">
        <v>0</v>
      </c>
      <c r="S809" s="311">
        <v>0</v>
      </c>
      <c r="T809" s="311">
        <v>0</v>
      </c>
      <c r="U809" s="312">
        <v>0</v>
      </c>
      <c r="V809" s="313">
        <v>0</v>
      </c>
      <c r="W809" s="314"/>
      <c r="X809" s="315">
        <v>0</v>
      </c>
      <c r="Y809" s="316">
        <v>0</v>
      </c>
    </row>
    <row r="810" spans="1:25" s="326" customFormat="1" hidden="1" outlineLevel="2" x14ac:dyDescent="0.3">
      <c r="E810" s="326" t="s">
        <v>1773</v>
      </c>
      <c r="F810" s="336"/>
      <c r="G810" s="327"/>
      <c r="H810" s="328"/>
      <c r="I810" s="329"/>
      <c r="J810" s="338">
        <v>0</v>
      </c>
      <c r="K810" s="330">
        <v>0</v>
      </c>
      <c r="L810" s="330">
        <v>0</v>
      </c>
      <c r="M810" s="330">
        <v>0</v>
      </c>
      <c r="N810" s="330">
        <v>0</v>
      </c>
      <c r="O810" s="330">
        <v>0</v>
      </c>
      <c r="P810" s="330">
        <v>0</v>
      </c>
      <c r="Q810" s="330">
        <v>0</v>
      </c>
      <c r="R810" s="330">
        <v>0</v>
      </c>
      <c r="S810" s="330">
        <v>0</v>
      </c>
      <c r="T810" s="330">
        <v>0</v>
      </c>
      <c r="U810" s="331">
        <v>0</v>
      </c>
      <c r="V810" s="332">
        <v>0</v>
      </c>
      <c r="W810" s="333"/>
      <c r="X810" s="334">
        <v>0</v>
      </c>
      <c r="Y810" s="335">
        <v>0</v>
      </c>
    </row>
    <row r="811" spans="1:25" s="326" customFormat="1" hidden="1" outlineLevel="2" x14ac:dyDescent="0.3">
      <c r="E811" s="326" t="s">
        <v>1774</v>
      </c>
      <c r="F811" s="336"/>
      <c r="G811" s="327"/>
      <c r="H811" s="328"/>
      <c r="I811" s="329"/>
      <c r="J811" s="338">
        <v>0</v>
      </c>
      <c r="K811" s="330">
        <v>0</v>
      </c>
      <c r="L811" s="330">
        <v>0</v>
      </c>
      <c r="M811" s="330">
        <v>0</v>
      </c>
      <c r="N811" s="330">
        <v>0</v>
      </c>
      <c r="O811" s="330">
        <v>0</v>
      </c>
      <c r="P811" s="330">
        <v>0</v>
      </c>
      <c r="Q811" s="330">
        <v>0</v>
      </c>
      <c r="R811" s="330">
        <v>0</v>
      </c>
      <c r="S811" s="330">
        <v>0</v>
      </c>
      <c r="T811" s="330">
        <v>0</v>
      </c>
      <c r="U811" s="331">
        <v>0</v>
      </c>
      <c r="V811" s="332">
        <v>0</v>
      </c>
      <c r="W811" s="333"/>
      <c r="X811" s="334">
        <v>0</v>
      </c>
      <c r="Y811" s="335">
        <v>0</v>
      </c>
    </row>
    <row r="812" spans="1:25" s="326" customFormat="1" hidden="1" outlineLevel="2" x14ac:dyDescent="0.3">
      <c r="E812" s="326" t="s">
        <v>1775</v>
      </c>
      <c r="F812" s="336"/>
      <c r="G812" s="327"/>
      <c r="H812" s="328"/>
      <c r="I812" s="329"/>
      <c r="J812" s="338">
        <v>0</v>
      </c>
      <c r="K812" s="330">
        <v>0</v>
      </c>
      <c r="L812" s="330">
        <v>0</v>
      </c>
      <c r="M812" s="330">
        <v>0</v>
      </c>
      <c r="N812" s="330">
        <v>0</v>
      </c>
      <c r="O812" s="330">
        <v>0</v>
      </c>
      <c r="P812" s="330">
        <v>0</v>
      </c>
      <c r="Q812" s="330">
        <v>0</v>
      </c>
      <c r="R812" s="330">
        <v>0</v>
      </c>
      <c r="S812" s="330">
        <v>0</v>
      </c>
      <c r="T812" s="330">
        <v>0</v>
      </c>
      <c r="U812" s="331">
        <v>0</v>
      </c>
      <c r="V812" s="332">
        <v>0</v>
      </c>
      <c r="W812" s="333"/>
      <c r="X812" s="334">
        <v>0</v>
      </c>
      <c r="Y812" s="335">
        <v>0</v>
      </c>
    </row>
    <row r="813" spans="1:25" collapsed="1" x14ac:dyDescent="0.3">
      <c r="A813" s="233"/>
      <c r="B813" s="234" t="s">
        <v>73</v>
      </c>
      <c r="D813" s="293" t="s">
        <v>1776</v>
      </c>
      <c r="E813" s="294"/>
      <c r="F813" s="295" t="s">
        <v>1777</v>
      </c>
      <c r="G813" s="296"/>
      <c r="H813" s="297"/>
      <c r="I813" s="298"/>
      <c r="J813" s="299">
        <v>0</v>
      </c>
      <c r="K813" s="300">
        <v>0</v>
      </c>
      <c r="L813" s="300">
        <v>0</v>
      </c>
      <c r="M813" s="300">
        <v>0</v>
      </c>
      <c r="N813" s="300">
        <v>0</v>
      </c>
      <c r="O813" s="300">
        <v>0</v>
      </c>
      <c r="P813" s="300">
        <v>0</v>
      </c>
      <c r="Q813" s="300">
        <v>0</v>
      </c>
      <c r="R813" s="300">
        <v>0</v>
      </c>
      <c r="S813" s="300">
        <v>0</v>
      </c>
      <c r="T813" s="300">
        <v>0</v>
      </c>
      <c r="U813" s="301">
        <v>0</v>
      </c>
      <c r="V813" s="302">
        <v>0</v>
      </c>
      <c r="W813" s="303"/>
      <c r="X813" s="304">
        <v>0</v>
      </c>
      <c r="Y813" s="305">
        <v>0</v>
      </c>
    </row>
    <row r="814" spans="1:25" hidden="1" outlineLevel="1" x14ac:dyDescent="0.3">
      <c r="E814" s="250" t="s">
        <v>1778</v>
      </c>
      <c r="F814" s="317">
        <v>4403595</v>
      </c>
      <c r="G814" s="318"/>
      <c r="H814" s="319"/>
      <c r="I814" s="320"/>
      <c r="J814" s="337">
        <v>0</v>
      </c>
      <c r="K814" s="321">
        <v>0</v>
      </c>
      <c r="L814" s="321">
        <v>0</v>
      </c>
      <c r="M814" s="321">
        <v>0</v>
      </c>
      <c r="N814" s="321">
        <v>0</v>
      </c>
      <c r="O814" s="321">
        <v>0</v>
      </c>
      <c r="P814" s="321">
        <v>0</v>
      </c>
      <c r="Q814" s="321">
        <v>0</v>
      </c>
      <c r="R814" s="321">
        <v>0</v>
      </c>
      <c r="S814" s="321">
        <v>0</v>
      </c>
      <c r="T814" s="321">
        <v>0</v>
      </c>
      <c r="U814" s="322">
        <v>0</v>
      </c>
      <c r="V814" s="323">
        <v>0</v>
      </c>
      <c r="W814" s="303"/>
      <c r="X814" s="324">
        <v>0</v>
      </c>
      <c r="Y814" s="325">
        <v>0</v>
      </c>
    </row>
    <row r="815" spans="1:25" hidden="1" outlineLevel="1" x14ac:dyDescent="0.3">
      <c r="E815" s="250" t="s">
        <v>1779</v>
      </c>
      <c r="F815" s="317">
        <v>4403596</v>
      </c>
      <c r="G815" s="318"/>
      <c r="H815" s="319"/>
      <c r="I815" s="320"/>
      <c r="J815" s="337">
        <v>0</v>
      </c>
      <c r="K815" s="321">
        <v>0</v>
      </c>
      <c r="L815" s="321">
        <v>0</v>
      </c>
      <c r="M815" s="321">
        <v>0</v>
      </c>
      <c r="N815" s="321">
        <v>0</v>
      </c>
      <c r="O815" s="321">
        <v>0</v>
      </c>
      <c r="P815" s="321">
        <v>0</v>
      </c>
      <c r="Q815" s="321">
        <v>0</v>
      </c>
      <c r="R815" s="321">
        <v>0</v>
      </c>
      <c r="S815" s="321">
        <v>0</v>
      </c>
      <c r="T815" s="321">
        <v>0</v>
      </c>
      <c r="U815" s="322">
        <v>0</v>
      </c>
      <c r="V815" s="323">
        <v>0</v>
      </c>
      <c r="W815" s="303"/>
      <c r="X815" s="324">
        <v>0</v>
      </c>
      <c r="Y815" s="325">
        <v>0</v>
      </c>
    </row>
    <row r="816" spans="1:25" hidden="1" outlineLevel="1" x14ac:dyDescent="0.3">
      <c r="E816" s="250" t="s">
        <v>1780</v>
      </c>
      <c r="F816" s="317">
        <v>4403597</v>
      </c>
      <c r="G816" s="318"/>
      <c r="H816" s="319"/>
      <c r="I816" s="320"/>
      <c r="J816" s="337">
        <v>0</v>
      </c>
      <c r="K816" s="321">
        <v>0</v>
      </c>
      <c r="L816" s="321">
        <v>0</v>
      </c>
      <c r="M816" s="321">
        <v>0</v>
      </c>
      <c r="N816" s="321">
        <v>0</v>
      </c>
      <c r="O816" s="321">
        <v>0</v>
      </c>
      <c r="P816" s="321">
        <v>0</v>
      </c>
      <c r="Q816" s="321">
        <v>0</v>
      </c>
      <c r="R816" s="321">
        <v>0</v>
      </c>
      <c r="S816" s="321">
        <v>0</v>
      </c>
      <c r="T816" s="321">
        <v>0</v>
      </c>
      <c r="U816" s="322">
        <v>0</v>
      </c>
      <c r="V816" s="323">
        <v>0</v>
      </c>
      <c r="W816" s="303"/>
      <c r="X816" s="324">
        <v>0</v>
      </c>
      <c r="Y816" s="325">
        <v>0</v>
      </c>
    </row>
    <row r="817" spans="4:25" hidden="1" outlineLevel="1" x14ac:dyDescent="0.3">
      <c r="E817" s="250" t="s">
        <v>1781</v>
      </c>
      <c r="F817" s="317">
        <v>4403598</v>
      </c>
      <c r="G817" s="318"/>
      <c r="H817" s="319"/>
      <c r="I817" s="320"/>
      <c r="J817" s="337">
        <v>0</v>
      </c>
      <c r="K817" s="321">
        <v>0</v>
      </c>
      <c r="L817" s="321">
        <v>0</v>
      </c>
      <c r="M817" s="321">
        <v>0</v>
      </c>
      <c r="N817" s="321">
        <v>0</v>
      </c>
      <c r="O817" s="321">
        <v>0</v>
      </c>
      <c r="P817" s="321">
        <v>0</v>
      </c>
      <c r="Q817" s="321">
        <v>0</v>
      </c>
      <c r="R817" s="321">
        <v>0</v>
      </c>
      <c r="S817" s="321">
        <v>0</v>
      </c>
      <c r="T817" s="321">
        <v>0</v>
      </c>
      <c r="U817" s="322">
        <v>0</v>
      </c>
      <c r="V817" s="323">
        <v>0</v>
      </c>
      <c r="W817" s="303"/>
      <c r="X817" s="324">
        <v>0</v>
      </c>
      <c r="Y817" s="325">
        <v>0</v>
      </c>
    </row>
    <row r="818" spans="4:25" hidden="1" outlineLevel="1" x14ac:dyDescent="0.3">
      <c r="E818" s="250" t="s">
        <v>1782</v>
      </c>
      <c r="F818" s="317">
        <v>4403599</v>
      </c>
      <c r="G818" s="318"/>
      <c r="H818" s="319"/>
      <c r="I818" s="320"/>
      <c r="J818" s="337">
        <v>0</v>
      </c>
      <c r="K818" s="321">
        <v>0</v>
      </c>
      <c r="L818" s="321">
        <v>0</v>
      </c>
      <c r="M818" s="321">
        <v>0</v>
      </c>
      <c r="N818" s="321">
        <v>0</v>
      </c>
      <c r="O818" s="321">
        <v>0</v>
      </c>
      <c r="P818" s="321">
        <v>0</v>
      </c>
      <c r="Q818" s="321">
        <v>0</v>
      </c>
      <c r="R818" s="321">
        <v>0</v>
      </c>
      <c r="S818" s="321">
        <v>0</v>
      </c>
      <c r="T818" s="321">
        <v>0</v>
      </c>
      <c r="U818" s="322">
        <v>0</v>
      </c>
      <c r="V818" s="323">
        <v>0</v>
      </c>
      <c r="W818" s="303"/>
      <c r="X818" s="324">
        <v>0</v>
      </c>
      <c r="Y818" s="325">
        <v>0</v>
      </c>
    </row>
    <row r="819" spans="4:25" s="326" customFormat="1" hidden="1" outlineLevel="2" x14ac:dyDescent="0.3">
      <c r="E819" s="326" t="s">
        <v>1783</v>
      </c>
      <c r="F819" s="336"/>
      <c r="G819" s="327"/>
      <c r="H819" s="328"/>
      <c r="I819" s="329"/>
      <c r="J819" s="338">
        <v>0</v>
      </c>
      <c r="K819" s="330">
        <v>0</v>
      </c>
      <c r="L819" s="330">
        <v>0</v>
      </c>
      <c r="M819" s="330">
        <v>0</v>
      </c>
      <c r="N819" s="330">
        <v>0</v>
      </c>
      <c r="O819" s="330">
        <v>0</v>
      </c>
      <c r="P819" s="330">
        <v>0</v>
      </c>
      <c r="Q819" s="330">
        <v>0</v>
      </c>
      <c r="R819" s="330">
        <v>0</v>
      </c>
      <c r="S819" s="330">
        <v>0</v>
      </c>
      <c r="T819" s="330">
        <v>0</v>
      </c>
      <c r="U819" s="331">
        <v>0</v>
      </c>
      <c r="V819" s="332">
        <v>0</v>
      </c>
      <c r="W819" s="333"/>
      <c r="X819" s="334">
        <v>0</v>
      </c>
      <c r="Y819" s="335">
        <v>0</v>
      </c>
    </row>
    <row r="820" spans="4:25" s="326" customFormat="1" hidden="1" outlineLevel="2" x14ac:dyDescent="0.3">
      <c r="E820" s="326" t="s">
        <v>1784</v>
      </c>
      <c r="F820" s="336"/>
      <c r="G820" s="327"/>
      <c r="H820" s="328"/>
      <c r="I820" s="329"/>
      <c r="J820" s="338">
        <v>0</v>
      </c>
      <c r="K820" s="330">
        <v>0</v>
      </c>
      <c r="L820" s="330">
        <v>0</v>
      </c>
      <c r="M820" s="330">
        <v>0</v>
      </c>
      <c r="N820" s="330">
        <v>0</v>
      </c>
      <c r="O820" s="330">
        <v>0</v>
      </c>
      <c r="P820" s="330">
        <v>0</v>
      </c>
      <c r="Q820" s="330">
        <v>0</v>
      </c>
      <c r="R820" s="330">
        <v>0</v>
      </c>
      <c r="S820" s="330">
        <v>0</v>
      </c>
      <c r="T820" s="330">
        <v>0</v>
      </c>
      <c r="U820" s="331">
        <v>0</v>
      </c>
      <c r="V820" s="332">
        <v>0</v>
      </c>
      <c r="W820" s="333"/>
      <c r="X820" s="334">
        <v>0</v>
      </c>
      <c r="Y820" s="335">
        <v>0</v>
      </c>
    </row>
    <row r="821" spans="4:25" s="326" customFormat="1" hidden="1" outlineLevel="2" x14ac:dyDescent="0.3">
      <c r="E821" s="326" t="s">
        <v>1785</v>
      </c>
      <c r="F821" s="336"/>
      <c r="G821" s="327"/>
      <c r="H821" s="328"/>
      <c r="I821" s="329"/>
      <c r="J821" s="338">
        <v>0</v>
      </c>
      <c r="K821" s="330">
        <v>0</v>
      </c>
      <c r="L821" s="330">
        <v>0</v>
      </c>
      <c r="M821" s="330">
        <v>0</v>
      </c>
      <c r="N821" s="330">
        <v>0</v>
      </c>
      <c r="O821" s="330">
        <v>0</v>
      </c>
      <c r="P821" s="330">
        <v>0</v>
      </c>
      <c r="Q821" s="330">
        <v>0</v>
      </c>
      <c r="R821" s="330">
        <v>0</v>
      </c>
      <c r="S821" s="330">
        <v>0</v>
      </c>
      <c r="T821" s="330">
        <v>0</v>
      </c>
      <c r="U821" s="331">
        <v>0</v>
      </c>
      <c r="V821" s="332">
        <v>0</v>
      </c>
      <c r="W821" s="333"/>
      <c r="X821" s="334">
        <v>0</v>
      </c>
      <c r="Y821" s="335">
        <v>0</v>
      </c>
    </row>
    <row r="822" spans="4:25" collapsed="1" x14ac:dyDescent="0.3">
      <c r="D822" s="293" t="s">
        <v>1786</v>
      </c>
      <c r="E822" s="294"/>
      <c r="F822" s="295" t="s">
        <v>1787</v>
      </c>
      <c r="G822" s="296"/>
      <c r="H822" s="297"/>
      <c r="I822" s="298"/>
      <c r="J822" s="299">
        <v>0</v>
      </c>
      <c r="K822" s="300">
        <v>0</v>
      </c>
      <c r="L822" s="300">
        <v>0</v>
      </c>
      <c r="M822" s="300">
        <v>0</v>
      </c>
      <c r="N822" s="300">
        <v>0</v>
      </c>
      <c r="O822" s="300">
        <v>0</v>
      </c>
      <c r="P822" s="300">
        <v>0</v>
      </c>
      <c r="Q822" s="300">
        <v>0</v>
      </c>
      <c r="R822" s="300">
        <v>0</v>
      </c>
      <c r="S822" s="300">
        <v>0</v>
      </c>
      <c r="T822" s="300">
        <v>0</v>
      </c>
      <c r="U822" s="301">
        <v>0</v>
      </c>
      <c r="V822" s="302">
        <v>0</v>
      </c>
      <c r="W822" s="303"/>
      <c r="X822" s="304">
        <v>0</v>
      </c>
      <c r="Y822" s="305">
        <v>0</v>
      </c>
    </row>
    <row r="823" spans="4:25" hidden="1" outlineLevel="1" x14ac:dyDescent="0.3">
      <c r="E823" s="250" t="s">
        <v>1788</v>
      </c>
      <c r="F823" s="317">
        <v>4403068</v>
      </c>
      <c r="G823" s="318"/>
      <c r="H823" s="319"/>
      <c r="I823" s="320"/>
      <c r="J823" s="337">
        <v>0</v>
      </c>
      <c r="K823" s="321">
        <v>0</v>
      </c>
      <c r="L823" s="321">
        <v>0</v>
      </c>
      <c r="M823" s="321">
        <v>0</v>
      </c>
      <c r="N823" s="321">
        <v>0</v>
      </c>
      <c r="O823" s="321">
        <v>0</v>
      </c>
      <c r="P823" s="321">
        <v>0</v>
      </c>
      <c r="Q823" s="321">
        <v>0</v>
      </c>
      <c r="R823" s="321">
        <v>0</v>
      </c>
      <c r="S823" s="321">
        <v>0</v>
      </c>
      <c r="T823" s="321">
        <v>0</v>
      </c>
      <c r="U823" s="322">
        <v>0</v>
      </c>
      <c r="V823" s="323">
        <v>0</v>
      </c>
      <c r="W823" s="303"/>
      <c r="X823" s="324">
        <v>0</v>
      </c>
      <c r="Y823" s="325">
        <v>0</v>
      </c>
    </row>
    <row r="824" spans="4:25" hidden="1" outlineLevel="1" x14ac:dyDescent="0.3">
      <c r="E824" s="250" t="s">
        <v>1789</v>
      </c>
      <c r="F824" s="317">
        <v>4403069</v>
      </c>
      <c r="G824" s="318"/>
      <c r="H824" s="319"/>
      <c r="I824" s="320"/>
      <c r="J824" s="337">
        <v>0</v>
      </c>
      <c r="K824" s="321">
        <v>0</v>
      </c>
      <c r="L824" s="321">
        <v>0</v>
      </c>
      <c r="M824" s="321">
        <v>0</v>
      </c>
      <c r="N824" s="321">
        <v>0</v>
      </c>
      <c r="O824" s="321">
        <v>0</v>
      </c>
      <c r="P824" s="321">
        <v>0</v>
      </c>
      <c r="Q824" s="321">
        <v>0</v>
      </c>
      <c r="R824" s="321">
        <v>0</v>
      </c>
      <c r="S824" s="321">
        <v>0</v>
      </c>
      <c r="T824" s="321">
        <v>0</v>
      </c>
      <c r="U824" s="322">
        <v>0</v>
      </c>
      <c r="V824" s="323">
        <v>0</v>
      </c>
      <c r="W824" s="303"/>
      <c r="X824" s="324">
        <v>0</v>
      </c>
      <c r="Y824" s="325">
        <v>0</v>
      </c>
    </row>
    <row r="825" spans="4:25" hidden="1" outlineLevel="1" x14ac:dyDescent="0.3">
      <c r="E825" s="250" t="s">
        <v>1790</v>
      </c>
      <c r="F825" s="317">
        <v>4403070</v>
      </c>
      <c r="G825" s="318"/>
      <c r="H825" s="319"/>
      <c r="I825" s="320"/>
      <c r="J825" s="337">
        <v>0</v>
      </c>
      <c r="K825" s="321">
        <v>0</v>
      </c>
      <c r="L825" s="321">
        <v>0</v>
      </c>
      <c r="M825" s="321">
        <v>0</v>
      </c>
      <c r="N825" s="321">
        <v>0</v>
      </c>
      <c r="O825" s="321">
        <v>0</v>
      </c>
      <c r="P825" s="321">
        <v>0</v>
      </c>
      <c r="Q825" s="321">
        <v>0</v>
      </c>
      <c r="R825" s="321">
        <v>0</v>
      </c>
      <c r="S825" s="321">
        <v>0</v>
      </c>
      <c r="T825" s="321">
        <v>0</v>
      </c>
      <c r="U825" s="322">
        <v>0</v>
      </c>
      <c r="V825" s="323">
        <v>0</v>
      </c>
      <c r="W825" s="303"/>
      <c r="X825" s="324">
        <v>0</v>
      </c>
      <c r="Y825" s="325">
        <v>0</v>
      </c>
    </row>
    <row r="826" spans="4:25" hidden="1" outlineLevel="1" x14ac:dyDescent="0.3">
      <c r="E826" s="250" t="s">
        <v>1791</v>
      </c>
      <c r="F826" s="317">
        <v>4403071</v>
      </c>
      <c r="G826" s="318"/>
      <c r="H826" s="319"/>
      <c r="I826" s="320"/>
      <c r="J826" s="337">
        <v>0</v>
      </c>
      <c r="K826" s="321">
        <v>0</v>
      </c>
      <c r="L826" s="321">
        <v>0</v>
      </c>
      <c r="M826" s="321">
        <v>0</v>
      </c>
      <c r="N826" s="321">
        <v>0</v>
      </c>
      <c r="O826" s="321">
        <v>0</v>
      </c>
      <c r="P826" s="321">
        <v>0</v>
      </c>
      <c r="Q826" s="321">
        <v>0</v>
      </c>
      <c r="R826" s="321">
        <v>0</v>
      </c>
      <c r="S826" s="321">
        <v>0</v>
      </c>
      <c r="T826" s="321">
        <v>0</v>
      </c>
      <c r="U826" s="322">
        <v>0</v>
      </c>
      <c r="V826" s="323">
        <v>0</v>
      </c>
      <c r="W826" s="303"/>
      <c r="X826" s="324">
        <v>0</v>
      </c>
      <c r="Y826" s="325">
        <v>0</v>
      </c>
    </row>
    <row r="827" spans="4:25" hidden="1" outlineLevel="1" x14ac:dyDescent="0.3">
      <c r="E827" s="250" t="s">
        <v>1792</v>
      </c>
      <c r="F827" s="317">
        <v>4403072</v>
      </c>
      <c r="G827" s="318"/>
      <c r="H827" s="319"/>
      <c r="I827" s="320"/>
      <c r="J827" s="337">
        <v>0</v>
      </c>
      <c r="K827" s="321">
        <v>0</v>
      </c>
      <c r="L827" s="321">
        <v>0</v>
      </c>
      <c r="M827" s="321">
        <v>0</v>
      </c>
      <c r="N827" s="321">
        <v>0</v>
      </c>
      <c r="O827" s="321">
        <v>0</v>
      </c>
      <c r="P827" s="321">
        <v>0</v>
      </c>
      <c r="Q827" s="321">
        <v>0</v>
      </c>
      <c r="R827" s="321">
        <v>0</v>
      </c>
      <c r="S827" s="321">
        <v>0</v>
      </c>
      <c r="T827" s="321">
        <v>0</v>
      </c>
      <c r="U827" s="322">
        <v>0</v>
      </c>
      <c r="V827" s="323">
        <v>0</v>
      </c>
      <c r="W827" s="303"/>
      <c r="X827" s="324">
        <v>0</v>
      </c>
      <c r="Y827" s="325">
        <v>0</v>
      </c>
    </row>
    <row r="828" spans="4:25" hidden="1" outlineLevel="1" x14ac:dyDescent="0.3">
      <c r="E828" s="250" t="s">
        <v>1793</v>
      </c>
      <c r="F828" s="317">
        <v>4403073</v>
      </c>
      <c r="G828" s="318"/>
      <c r="H828" s="319"/>
      <c r="I828" s="320"/>
      <c r="J828" s="337">
        <v>0</v>
      </c>
      <c r="K828" s="321">
        <v>0</v>
      </c>
      <c r="L828" s="321">
        <v>0</v>
      </c>
      <c r="M828" s="321">
        <v>0</v>
      </c>
      <c r="N828" s="321">
        <v>0</v>
      </c>
      <c r="O828" s="321">
        <v>0</v>
      </c>
      <c r="P828" s="321">
        <v>0</v>
      </c>
      <c r="Q828" s="321">
        <v>0</v>
      </c>
      <c r="R828" s="321">
        <v>0</v>
      </c>
      <c r="S828" s="321">
        <v>0</v>
      </c>
      <c r="T828" s="321">
        <v>0</v>
      </c>
      <c r="U828" s="322">
        <v>0</v>
      </c>
      <c r="V828" s="323">
        <v>0</v>
      </c>
      <c r="W828" s="303"/>
      <c r="X828" s="324">
        <v>0</v>
      </c>
      <c r="Y828" s="325">
        <v>0</v>
      </c>
    </row>
    <row r="829" spans="4:25" hidden="1" outlineLevel="1" x14ac:dyDescent="0.3">
      <c r="E829" s="250" t="s">
        <v>1794</v>
      </c>
      <c r="F829" s="317">
        <v>4403074</v>
      </c>
      <c r="G829" s="318"/>
      <c r="H829" s="319"/>
      <c r="I829" s="320"/>
      <c r="J829" s="337">
        <v>0</v>
      </c>
      <c r="K829" s="321">
        <v>0</v>
      </c>
      <c r="L829" s="321">
        <v>0</v>
      </c>
      <c r="M829" s="321">
        <v>0</v>
      </c>
      <c r="N829" s="321">
        <v>0</v>
      </c>
      <c r="O829" s="321">
        <v>0</v>
      </c>
      <c r="P829" s="321">
        <v>0</v>
      </c>
      <c r="Q829" s="321">
        <v>0</v>
      </c>
      <c r="R829" s="321">
        <v>0</v>
      </c>
      <c r="S829" s="321">
        <v>0</v>
      </c>
      <c r="T829" s="321">
        <v>0</v>
      </c>
      <c r="U829" s="322">
        <v>0</v>
      </c>
      <c r="V829" s="323">
        <v>0</v>
      </c>
      <c r="W829" s="303"/>
      <c r="X829" s="324">
        <v>0</v>
      </c>
      <c r="Y829" s="325">
        <v>0</v>
      </c>
    </row>
    <row r="830" spans="4:25" hidden="1" outlineLevel="1" x14ac:dyDescent="0.3">
      <c r="E830" s="250" t="s">
        <v>1795</v>
      </c>
      <c r="F830" s="317">
        <v>4403075</v>
      </c>
      <c r="G830" s="318"/>
      <c r="H830" s="319"/>
      <c r="I830" s="320"/>
      <c r="J830" s="337">
        <v>0</v>
      </c>
      <c r="K830" s="321">
        <v>0</v>
      </c>
      <c r="L830" s="321">
        <v>0</v>
      </c>
      <c r="M830" s="321">
        <v>0</v>
      </c>
      <c r="N830" s="321">
        <v>0</v>
      </c>
      <c r="O830" s="321">
        <v>0</v>
      </c>
      <c r="P830" s="321">
        <v>0</v>
      </c>
      <c r="Q830" s="321">
        <v>0</v>
      </c>
      <c r="R830" s="321">
        <v>0</v>
      </c>
      <c r="S830" s="321">
        <v>0</v>
      </c>
      <c r="T830" s="321">
        <v>0</v>
      </c>
      <c r="U830" s="322">
        <v>0</v>
      </c>
      <c r="V830" s="323">
        <v>0</v>
      </c>
      <c r="W830" s="303"/>
      <c r="X830" s="324">
        <v>0</v>
      </c>
      <c r="Y830" s="325">
        <v>0</v>
      </c>
    </row>
    <row r="831" spans="4:25" hidden="1" outlineLevel="1" x14ac:dyDescent="0.3">
      <c r="E831" s="250" t="s">
        <v>1796</v>
      </c>
      <c r="F831" s="317">
        <v>4403076</v>
      </c>
      <c r="G831" s="318"/>
      <c r="H831" s="319"/>
      <c r="I831" s="320"/>
      <c r="J831" s="337">
        <v>0</v>
      </c>
      <c r="K831" s="321">
        <v>0</v>
      </c>
      <c r="L831" s="321">
        <v>0</v>
      </c>
      <c r="M831" s="321">
        <v>0</v>
      </c>
      <c r="N831" s="321">
        <v>0</v>
      </c>
      <c r="O831" s="321">
        <v>0</v>
      </c>
      <c r="P831" s="321">
        <v>0</v>
      </c>
      <c r="Q831" s="321">
        <v>0</v>
      </c>
      <c r="R831" s="321">
        <v>0</v>
      </c>
      <c r="S831" s="321">
        <v>0</v>
      </c>
      <c r="T831" s="321">
        <v>0</v>
      </c>
      <c r="U831" s="322">
        <v>0</v>
      </c>
      <c r="V831" s="323">
        <v>0</v>
      </c>
      <c r="W831" s="303"/>
      <c r="X831" s="324">
        <v>0</v>
      </c>
      <c r="Y831" s="325">
        <v>0</v>
      </c>
    </row>
    <row r="832" spans="4:25" hidden="1" outlineLevel="1" x14ac:dyDescent="0.3">
      <c r="E832" s="250" t="s">
        <v>1797</v>
      </c>
      <c r="F832" s="317">
        <v>4403077</v>
      </c>
      <c r="G832" s="318"/>
      <c r="H832" s="319"/>
      <c r="I832" s="320"/>
      <c r="J832" s="337">
        <v>0</v>
      </c>
      <c r="K832" s="321">
        <v>0</v>
      </c>
      <c r="L832" s="321">
        <v>0</v>
      </c>
      <c r="M832" s="321">
        <v>0</v>
      </c>
      <c r="N832" s="321">
        <v>0</v>
      </c>
      <c r="O832" s="321">
        <v>0</v>
      </c>
      <c r="P832" s="321">
        <v>0</v>
      </c>
      <c r="Q832" s="321">
        <v>0</v>
      </c>
      <c r="R832" s="321">
        <v>0</v>
      </c>
      <c r="S832" s="321">
        <v>0</v>
      </c>
      <c r="T832" s="321">
        <v>0</v>
      </c>
      <c r="U832" s="322">
        <v>0</v>
      </c>
      <c r="V832" s="323">
        <v>0</v>
      </c>
      <c r="W832" s="303"/>
      <c r="X832" s="324">
        <v>0</v>
      </c>
      <c r="Y832" s="325">
        <v>0</v>
      </c>
    </row>
    <row r="833" spans="4:25" hidden="1" outlineLevel="1" x14ac:dyDescent="0.3">
      <c r="E833" s="250" t="s">
        <v>1798</v>
      </c>
      <c r="F833" s="317">
        <v>4403078</v>
      </c>
      <c r="G833" s="318"/>
      <c r="H833" s="319"/>
      <c r="I833" s="320"/>
      <c r="J833" s="337">
        <v>0</v>
      </c>
      <c r="K833" s="321">
        <v>0</v>
      </c>
      <c r="L833" s="321">
        <v>0</v>
      </c>
      <c r="M833" s="321">
        <v>0</v>
      </c>
      <c r="N833" s="321">
        <v>0</v>
      </c>
      <c r="O833" s="321">
        <v>0</v>
      </c>
      <c r="P833" s="321">
        <v>0</v>
      </c>
      <c r="Q833" s="321">
        <v>0</v>
      </c>
      <c r="R833" s="321">
        <v>0</v>
      </c>
      <c r="S833" s="321">
        <v>0</v>
      </c>
      <c r="T833" s="321">
        <v>0</v>
      </c>
      <c r="U833" s="322">
        <v>0</v>
      </c>
      <c r="V833" s="323">
        <v>0</v>
      </c>
      <c r="W833" s="303"/>
      <c r="X833" s="324">
        <v>0</v>
      </c>
      <c r="Y833" s="325">
        <v>0</v>
      </c>
    </row>
    <row r="834" spans="4:25" hidden="1" outlineLevel="1" x14ac:dyDescent="0.3">
      <c r="E834" s="250" t="s">
        <v>1799</v>
      </c>
      <c r="F834" s="317">
        <v>4403079</v>
      </c>
      <c r="G834" s="318"/>
      <c r="H834" s="319"/>
      <c r="I834" s="320"/>
      <c r="J834" s="337">
        <v>0</v>
      </c>
      <c r="K834" s="321">
        <v>0</v>
      </c>
      <c r="L834" s="321">
        <v>0</v>
      </c>
      <c r="M834" s="321">
        <v>0</v>
      </c>
      <c r="N834" s="321">
        <v>0</v>
      </c>
      <c r="O834" s="321">
        <v>0</v>
      </c>
      <c r="P834" s="321">
        <v>0</v>
      </c>
      <c r="Q834" s="321">
        <v>0</v>
      </c>
      <c r="R834" s="321">
        <v>0</v>
      </c>
      <c r="S834" s="321">
        <v>0</v>
      </c>
      <c r="T834" s="321">
        <v>0</v>
      </c>
      <c r="U834" s="322">
        <v>0</v>
      </c>
      <c r="V834" s="323">
        <v>0</v>
      </c>
      <c r="W834" s="303"/>
      <c r="X834" s="324">
        <v>0</v>
      </c>
      <c r="Y834" s="325">
        <v>0</v>
      </c>
    </row>
    <row r="835" spans="4:25" hidden="1" outlineLevel="1" x14ac:dyDescent="0.3">
      <c r="E835" s="250" t="s">
        <v>1800</v>
      </c>
      <c r="F835" s="317">
        <v>4403081</v>
      </c>
      <c r="G835" s="318"/>
      <c r="H835" s="319"/>
      <c r="I835" s="320"/>
      <c r="J835" s="337">
        <v>0</v>
      </c>
      <c r="K835" s="321">
        <v>0</v>
      </c>
      <c r="L835" s="321">
        <v>0</v>
      </c>
      <c r="M835" s="321">
        <v>0</v>
      </c>
      <c r="N835" s="321">
        <v>0</v>
      </c>
      <c r="O835" s="321">
        <v>0</v>
      </c>
      <c r="P835" s="321">
        <v>0</v>
      </c>
      <c r="Q835" s="321">
        <v>0</v>
      </c>
      <c r="R835" s="321">
        <v>0</v>
      </c>
      <c r="S835" s="321">
        <v>0</v>
      </c>
      <c r="T835" s="321">
        <v>0</v>
      </c>
      <c r="U835" s="322">
        <v>0</v>
      </c>
      <c r="V835" s="323">
        <v>0</v>
      </c>
      <c r="W835" s="303"/>
      <c r="X835" s="324">
        <v>0</v>
      </c>
      <c r="Y835" s="325">
        <v>0</v>
      </c>
    </row>
    <row r="836" spans="4:25" s="361" customFormat="1" hidden="1" outlineLevel="2" x14ac:dyDescent="0.3">
      <c r="E836" s="326" t="s">
        <v>1801</v>
      </c>
      <c r="F836" s="351"/>
      <c r="G836" s="352"/>
      <c r="H836" s="353"/>
      <c r="I836" s="354"/>
      <c r="J836" s="362">
        <v>0</v>
      </c>
      <c r="K836" s="355">
        <v>0</v>
      </c>
      <c r="L836" s="355">
        <v>0</v>
      </c>
      <c r="M836" s="355">
        <v>0</v>
      </c>
      <c r="N836" s="355">
        <v>0</v>
      </c>
      <c r="O836" s="355">
        <v>0</v>
      </c>
      <c r="P836" s="355">
        <v>0</v>
      </c>
      <c r="Q836" s="355">
        <v>0</v>
      </c>
      <c r="R836" s="355">
        <v>0</v>
      </c>
      <c r="S836" s="355">
        <v>0</v>
      </c>
      <c r="T836" s="355">
        <v>0</v>
      </c>
      <c r="U836" s="356">
        <v>0</v>
      </c>
      <c r="V836" s="357">
        <v>0</v>
      </c>
      <c r="W836" s="358"/>
      <c r="X836" s="359">
        <v>0</v>
      </c>
      <c r="Y836" s="360">
        <v>0</v>
      </c>
    </row>
    <row r="837" spans="4:25" s="361" customFormat="1" hidden="1" outlineLevel="2" x14ac:dyDescent="0.3">
      <c r="E837" s="326" t="s">
        <v>1801</v>
      </c>
      <c r="F837" s="351"/>
      <c r="G837" s="352"/>
      <c r="H837" s="353"/>
      <c r="I837" s="354"/>
      <c r="J837" s="362">
        <v>0</v>
      </c>
      <c r="K837" s="355">
        <v>0</v>
      </c>
      <c r="L837" s="355">
        <v>0</v>
      </c>
      <c r="M837" s="355">
        <v>0</v>
      </c>
      <c r="N837" s="355">
        <v>0</v>
      </c>
      <c r="O837" s="355">
        <v>0</v>
      </c>
      <c r="P837" s="355">
        <v>0</v>
      </c>
      <c r="Q837" s="355">
        <v>0</v>
      </c>
      <c r="R837" s="355">
        <v>0</v>
      </c>
      <c r="S837" s="355">
        <v>0</v>
      </c>
      <c r="T837" s="355">
        <v>0</v>
      </c>
      <c r="U837" s="356">
        <v>0</v>
      </c>
      <c r="V837" s="357">
        <v>0</v>
      </c>
      <c r="W837" s="358"/>
      <c r="X837" s="359">
        <v>0</v>
      </c>
      <c r="Y837" s="360">
        <v>0</v>
      </c>
    </row>
    <row r="838" spans="4:25" s="361" customFormat="1" hidden="1" outlineLevel="2" x14ac:dyDescent="0.3">
      <c r="E838" s="326" t="s">
        <v>1802</v>
      </c>
      <c r="F838" s="351"/>
      <c r="G838" s="352"/>
      <c r="H838" s="353"/>
      <c r="I838" s="354"/>
      <c r="J838" s="362">
        <v>0</v>
      </c>
      <c r="K838" s="355">
        <v>0</v>
      </c>
      <c r="L838" s="355">
        <v>0</v>
      </c>
      <c r="M838" s="355">
        <v>0</v>
      </c>
      <c r="N838" s="355">
        <v>0</v>
      </c>
      <c r="O838" s="355">
        <v>0</v>
      </c>
      <c r="P838" s="355">
        <v>0</v>
      </c>
      <c r="Q838" s="355">
        <v>0</v>
      </c>
      <c r="R838" s="355">
        <v>0</v>
      </c>
      <c r="S838" s="355">
        <v>0</v>
      </c>
      <c r="T838" s="355">
        <v>0</v>
      </c>
      <c r="U838" s="356">
        <v>0</v>
      </c>
      <c r="V838" s="357">
        <v>0</v>
      </c>
      <c r="W838" s="358"/>
      <c r="X838" s="359">
        <v>0</v>
      </c>
      <c r="Y838" s="360">
        <v>0</v>
      </c>
    </row>
    <row r="839" spans="4:25" collapsed="1" x14ac:dyDescent="0.3">
      <c r="D839" s="293" t="s">
        <v>1803</v>
      </c>
      <c r="E839" s="294"/>
      <c r="F839" s="295" t="s">
        <v>1804</v>
      </c>
      <c r="G839" s="296"/>
      <c r="H839" s="297"/>
      <c r="I839" s="298"/>
      <c r="J839" s="299">
        <v>0</v>
      </c>
      <c r="K839" s="300">
        <v>0</v>
      </c>
      <c r="L839" s="300">
        <v>0</v>
      </c>
      <c r="M839" s="300">
        <v>0</v>
      </c>
      <c r="N839" s="300">
        <v>0</v>
      </c>
      <c r="O839" s="300">
        <v>0</v>
      </c>
      <c r="P839" s="300">
        <v>0</v>
      </c>
      <c r="Q839" s="300">
        <v>0</v>
      </c>
      <c r="R839" s="300">
        <v>0</v>
      </c>
      <c r="S839" s="300">
        <v>0</v>
      </c>
      <c r="T839" s="300">
        <v>0</v>
      </c>
      <c r="U839" s="301">
        <v>0</v>
      </c>
      <c r="V839" s="302">
        <v>0</v>
      </c>
      <c r="W839" s="303"/>
      <c r="X839" s="304">
        <v>0</v>
      </c>
      <c r="Y839" s="305">
        <v>0</v>
      </c>
    </row>
    <row r="840" spans="4:25" s="250" customFormat="1" hidden="1" outlineLevel="1" x14ac:dyDescent="0.3">
      <c r="E840" s="250" t="s">
        <v>1805</v>
      </c>
      <c r="F840" s="306">
        <v>4403581</v>
      </c>
      <c r="G840" s="307"/>
      <c r="H840" s="308"/>
      <c r="I840" s="309"/>
      <c r="J840" s="310">
        <v>0</v>
      </c>
      <c r="K840" s="311">
        <v>0</v>
      </c>
      <c r="L840" s="311">
        <v>0</v>
      </c>
      <c r="M840" s="311">
        <v>0</v>
      </c>
      <c r="N840" s="311">
        <v>0</v>
      </c>
      <c r="O840" s="311">
        <v>0</v>
      </c>
      <c r="P840" s="311">
        <v>0</v>
      </c>
      <c r="Q840" s="311">
        <v>0</v>
      </c>
      <c r="R840" s="311">
        <v>0</v>
      </c>
      <c r="S840" s="311">
        <v>0</v>
      </c>
      <c r="T840" s="311">
        <v>0</v>
      </c>
      <c r="U840" s="312">
        <v>0</v>
      </c>
      <c r="V840" s="313">
        <v>0</v>
      </c>
      <c r="W840" s="314"/>
      <c r="X840" s="315">
        <v>0</v>
      </c>
      <c r="Y840" s="316">
        <v>0</v>
      </c>
    </row>
    <row r="841" spans="4:25" s="250" customFormat="1" hidden="1" outlineLevel="1" x14ac:dyDescent="0.3">
      <c r="E841" s="250" t="s">
        <v>1806</v>
      </c>
      <c r="F841" s="306">
        <v>4403579</v>
      </c>
      <c r="G841" s="307"/>
      <c r="H841" s="308"/>
      <c r="I841" s="309"/>
      <c r="J841" s="310">
        <v>0</v>
      </c>
      <c r="K841" s="311">
        <v>0</v>
      </c>
      <c r="L841" s="311">
        <v>0</v>
      </c>
      <c r="M841" s="311">
        <v>0</v>
      </c>
      <c r="N841" s="311">
        <v>0</v>
      </c>
      <c r="O841" s="311">
        <v>0</v>
      </c>
      <c r="P841" s="311">
        <v>0</v>
      </c>
      <c r="Q841" s="311">
        <v>0</v>
      </c>
      <c r="R841" s="311">
        <v>0</v>
      </c>
      <c r="S841" s="311">
        <v>0</v>
      </c>
      <c r="T841" s="311">
        <v>0</v>
      </c>
      <c r="U841" s="312">
        <v>0</v>
      </c>
      <c r="V841" s="313">
        <v>0</v>
      </c>
      <c r="W841" s="314"/>
      <c r="X841" s="315">
        <v>0</v>
      </c>
      <c r="Y841" s="316">
        <v>0</v>
      </c>
    </row>
    <row r="842" spans="4:25" s="250" customFormat="1" hidden="1" outlineLevel="1" x14ac:dyDescent="0.3">
      <c r="E842" s="250" t="s">
        <v>1807</v>
      </c>
      <c r="F842" s="306">
        <v>4403578</v>
      </c>
      <c r="G842" s="307"/>
      <c r="H842" s="308"/>
      <c r="I842" s="309"/>
      <c r="J842" s="310">
        <v>0</v>
      </c>
      <c r="K842" s="311">
        <v>0</v>
      </c>
      <c r="L842" s="311">
        <v>0</v>
      </c>
      <c r="M842" s="311">
        <v>0</v>
      </c>
      <c r="N842" s="311">
        <v>0</v>
      </c>
      <c r="O842" s="311">
        <v>0</v>
      </c>
      <c r="P842" s="311">
        <v>0</v>
      </c>
      <c r="Q842" s="311">
        <v>0</v>
      </c>
      <c r="R842" s="311">
        <v>0</v>
      </c>
      <c r="S842" s="311">
        <v>0</v>
      </c>
      <c r="T842" s="311">
        <v>0</v>
      </c>
      <c r="U842" s="312">
        <v>0</v>
      </c>
      <c r="V842" s="313">
        <v>0</v>
      </c>
      <c r="W842" s="314"/>
      <c r="X842" s="315">
        <v>0</v>
      </c>
      <c r="Y842" s="316">
        <v>0</v>
      </c>
    </row>
    <row r="843" spans="4:25" s="250" customFormat="1" hidden="1" outlineLevel="1" x14ac:dyDescent="0.3">
      <c r="E843" s="250" t="s">
        <v>1808</v>
      </c>
      <c r="F843" s="306">
        <v>4403577</v>
      </c>
      <c r="G843" s="307"/>
      <c r="H843" s="308"/>
      <c r="I843" s="309"/>
      <c r="J843" s="310">
        <v>0</v>
      </c>
      <c r="K843" s="311">
        <v>0</v>
      </c>
      <c r="L843" s="311">
        <v>0</v>
      </c>
      <c r="M843" s="311">
        <v>0</v>
      </c>
      <c r="N843" s="311">
        <v>0</v>
      </c>
      <c r="O843" s="311">
        <v>0</v>
      </c>
      <c r="P843" s="311">
        <v>0</v>
      </c>
      <c r="Q843" s="311">
        <v>0</v>
      </c>
      <c r="R843" s="311">
        <v>0</v>
      </c>
      <c r="S843" s="311">
        <v>0</v>
      </c>
      <c r="T843" s="311">
        <v>0</v>
      </c>
      <c r="U843" s="312">
        <v>0</v>
      </c>
      <c r="V843" s="313">
        <v>0</v>
      </c>
      <c r="W843" s="314"/>
      <c r="X843" s="315">
        <v>0</v>
      </c>
      <c r="Y843" s="316">
        <v>0</v>
      </c>
    </row>
    <row r="844" spans="4:25" s="250" customFormat="1" hidden="1" outlineLevel="1" x14ac:dyDescent="0.3">
      <c r="E844" s="250" t="s">
        <v>1809</v>
      </c>
      <c r="F844" s="306">
        <v>4403576</v>
      </c>
      <c r="G844" s="307"/>
      <c r="H844" s="308"/>
      <c r="I844" s="309"/>
      <c r="J844" s="310">
        <v>0</v>
      </c>
      <c r="K844" s="311">
        <v>0</v>
      </c>
      <c r="L844" s="311">
        <v>0</v>
      </c>
      <c r="M844" s="311">
        <v>0</v>
      </c>
      <c r="N844" s="311">
        <v>0</v>
      </c>
      <c r="O844" s="311">
        <v>0</v>
      </c>
      <c r="P844" s="311">
        <v>0</v>
      </c>
      <c r="Q844" s="311">
        <v>0</v>
      </c>
      <c r="R844" s="311">
        <v>0</v>
      </c>
      <c r="S844" s="311">
        <v>0</v>
      </c>
      <c r="T844" s="311">
        <v>0</v>
      </c>
      <c r="U844" s="312">
        <v>0</v>
      </c>
      <c r="V844" s="313">
        <v>0</v>
      </c>
      <c r="W844" s="314"/>
      <c r="X844" s="315">
        <v>0</v>
      </c>
      <c r="Y844" s="316">
        <v>0</v>
      </c>
    </row>
    <row r="845" spans="4:25" s="250" customFormat="1" hidden="1" outlineLevel="1" x14ac:dyDescent="0.3">
      <c r="E845" s="250" t="s">
        <v>1810</v>
      </c>
      <c r="F845" s="306">
        <v>4403575</v>
      </c>
      <c r="G845" s="307"/>
      <c r="H845" s="308"/>
      <c r="I845" s="309"/>
      <c r="J845" s="310">
        <v>0</v>
      </c>
      <c r="K845" s="311">
        <v>0</v>
      </c>
      <c r="L845" s="311">
        <v>0</v>
      </c>
      <c r="M845" s="311">
        <v>0</v>
      </c>
      <c r="N845" s="311">
        <v>0</v>
      </c>
      <c r="O845" s="311">
        <v>0</v>
      </c>
      <c r="P845" s="311">
        <v>0</v>
      </c>
      <c r="Q845" s="311">
        <v>0</v>
      </c>
      <c r="R845" s="311">
        <v>0</v>
      </c>
      <c r="S845" s="311">
        <v>0</v>
      </c>
      <c r="T845" s="311">
        <v>0</v>
      </c>
      <c r="U845" s="312">
        <v>0</v>
      </c>
      <c r="V845" s="313">
        <v>0</v>
      </c>
      <c r="W845" s="314"/>
      <c r="X845" s="315">
        <v>0</v>
      </c>
      <c r="Y845" s="316">
        <v>0</v>
      </c>
    </row>
    <row r="846" spans="4:25" s="250" customFormat="1" hidden="1" outlineLevel="1" x14ac:dyDescent="0.3">
      <c r="E846" s="250" t="s">
        <v>1811</v>
      </c>
      <c r="F846" s="306">
        <v>4403574</v>
      </c>
      <c r="G846" s="307"/>
      <c r="H846" s="308"/>
      <c r="I846" s="309"/>
      <c r="J846" s="310">
        <v>0</v>
      </c>
      <c r="K846" s="311">
        <v>0</v>
      </c>
      <c r="L846" s="311">
        <v>0</v>
      </c>
      <c r="M846" s="311">
        <v>0</v>
      </c>
      <c r="N846" s="311">
        <v>0</v>
      </c>
      <c r="O846" s="311">
        <v>0</v>
      </c>
      <c r="P846" s="311">
        <v>0</v>
      </c>
      <c r="Q846" s="311">
        <v>0</v>
      </c>
      <c r="R846" s="311">
        <v>0</v>
      </c>
      <c r="S846" s="311">
        <v>0</v>
      </c>
      <c r="T846" s="311">
        <v>0</v>
      </c>
      <c r="U846" s="312">
        <v>0</v>
      </c>
      <c r="V846" s="313">
        <v>0</v>
      </c>
      <c r="W846" s="314"/>
      <c r="X846" s="315">
        <v>0</v>
      </c>
      <c r="Y846" s="316">
        <v>0</v>
      </c>
    </row>
    <row r="847" spans="4:25" s="250" customFormat="1" hidden="1" outlineLevel="1" x14ac:dyDescent="0.3">
      <c r="E847" s="250" t="s">
        <v>1812</v>
      </c>
      <c r="F847" s="306">
        <v>4403573</v>
      </c>
      <c r="G847" s="307"/>
      <c r="H847" s="308"/>
      <c r="I847" s="309"/>
      <c r="J847" s="310">
        <v>0</v>
      </c>
      <c r="K847" s="311">
        <v>0</v>
      </c>
      <c r="L847" s="311">
        <v>0</v>
      </c>
      <c r="M847" s="311">
        <v>0</v>
      </c>
      <c r="N847" s="311">
        <v>0</v>
      </c>
      <c r="O847" s="311">
        <v>0</v>
      </c>
      <c r="P847" s="311">
        <v>0</v>
      </c>
      <c r="Q847" s="311">
        <v>0</v>
      </c>
      <c r="R847" s="311">
        <v>0</v>
      </c>
      <c r="S847" s="311">
        <v>0</v>
      </c>
      <c r="T847" s="311">
        <v>0</v>
      </c>
      <c r="U847" s="312">
        <v>0</v>
      </c>
      <c r="V847" s="313">
        <v>0</v>
      </c>
      <c r="W847" s="314"/>
      <c r="X847" s="315">
        <v>0</v>
      </c>
      <c r="Y847" s="316">
        <v>0</v>
      </c>
    </row>
    <row r="848" spans="4:25" s="250" customFormat="1" hidden="1" outlineLevel="1" x14ac:dyDescent="0.3">
      <c r="E848" s="250" t="s">
        <v>1813</v>
      </c>
      <c r="F848" s="306">
        <v>4403568</v>
      </c>
      <c r="G848" s="307"/>
      <c r="H848" s="308"/>
      <c r="I848" s="309"/>
      <c r="J848" s="310">
        <v>0</v>
      </c>
      <c r="K848" s="311">
        <v>0</v>
      </c>
      <c r="L848" s="311">
        <v>0</v>
      </c>
      <c r="M848" s="311">
        <v>0</v>
      </c>
      <c r="N848" s="311">
        <v>0</v>
      </c>
      <c r="O848" s="311">
        <v>0</v>
      </c>
      <c r="P848" s="311">
        <v>0</v>
      </c>
      <c r="Q848" s="311">
        <v>0</v>
      </c>
      <c r="R848" s="311">
        <v>0</v>
      </c>
      <c r="S848" s="311">
        <v>0</v>
      </c>
      <c r="T848" s="311">
        <v>0</v>
      </c>
      <c r="U848" s="312">
        <v>0</v>
      </c>
      <c r="V848" s="313">
        <v>0</v>
      </c>
      <c r="W848" s="314"/>
      <c r="X848" s="315">
        <v>0</v>
      </c>
      <c r="Y848" s="316">
        <v>0</v>
      </c>
    </row>
    <row r="849" spans="4:25" s="250" customFormat="1" hidden="1" outlineLevel="1" x14ac:dyDescent="0.3">
      <c r="E849" s="250" t="s">
        <v>1814</v>
      </c>
      <c r="F849" s="306">
        <v>4403569</v>
      </c>
      <c r="G849" s="307"/>
      <c r="H849" s="308"/>
      <c r="I849" s="309"/>
      <c r="J849" s="310">
        <v>0</v>
      </c>
      <c r="K849" s="311">
        <v>0</v>
      </c>
      <c r="L849" s="311">
        <v>0</v>
      </c>
      <c r="M849" s="311">
        <v>0</v>
      </c>
      <c r="N849" s="311">
        <v>0</v>
      </c>
      <c r="O849" s="311">
        <v>0</v>
      </c>
      <c r="P849" s="311">
        <v>0</v>
      </c>
      <c r="Q849" s="311">
        <v>0</v>
      </c>
      <c r="R849" s="311">
        <v>0</v>
      </c>
      <c r="S849" s="311">
        <v>0</v>
      </c>
      <c r="T849" s="311">
        <v>0</v>
      </c>
      <c r="U849" s="312">
        <v>0</v>
      </c>
      <c r="V849" s="313">
        <v>0</v>
      </c>
      <c r="W849" s="314"/>
      <c r="X849" s="315">
        <v>0</v>
      </c>
      <c r="Y849" s="316">
        <v>0</v>
      </c>
    </row>
    <row r="850" spans="4:25" s="350" customFormat="1" hidden="1" outlineLevel="2" x14ac:dyDescent="0.3">
      <c r="E850" s="350" t="s">
        <v>1815</v>
      </c>
      <c r="F850" s="306">
        <v>4405516</v>
      </c>
      <c r="G850" s="307"/>
      <c r="H850" s="308"/>
      <c r="I850" s="309"/>
      <c r="J850" s="310">
        <v>0</v>
      </c>
      <c r="K850" s="311">
        <v>0</v>
      </c>
      <c r="L850" s="311">
        <v>0</v>
      </c>
      <c r="M850" s="311">
        <v>0</v>
      </c>
      <c r="N850" s="311">
        <v>0</v>
      </c>
      <c r="O850" s="311">
        <v>0</v>
      </c>
      <c r="P850" s="311">
        <v>0</v>
      </c>
      <c r="Q850" s="311">
        <v>0</v>
      </c>
      <c r="R850" s="311">
        <v>0</v>
      </c>
      <c r="S850" s="311">
        <v>0</v>
      </c>
      <c r="T850" s="311">
        <v>0</v>
      </c>
      <c r="U850" s="312">
        <v>0</v>
      </c>
      <c r="V850" s="313">
        <v>0</v>
      </c>
      <c r="W850" s="314"/>
      <c r="X850" s="315">
        <v>0</v>
      </c>
      <c r="Y850" s="316">
        <v>0</v>
      </c>
    </row>
    <row r="851" spans="4:25" s="350" customFormat="1" hidden="1" outlineLevel="2" x14ac:dyDescent="0.3">
      <c r="E851" s="350" t="s">
        <v>1816</v>
      </c>
      <c r="F851" s="306">
        <v>4405518</v>
      </c>
      <c r="G851" s="307"/>
      <c r="H851" s="308"/>
      <c r="I851" s="309"/>
      <c r="J851" s="310">
        <v>0</v>
      </c>
      <c r="K851" s="311">
        <v>0</v>
      </c>
      <c r="L851" s="311">
        <v>0</v>
      </c>
      <c r="M851" s="311">
        <v>0</v>
      </c>
      <c r="N851" s="311">
        <v>0</v>
      </c>
      <c r="O851" s="311">
        <v>0</v>
      </c>
      <c r="P851" s="311">
        <v>0</v>
      </c>
      <c r="Q851" s="311">
        <v>0</v>
      </c>
      <c r="R851" s="311">
        <v>0</v>
      </c>
      <c r="S851" s="311">
        <v>0</v>
      </c>
      <c r="T851" s="311">
        <v>0</v>
      </c>
      <c r="U851" s="312">
        <v>0</v>
      </c>
      <c r="V851" s="313">
        <v>0</v>
      </c>
      <c r="W851" s="314"/>
      <c r="X851" s="315">
        <v>0</v>
      </c>
      <c r="Y851" s="316">
        <v>0</v>
      </c>
    </row>
    <row r="852" spans="4:25" s="326" customFormat="1" hidden="1" outlineLevel="2" x14ac:dyDescent="0.3">
      <c r="E852" s="326" t="s">
        <v>1817</v>
      </c>
      <c r="F852" s="336"/>
      <c r="G852" s="327"/>
      <c r="H852" s="328"/>
      <c r="I852" s="329"/>
      <c r="J852" s="338">
        <v>0</v>
      </c>
      <c r="K852" s="330">
        <v>0</v>
      </c>
      <c r="L852" s="330">
        <v>0</v>
      </c>
      <c r="M852" s="330">
        <v>0</v>
      </c>
      <c r="N852" s="330">
        <v>0</v>
      </c>
      <c r="O852" s="330">
        <v>0</v>
      </c>
      <c r="P852" s="330">
        <v>0</v>
      </c>
      <c r="Q852" s="330">
        <v>0</v>
      </c>
      <c r="R852" s="330">
        <v>0</v>
      </c>
      <c r="S852" s="330">
        <v>0</v>
      </c>
      <c r="T852" s="330">
        <v>0</v>
      </c>
      <c r="U852" s="331">
        <v>0</v>
      </c>
      <c r="V852" s="332">
        <v>0</v>
      </c>
      <c r="W852" s="333"/>
      <c r="X852" s="334">
        <v>0</v>
      </c>
      <c r="Y852" s="335">
        <v>0</v>
      </c>
    </row>
    <row r="853" spans="4:25" s="326" customFormat="1" hidden="1" outlineLevel="2" x14ac:dyDescent="0.3">
      <c r="E853" s="326" t="s">
        <v>1818</v>
      </c>
      <c r="F853" s="336"/>
      <c r="G853" s="327"/>
      <c r="H853" s="328"/>
      <c r="I853" s="329"/>
      <c r="J853" s="338">
        <v>0</v>
      </c>
      <c r="K853" s="330">
        <v>0</v>
      </c>
      <c r="L853" s="330">
        <v>0</v>
      </c>
      <c r="M853" s="330">
        <v>0</v>
      </c>
      <c r="N853" s="330">
        <v>0</v>
      </c>
      <c r="O853" s="330">
        <v>0</v>
      </c>
      <c r="P853" s="330">
        <v>0</v>
      </c>
      <c r="Q853" s="330">
        <v>0</v>
      </c>
      <c r="R853" s="330">
        <v>0</v>
      </c>
      <c r="S853" s="330">
        <v>0</v>
      </c>
      <c r="T853" s="330">
        <v>0</v>
      </c>
      <c r="U853" s="331">
        <v>0</v>
      </c>
      <c r="V853" s="332">
        <v>0</v>
      </c>
      <c r="W853" s="333"/>
      <c r="X853" s="334">
        <v>0</v>
      </c>
      <c r="Y853" s="335">
        <v>0</v>
      </c>
    </row>
    <row r="854" spans="4:25" s="326" customFormat="1" hidden="1" outlineLevel="2" x14ac:dyDescent="0.3">
      <c r="E854" s="326" t="s">
        <v>1819</v>
      </c>
      <c r="F854" s="336"/>
      <c r="G854" s="327"/>
      <c r="H854" s="328"/>
      <c r="I854" s="329"/>
      <c r="J854" s="338">
        <v>0</v>
      </c>
      <c r="K854" s="330">
        <v>0</v>
      </c>
      <c r="L854" s="330">
        <v>0</v>
      </c>
      <c r="M854" s="330">
        <v>0</v>
      </c>
      <c r="N854" s="330">
        <v>0</v>
      </c>
      <c r="O854" s="330">
        <v>0</v>
      </c>
      <c r="P854" s="330">
        <v>0</v>
      </c>
      <c r="Q854" s="330">
        <v>0</v>
      </c>
      <c r="R854" s="330">
        <v>0</v>
      </c>
      <c r="S854" s="330">
        <v>0</v>
      </c>
      <c r="T854" s="330">
        <v>0</v>
      </c>
      <c r="U854" s="331">
        <v>0</v>
      </c>
      <c r="V854" s="332">
        <v>0</v>
      </c>
      <c r="W854" s="333"/>
      <c r="X854" s="334">
        <v>0</v>
      </c>
      <c r="Y854" s="335">
        <v>0</v>
      </c>
    </row>
    <row r="855" spans="4:25" collapsed="1" x14ac:dyDescent="0.3">
      <c r="D855" s="293" t="s">
        <v>1820</v>
      </c>
      <c r="E855" s="294"/>
      <c r="F855" s="295" t="s">
        <v>1821</v>
      </c>
      <c r="G855" s="296"/>
      <c r="H855" s="297"/>
      <c r="I855" s="298"/>
      <c r="J855" s="299">
        <v>0</v>
      </c>
      <c r="K855" s="300">
        <v>0</v>
      </c>
      <c r="L855" s="300">
        <v>0</v>
      </c>
      <c r="M855" s="300">
        <v>0</v>
      </c>
      <c r="N855" s="300">
        <v>0</v>
      </c>
      <c r="O855" s="300">
        <v>0</v>
      </c>
      <c r="P855" s="300">
        <v>0</v>
      </c>
      <c r="Q855" s="300">
        <v>0</v>
      </c>
      <c r="R855" s="300">
        <v>0</v>
      </c>
      <c r="S855" s="300">
        <v>0</v>
      </c>
      <c r="T855" s="300">
        <v>0</v>
      </c>
      <c r="U855" s="301">
        <v>0</v>
      </c>
      <c r="V855" s="302">
        <v>0</v>
      </c>
      <c r="W855" s="303"/>
      <c r="X855" s="304">
        <v>0</v>
      </c>
      <c r="Y855" s="305">
        <v>0</v>
      </c>
    </row>
    <row r="856" spans="4:25" hidden="1" outlineLevel="1" x14ac:dyDescent="0.3">
      <c r="E856" s="250" t="s">
        <v>1822</v>
      </c>
      <c r="F856" s="317">
        <v>4403572</v>
      </c>
      <c r="G856" s="318"/>
      <c r="H856" s="319"/>
      <c r="I856" s="320"/>
      <c r="J856" s="337">
        <v>0</v>
      </c>
      <c r="K856" s="321">
        <v>0</v>
      </c>
      <c r="L856" s="321">
        <v>0</v>
      </c>
      <c r="M856" s="321">
        <v>0</v>
      </c>
      <c r="N856" s="321">
        <v>0</v>
      </c>
      <c r="O856" s="321">
        <v>0</v>
      </c>
      <c r="P856" s="321">
        <v>0</v>
      </c>
      <c r="Q856" s="321">
        <v>0</v>
      </c>
      <c r="R856" s="321">
        <v>0</v>
      </c>
      <c r="S856" s="321">
        <v>0</v>
      </c>
      <c r="T856" s="321">
        <v>0</v>
      </c>
      <c r="U856" s="322">
        <v>0</v>
      </c>
      <c r="V856" s="323">
        <v>0</v>
      </c>
      <c r="W856" s="303"/>
      <c r="X856" s="324">
        <v>0</v>
      </c>
      <c r="Y856" s="325">
        <v>0</v>
      </c>
    </row>
    <row r="857" spans="4:25" hidden="1" outlineLevel="1" x14ac:dyDescent="0.3">
      <c r="E857" s="250" t="s">
        <v>1823</v>
      </c>
      <c r="F857" s="317">
        <v>4403571</v>
      </c>
      <c r="G857" s="318"/>
      <c r="H857" s="319"/>
      <c r="I857" s="320"/>
      <c r="J857" s="337">
        <v>0</v>
      </c>
      <c r="K857" s="321">
        <v>0</v>
      </c>
      <c r="L857" s="321">
        <v>0</v>
      </c>
      <c r="M857" s="321">
        <v>0</v>
      </c>
      <c r="N857" s="321">
        <v>0</v>
      </c>
      <c r="O857" s="321">
        <v>0</v>
      </c>
      <c r="P857" s="321">
        <v>0</v>
      </c>
      <c r="Q857" s="321">
        <v>0</v>
      </c>
      <c r="R857" s="321">
        <v>0</v>
      </c>
      <c r="S857" s="321">
        <v>0</v>
      </c>
      <c r="T857" s="321">
        <v>0</v>
      </c>
      <c r="U857" s="322">
        <v>0</v>
      </c>
      <c r="V857" s="323">
        <v>0</v>
      </c>
      <c r="W857" s="303"/>
      <c r="X857" s="324">
        <v>0</v>
      </c>
      <c r="Y857" s="325">
        <v>0</v>
      </c>
    </row>
    <row r="858" spans="4:25" hidden="1" outlineLevel="1" x14ac:dyDescent="0.3">
      <c r="E858" s="250" t="s">
        <v>1824</v>
      </c>
      <c r="F858" s="317">
        <v>4403570</v>
      </c>
      <c r="G858" s="318"/>
      <c r="H858" s="319"/>
      <c r="I858" s="320"/>
      <c r="J858" s="337">
        <v>0</v>
      </c>
      <c r="K858" s="321">
        <v>0</v>
      </c>
      <c r="L858" s="321">
        <v>0</v>
      </c>
      <c r="M858" s="321">
        <v>0</v>
      </c>
      <c r="N858" s="321">
        <v>0</v>
      </c>
      <c r="O858" s="321">
        <v>0</v>
      </c>
      <c r="P858" s="321">
        <v>0</v>
      </c>
      <c r="Q858" s="321">
        <v>0</v>
      </c>
      <c r="R858" s="321">
        <v>0</v>
      </c>
      <c r="S858" s="321">
        <v>0</v>
      </c>
      <c r="T858" s="321">
        <v>0</v>
      </c>
      <c r="U858" s="322">
        <v>0</v>
      </c>
      <c r="V858" s="323">
        <v>0</v>
      </c>
      <c r="W858" s="303"/>
      <c r="X858" s="324">
        <v>0</v>
      </c>
      <c r="Y858" s="325">
        <v>0</v>
      </c>
    </row>
    <row r="859" spans="4:25" s="326" customFormat="1" hidden="1" outlineLevel="2" x14ac:dyDescent="0.3">
      <c r="E859" s="326" t="s">
        <v>1825</v>
      </c>
      <c r="F859" s="336"/>
      <c r="G859" s="327"/>
      <c r="H859" s="328"/>
      <c r="I859" s="329"/>
      <c r="J859" s="338">
        <v>0</v>
      </c>
      <c r="K859" s="330">
        <v>0</v>
      </c>
      <c r="L859" s="330">
        <v>0</v>
      </c>
      <c r="M859" s="330">
        <v>0</v>
      </c>
      <c r="N859" s="330">
        <v>0</v>
      </c>
      <c r="O859" s="330">
        <v>0</v>
      </c>
      <c r="P859" s="330">
        <v>0</v>
      </c>
      <c r="Q859" s="330">
        <v>0</v>
      </c>
      <c r="R859" s="330">
        <v>0</v>
      </c>
      <c r="S859" s="330">
        <v>0</v>
      </c>
      <c r="T859" s="330">
        <v>0</v>
      </c>
      <c r="U859" s="331">
        <v>0</v>
      </c>
      <c r="V859" s="332">
        <v>0</v>
      </c>
      <c r="W859" s="333"/>
      <c r="X859" s="334">
        <v>0</v>
      </c>
      <c r="Y859" s="335">
        <v>0</v>
      </c>
    </row>
    <row r="860" spans="4:25" s="326" customFormat="1" hidden="1" outlineLevel="2" x14ac:dyDescent="0.3">
      <c r="E860" s="326" t="s">
        <v>1826</v>
      </c>
      <c r="F860" s="336"/>
      <c r="G860" s="327"/>
      <c r="H860" s="328"/>
      <c r="I860" s="329"/>
      <c r="J860" s="338">
        <v>0</v>
      </c>
      <c r="K860" s="330">
        <v>0</v>
      </c>
      <c r="L860" s="330">
        <v>0</v>
      </c>
      <c r="M860" s="330">
        <v>0</v>
      </c>
      <c r="N860" s="330">
        <v>0</v>
      </c>
      <c r="O860" s="330">
        <v>0</v>
      </c>
      <c r="P860" s="330">
        <v>0</v>
      </c>
      <c r="Q860" s="330">
        <v>0</v>
      </c>
      <c r="R860" s="330">
        <v>0</v>
      </c>
      <c r="S860" s="330">
        <v>0</v>
      </c>
      <c r="T860" s="330">
        <v>0</v>
      </c>
      <c r="U860" s="331">
        <v>0</v>
      </c>
      <c r="V860" s="332">
        <v>0</v>
      </c>
      <c r="W860" s="333"/>
      <c r="X860" s="334">
        <v>0</v>
      </c>
      <c r="Y860" s="335">
        <v>0</v>
      </c>
    </row>
    <row r="861" spans="4:25" s="326" customFormat="1" hidden="1" outlineLevel="2" x14ac:dyDescent="0.3">
      <c r="E861" s="326" t="s">
        <v>1827</v>
      </c>
      <c r="F861" s="336"/>
      <c r="G861" s="327"/>
      <c r="H861" s="328"/>
      <c r="I861" s="329"/>
      <c r="J861" s="338">
        <v>0</v>
      </c>
      <c r="K861" s="330">
        <v>0</v>
      </c>
      <c r="L861" s="330">
        <v>0</v>
      </c>
      <c r="M861" s="330">
        <v>0</v>
      </c>
      <c r="N861" s="330">
        <v>0</v>
      </c>
      <c r="O861" s="330">
        <v>0</v>
      </c>
      <c r="P861" s="330">
        <v>0</v>
      </c>
      <c r="Q861" s="330">
        <v>0</v>
      </c>
      <c r="R861" s="330">
        <v>0</v>
      </c>
      <c r="S861" s="330">
        <v>0</v>
      </c>
      <c r="T861" s="330">
        <v>0</v>
      </c>
      <c r="U861" s="331">
        <v>0</v>
      </c>
      <c r="V861" s="332">
        <v>0</v>
      </c>
      <c r="W861" s="333"/>
      <c r="X861" s="334">
        <v>0</v>
      </c>
      <c r="Y861" s="335">
        <v>0</v>
      </c>
    </row>
    <row r="862" spans="4:25" collapsed="1" x14ac:dyDescent="0.3">
      <c r="D862" s="293" t="s">
        <v>1828</v>
      </c>
      <c r="E862" s="294"/>
      <c r="F862" s="295" t="s">
        <v>1829</v>
      </c>
      <c r="G862" s="296"/>
      <c r="H862" s="297"/>
      <c r="I862" s="298"/>
      <c r="J862" s="299">
        <v>0</v>
      </c>
      <c r="K862" s="300">
        <v>0</v>
      </c>
      <c r="L862" s="300">
        <v>0</v>
      </c>
      <c r="M862" s="300">
        <v>0</v>
      </c>
      <c r="N862" s="300">
        <v>0</v>
      </c>
      <c r="O862" s="300">
        <v>0</v>
      </c>
      <c r="P862" s="300">
        <v>0</v>
      </c>
      <c r="Q862" s="300">
        <v>0</v>
      </c>
      <c r="R862" s="300">
        <v>0</v>
      </c>
      <c r="S862" s="300">
        <v>0</v>
      </c>
      <c r="T862" s="300">
        <v>0</v>
      </c>
      <c r="U862" s="301">
        <v>0</v>
      </c>
      <c r="V862" s="302">
        <v>0</v>
      </c>
      <c r="W862" s="303"/>
      <c r="X862" s="304">
        <v>0</v>
      </c>
      <c r="Y862" s="305">
        <v>0</v>
      </c>
    </row>
    <row r="863" spans="4:25" hidden="1" outlineLevel="1" x14ac:dyDescent="0.3">
      <c r="E863" s="250" t="s">
        <v>1830</v>
      </c>
      <c r="F863" s="317">
        <v>4409000</v>
      </c>
      <c r="G863" s="318"/>
      <c r="H863" s="319"/>
      <c r="I863" s="320"/>
      <c r="J863" s="337">
        <v>0</v>
      </c>
      <c r="K863" s="321">
        <v>0</v>
      </c>
      <c r="L863" s="321">
        <v>0</v>
      </c>
      <c r="M863" s="321">
        <v>0</v>
      </c>
      <c r="N863" s="321">
        <v>0</v>
      </c>
      <c r="O863" s="321">
        <v>0</v>
      </c>
      <c r="P863" s="321">
        <v>0</v>
      </c>
      <c r="Q863" s="321">
        <v>0</v>
      </c>
      <c r="R863" s="321">
        <v>0</v>
      </c>
      <c r="S863" s="321">
        <v>0</v>
      </c>
      <c r="T863" s="321">
        <v>0</v>
      </c>
      <c r="U863" s="322">
        <v>0</v>
      </c>
      <c r="V863" s="323">
        <v>0</v>
      </c>
      <c r="W863" s="303"/>
      <c r="X863" s="324">
        <v>0</v>
      </c>
      <c r="Y863" s="325">
        <v>0</v>
      </c>
    </row>
    <row r="864" spans="4:25" s="361" customFormat="1" hidden="1" outlineLevel="2" x14ac:dyDescent="0.3">
      <c r="E864" s="326" t="s">
        <v>1831</v>
      </c>
      <c r="F864" s="351"/>
      <c r="G864" s="352"/>
      <c r="H864" s="353"/>
      <c r="I864" s="354"/>
      <c r="J864" s="362">
        <v>0</v>
      </c>
      <c r="K864" s="355">
        <v>0</v>
      </c>
      <c r="L864" s="355">
        <v>0</v>
      </c>
      <c r="M864" s="355">
        <v>0</v>
      </c>
      <c r="N864" s="355">
        <v>0</v>
      </c>
      <c r="O864" s="355">
        <v>0</v>
      </c>
      <c r="P864" s="355">
        <v>0</v>
      </c>
      <c r="Q864" s="355">
        <v>0</v>
      </c>
      <c r="R864" s="355">
        <v>0</v>
      </c>
      <c r="S864" s="355">
        <v>0</v>
      </c>
      <c r="T864" s="355">
        <v>0</v>
      </c>
      <c r="U864" s="356">
        <v>0</v>
      </c>
      <c r="V864" s="357">
        <v>0</v>
      </c>
      <c r="W864" s="358"/>
      <c r="X864" s="359">
        <v>0</v>
      </c>
      <c r="Y864" s="360">
        <v>0</v>
      </c>
    </row>
    <row r="865" spans="1:25" s="361" customFormat="1" hidden="1" outlineLevel="2" x14ac:dyDescent="0.3">
      <c r="E865" s="326" t="s">
        <v>1832</v>
      </c>
      <c r="F865" s="351"/>
      <c r="G865" s="352"/>
      <c r="H865" s="353"/>
      <c r="I865" s="354"/>
      <c r="J865" s="362">
        <v>0</v>
      </c>
      <c r="K865" s="355">
        <v>0</v>
      </c>
      <c r="L865" s="355">
        <v>0</v>
      </c>
      <c r="M865" s="355">
        <v>0</v>
      </c>
      <c r="N865" s="355">
        <v>0</v>
      </c>
      <c r="O865" s="355">
        <v>0</v>
      </c>
      <c r="P865" s="355">
        <v>0</v>
      </c>
      <c r="Q865" s="355">
        <v>0</v>
      </c>
      <c r="R865" s="355">
        <v>0</v>
      </c>
      <c r="S865" s="355">
        <v>0</v>
      </c>
      <c r="T865" s="355">
        <v>0</v>
      </c>
      <c r="U865" s="356">
        <v>0</v>
      </c>
      <c r="V865" s="357">
        <v>0</v>
      </c>
      <c r="W865" s="358"/>
      <c r="X865" s="359">
        <v>0</v>
      </c>
      <c r="Y865" s="360">
        <v>0</v>
      </c>
    </row>
    <row r="866" spans="1:25" s="361" customFormat="1" hidden="1" outlineLevel="2" x14ac:dyDescent="0.3">
      <c r="E866" s="326" t="s">
        <v>1833</v>
      </c>
      <c r="F866" s="351"/>
      <c r="G866" s="352"/>
      <c r="H866" s="353"/>
      <c r="I866" s="354"/>
      <c r="J866" s="362">
        <v>0</v>
      </c>
      <c r="K866" s="355">
        <v>0</v>
      </c>
      <c r="L866" s="355">
        <v>0</v>
      </c>
      <c r="M866" s="355">
        <v>0</v>
      </c>
      <c r="N866" s="355">
        <v>0</v>
      </c>
      <c r="O866" s="355">
        <v>0</v>
      </c>
      <c r="P866" s="355">
        <v>0</v>
      </c>
      <c r="Q866" s="355">
        <v>0</v>
      </c>
      <c r="R866" s="355">
        <v>0</v>
      </c>
      <c r="S866" s="355">
        <v>0</v>
      </c>
      <c r="T866" s="355">
        <v>0</v>
      </c>
      <c r="U866" s="356">
        <v>0</v>
      </c>
      <c r="V866" s="357">
        <v>0</v>
      </c>
      <c r="W866" s="358"/>
      <c r="X866" s="359">
        <v>0</v>
      </c>
      <c r="Y866" s="360">
        <v>0</v>
      </c>
    </row>
    <row r="867" spans="1:25" collapsed="1" x14ac:dyDescent="0.3">
      <c r="A867" s="233"/>
      <c r="B867" s="234" t="s">
        <v>73</v>
      </c>
      <c r="D867" s="293" t="s">
        <v>1834</v>
      </c>
      <c r="E867" s="294"/>
      <c r="F867" s="295" t="s">
        <v>1835</v>
      </c>
      <c r="G867" s="296"/>
      <c r="H867" s="297"/>
      <c r="I867" s="298"/>
      <c r="J867" s="299">
        <v>1688.7349999999999</v>
      </c>
      <c r="K867" s="300">
        <v>97.42</v>
      </c>
      <c r="L867" s="300">
        <v>3794.4569999999999</v>
      </c>
      <c r="M867" s="300">
        <v>0</v>
      </c>
      <c r="N867" s="300">
        <v>15.153</v>
      </c>
      <c r="O867" s="300">
        <v>0</v>
      </c>
      <c r="P867" s="300">
        <v>0</v>
      </c>
      <c r="Q867" s="300">
        <v>0</v>
      </c>
      <c r="R867" s="300">
        <v>0</v>
      </c>
      <c r="S867" s="300">
        <v>0</v>
      </c>
      <c r="T867" s="300">
        <v>0</v>
      </c>
      <c r="U867" s="301">
        <v>847.48400000000004</v>
      </c>
      <c r="V867" s="302">
        <v>6443.2490000000007</v>
      </c>
      <c r="W867" s="303"/>
      <c r="X867" s="304">
        <v>847.48400000000004</v>
      </c>
      <c r="Y867" s="305">
        <v>6443.2490000000007</v>
      </c>
    </row>
    <row r="868" spans="1:25" hidden="1" outlineLevel="1" x14ac:dyDescent="0.3">
      <c r="E868" s="250" t="s">
        <v>1836</v>
      </c>
      <c r="F868" s="317">
        <v>4405501</v>
      </c>
      <c r="G868" s="318"/>
      <c r="H868" s="319">
        <v>7101350301</v>
      </c>
      <c r="I868" s="320"/>
      <c r="J868" s="337">
        <v>1688.7349999999999</v>
      </c>
      <c r="K868" s="321">
        <v>97.42</v>
      </c>
      <c r="L868" s="321">
        <v>3794.4569999999999</v>
      </c>
      <c r="M868" s="321">
        <v>0</v>
      </c>
      <c r="N868" s="321">
        <v>15.153</v>
      </c>
      <c r="O868" s="321">
        <v>0</v>
      </c>
      <c r="P868" s="321">
        <v>0</v>
      </c>
      <c r="Q868" s="321">
        <v>0</v>
      </c>
      <c r="R868" s="321">
        <v>0</v>
      </c>
      <c r="S868" s="321">
        <v>0</v>
      </c>
      <c r="T868" s="321">
        <v>0</v>
      </c>
      <c r="U868" s="322">
        <v>847.48400000000004</v>
      </c>
      <c r="V868" s="323">
        <v>6443.2490000000007</v>
      </c>
      <c r="W868" s="303"/>
      <c r="X868" s="324">
        <v>847.48400000000004</v>
      </c>
      <c r="Y868" s="325">
        <v>6443.2490000000007</v>
      </c>
    </row>
    <row r="869" spans="1:25" hidden="1" outlineLevel="1" x14ac:dyDescent="0.3">
      <c r="E869" s="250" t="s">
        <v>1837</v>
      </c>
      <c r="F869" s="317">
        <v>4405502</v>
      </c>
      <c r="G869" s="318"/>
      <c r="H869" s="319">
        <v>7101350102</v>
      </c>
      <c r="I869" s="320"/>
      <c r="J869" s="337">
        <v>0</v>
      </c>
      <c r="K869" s="321">
        <v>0</v>
      </c>
      <c r="L869" s="321">
        <v>0</v>
      </c>
      <c r="M869" s="321">
        <v>0</v>
      </c>
      <c r="N869" s="321">
        <v>0</v>
      </c>
      <c r="O869" s="321">
        <v>0</v>
      </c>
      <c r="P869" s="321">
        <v>0</v>
      </c>
      <c r="Q869" s="321">
        <v>0</v>
      </c>
      <c r="R869" s="321">
        <v>0</v>
      </c>
      <c r="S869" s="321">
        <v>0</v>
      </c>
      <c r="T869" s="321">
        <v>0</v>
      </c>
      <c r="U869" s="322">
        <v>0</v>
      </c>
      <c r="V869" s="323">
        <v>0</v>
      </c>
      <c r="W869" s="303"/>
      <c r="X869" s="324">
        <v>0</v>
      </c>
      <c r="Y869" s="325">
        <v>0</v>
      </c>
    </row>
    <row r="870" spans="1:25" hidden="1" outlineLevel="1" x14ac:dyDescent="0.3">
      <c r="E870" s="250" t="s">
        <v>1838</v>
      </c>
      <c r="F870" s="317">
        <v>4405503</v>
      </c>
      <c r="G870" s="318"/>
      <c r="H870" s="319"/>
      <c r="I870" s="320"/>
      <c r="J870" s="337">
        <v>0</v>
      </c>
      <c r="K870" s="321">
        <v>0</v>
      </c>
      <c r="L870" s="321">
        <v>0</v>
      </c>
      <c r="M870" s="321">
        <v>0</v>
      </c>
      <c r="N870" s="321">
        <v>0</v>
      </c>
      <c r="O870" s="321">
        <v>0</v>
      </c>
      <c r="P870" s="321">
        <v>0</v>
      </c>
      <c r="Q870" s="321">
        <v>0</v>
      </c>
      <c r="R870" s="321">
        <v>0</v>
      </c>
      <c r="S870" s="321">
        <v>0</v>
      </c>
      <c r="T870" s="321">
        <v>0</v>
      </c>
      <c r="U870" s="322">
        <v>0</v>
      </c>
      <c r="V870" s="323">
        <v>0</v>
      </c>
      <c r="W870" s="303"/>
      <c r="X870" s="324">
        <v>0</v>
      </c>
      <c r="Y870" s="325">
        <v>0</v>
      </c>
    </row>
    <row r="871" spans="1:25" hidden="1" outlineLevel="1" x14ac:dyDescent="0.3">
      <c r="E871" s="250" t="s">
        <v>1839</v>
      </c>
      <c r="F871" s="317">
        <v>4405504</v>
      </c>
      <c r="G871" s="318"/>
      <c r="H871" s="319"/>
      <c r="I871" s="320"/>
      <c r="J871" s="337">
        <v>0</v>
      </c>
      <c r="K871" s="321">
        <v>0</v>
      </c>
      <c r="L871" s="321">
        <v>0</v>
      </c>
      <c r="M871" s="321">
        <v>0</v>
      </c>
      <c r="N871" s="321">
        <v>0</v>
      </c>
      <c r="O871" s="321">
        <v>0</v>
      </c>
      <c r="P871" s="321">
        <v>0</v>
      </c>
      <c r="Q871" s="321">
        <v>0</v>
      </c>
      <c r="R871" s="321">
        <v>0</v>
      </c>
      <c r="S871" s="321">
        <v>0</v>
      </c>
      <c r="T871" s="321">
        <v>0</v>
      </c>
      <c r="U871" s="322">
        <v>0</v>
      </c>
      <c r="V871" s="323">
        <v>0</v>
      </c>
      <c r="W871" s="303"/>
      <c r="X871" s="324">
        <v>0</v>
      </c>
      <c r="Y871" s="325">
        <v>0</v>
      </c>
    </row>
    <row r="872" spans="1:25" hidden="1" outlineLevel="1" x14ac:dyDescent="0.3">
      <c r="E872" s="250" t="s">
        <v>1840</v>
      </c>
      <c r="F872" s="317">
        <v>4405505</v>
      </c>
      <c r="G872" s="318"/>
      <c r="H872" s="319"/>
      <c r="I872" s="320"/>
      <c r="J872" s="337">
        <v>0</v>
      </c>
      <c r="K872" s="321">
        <v>0</v>
      </c>
      <c r="L872" s="321">
        <v>0</v>
      </c>
      <c r="M872" s="321">
        <v>0</v>
      </c>
      <c r="N872" s="321">
        <v>0</v>
      </c>
      <c r="O872" s="321">
        <v>0</v>
      </c>
      <c r="P872" s="321">
        <v>0</v>
      </c>
      <c r="Q872" s="321">
        <v>0</v>
      </c>
      <c r="R872" s="321">
        <v>0</v>
      </c>
      <c r="S872" s="321">
        <v>0</v>
      </c>
      <c r="T872" s="321">
        <v>0</v>
      </c>
      <c r="U872" s="322">
        <v>0</v>
      </c>
      <c r="V872" s="323">
        <v>0</v>
      </c>
      <c r="W872" s="303"/>
      <c r="X872" s="324">
        <v>0</v>
      </c>
      <c r="Y872" s="325">
        <v>0</v>
      </c>
    </row>
    <row r="873" spans="1:25" hidden="1" outlineLevel="1" x14ac:dyDescent="0.3">
      <c r="E873" s="250" t="s">
        <v>1841</v>
      </c>
      <c r="F873" s="317">
        <v>4405506</v>
      </c>
      <c r="G873" s="318"/>
      <c r="H873" s="319">
        <v>7101350105</v>
      </c>
      <c r="I873" s="320"/>
      <c r="J873" s="337">
        <v>0</v>
      </c>
      <c r="K873" s="321">
        <v>0</v>
      </c>
      <c r="L873" s="321">
        <v>0</v>
      </c>
      <c r="M873" s="321">
        <v>0</v>
      </c>
      <c r="N873" s="321">
        <v>0</v>
      </c>
      <c r="O873" s="321">
        <v>0</v>
      </c>
      <c r="P873" s="321">
        <v>0</v>
      </c>
      <c r="Q873" s="321">
        <v>0</v>
      </c>
      <c r="R873" s="321">
        <v>0</v>
      </c>
      <c r="S873" s="321">
        <v>0</v>
      </c>
      <c r="T873" s="321">
        <v>0</v>
      </c>
      <c r="U873" s="322">
        <v>0</v>
      </c>
      <c r="V873" s="323">
        <v>0</v>
      </c>
      <c r="W873" s="303"/>
      <c r="X873" s="324">
        <v>0</v>
      </c>
      <c r="Y873" s="325">
        <v>0</v>
      </c>
    </row>
    <row r="874" spans="1:25" hidden="1" outlineLevel="1" x14ac:dyDescent="0.3">
      <c r="E874" s="250" t="s">
        <v>1842</v>
      </c>
      <c r="F874" s="317">
        <v>4405507</v>
      </c>
      <c r="G874" s="318"/>
      <c r="H874" s="319">
        <v>7101350101</v>
      </c>
      <c r="I874" s="320"/>
      <c r="J874" s="337">
        <v>0</v>
      </c>
      <c r="K874" s="321">
        <v>0</v>
      </c>
      <c r="L874" s="321">
        <v>0</v>
      </c>
      <c r="M874" s="321">
        <v>0</v>
      </c>
      <c r="N874" s="321">
        <v>0</v>
      </c>
      <c r="O874" s="321">
        <v>0</v>
      </c>
      <c r="P874" s="321">
        <v>0</v>
      </c>
      <c r="Q874" s="321">
        <v>0</v>
      </c>
      <c r="R874" s="321">
        <v>0</v>
      </c>
      <c r="S874" s="321">
        <v>0</v>
      </c>
      <c r="T874" s="321">
        <v>0</v>
      </c>
      <c r="U874" s="322">
        <v>0</v>
      </c>
      <c r="V874" s="323">
        <v>0</v>
      </c>
      <c r="W874" s="303"/>
      <c r="X874" s="324">
        <v>0</v>
      </c>
      <c r="Y874" s="325">
        <v>0</v>
      </c>
    </row>
    <row r="875" spans="1:25" s="326" customFormat="1" hidden="1" outlineLevel="2" x14ac:dyDescent="0.3">
      <c r="E875" s="250" t="s">
        <v>1843</v>
      </c>
      <c r="F875" s="306"/>
      <c r="G875" s="307"/>
      <c r="H875" s="308">
        <v>7101330101</v>
      </c>
      <c r="I875" s="309"/>
      <c r="J875" s="310">
        <v>0</v>
      </c>
      <c r="K875" s="311">
        <v>0</v>
      </c>
      <c r="L875" s="311">
        <v>0</v>
      </c>
      <c r="M875" s="311">
        <v>0</v>
      </c>
      <c r="N875" s="311">
        <v>0</v>
      </c>
      <c r="O875" s="311">
        <v>0</v>
      </c>
      <c r="P875" s="311">
        <v>0</v>
      </c>
      <c r="Q875" s="311">
        <v>0</v>
      </c>
      <c r="R875" s="311">
        <v>0</v>
      </c>
      <c r="S875" s="311">
        <v>0</v>
      </c>
      <c r="T875" s="311">
        <v>0</v>
      </c>
      <c r="U875" s="312">
        <v>0</v>
      </c>
      <c r="V875" s="313">
        <v>0</v>
      </c>
      <c r="W875" s="314"/>
      <c r="X875" s="315">
        <v>0</v>
      </c>
      <c r="Y875" s="316">
        <v>0</v>
      </c>
    </row>
    <row r="876" spans="1:25" s="326" customFormat="1" hidden="1" outlineLevel="2" x14ac:dyDescent="0.3">
      <c r="E876" s="350" t="s">
        <v>1844</v>
      </c>
      <c r="F876" s="306"/>
      <c r="G876" s="307"/>
      <c r="H876" s="308">
        <v>7101270000</v>
      </c>
      <c r="I876" s="309"/>
      <c r="J876" s="310">
        <v>0</v>
      </c>
      <c r="K876" s="311">
        <v>0</v>
      </c>
      <c r="L876" s="311">
        <v>0</v>
      </c>
      <c r="M876" s="311">
        <v>0</v>
      </c>
      <c r="N876" s="311">
        <v>0</v>
      </c>
      <c r="O876" s="311">
        <v>0</v>
      </c>
      <c r="P876" s="311">
        <v>0</v>
      </c>
      <c r="Q876" s="311">
        <v>0</v>
      </c>
      <c r="R876" s="311">
        <v>0</v>
      </c>
      <c r="S876" s="311">
        <v>0</v>
      </c>
      <c r="T876" s="311">
        <v>0</v>
      </c>
      <c r="U876" s="312">
        <v>0</v>
      </c>
      <c r="V876" s="313">
        <v>0</v>
      </c>
      <c r="W876" s="314"/>
      <c r="X876" s="315">
        <v>0</v>
      </c>
      <c r="Y876" s="316">
        <v>0</v>
      </c>
    </row>
    <row r="877" spans="1:25" s="350" customFormat="1" hidden="1" outlineLevel="2" x14ac:dyDescent="0.3">
      <c r="E877" s="350" t="s">
        <v>1845</v>
      </c>
      <c r="F877" s="306"/>
      <c r="G877" s="307"/>
      <c r="H877" s="308">
        <v>7101130101</v>
      </c>
      <c r="I877" s="309"/>
      <c r="J877" s="310">
        <v>0</v>
      </c>
      <c r="K877" s="311">
        <v>0</v>
      </c>
      <c r="L877" s="311">
        <v>0</v>
      </c>
      <c r="M877" s="311">
        <v>0</v>
      </c>
      <c r="N877" s="311">
        <v>0</v>
      </c>
      <c r="O877" s="311">
        <v>0</v>
      </c>
      <c r="P877" s="311">
        <v>0</v>
      </c>
      <c r="Q877" s="311">
        <v>0</v>
      </c>
      <c r="R877" s="311">
        <v>0</v>
      </c>
      <c r="S877" s="311">
        <v>0</v>
      </c>
      <c r="T877" s="311">
        <v>0</v>
      </c>
      <c r="U877" s="312">
        <v>0</v>
      </c>
      <c r="V877" s="313">
        <v>0</v>
      </c>
      <c r="W877" s="314"/>
      <c r="X877" s="315">
        <v>0</v>
      </c>
      <c r="Y877" s="316">
        <v>0</v>
      </c>
    </row>
    <row r="878" spans="1:25" collapsed="1" x14ac:dyDescent="0.3">
      <c r="A878" s="233"/>
      <c r="B878" s="234" t="s">
        <v>53</v>
      </c>
      <c r="D878" s="293" t="s">
        <v>1846</v>
      </c>
      <c r="E878" s="294"/>
      <c r="F878" s="295" t="s">
        <v>1847</v>
      </c>
      <c r="G878" s="296"/>
      <c r="H878" s="297"/>
      <c r="I878" s="298"/>
      <c r="J878" s="299">
        <v>615.95299999999997</v>
      </c>
      <c r="K878" s="300">
        <v>5966.7520000000004</v>
      </c>
      <c r="L878" s="300">
        <v>20194.207999999999</v>
      </c>
      <c r="M878" s="300">
        <v>5212.79</v>
      </c>
      <c r="N878" s="300">
        <v>698.33299999999997</v>
      </c>
      <c r="O878" s="300">
        <v>19650.86</v>
      </c>
      <c r="P878" s="300">
        <v>302.87400000000002</v>
      </c>
      <c r="Q878" s="300">
        <v>2507.1819999999998</v>
      </c>
      <c r="R878" s="300">
        <v>14619.888000000001</v>
      </c>
      <c r="S878" s="300">
        <v>6230.0349999999999</v>
      </c>
      <c r="T878" s="300">
        <v>4454.3320000000003</v>
      </c>
      <c r="U878" s="301">
        <v>900607.67599999998</v>
      </c>
      <c r="V878" s="302">
        <v>981060.88300000003</v>
      </c>
      <c r="W878" s="303"/>
      <c r="X878" s="304">
        <v>900607.67599999998</v>
      </c>
      <c r="Y878" s="305">
        <v>981060.88300000003</v>
      </c>
    </row>
    <row r="879" spans="1:25" hidden="1" outlineLevel="1" x14ac:dyDescent="0.3">
      <c r="E879" s="250" t="s">
        <v>1848</v>
      </c>
      <c r="F879" s="317">
        <v>4409901</v>
      </c>
      <c r="G879" s="318"/>
      <c r="H879" s="319">
        <v>7101990101</v>
      </c>
      <c r="I879" s="320"/>
      <c r="J879" s="337">
        <v>0</v>
      </c>
      <c r="K879" s="321">
        <v>0</v>
      </c>
      <c r="L879" s="321">
        <v>0</v>
      </c>
      <c r="M879" s="321">
        <v>0</v>
      </c>
      <c r="N879" s="321">
        <v>0</v>
      </c>
      <c r="O879" s="321">
        <v>0</v>
      </c>
      <c r="P879" s="321">
        <v>0</v>
      </c>
      <c r="Q879" s="321">
        <v>0</v>
      </c>
      <c r="R879" s="321">
        <v>0</v>
      </c>
      <c r="S879" s="321">
        <v>0</v>
      </c>
      <c r="T879" s="321">
        <v>0</v>
      </c>
      <c r="U879" s="322">
        <v>0</v>
      </c>
      <c r="V879" s="323">
        <v>0</v>
      </c>
      <c r="W879" s="303"/>
      <c r="X879" s="324">
        <v>0</v>
      </c>
      <c r="Y879" s="325">
        <v>0</v>
      </c>
    </row>
    <row r="880" spans="1:25" hidden="1" outlineLevel="1" x14ac:dyDescent="0.3">
      <c r="E880" s="250" t="s">
        <v>1849</v>
      </c>
      <c r="F880" s="317">
        <v>4409902</v>
      </c>
      <c r="G880" s="318"/>
      <c r="H880" s="319">
        <v>7101990103</v>
      </c>
      <c r="I880" s="320"/>
      <c r="J880" s="337">
        <v>0</v>
      </c>
      <c r="K880" s="321">
        <v>0</v>
      </c>
      <c r="L880" s="321">
        <v>0</v>
      </c>
      <c r="M880" s="321">
        <v>0</v>
      </c>
      <c r="N880" s="321">
        <v>0</v>
      </c>
      <c r="O880" s="321">
        <v>0</v>
      </c>
      <c r="P880" s="321">
        <v>0</v>
      </c>
      <c r="Q880" s="321">
        <v>0</v>
      </c>
      <c r="R880" s="321">
        <v>0</v>
      </c>
      <c r="S880" s="321">
        <v>0</v>
      </c>
      <c r="T880" s="321">
        <v>0</v>
      </c>
      <c r="U880" s="322">
        <v>0</v>
      </c>
      <c r="V880" s="323">
        <v>0</v>
      </c>
      <c r="W880" s="303"/>
      <c r="X880" s="324">
        <v>0</v>
      </c>
      <c r="Y880" s="325">
        <v>0</v>
      </c>
    </row>
    <row r="881" spans="1:25" hidden="1" outlineLevel="1" x14ac:dyDescent="0.3">
      <c r="E881" s="250" t="s">
        <v>1850</v>
      </c>
      <c r="F881" s="317">
        <v>4409903</v>
      </c>
      <c r="G881" s="318"/>
      <c r="H881" s="319">
        <v>7101990105</v>
      </c>
      <c r="I881" s="320"/>
      <c r="J881" s="337">
        <v>0</v>
      </c>
      <c r="K881" s="321">
        <v>0</v>
      </c>
      <c r="L881" s="321">
        <v>0</v>
      </c>
      <c r="M881" s="321">
        <v>0</v>
      </c>
      <c r="N881" s="321">
        <v>0</v>
      </c>
      <c r="O881" s="321">
        <v>0</v>
      </c>
      <c r="P881" s="321">
        <v>0</v>
      </c>
      <c r="Q881" s="321">
        <v>0</v>
      </c>
      <c r="R881" s="321">
        <v>0</v>
      </c>
      <c r="S881" s="321">
        <v>0</v>
      </c>
      <c r="T881" s="321">
        <v>0</v>
      </c>
      <c r="U881" s="322">
        <v>0</v>
      </c>
      <c r="V881" s="323">
        <v>0</v>
      </c>
      <c r="W881" s="303"/>
      <c r="X881" s="324">
        <v>0</v>
      </c>
      <c r="Y881" s="325">
        <v>0</v>
      </c>
    </row>
    <row r="882" spans="1:25" hidden="1" outlineLevel="1" x14ac:dyDescent="0.3">
      <c r="E882" s="250" t="s">
        <v>1851</v>
      </c>
      <c r="F882" s="317">
        <v>4409904</v>
      </c>
      <c r="G882" s="318"/>
      <c r="H882" s="319"/>
      <c r="I882" s="320"/>
      <c r="J882" s="337">
        <v>0</v>
      </c>
      <c r="K882" s="321">
        <v>0</v>
      </c>
      <c r="L882" s="321">
        <v>0</v>
      </c>
      <c r="M882" s="321">
        <v>0</v>
      </c>
      <c r="N882" s="321">
        <v>0</v>
      </c>
      <c r="O882" s="321">
        <v>0</v>
      </c>
      <c r="P882" s="321">
        <v>0</v>
      </c>
      <c r="Q882" s="321">
        <v>0</v>
      </c>
      <c r="R882" s="321">
        <v>0</v>
      </c>
      <c r="S882" s="321">
        <v>0</v>
      </c>
      <c r="T882" s="321">
        <v>0</v>
      </c>
      <c r="U882" s="322">
        <v>0</v>
      </c>
      <c r="V882" s="323">
        <v>0</v>
      </c>
      <c r="W882" s="303"/>
      <c r="X882" s="324">
        <v>0</v>
      </c>
      <c r="Y882" s="325">
        <v>0</v>
      </c>
    </row>
    <row r="883" spans="1:25" hidden="1" outlineLevel="1" x14ac:dyDescent="0.3">
      <c r="E883" s="250" t="s">
        <v>1852</v>
      </c>
      <c r="F883" s="317">
        <v>4409905</v>
      </c>
      <c r="G883" s="318"/>
      <c r="H883" s="319">
        <v>7101990109</v>
      </c>
      <c r="I883" s="320"/>
      <c r="J883" s="337">
        <v>0</v>
      </c>
      <c r="K883" s="321">
        <v>0</v>
      </c>
      <c r="L883" s="321">
        <v>0</v>
      </c>
      <c r="M883" s="321">
        <v>0</v>
      </c>
      <c r="N883" s="321">
        <v>0</v>
      </c>
      <c r="O883" s="321">
        <v>0</v>
      </c>
      <c r="P883" s="321">
        <v>0</v>
      </c>
      <c r="Q883" s="321">
        <v>0</v>
      </c>
      <c r="R883" s="321">
        <v>0</v>
      </c>
      <c r="S883" s="321">
        <v>0</v>
      </c>
      <c r="T883" s="321">
        <v>0</v>
      </c>
      <c r="U883" s="322">
        <v>0</v>
      </c>
      <c r="V883" s="323">
        <v>0</v>
      </c>
      <c r="W883" s="303"/>
      <c r="X883" s="324">
        <v>0</v>
      </c>
      <c r="Y883" s="325">
        <v>0</v>
      </c>
    </row>
    <row r="884" spans="1:25" hidden="1" outlineLevel="1" x14ac:dyDescent="0.3">
      <c r="E884" s="250" t="s">
        <v>1853</v>
      </c>
      <c r="F884" s="317">
        <v>4409906</v>
      </c>
      <c r="G884" s="318"/>
      <c r="H884" s="319">
        <v>7101990111</v>
      </c>
      <c r="I884" s="320"/>
      <c r="J884" s="337">
        <v>0</v>
      </c>
      <c r="K884" s="321">
        <v>0</v>
      </c>
      <c r="L884" s="321">
        <v>0</v>
      </c>
      <c r="M884" s="321">
        <v>0</v>
      </c>
      <c r="N884" s="321">
        <v>0</v>
      </c>
      <c r="O884" s="321">
        <v>0</v>
      </c>
      <c r="P884" s="321">
        <v>0</v>
      </c>
      <c r="Q884" s="321">
        <v>0</v>
      </c>
      <c r="R884" s="321">
        <v>0</v>
      </c>
      <c r="S884" s="321">
        <v>0</v>
      </c>
      <c r="T884" s="321">
        <v>0</v>
      </c>
      <c r="U884" s="322">
        <v>0</v>
      </c>
      <c r="V884" s="323">
        <v>0</v>
      </c>
      <c r="W884" s="303"/>
      <c r="X884" s="324">
        <v>0</v>
      </c>
      <c r="Y884" s="325">
        <v>0</v>
      </c>
    </row>
    <row r="885" spans="1:25" hidden="1" outlineLevel="1" x14ac:dyDescent="0.3">
      <c r="E885" s="250" t="s">
        <v>1854</v>
      </c>
      <c r="F885" s="317">
        <v>4409907</v>
      </c>
      <c r="G885" s="318"/>
      <c r="H885" s="319"/>
      <c r="I885" s="320"/>
      <c r="J885" s="337">
        <v>0</v>
      </c>
      <c r="K885" s="321">
        <v>0</v>
      </c>
      <c r="L885" s="321">
        <v>0</v>
      </c>
      <c r="M885" s="321">
        <v>0</v>
      </c>
      <c r="N885" s="321">
        <v>0</v>
      </c>
      <c r="O885" s="321">
        <v>0</v>
      </c>
      <c r="P885" s="321">
        <v>0</v>
      </c>
      <c r="Q885" s="321">
        <v>0</v>
      </c>
      <c r="R885" s="321">
        <v>0</v>
      </c>
      <c r="S885" s="321">
        <v>0</v>
      </c>
      <c r="T885" s="321">
        <v>0</v>
      </c>
      <c r="U885" s="322">
        <v>0</v>
      </c>
      <c r="V885" s="323">
        <v>0</v>
      </c>
      <c r="W885" s="303"/>
      <c r="X885" s="324">
        <v>0</v>
      </c>
      <c r="Y885" s="325">
        <v>0</v>
      </c>
    </row>
    <row r="886" spans="1:25" hidden="1" outlineLevel="1" x14ac:dyDescent="0.3">
      <c r="E886" s="250" t="s">
        <v>1855</v>
      </c>
      <c r="F886" s="317">
        <v>4409908</v>
      </c>
      <c r="G886" s="318"/>
      <c r="H886" s="319">
        <v>7101990199</v>
      </c>
      <c r="I886" s="320"/>
      <c r="J886" s="337">
        <v>0</v>
      </c>
      <c r="K886" s="321">
        <v>0</v>
      </c>
      <c r="L886" s="321">
        <v>0</v>
      </c>
      <c r="M886" s="321">
        <v>0</v>
      </c>
      <c r="N886" s="321">
        <v>0</v>
      </c>
      <c r="O886" s="321">
        <v>0</v>
      </c>
      <c r="P886" s="321">
        <v>0</v>
      </c>
      <c r="Q886" s="321">
        <v>0</v>
      </c>
      <c r="R886" s="321">
        <v>0</v>
      </c>
      <c r="S886" s="321">
        <v>0</v>
      </c>
      <c r="T886" s="321">
        <v>0</v>
      </c>
      <c r="U886" s="322">
        <v>0</v>
      </c>
      <c r="V886" s="323">
        <v>0</v>
      </c>
      <c r="W886" s="303"/>
      <c r="X886" s="324">
        <v>0</v>
      </c>
      <c r="Y886" s="325">
        <v>0</v>
      </c>
    </row>
    <row r="887" spans="1:25" hidden="1" outlineLevel="1" x14ac:dyDescent="0.3">
      <c r="E887" s="250" t="s">
        <v>1856</v>
      </c>
      <c r="F887" s="317">
        <v>4409999</v>
      </c>
      <c r="G887" s="318"/>
      <c r="H887" s="319"/>
      <c r="I887" s="320"/>
      <c r="J887" s="337">
        <v>615.95299999999997</v>
      </c>
      <c r="K887" s="321">
        <v>5966.7520000000004</v>
      </c>
      <c r="L887" s="321">
        <v>20194.207999999999</v>
      </c>
      <c r="M887" s="321">
        <v>5212.79</v>
      </c>
      <c r="N887" s="321">
        <v>698.33299999999997</v>
      </c>
      <c r="O887" s="321">
        <v>19650.86</v>
      </c>
      <c r="P887" s="321">
        <v>302.87400000000002</v>
      </c>
      <c r="Q887" s="321">
        <v>2507.1819999999998</v>
      </c>
      <c r="R887" s="321">
        <v>14619.888000000001</v>
      </c>
      <c r="S887" s="321">
        <v>6230.0349999999999</v>
      </c>
      <c r="T887" s="321">
        <v>4454.3320000000003</v>
      </c>
      <c r="U887" s="322">
        <v>900607.67599999998</v>
      </c>
      <c r="V887" s="323">
        <v>981060.88300000003</v>
      </c>
      <c r="W887" s="303"/>
      <c r="X887" s="324">
        <v>900607.67599999998</v>
      </c>
      <c r="Y887" s="325">
        <v>981060.88300000003</v>
      </c>
    </row>
    <row r="888" spans="1:25" s="361" customFormat="1" hidden="1" outlineLevel="2" x14ac:dyDescent="0.3">
      <c r="E888" s="326" t="s">
        <v>1857</v>
      </c>
      <c r="F888" s="351"/>
      <c r="G888" s="352"/>
      <c r="H888" s="353"/>
      <c r="I888" s="354"/>
      <c r="J888" s="362">
        <v>0</v>
      </c>
      <c r="K888" s="355">
        <v>0</v>
      </c>
      <c r="L888" s="355">
        <v>0</v>
      </c>
      <c r="M888" s="355">
        <v>0</v>
      </c>
      <c r="N888" s="355">
        <v>0</v>
      </c>
      <c r="O888" s="355">
        <v>0</v>
      </c>
      <c r="P888" s="355">
        <v>0</v>
      </c>
      <c r="Q888" s="355">
        <v>0</v>
      </c>
      <c r="R888" s="355">
        <v>0</v>
      </c>
      <c r="S888" s="355">
        <v>0</v>
      </c>
      <c r="T888" s="355">
        <v>0</v>
      </c>
      <c r="U888" s="356">
        <v>0</v>
      </c>
      <c r="V888" s="357">
        <v>0</v>
      </c>
      <c r="W888" s="358"/>
      <c r="X888" s="359">
        <v>0</v>
      </c>
      <c r="Y888" s="360">
        <v>0</v>
      </c>
    </row>
    <row r="889" spans="1:25" s="361" customFormat="1" hidden="1" outlineLevel="2" x14ac:dyDescent="0.3">
      <c r="E889" s="326" t="s">
        <v>1858</v>
      </c>
      <c r="F889" s="351"/>
      <c r="G889" s="352"/>
      <c r="H889" s="353"/>
      <c r="I889" s="354"/>
      <c r="J889" s="362">
        <v>0</v>
      </c>
      <c r="K889" s="355">
        <v>0</v>
      </c>
      <c r="L889" s="355">
        <v>0</v>
      </c>
      <c r="M889" s="355">
        <v>0</v>
      </c>
      <c r="N889" s="355">
        <v>0</v>
      </c>
      <c r="O889" s="355">
        <v>0</v>
      </c>
      <c r="P889" s="355">
        <v>0</v>
      </c>
      <c r="Q889" s="355">
        <v>0</v>
      </c>
      <c r="R889" s="355">
        <v>0</v>
      </c>
      <c r="S889" s="355">
        <v>0</v>
      </c>
      <c r="T889" s="355">
        <v>0</v>
      </c>
      <c r="U889" s="356">
        <v>0</v>
      </c>
      <c r="V889" s="357">
        <v>0</v>
      </c>
      <c r="W889" s="358"/>
      <c r="X889" s="359">
        <v>0</v>
      </c>
      <c r="Y889" s="360">
        <v>0</v>
      </c>
    </row>
    <row r="890" spans="1:25" s="361" customFormat="1" hidden="1" outlineLevel="2" x14ac:dyDescent="0.3">
      <c r="E890" s="326" t="s">
        <v>1859</v>
      </c>
      <c r="F890" s="351"/>
      <c r="G890" s="352"/>
      <c r="H890" s="353"/>
      <c r="I890" s="354"/>
      <c r="J890" s="362">
        <v>0</v>
      </c>
      <c r="K890" s="355">
        <v>0</v>
      </c>
      <c r="L890" s="355">
        <v>0</v>
      </c>
      <c r="M890" s="355">
        <v>0</v>
      </c>
      <c r="N890" s="355">
        <v>0</v>
      </c>
      <c r="O890" s="355">
        <v>0</v>
      </c>
      <c r="P890" s="355">
        <v>0</v>
      </c>
      <c r="Q890" s="355">
        <v>0</v>
      </c>
      <c r="R890" s="355">
        <v>0</v>
      </c>
      <c r="S890" s="355">
        <v>0</v>
      </c>
      <c r="T890" s="355">
        <v>0</v>
      </c>
      <c r="U890" s="356">
        <v>0</v>
      </c>
      <c r="V890" s="357">
        <v>0</v>
      </c>
      <c r="W890" s="358"/>
      <c r="X890" s="359">
        <v>0</v>
      </c>
      <c r="Y890" s="360">
        <v>0</v>
      </c>
    </row>
    <row r="891" spans="1:25" collapsed="1" x14ac:dyDescent="0.3">
      <c r="A891" s="233"/>
      <c r="B891" s="234" t="s">
        <v>73</v>
      </c>
      <c r="D891" s="293" t="s">
        <v>1860</v>
      </c>
      <c r="E891" s="294"/>
      <c r="F891" s="295" t="s">
        <v>1861</v>
      </c>
      <c r="G891" s="296"/>
      <c r="H891" s="297"/>
      <c r="I891" s="298"/>
      <c r="J891" s="299">
        <v>0</v>
      </c>
      <c r="K891" s="300">
        <v>0</v>
      </c>
      <c r="L891" s="300">
        <v>0</v>
      </c>
      <c r="M891" s="300">
        <v>0</v>
      </c>
      <c r="N891" s="300">
        <v>0</v>
      </c>
      <c r="O891" s="300">
        <v>0</v>
      </c>
      <c r="P891" s="300">
        <v>0</v>
      </c>
      <c r="Q891" s="300">
        <v>0</v>
      </c>
      <c r="R891" s="300">
        <v>0</v>
      </c>
      <c r="S891" s="300">
        <v>0</v>
      </c>
      <c r="T891" s="300">
        <v>0</v>
      </c>
      <c r="U891" s="301">
        <v>0</v>
      </c>
      <c r="V891" s="302">
        <v>0</v>
      </c>
      <c r="W891" s="303"/>
      <c r="X891" s="304">
        <v>0</v>
      </c>
      <c r="Y891" s="305">
        <v>0</v>
      </c>
    </row>
    <row r="892" spans="1:25" hidden="1" outlineLevel="1" x14ac:dyDescent="0.3">
      <c r="E892" s="250" t="s">
        <v>1862</v>
      </c>
      <c r="F892" s="317">
        <v>4405509</v>
      </c>
      <c r="G892" s="318"/>
      <c r="H892" s="319">
        <v>7501210101</v>
      </c>
      <c r="I892" s="320"/>
      <c r="J892" s="337">
        <v>0</v>
      </c>
      <c r="K892" s="321">
        <v>0</v>
      </c>
      <c r="L892" s="321">
        <v>0</v>
      </c>
      <c r="M892" s="321">
        <v>0</v>
      </c>
      <c r="N892" s="321">
        <v>0</v>
      </c>
      <c r="O892" s="321">
        <v>0</v>
      </c>
      <c r="P892" s="321">
        <v>0</v>
      </c>
      <c r="Q892" s="321">
        <v>0</v>
      </c>
      <c r="R892" s="321">
        <v>0</v>
      </c>
      <c r="S892" s="321">
        <v>0</v>
      </c>
      <c r="T892" s="321">
        <v>0</v>
      </c>
      <c r="U892" s="322">
        <v>0</v>
      </c>
      <c r="V892" s="323">
        <v>0</v>
      </c>
      <c r="W892" s="303"/>
      <c r="X892" s="324">
        <v>0</v>
      </c>
      <c r="Y892" s="325">
        <v>0</v>
      </c>
    </row>
    <row r="893" spans="1:25" hidden="1" outlineLevel="1" x14ac:dyDescent="0.3">
      <c r="E893" s="250" t="s">
        <v>1863</v>
      </c>
      <c r="F893" s="317">
        <v>4405511</v>
      </c>
      <c r="G893" s="318"/>
      <c r="H893" s="319"/>
      <c r="I893" s="320"/>
      <c r="J893" s="337">
        <v>0</v>
      </c>
      <c r="K893" s="321">
        <v>0</v>
      </c>
      <c r="L893" s="321">
        <v>0</v>
      </c>
      <c r="M893" s="321">
        <v>0</v>
      </c>
      <c r="N893" s="321">
        <v>0</v>
      </c>
      <c r="O893" s="321">
        <v>0</v>
      </c>
      <c r="P893" s="321">
        <v>0</v>
      </c>
      <c r="Q893" s="321">
        <v>0</v>
      </c>
      <c r="R893" s="321">
        <v>0</v>
      </c>
      <c r="S893" s="321">
        <v>0</v>
      </c>
      <c r="T893" s="321">
        <v>0</v>
      </c>
      <c r="U893" s="322">
        <v>0</v>
      </c>
      <c r="V893" s="323">
        <v>0</v>
      </c>
      <c r="W893" s="303"/>
      <c r="X893" s="324">
        <v>0</v>
      </c>
      <c r="Y893" s="325">
        <v>0</v>
      </c>
    </row>
    <row r="894" spans="1:25" hidden="1" outlineLevel="1" x14ac:dyDescent="0.3">
      <c r="E894" s="250" t="s">
        <v>1864</v>
      </c>
      <c r="F894" s="317">
        <v>4405513</v>
      </c>
      <c r="G894" s="318"/>
      <c r="H894" s="319">
        <v>7501170000</v>
      </c>
      <c r="I894" s="320"/>
      <c r="J894" s="337">
        <v>0</v>
      </c>
      <c r="K894" s="321">
        <v>0</v>
      </c>
      <c r="L894" s="321">
        <v>0</v>
      </c>
      <c r="M894" s="321">
        <v>0</v>
      </c>
      <c r="N894" s="321">
        <v>0</v>
      </c>
      <c r="O894" s="321">
        <v>0</v>
      </c>
      <c r="P894" s="321">
        <v>0</v>
      </c>
      <c r="Q894" s="321">
        <v>0</v>
      </c>
      <c r="R894" s="321">
        <v>0</v>
      </c>
      <c r="S894" s="321">
        <v>0</v>
      </c>
      <c r="T894" s="321">
        <v>0</v>
      </c>
      <c r="U894" s="322">
        <v>0</v>
      </c>
      <c r="V894" s="323">
        <v>0</v>
      </c>
      <c r="W894" s="303"/>
      <c r="X894" s="324">
        <v>0</v>
      </c>
      <c r="Y894" s="325">
        <v>0</v>
      </c>
    </row>
    <row r="895" spans="1:25" collapsed="1" x14ac:dyDescent="0.3">
      <c r="D895" s="293" t="s">
        <v>1865</v>
      </c>
      <c r="E895" s="294"/>
      <c r="F895" s="295" t="s">
        <v>1866</v>
      </c>
      <c r="G895" s="296"/>
      <c r="H895" s="297"/>
      <c r="I895" s="298"/>
      <c r="J895" s="299">
        <v>0</v>
      </c>
      <c r="K895" s="300">
        <v>0</v>
      </c>
      <c r="L895" s="300">
        <v>0</v>
      </c>
      <c r="M895" s="300">
        <v>0</v>
      </c>
      <c r="N895" s="300">
        <v>0</v>
      </c>
      <c r="O895" s="300">
        <v>0</v>
      </c>
      <c r="P895" s="300">
        <v>0</v>
      </c>
      <c r="Q895" s="300">
        <v>0</v>
      </c>
      <c r="R895" s="300">
        <v>0</v>
      </c>
      <c r="S895" s="300">
        <v>0</v>
      </c>
      <c r="T895" s="300">
        <v>0</v>
      </c>
      <c r="U895" s="301">
        <v>0</v>
      </c>
      <c r="V895" s="302">
        <v>0</v>
      </c>
      <c r="W895" s="303"/>
      <c r="X895" s="304">
        <v>0</v>
      </c>
      <c r="Y895" s="305">
        <v>0</v>
      </c>
    </row>
    <row r="896" spans="1:25" hidden="1" outlineLevel="1" x14ac:dyDescent="0.3">
      <c r="E896" s="250" t="s">
        <v>1867</v>
      </c>
      <c r="F896" s="317">
        <v>4405510</v>
      </c>
      <c r="G896" s="318"/>
      <c r="H896" s="319"/>
      <c r="I896" s="320"/>
      <c r="J896" s="337">
        <v>0</v>
      </c>
      <c r="K896" s="321">
        <v>0</v>
      </c>
      <c r="L896" s="321">
        <v>0</v>
      </c>
      <c r="M896" s="321">
        <v>0</v>
      </c>
      <c r="N896" s="321">
        <v>0</v>
      </c>
      <c r="O896" s="321">
        <v>0</v>
      </c>
      <c r="P896" s="321">
        <v>0</v>
      </c>
      <c r="Q896" s="321">
        <v>0</v>
      </c>
      <c r="R896" s="321">
        <v>0</v>
      </c>
      <c r="S896" s="321">
        <v>0</v>
      </c>
      <c r="T896" s="321">
        <v>0</v>
      </c>
      <c r="U896" s="322">
        <v>0</v>
      </c>
      <c r="V896" s="323">
        <v>0</v>
      </c>
      <c r="W896" s="303"/>
      <c r="X896" s="324">
        <v>0</v>
      </c>
      <c r="Y896" s="325">
        <v>0</v>
      </c>
    </row>
    <row r="897" spans="1:28" hidden="1" outlineLevel="1" x14ac:dyDescent="0.3">
      <c r="E897" s="250" t="s">
        <v>1868</v>
      </c>
      <c r="F897" s="317">
        <v>4405512</v>
      </c>
      <c r="G897" s="318"/>
      <c r="H897" s="319"/>
      <c r="I897" s="320"/>
      <c r="J897" s="337">
        <v>0</v>
      </c>
      <c r="K897" s="321">
        <v>0</v>
      </c>
      <c r="L897" s="321">
        <v>0</v>
      </c>
      <c r="M897" s="321">
        <v>0</v>
      </c>
      <c r="N897" s="321">
        <v>0</v>
      </c>
      <c r="O897" s="321">
        <v>0</v>
      </c>
      <c r="P897" s="321">
        <v>0</v>
      </c>
      <c r="Q897" s="321">
        <v>0</v>
      </c>
      <c r="R897" s="321">
        <v>0</v>
      </c>
      <c r="S897" s="321">
        <v>0</v>
      </c>
      <c r="T897" s="321">
        <v>0</v>
      </c>
      <c r="U897" s="322">
        <v>0</v>
      </c>
      <c r="V897" s="323">
        <v>0</v>
      </c>
      <c r="W897" s="303"/>
      <c r="X897" s="324">
        <v>0</v>
      </c>
      <c r="Y897" s="325">
        <v>0</v>
      </c>
    </row>
    <row r="898" spans="1:28" hidden="1" outlineLevel="1" x14ac:dyDescent="0.3">
      <c r="E898" s="250" t="s">
        <v>1869</v>
      </c>
      <c r="F898" s="317">
        <v>4405514</v>
      </c>
      <c r="G898" s="318"/>
      <c r="H898" s="319"/>
      <c r="I898" s="320"/>
      <c r="J898" s="337">
        <v>0</v>
      </c>
      <c r="K898" s="321">
        <v>0</v>
      </c>
      <c r="L898" s="321">
        <v>0</v>
      </c>
      <c r="M898" s="321">
        <v>0</v>
      </c>
      <c r="N898" s="321">
        <v>0</v>
      </c>
      <c r="O898" s="321">
        <v>0</v>
      </c>
      <c r="P898" s="321">
        <v>0</v>
      </c>
      <c r="Q898" s="321">
        <v>0</v>
      </c>
      <c r="R898" s="321">
        <v>0</v>
      </c>
      <c r="S898" s="321">
        <v>0</v>
      </c>
      <c r="T898" s="321">
        <v>0</v>
      </c>
      <c r="U898" s="322">
        <v>0</v>
      </c>
      <c r="V898" s="323">
        <v>0</v>
      </c>
      <c r="W898" s="303"/>
      <c r="X898" s="324">
        <v>0</v>
      </c>
      <c r="Y898" s="325">
        <v>0</v>
      </c>
    </row>
    <row r="899" spans="1:28" collapsed="1" x14ac:dyDescent="0.3">
      <c r="D899" s="293" t="s">
        <v>1870</v>
      </c>
      <c r="E899" s="294"/>
      <c r="F899" s="295"/>
      <c r="G899" s="296"/>
      <c r="H899" s="297"/>
      <c r="I899" s="298"/>
      <c r="J899" s="299">
        <v>0</v>
      </c>
      <c r="K899" s="300">
        <v>0</v>
      </c>
      <c r="L899" s="300">
        <v>0</v>
      </c>
      <c r="M899" s="300">
        <v>0</v>
      </c>
      <c r="N899" s="300">
        <v>0</v>
      </c>
      <c r="O899" s="300">
        <v>0</v>
      </c>
      <c r="P899" s="300">
        <v>0</v>
      </c>
      <c r="Q899" s="300">
        <v>0</v>
      </c>
      <c r="R899" s="300">
        <v>0</v>
      </c>
      <c r="S899" s="300">
        <v>0</v>
      </c>
      <c r="T899" s="300">
        <v>0</v>
      </c>
      <c r="U899" s="301">
        <v>0</v>
      </c>
      <c r="V899" s="302">
        <v>0</v>
      </c>
      <c r="W899" s="303"/>
      <c r="X899" s="304">
        <v>0</v>
      </c>
      <c r="Y899" s="305">
        <v>0</v>
      </c>
    </row>
    <row r="900" spans="1:28" s="326" customFormat="1" hidden="1" outlineLevel="2" x14ac:dyDescent="0.3">
      <c r="E900" s="326" t="s">
        <v>1871</v>
      </c>
      <c r="F900" s="336"/>
      <c r="G900" s="327"/>
      <c r="H900" s="328"/>
      <c r="I900" s="329"/>
      <c r="J900" s="338">
        <v>0</v>
      </c>
      <c r="K900" s="330">
        <v>0</v>
      </c>
      <c r="L900" s="330">
        <v>0</v>
      </c>
      <c r="M900" s="330">
        <v>0</v>
      </c>
      <c r="N900" s="330">
        <v>0</v>
      </c>
      <c r="O900" s="330">
        <v>0</v>
      </c>
      <c r="P900" s="330">
        <v>0</v>
      </c>
      <c r="Q900" s="330">
        <v>0</v>
      </c>
      <c r="R900" s="330">
        <v>0</v>
      </c>
      <c r="S900" s="330">
        <v>0</v>
      </c>
      <c r="T900" s="330">
        <v>0</v>
      </c>
      <c r="U900" s="331">
        <v>0</v>
      </c>
      <c r="V900" s="332">
        <v>0</v>
      </c>
      <c r="W900" s="333"/>
      <c r="X900" s="334">
        <v>0</v>
      </c>
      <c r="Y900" s="335">
        <v>0</v>
      </c>
    </row>
    <row r="901" spans="1:28" s="326" customFormat="1" hidden="1" outlineLevel="2" x14ac:dyDescent="0.3">
      <c r="E901" s="326" t="s">
        <v>1872</v>
      </c>
      <c r="F901" s="336"/>
      <c r="G901" s="327"/>
      <c r="H901" s="328"/>
      <c r="I901" s="329"/>
      <c r="J901" s="338">
        <v>0</v>
      </c>
      <c r="K901" s="330">
        <v>0</v>
      </c>
      <c r="L901" s="330">
        <v>0</v>
      </c>
      <c r="M901" s="330">
        <v>0</v>
      </c>
      <c r="N901" s="330">
        <v>0</v>
      </c>
      <c r="O901" s="330">
        <v>0</v>
      </c>
      <c r="P901" s="330">
        <v>0</v>
      </c>
      <c r="Q901" s="330">
        <v>0</v>
      </c>
      <c r="R901" s="330">
        <v>0</v>
      </c>
      <c r="S901" s="330">
        <v>0</v>
      </c>
      <c r="T901" s="330">
        <v>0</v>
      </c>
      <c r="U901" s="331">
        <v>0</v>
      </c>
      <c r="V901" s="332">
        <v>0</v>
      </c>
      <c r="W901" s="333"/>
      <c r="X901" s="334">
        <v>0</v>
      </c>
      <c r="Y901" s="335">
        <v>0</v>
      </c>
    </row>
    <row r="902" spans="1:28" s="326" customFormat="1" hidden="1" outlineLevel="2" x14ac:dyDescent="0.3">
      <c r="E902" s="326" t="s">
        <v>1873</v>
      </c>
      <c r="F902" s="336"/>
      <c r="G902" s="327"/>
      <c r="H902" s="328"/>
      <c r="I902" s="329"/>
      <c r="J902" s="338">
        <v>0</v>
      </c>
      <c r="K902" s="330">
        <v>0</v>
      </c>
      <c r="L902" s="330">
        <v>0</v>
      </c>
      <c r="M902" s="330">
        <v>0</v>
      </c>
      <c r="N902" s="330">
        <v>0</v>
      </c>
      <c r="O902" s="330">
        <v>0</v>
      </c>
      <c r="P902" s="330">
        <v>0</v>
      </c>
      <c r="Q902" s="330">
        <v>0</v>
      </c>
      <c r="R902" s="330">
        <v>0</v>
      </c>
      <c r="S902" s="330">
        <v>0</v>
      </c>
      <c r="T902" s="330">
        <v>0</v>
      </c>
      <c r="U902" s="331">
        <v>0</v>
      </c>
      <c r="V902" s="332">
        <v>0</v>
      </c>
      <c r="W902" s="333"/>
      <c r="X902" s="334">
        <v>0</v>
      </c>
      <c r="Y902" s="335">
        <v>0</v>
      </c>
    </row>
    <row r="903" spans="1:28" collapsed="1" x14ac:dyDescent="0.3">
      <c r="D903" s="293" t="s">
        <v>1874</v>
      </c>
      <c r="E903" s="294"/>
      <c r="F903" s="295"/>
      <c r="G903" s="296"/>
      <c r="H903" s="297"/>
      <c r="I903" s="298"/>
      <c r="J903" s="299">
        <v>0</v>
      </c>
      <c r="K903" s="300">
        <v>0</v>
      </c>
      <c r="L903" s="300">
        <v>0</v>
      </c>
      <c r="M903" s="300">
        <v>0</v>
      </c>
      <c r="N903" s="300">
        <v>0</v>
      </c>
      <c r="O903" s="300">
        <v>0</v>
      </c>
      <c r="P903" s="300">
        <v>0</v>
      </c>
      <c r="Q903" s="300">
        <v>0</v>
      </c>
      <c r="R903" s="300">
        <v>0</v>
      </c>
      <c r="S903" s="300">
        <v>0</v>
      </c>
      <c r="T903" s="300">
        <v>0</v>
      </c>
      <c r="U903" s="301">
        <v>0</v>
      </c>
      <c r="V903" s="302">
        <v>0</v>
      </c>
      <c r="W903" s="303"/>
      <c r="X903" s="304">
        <v>0</v>
      </c>
      <c r="Y903" s="305">
        <v>0</v>
      </c>
    </row>
    <row r="904" spans="1:28" s="326" customFormat="1" hidden="1" outlineLevel="2" x14ac:dyDescent="0.3">
      <c r="E904" s="326" t="s">
        <v>1871</v>
      </c>
      <c r="F904" s="336"/>
      <c r="G904" s="327"/>
      <c r="H904" s="328"/>
      <c r="I904" s="329"/>
      <c r="J904" s="338">
        <v>0</v>
      </c>
      <c r="K904" s="330">
        <v>0</v>
      </c>
      <c r="L904" s="330">
        <v>0</v>
      </c>
      <c r="M904" s="330">
        <v>0</v>
      </c>
      <c r="N904" s="330">
        <v>0</v>
      </c>
      <c r="O904" s="330">
        <v>0</v>
      </c>
      <c r="P904" s="330">
        <v>0</v>
      </c>
      <c r="Q904" s="330">
        <v>0</v>
      </c>
      <c r="R904" s="330">
        <v>0</v>
      </c>
      <c r="S904" s="330">
        <v>0</v>
      </c>
      <c r="T904" s="330">
        <v>0</v>
      </c>
      <c r="U904" s="331">
        <v>0</v>
      </c>
      <c r="V904" s="332">
        <v>0</v>
      </c>
      <c r="W904" s="333"/>
      <c r="X904" s="334">
        <v>0</v>
      </c>
      <c r="Y904" s="335">
        <v>0</v>
      </c>
    </row>
    <row r="905" spans="1:28" s="326" customFormat="1" hidden="1" outlineLevel="2" x14ac:dyDescent="0.3">
      <c r="E905" s="326" t="s">
        <v>1872</v>
      </c>
      <c r="F905" s="336"/>
      <c r="G905" s="327"/>
      <c r="H905" s="328"/>
      <c r="I905" s="329"/>
      <c r="J905" s="338">
        <v>0</v>
      </c>
      <c r="K905" s="330">
        <v>0</v>
      </c>
      <c r="L905" s="330">
        <v>0</v>
      </c>
      <c r="M905" s="330">
        <v>0</v>
      </c>
      <c r="N905" s="330">
        <v>0</v>
      </c>
      <c r="O905" s="330">
        <v>0</v>
      </c>
      <c r="P905" s="330">
        <v>0</v>
      </c>
      <c r="Q905" s="330">
        <v>0</v>
      </c>
      <c r="R905" s="330">
        <v>0</v>
      </c>
      <c r="S905" s="330">
        <v>0</v>
      </c>
      <c r="T905" s="330">
        <v>0</v>
      </c>
      <c r="U905" s="331">
        <v>0</v>
      </c>
      <c r="V905" s="332">
        <v>0</v>
      </c>
      <c r="W905" s="333"/>
      <c r="X905" s="334">
        <v>0</v>
      </c>
      <c r="Y905" s="335">
        <v>0</v>
      </c>
    </row>
    <row r="906" spans="1:28" s="326" customFormat="1" hidden="1" outlineLevel="2" x14ac:dyDescent="0.3">
      <c r="E906" s="326" t="s">
        <v>1873</v>
      </c>
      <c r="F906" s="336"/>
      <c r="G906" s="327"/>
      <c r="H906" s="328"/>
      <c r="I906" s="329"/>
      <c r="J906" s="338">
        <v>0</v>
      </c>
      <c r="K906" s="330">
        <v>0</v>
      </c>
      <c r="L906" s="330">
        <v>0</v>
      </c>
      <c r="M906" s="330">
        <v>0</v>
      </c>
      <c r="N906" s="330">
        <v>0</v>
      </c>
      <c r="O906" s="330">
        <v>0</v>
      </c>
      <c r="P906" s="330">
        <v>0</v>
      </c>
      <c r="Q906" s="330">
        <v>0</v>
      </c>
      <c r="R906" s="330">
        <v>0</v>
      </c>
      <c r="S906" s="330">
        <v>0</v>
      </c>
      <c r="T906" s="330">
        <v>0</v>
      </c>
      <c r="U906" s="331">
        <v>0</v>
      </c>
      <c r="V906" s="332">
        <v>0</v>
      </c>
      <c r="W906" s="333"/>
      <c r="X906" s="334">
        <v>0</v>
      </c>
      <c r="Y906" s="335">
        <v>0</v>
      </c>
    </row>
    <row r="907" spans="1:28" collapsed="1" x14ac:dyDescent="0.3">
      <c r="D907" s="293" t="s">
        <v>1875</v>
      </c>
      <c r="E907" s="294"/>
      <c r="F907" s="295"/>
      <c r="G907" s="296"/>
      <c r="H907" s="297"/>
      <c r="I907" s="298"/>
      <c r="J907" s="299">
        <v>0</v>
      </c>
      <c r="K907" s="300">
        <v>0</v>
      </c>
      <c r="L907" s="300">
        <v>0</v>
      </c>
      <c r="M907" s="300">
        <v>0</v>
      </c>
      <c r="N907" s="300">
        <v>0</v>
      </c>
      <c r="O907" s="300">
        <v>0</v>
      </c>
      <c r="P907" s="300">
        <v>0</v>
      </c>
      <c r="Q907" s="300">
        <v>0</v>
      </c>
      <c r="R907" s="300">
        <v>0</v>
      </c>
      <c r="S907" s="300">
        <v>0</v>
      </c>
      <c r="T907" s="300">
        <v>0</v>
      </c>
      <c r="U907" s="301">
        <v>0</v>
      </c>
      <c r="V907" s="302">
        <v>0</v>
      </c>
      <c r="W907" s="303"/>
      <c r="X907" s="304">
        <v>0</v>
      </c>
      <c r="Y907" s="305">
        <v>0</v>
      </c>
    </row>
    <row r="908" spans="1:28" s="326" customFormat="1" hidden="1" outlineLevel="2" x14ac:dyDescent="0.3">
      <c r="E908" s="326" t="s">
        <v>1871</v>
      </c>
      <c r="F908" s="336"/>
      <c r="G908" s="327"/>
      <c r="H908" s="328"/>
      <c r="I908" s="329"/>
      <c r="J908" s="338">
        <v>0</v>
      </c>
      <c r="K908" s="330">
        <v>0</v>
      </c>
      <c r="L908" s="330">
        <v>0</v>
      </c>
      <c r="M908" s="330">
        <v>0</v>
      </c>
      <c r="N908" s="330">
        <v>0</v>
      </c>
      <c r="O908" s="330">
        <v>0</v>
      </c>
      <c r="P908" s="330">
        <v>0</v>
      </c>
      <c r="Q908" s="330">
        <v>0</v>
      </c>
      <c r="R908" s="330">
        <v>0</v>
      </c>
      <c r="S908" s="330">
        <v>0</v>
      </c>
      <c r="T908" s="330">
        <v>0</v>
      </c>
      <c r="U908" s="331">
        <v>0</v>
      </c>
      <c r="V908" s="332">
        <v>0</v>
      </c>
      <c r="W908" s="333"/>
      <c r="X908" s="334">
        <v>0</v>
      </c>
      <c r="Y908" s="335">
        <v>0</v>
      </c>
    </row>
    <row r="909" spans="1:28" s="326" customFormat="1" hidden="1" outlineLevel="2" x14ac:dyDescent="0.3">
      <c r="E909" s="326" t="s">
        <v>1872</v>
      </c>
      <c r="F909" s="336"/>
      <c r="G909" s="327"/>
      <c r="H909" s="328"/>
      <c r="I909" s="329"/>
      <c r="J909" s="338">
        <v>0</v>
      </c>
      <c r="K909" s="330">
        <v>0</v>
      </c>
      <c r="L909" s="330">
        <v>0</v>
      </c>
      <c r="M909" s="330">
        <v>0</v>
      </c>
      <c r="N909" s="330">
        <v>0</v>
      </c>
      <c r="O909" s="330">
        <v>0</v>
      </c>
      <c r="P909" s="330">
        <v>0</v>
      </c>
      <c r="Q909" s="330">
        <v>0</v>
      </c>
      <c r="R909" s="330">
        <v>0</v>
      </c>
      <c r="S909" s="330">
        <v>0</v>
      </c>
      <c r="T909" s="330">
        <v>0</v>
      </c>
      <c r="U909" s="331">
        <v>0</v>
      </c>
      <c r="V909" s="332">
        <v>0</v>
      </c>
      <c r="W909" s="333"/>
      <c r="X909" s="334">
        <v>0</v>
      </c>
      <c r="Y909" s="335">
        <v>0</v>
      </c>
    </row>
    <row r="910" spans="1:28" s="326" customFormat="1" hidden="1" outlineLevel="2" x14ac:dyDescent="0.3">
      <c r="E910" s="326" t="s">
        <v>1873</v>
      </c>
      <c r="F910" s="336"/>
      <c r="G910" s="327"/>
      <c r="H910" s="328"/>
      <c r="I910" s="329"/>
      <c r="J910" s="338">
        <v>0</v>
      </c>
      <c r="K910" s="330">
        <v>0</v>
      </c>
      <c r="L910" s="330">
        <v>0</v>
      </c>
      <c r="M910" s="330">
        <v>0</v>
      </c>
      <c r="N910" s="330">
        <v>0</v>
      </c>
      <c r="O910" s="330">
        <v>0</v>
      </c>
      <c r="P910" s="330">
        <v>0</v>
      </c>
      <c r="Q910" s="330">
        <v>0</v>
      </c>
      <c r="R910" s="330">
        <v>0</v>
      </c>
      <c r="S910" s="330">
        <v>0</v>
      </c>
      <c r="T910" s="330">
        <v>0</v>
      </c>
      <c r="U910" s="331">
        <v>0</v>
      </c>
      <c r="V910" s="332">
        <v>0</v>
      </c>
      <c r="W910" s="333"/>
      <c r="X910" s="334">
        <v>0</v>
      </c>
      <c r="Y910" s="335">
        <v>0</v>
      </c>
    </row>
    <row r="911" spans="1:28" ht="16.5" customHeight="1" collapsed="1" x14ac:dyDescent="0.3">
      <c r="A911" s="930" t="s">
        <v>70</v>
      </c>
      <c r="B911" s="248"/>
      <c r="C911" s="280" t="s">
        <v>1876</v>
      </c>
      <c r="D911" s="281"/>
      <c r="E911" s="282"/>
      <c r="F911" s="283" t="s">
        <v>1877</v>
      </c>
      <c r="G911" s="284"/>
      <c r="H911" s="285"/>
      <c r="I911" s="286"/>
      <c r="J911" s="287">
        <v>358.38600000000002</v>
      </c>
      <c r="K911" s="288">
        <v>820.17399999999998</v>
      </c>
      <c r="L911" s="288">
        <v>320738.35100000002</v>
      </c>
      <c r="M911" s="288">
        <v>2151439.5410000002</v>
      </c>
      <c r="N911" s="288">
        <v>660.62</v>
      </c>
      <c r="O911" s="288">
        <v>286400.05099999998</v>
      </c>
      <c r="P911" s="288">
        <v>95988.596999999994</v>
      </c>
      <c r="Q911" s="288">
        <v>286077.22399999999</v>
      </c>
      <c r="R911" s="288">
        <v>426250.79200000002</v>
      </c>
      <c r="S911" s="288">
        <v>140635.829</v>
      </c>
      <c r="T911" s="288">
        <v>131870.42799999999</v>
      </c>
      <c r="U911" s="289">
        <v>424958.40900000004</v>
      </c>
      <c r="V911" s="290">
        <v>4266198.4019999998</v>
      </c>
      <c r="W911" s="277"/>
      <c r="X911" s="291">
        <v>424958.40900000004</v>
      </c>
      <c r="Y911" s="292">
        <v>4266198.4019999998</v>
      </c>
      <c r="AA911">
        <f>'9. 추정 IS'!J89</f>
        <v>4267.0984019999996</v>
      </c>
      <c r="AB911" s="931">
        <f>AA911*1000-V911</f>
        <v>900</v>
      </c>
    </row>
    <row r="912" spans="1:28" collapsed="1" x14ac:dyDescent="0.3">
      <c r="A912" s="233"/>
      <c r="B912" s="234" t="s">
        <v>54</v>
      </c>
      <c r="D912" s="293" t="s">
        <v>1878</v>
      </c>
      <c r="E912" s="294"/>
      <c r="F912" s="295" t="s">
        <v>1879</v>
      </c>
      <c r="G912" s="296"/>
      <c r="H912" s="297"/>
      <c r="I912" s="298"/>
      <c r="J912" s="299">
        <v>0</v>
      </c>
      <c r="K912" s="300">
        <v>1</v>
      </c>
      <c r="L912" s="300">
        <v>1</v>
      </c>
      <c r="M912" s="300">
        <v>636</v>
      </c>
      <c r="N912" s="300">
        <v>1</v>
      </c>
      <c r="O912" s="300">
        <v>1</v>
      </c>
      <c r="P912" s="300">
        <v>4</v>
      </c>
      <c r="Q912" s="300">
        <v>5637.85</v>
      </c>
      <c r="R912" s="300">
        <v>0</v>
      </c>
      <c r="S912" s="300">
        <v>1</v>
      </c>
      <c r="T912" s="300">
        <v>1425.8589999999999</v>
      </c>
      <c r="U912" s="301">
        <v>23109.965</v>
      </c>
      <c r="V912" s="302">
        <v>30818.674000000003</v>
      </c>
      <c r="W912" s="303"/>
      <c r="X912" s="304">
        <v>23109.965</v>
      </c>
      <c r="Y912" s="305">
        <v>30818.674000000003</v>
      </c>
    </row>
    <row r="913" spans="5:25" hidden="1" outlineLevel="1" x14ac:dyDescent="0.3">
      <c r="E913" s="250" t="s">
        <v>1880</v>
      </c>
      <c r="F913" s="317">
        <v>4502501</v>
      </c>
      <c r="G913" s="318"/>
      <c r="H913" s="319"/>
      <c r="I913" s="320"/>
      <c r="J913" s="337">
        <v>0</v>
      </c>
      <c r="K913" s="321">
        <v>0</v>
      </c>
      <c r="L913" s="321">
        <v>0</v>
      </c>
      <c r="M913" s="321">
        <v>0</v>
      </c>
      <c r="N913" s="321">
        <v>0</v>
      </c>
      <c r="O913" s="321">
        <v>0</v>
      </c>
      <c r="P913" s="321">
        <v>0</v>
      </c>
      <c r="Q913" s="321">
        <v>0</v>
      </c>
      <c r="R913" s="321">
        <v>0</v>
      </c>
      <c r="S913" s="321">
        <v>0</v>
      </c>
      <c r="T913" s="321">
        <v>0</v>
      </c>
      <c r="U913" s="322">
        <v>0</v>
      </c>
      <c r="V913" s="323">
        <v>0</v>
      </c>
      <c r="W913" s="303"/>
      <c r="X913" s="324">
        <v>0</v>
      </c>
      <c r="Y913" s="325">
        <v>0</v>
      </c>
    </row>
    <row r="914" spans="5:25" hidden="1" outlineLevel="1" x14ac:dyDescent="0.3">
      <c r="E914" s="250" t="s">
        <v>1881</v>
      </c>
      <c r="F914" s="317">
        <v>4502502</v>
      </c>
      <c r="G914" s="318"/>
      <c r="H914" s="319">
        <v>7301010101</v>
      </c>
      <c r="I914" s="320"/>
      <c r="J914" s="337">
        <v>0</v>
      </c>
      <c r="K914" s="321">
        <v>0</v>
      </c>
      <c r="L914" s="321">
        <v>0</v>
      </c>
      <c r="M914" s="321">
        <v>0</v>
      </c>
      <c r="N914" s="321">
        <v>0</v>
      </c>
      <c r="O914" s="321">
        <v>0</v>
      </c>
      <c r="P914" s="321">
        <v>0</v>
      </c>
      <c r="Q914" s="321">
        <v>0</v>
      </c>
      <c r="R914" s="321">
        <v>0</v>
      </c>
      <c r="S914" s="321">
        <v>0</v>
      </c>
      <c r="T914" s="321">
        <v>0</v>
      </c>
      <c r="U914" s="322">
        <v>0</v>
      </c>
      <c r="V914" s="323">
        <v>0</v>
      </c>
      <c r="W914" s="303"/>
      <c r="X914" s="324">
        <v>0</v>
      </c>
      <c r="Y914" s="325">
        <v>0</v>
      </c>
    </row>
    <row r="915" spans="5:25" hidden="1" outlineLevel="1" x14ac:dyDescent="0.3">
      <c r="E915" s="250" t="s">
        <v>1882</v>
      </c>
      <c r="F915" s="317">
        <v>4502510</v>
      </c>
      <c r="G915" s="318"/>
      <c r="H915" s="319"/>
      <c r="I915" s="320"/>
      <c r="J915" s="337">
        <v>0</v>
      </c>
      <c r="K915" s="321">
        <v>0</v>
      </c>
      <c r="L915" s="321">
        <v>0</v>
      </c>
      <c r="M915" s="321">
        <v>0</v>
      </c>
      <c r="N915" s="321">
        <v>0</v>
      </c>
      <c r="O915" s="321">
        <v>0</v>
      </c>
      <c r="P915" s="321">
        <v>0</v>
      </c>
      <c r="Q915" s="321">
        <v>5637.85</v>
      </c>
      <c r="R915" s="321">
        <v>0</v>
      </c>
      <c r="S915" s="321">
        <v>0</v>
      </c>
      <c r="T915" s="321">
        <v>0</v>
      </c>
      <c r="U915" s="322">
        <v>23102.965</v>
      </c>
      <c r="V915" s="323">
        <v>28740.815000000002</v>
      </c>
      <c r="W915" s="303"/>
      <c r="X915" s="324">
        <v>23102.965</v>
      </c>
      <c r="Y915" s="325">
        <v>28740.815000000002</v>
      </c>
    </row>
    <row r="916" spans="5:25" hidden="1" outlineLevel="1" x14ac:dyDescent="0.3">
      <c r="E916" s="250" t="s">
        <v>1883</v>
      </c>
      <c r="F916" s="317">
        <v>4502503</v>
      </c>
      <c r="G916" s="318"/>
      <c r="H916" s="319"/>
      <c r="I916" s="320"/>
      <c r="J916" s="337">
        <v>0</v>
      </c>
      <c r="K916" s="321">
        <v>0</v>
      </c>
      <c r="L916" s="321">
        <v>0</v>
      </c>
      <c r="M916" s="321">
        <v>0</v>
      </c>
      <c r="N916" s="321">
        <v>0</v>
      </c>
      <c r="O916" s="321">
        <v>0</v>
      </c>
      <c r="P916" s="321">
        <v>0</v>
      </c>
      <c r="Q916" s="321">
        <v>0</v>
      </c>
      <c r="R916" s="321">
        <v>0</v>
      </c>
      <c r="S916" s="321">
        <v>0</v>
      </c>
      <c r="T916" s="321">
        <v>0</v>
      </c>
      <c r="U916" s="322">
        <v>0</v>
      </c>
      <c r="V916" s="323">
        <v>0</v>
      </c>
      <c r="W916" s="303"/>
      <c r="X916" s="324">
        <v>0</v>
      </c>
      <c r="Y916" s="325">
        <v>0</v>
      </c>
    </row>
    <row r="917" spans="5:25" hidden="1" outlineLevel="1" x14ac:dyDescent="0.3">
      <c r="E917" s="250" t="s">
        <v>1884</v>
      </c>
      <c r="F917" s="317">
        <v>4502508</v>
      </c>
      <c r="G917" s="318"/>
      <c r="H917" s="319"/>
      <c r="I917" s="320"/>
      <c r="J917" s="337">
        <v>0</v>
      </c>
      <c r="K917" s="321">
        <v>0</v>
      </c>
      <c r="L917" s="321">
        <v>0</v>
      </c>
      <c r="M917" s="321">
        <v>0</v>
      </c>
      <c r="N917" s="321">
        <v>0</v>
      </c>
      <c r="O917" s="321">
        <v>0</v>
      </c>
      <c r="P917" s="321">
        <v>0</v>
      </c>
      <c r="Q917" s="321">
        <v>0</v>
      </c>
      <c r="R917" s="321">
        <v>0</v>
      </c>
      <c r="S917" s="321">
        <v>0</v>
      </c>
      <c r="T917" s="321">
        <v>0</v>
      </c>
      <c r="U917" s="322">
        <v>0</v>
      </c>
      <c r="V917" s="323">
        <v>0</v>
      </c>
      <c r="W917" s="303"/>
      <c r="X917" s="324">
        <v>0</v>
      </c>
      <c r="Y917" s="325">
        <v>0</v>
      </c>
    </row>
    <row r="918" spans="5:25" hidden="1" outlineLevel="1" x14ac:dyDescent="0.3">
      <c r="E918" s="250" t="s">
        <v>1885</v>
      </c>
      <c r="F918" s="317">
        <v>4502504</v>
      </c>
      <c r="G918" s="318"/>
      <c r="H918" s="319"/>
      <c r="I918" s="320"/>
      <c r="J918" s="337">
        <v>0</v>
      </c>
      <c r="K918" s="321">
        <v>0</v>
      </c>
      <c r="L918" s="321">
        <v>0</v>
      </c>
      <c r="M918" s="321">
        <v>0</v>
      </c>
      <c r="N918" s="321">
        <v>0</v>
      </c>
      <c r="O918" s="321">
        <v>0</v>
      </c>
      <c r="P918" s="321">
        <v>0</v>
      </c>
      <c r="Q918" s="321">
        <v>0</v>
      </c>
      <c r="R918" s="321">
        <v>0</v>
      </c>
      <c r="S918" s="321">
        <v>0</v>
      </c>
      <c r="T918" s="321">
        <v>0</v>
      </c>
      <c r="U918" s="322">
        <v>1</v>
      </c>
      <c r="V918" s="323">
        <v>1</v>
      </c>
      <c r="W918" s="303"/>
      <c r="X918" s="324">
        <v>1</v>
      </c>
      <c r="Y918" s="325">
        <v>1</v>
      </c>
    </row>
    <row r="919" spans="5:25" hidden="1" outlineLevel="1" x14ac:dyDescent="0.3">
      <c r="E919" s="250" t="s">
        <v>1886</v>
      </c>
      <c r="F919" s="317">
        <v>4502507</v>
      </c>
      <c r="G919" s="318"/>
      <c r="H919" s="319"/>
      <c r="I919" s="320"/>
      <c r="J919" s="337">
        <v>0</v>
      </c>
      <c r="K919" s="321">
        <v>0</v>
      </c>
      <c r="L919" s="321">
        <v>0</v>
      </c>
      <c r="M919" s="321">
        <v>0</v>
      </c>
      <c r="N919" s="321">
        <v>0</v>
      </c>
      <c r="O919" s="321">
        <v>0</v>
      </c>
      <c r="P919" s="321">
        <v>0</v>
      </c>
      <c r="Q919" s="321">
        <v>0</v>
      </c>
      <c r="R919" s="321">
        <v>0</v>
      </c>
      <c r="S919" s="321">
        <v>0</v>
      </c>
      <c r="T919" s="321">
        <v>0</v>
      </c>
      <c r="U919" s="322">
        <v>0</v>
      </c>
      <c r="V919" s="323">
        <v>0</v>
      </c>
      <c r="W919" s="303"/>
      <c r="X919" s="324">
        <v>0</v>
      </c>
      <c r="Y919" s="325">
        <v>0</v>
      </c>
    </row>
    <row r="920" spans="5:25" hidden="1" outlineLevel="1" x14ac:dyDescent="0.3">
      <c r="E920" s="250" t="s">
        <v>1887</v>
      </c>
      <c r="F920" s="317">
        <v>4502511</v>
      </c>
      <c r="G920" s="318"/>
      <c r="H920" s="319"/>
      <c r="I920" s="320"/>
      <c r="J920" s="337">
        <v>0</v>
      </c>
      <c r="K920" s="321">
        <v>0</v>
      </c>
      <c r="L920" s="321">
        <v>0</v>
      </c>
      <c r="M920" s="321">
        <v>0</v>
      </c>
      <c r="N920" s="321">
        <v>0</v>
      </c>
      <c r="O920" s="321">
        <v>0</v>
      </c>
      <c r="P920" s="321">
        <v>0</v>
      </c>
      <c r="Q920" s="321">
        <v>0</v>
      </c>
      <c r="R920" s="321">
        <v>0</v>
      </c>
      <c r="S920" s="321">
        <v>0</v>
      </c>
      <c r="T920" s="321">
        <v>0</v>
      </c>
      <c r="U920" s="322">
        <v>0</v>
      </c>
      <c r="V920" s="323">
        <v>0</v>
      </c>
      <c r="W920" s="303"/>
      <c r="X920" s="324">
        <v>0</v>
      </c>
      <c r="Y920" s="325">
        <v>0</v>
      </c>
    </row>
    <row r="921" spans="5:25" hidden="1" outlineLevel="1" x14ac:dyDescent="0.3">
      <c r="E921" s="250" t="s">
        <v>1888</v>
      </c>
      <c r="F921" s="317">
        <v>4502506</v>
      </c>
      <c r="G921" s="318"/>
      <c r="H921" s="319"/>
      <c r="I921" s="320"/>
      <c r="J921" s="337">
        <v>0</v>
      </c>
      <c r="K921" s="321">
        <v>0</v>
      </c>
      <c r="L921" s="321">
        <v>0</v>
      </c>
      <c r="M921" s="321">
        <v>8</v>
      </c>
      <c r="N921" s="321">
        <v>0</v>
      </c>
      <c r="O921" s="321">
        <v>0</v>
      </c>
      <c r="P921" s="321">
        <v>0</v>
      </c>
      <c r="Q921" s="321">
        <v>0</v>
      </c>
      <c r="R921" s="321">
        <v>0</v>
      </c>
      <c r="S921" s="321">
        <v>1</v>
      </c>
      <c r="T921" s="321">
        <v>135</v>
      </c>
      <c r="U921" s="322">
        <v>6</v>
      </c>
      <c r="V921" s="323">
        <v>150</v>
      </c>
      <c r="W921" s="303"/>
      <c r="X921" s="324">
        <v>6</v>
      </c>
      <c r="Y921" s="325">
        <v>150</v>
      </c>
    </row>
    <row r="922" spans="5:25" hidden="1" outlineLevel="1" x14ac:dyDescent="0.3">
      <c r="E922" s="250" t="s">
        <v>1889</v>
      </c>
      <c r="F922" s="317">
        <v>4502509</v>
      </c>
      <c r="G922" s="318"/>
      <c r="H922" s="319"/>
      <c r="I922" s="320"/>
      <c r="J922" s="337">
        <v>0</v>
      </c>
      <c r="K922" s="321">
        <v>1</v>
      </c>
      <c r="L922" s="321">
        <v>1</v>
      </c>
      <c r="M922" s="321">
        <v>628</v>
      </c>
      <c r="N922" s="321">
        <v>1</v>
      </c>
      <c r="O922" s="321">
        <v>1</v>
      </c>
      <c r="P922" s="321">
        <v>4</v>
      </c>
      <c r="Q922" s="321">
        <v>0</v>
      </c>
      <c r="R922" s="321">
        <v>0</v>
      </c>
      <c r="S922" s="321">
        <v>0</v>
      </c>
      <c r="T922" s="321">
        <v>750</v>
      </c>
      <c r="U922" s="322">
        <v>0</v>
      </c>
      <c r="V922" s="323">
        <v>1386</v>
      </c>
      <c r="W922" s="303"/>
      <c r="X922" s="324">
        <v>0</v>
      </c>
      <c r="Y922" s="325">
        <v>1386</v>
      </c>
    </row>
    <row r="923" spans="5:25" hidden="1" outlineLevel="1" x14ac:dyDescent="0.3">
      <c r="E923" s="250" t="s">
        <v>1890</v>
      </c>
      <c r="F923" s="317">
        <v>4502512</v>
      </c>
      <c r="G923" s="318"/>
      <c r="H923" s="319"/>
      <c r="I923" s="320"/>
      <c r="J923" s="337">
        <v>0</v>
      </c>
      <c r="K923" s="321">
        <v>0</v>
      </c>
      <c r="L923" s="321">
        <v>0</v>
      </c>
      <c r="M923" s="321">
        <v>0</v>
      </c>
      <c r="N923" s="321">
        <v>0</v>
      </c>
      <c r="O923" s="321">
        <v>0</v>
      </c>
      <c r="P923" s="321">
        <v>0</v>
      </c>
      <c r="Q923" s="321">
        <v>0</v>
      </c>
      <c r="R923" s="321">
        <v>0</v>
      </c>
      <c r="S923" s="321">
        <v>0</v>
      </c>
      <c r="T923" s="321">
        <v>0</v>
      </c>
      <c r="U923" s="322">
        <v>0</v>
      </c>
      <c r="V923" s="323">
        <v>0</v>
      </c>
      <c r="W923" s="303"/>
      <c r="X923" s="324">
        <v>0</v>
      </c>
      <c r="Y923" s="325">
        <v>0</v>
      </c>
    </row>
    <row r="924" spans="5:25" hidden="1" outlineLevel="1" x14ac:dyDescent="0.3">
      <c r="E924" s="250" t="s">
        <v>1891</v>
      </c>
      <c r="F924" s="317">
        <v>4502505</v>
      </c>
      <c r="G924" s="318"/>
      <c r="H924" s="319"/>
      <c r="I924" s="320"/>
      <c r="J924" s="337">
        <v>0</v>
      </c>
      <c r="K924" s="321">
        <v>0</v>
      </c>
      <c r="L924" s="321">
        <v>0</v>
      </c>
      <c r="M924" s="321">
        <v>0</v>
      </c>
      <c r="N924" s="321">
        <v>0</v>
      </c>
      <c r="O924" s="321">
        <v>0</v>
      </c>
      <c r="P924" s="321">
        <v>0</v>
      </c>
      <c r="Q924" s="321">
        <v>0</v>
      </c>
      <c r="R924" s="321">
        <v>0</v>
      </c>
      <c r="S924" s="321">
        <v>0</v>
      </c>
      <c r="T924" s="321">
        <v>43</v>
      </c>
      <c r="U924" s="322">
        <v>0</v>
      </c>
      <c r="V924" s="323">
        <v>43</v>
      </c>
      <c r="W924" s="303"/>
      <c r="X924" s="324">
        <v>0</v>
      </c>
      <c r="Y924" s="325">
        <v>43</v>
      </c>
    </row>
    <row r="925" spans="5:25" hidden="1" outlineLevel="1" x14ac:dyDescent="0.3">
      <c r="E925" s="250" t="s">
        <v>1892</v>
      </c>
      <c r="F925" s="317">
        <v>4502590</v>
      </c>
      <c r="G925" s="318"/>
      <c r="H925" s="319"/>
      <c r="I925" s="320"/>
      <c r="J925" s="337">
        <v>0</v>
      </c>
      <c r="K925" s="321">
        <v>0</v>
      </c>
      <c r="L925" s="321">
        <v>0</v>
      </c>
      <c r="M925" s="321">
        <v>0</v>
      </c>
      <c r="N925" s="321">
        <v>0</v>
      </c>
      <c r="O925" s="321">
        <v>0</v>
      </c>
      <c r="P925" s="321">
        <v>0</v>
      </c>
      <c r="Q925" s="321">
        <v>0</v>
      </c>
      <c r="R925" s="321">
        <v>0</v>
      </c>
      <c r="S925" s="321">
        <v>0</v>
      </c>
      <c r="T925" s="321">
        <v>497.85899999999998</v>
      </c>
      <c r="U925" s="322">
        <v>0</v>
      </c>
      <c r="V925" s="323">
        <v>497.85899999999998</v>
      </c>
      <c r="W925" s="303"/>
      <c r="X925" s="324">
        <v>0</v>
      </c>
      <c r="Y925" s="325">
        <v>497.85899999999998</v>
      </c>
    </row>
    <row r="926" spans="5:25" hidden="1" outlineLevel="1" x14ac:dyDescent="0.3">
      <c r="E926" s="250" t="s">
        <v>1893</v>
      </c>
      <c r="F926" s="317">
        <v>4502599</v>
      </c>
      <c r="G926" s="318"/>
      <c r="H926" s="319"/>
      <c r="I926" s="320"/>
      <c r="J926" s="337">
        <v>0</v>
      </c>
      <c r="K926" s="321">
        <v>0</v>
      </c>
      <c r="L926" s="321">
        <v>0</v>
      </c>
      <c r="M926" s="321">
        <v>0</v>
      </c>
      <c r="N926" s="321">
        <v>0</v>
      </c>
      <c r="O926" s="321">
        <v>0</v>
      </c>
      <c r="P926" s="321">
        <v>0</v>
      </c>
      <c r="Q926" s="321">
        <v>0</v>
      </c>
      <c r="R926" s="321">
        <v>0</v>
      </c>
      <c r="S926" s="321">
        <v>0</v>
      </c>
      <c r="T926" s="321">
        <v>0</v>
      </c>
      <c r="U926" s="322">
        <v>0</v>
      </c>
      <c r="V926" s="323">
        <v>0</v>
      </c>
      <c r="W926" s="303"/>
      <c r="X926" s="324">
        <v>0</v>
      </c>
      <c r="Y926" s="325">
        <v>0</v>
      </c>
    </row>
    <row r="927" spans="5:25" s="361" customFormat="1" hidden="1" outlineLevel="2" x14ac:dyDescent="0.3">
      <c r="E927" s="326" t="s">
        <v>1894</v>
      </c>
      <c r="F927" s="351"/>
      <c r="G927" s="352"/>
      <c r="H927" s="353"/>
      <c r="I927" s="354"/>
      <c r="J927" s="362">
        <v>0</v>
      </c>
      <c r="K927" s="355">
        <v>0</v>
      </c>
      <c r="L927" s="355">
        <v>0</v>
      </c>
      <c r="M927" s="355">
        <v>0</v>
      </c>
      <c r="N927" s="355">
        <v>0</v>
      </c>
      <c r="O927" s="355">
        <v>0</v>
      </c>
      <c r="P927" s="355">
        <v>0</v>
      </c>
      <c r="Q927" s="355">
        <v>0</v>
      </c>
      <c r="R927" s="355">
        <v>0</v>
      </c>
      <c r="S927" s="355">
        <v>0</v>
      </c>
      <c r="T927" s="355">
        <v>0</v>
      </c>
      <c r="U927" s="356">
        <v>0</v>
      </c>
      <c r="V927" s="357">
        <v>0</v>
      </c>
      <c r="W927" s="358"/>
      <c r="X927" s="359">
        <v>0</v>
      </c>
      <c r="Y927" s="360">
        <v>0</v>
      </c>
    </row>
    <row r="928" spans="5:25" s="361" customFormat="1" hidden="1" outlineLevel="2" x14ac:dyDescent="0.3">
      <c r="E928" s="326" t="s">
        <v>1894</v>
      </c>
      <c r="F928" s="351"/>
      <c r="G928" s="352"/>
      <c r="H928" s="353"/>
      <c r="I928" s="354"/>
      <c r="J928" s="362">
        <v>0</v>
      </c>
      <c r="K928" s="355">
        <v>0</v>
      </c>
      <c r="L928" s="355">
        <v>0</v>
      </c>
      <c r="M928" s="355">
        <v>0</v>
      </c>
      <c r="N928" s="355">
        <v>0</v>
      </c>
      <c r="O928" s="355">
        <v>0</v>
      </c>
      <c r="P928" s="355">
        <v>0</v>
      </c>
      <c r="Q928" s="355">
        <v>0</v>
      </c>
      <c r="R928" s="355">
        <v>0</v>
      </c>
      <c r="S928" s="355">
        <v>0</v>
      </c>
      <c r="T928" s="355">
        <v>0</v>
      </c>
      <c r="U928" s="356">
        <v>0</v>
      </c>
      <c r="V928" s="357">
        <v>0</v>
      </c>
      <c r="W928" s="358"/>
      <c r="X928" s="359">
        <v>0</v>
      </c>
      <c r="Y928" s="360">
        <v>0</v>
      </c>
    </row>
    <row r="929" spans="1:25" s="361" customFormat="1" hidden="1" outlineLevel="2" x14ac:dyDescent="0.3">
      <c r="E929" s="326" t="s">
        <v>1895</v>
      </c>
      <c r="F929" s="351"/>
      <c r="G929" s="352"/>
      <c r="H929" s="353"/>
      <c r="I929" s="354"/>
      <c r="J929" s="362">
        <v>0</v>
      </c>
      <c r="K929" s="355">
        <v>0</v>
      </c>
      <c r="L929" s="355">
        <v>0</v>
      </c>
      <c r="M929" s="355">
        <v>0</v>
      </c>
      <c r="N929" s="355">
        <v>0</v>
      </c>
      <c r="O929" s="355">
        <v>0</v>
      </c>
      <c r="P929" s="355">
        <v>0</v>
      </c>
      <c r="Q929" s="355">
        <v>0</v>
      </c>
      <c r="R929" s="355">
        <v>0</v>
      </c>
      <c r="S929" s="355">
        <v>0</v>
      </c>
      <c r="T929" s="355">
        <v>0</v>
      </c>
      <c r="U929" s="356">
        <v>0</v>
      </c>
      <c r="V929" s="357">
        <v>0</v>
      </c>
      <c r="W929" s="358"/>
      <c r="X929" s="359">
        <v>0</v>
      </c>
      <c r="Y929" s="360">
        <v>0</v>
      </c>
    </row>
    <row r="930" spans="1:25" collapsed="1" x14ac:dyDescent="0.3">
      <c r="A930" s="233"/>
      <c r="B930" s="234" t="s">
        <v>55</v>
      </c>
      <c r="D930" s="293" t="s">
        <v>1896</v>
      </c>
      <c r="E930" s="294"/>
      <c r="F930" s="295" t="s">
        <v>1897</v>
      </c>
      <c r="G930" s="296"/>
      <c r="H930" s="297"/>
      <c r="I930" s="298"/>
      <c r="J930" s="299">
        <v>0</v>
      </c>
      <c r="K930" s="300">
        <v>0</v>
      </c>
      <c r="L930" s="300">
        <v>0</v>
      </c>
      <c r="M930" s="300">
        <v>0</v>
      </c>
      <c r="N930" s="300">
        <v>0</v>
      </c>
      <c r="O930" s="300">
        <v>0</v>
      </c>
      <c r="P930" s="300">
        <v>0</v>
      </c>
      <c r="Q930" s="300">
        <v>0</v>
      </c>
      <c r="R930" s="300">
        <v>0</v>
      </c>
      <c r="S930" s="300">
        <v>0</v>
      </c>
      <c r="T930" s="300">
        <v>0</v>
      </c>
      <c r="U930" s="301">
        <v>0</v>
      </c>
      <c r="V930" s="302">
        <v>0</v>
      </c>
      <c r="W930" s="303"/>
      <c r="X930" s="304">
        <v>0</v>
      </c>
      <c r="Y930" s="305">
        <v>0</v>
      </c>
    </row>
    <row r="931" spans="1:25" hidden="1" outlineLevel="1" x14ac:dyDescent="0.3">
      <c r="E931" s="250" t="s">
        <v>1898</v>
      </c>
      <c r="F931" s="317">
        <v>4503007</v>
      </c>
      <c r="G931" s="318"/>
      <c r="H931" s="319"/>
      <c r="I931" s="320"/>
      <c r="J931" s="337">
        <v>0</v>
      </c>
      <c r="K931" s="321">
        <v>0</v>
      </c>
      <c r="L931" s="321">
        <v>0</v>
      </c>
      <c r="M931" s="321">
        <v>0</v>
      </c>
      <c r="N931" s="321">
        <v>0</v>
      </c>
      <c r="O931" s="321">
        <v>0</v>
      </c>
      <c r="P931" s="321">
        <v>0</v>
      </c>
      <c r="Q931" s="321">
        <v>0</v>
      </c>
      <c r="R931" s="321">
        <v>0</v>
      </c>
      <c r="S931" s="321">
        <v>0</v>
      </c>
      <c r="T931" s="321">
        <v>0</v>
      </c>
      <c r="U931" s="322">
        <v>0</v>
      </c>
      <c r="V931" s="323">
        <v>0</v>
      </c>
      <c r="W931" s="303"/>
      <c r="X931" s="324">
        <v>0</v>
      </c>
      <c r="Y931" s="325">
        <v>0</v>
      </c>
    </row>
    <row r="932" spans="1:25" hidden="1" outlineLevel="1" x14ac:dyDescent="0.3">
      <c r="E932" s="250" t="s">
        <v>1899</v>
      </c>
      <c r="F932" s="317">
        <v>4503010</v>
      </c>
      <c r="G932" s="318"/>
      <c r="H932" s="319"/>
      <c r="I932" s="320"/>
      <c r="J932" s="337">
        <v>0</v>
      </c>
      <c r="K932" s="321">
        <v>0</v>
      </c>
      <c r="L932" s="321">
        <v>0</v>
      </c>
      <c r="M932" s="321">
        <v>0</v>
      </c>
      <c r="N932" s="321">
        <v>0</v>
      </c>
      <c r="O932" s="321">
        <v>0</v>
      </c>
      <c r="P932" s="321">
        <v>0</v>
      </c>
      <c r="Q932" s="321">
        <v>0</v>
      </c>
      <c r="R932" s="321">
        <v>0</v>
      </c>
      <c r="S932" s="321">
        <v>0</v>
      </c>
      <c r="T932" s="321">
        <v>0</v>
      </c>
      <c r="U932" s="322">
        <v>0</v>
      </c>
      <c r="V932" s="323">
        <v>0</v>
      </c>
      <c r="W932" s="303"/>
      <c r="X932" s="324">
        <v>0</v>
      </c>
      <c r="Y932" s="325">
        <v>0</v>
      </c>
    </row>
    <row r="933" spans="1:25" hidden="1" outlineLevel="1" x14ac:dyDescent="0.3">
      <c r="E933" s="250" t="s">
        <v>1900</v>
      </c>
      <c r="F933" s="317">
        <v>4503006</v>
      </c>
      <c r="G933" s="318"/>
      <c r="H933" s="319"/>
      <c r="I933" s="320"/>
      <c r="J933" s="337">
        <v>0</v>
      </c>
      <c r="K933" s="321">
        <v>0</v>
      </c>
      <c r="L933" s="321">
        <v>0</v>
      </c>
      <c r="M933" s="321">
        <v>0</v>
      </c>
      <c r="N933" s="321">
        <v>0</v>
      </c>
      <c r="O933" s="321">
        <v>0</v>
      </c>
      <c r="P933" s="321">
        <v>0</v>
      </c>
      <c r="Q933" s="321">
        <v>0</v>
      </c>
      <c r="R933" s="321">
        <v>0</v>
      </c>
      <c r="S933" s="321">
        <v>0</v>
      </c>
      <c r="T933" s="321">
        <v>0</v>
      </c>
      <c r="U933" s="322">
        <v>0</v>
      </c>
      <c r="V933" s="323">
        <v>0</v>
      </c>
      <c r="W933" s="303"/>
      <c r="X933" s="324">
        <v>0</v>
      </c>
      <c r="Y933" s="325">
        <v>0</v>
      </c>
    </row>
    <row r="934" spans="1:25" hidden="1" outlineLevel="1" x14ac:dyDescent="0.3">
      <c r="E934" s="250" t="s">
        <v>1901</v>
      </c>
      <c r="F934" s="317">
        <v>4503002</v>
      </c>
      <c r="G934" s="318"/>
      <c r="H934" s="319"/>
      <c r="I934" s="320"/>
      <c r="J934" s="337">
        <v>0</v>
      </c>
      <c r="K934" s="321">
        <v>0</v>
      </c>
      <c r="L934" s="321">
        <v>0</v>
      </c>
      <c r="M934" s="321">
        <v>0</v>
      </c>
      <c r="N934" s="321">
        <v>0</v>
      </c>
      <c r="O934" s="321">
        <v>0</v>
      </c>
      <c r="P934" s="321">
        <v>0</v>
      </c>
      <c r="Q934" s="321">
        <v>0</v>
      </c>
      <c r="R934" s="321">
        <v>0</v>
      </c>
      <c r="S934" s="321">
        <v>0</v>
      </c>
      <c r="T934" s="321">
        <v>0</v>
      </c>
      <c r="U934" s="322">
        <v>0</v>
      </c>
      <c r="V934" s="323">
        <v>0</v>
      </c>
      <c r="W934" s="303"/>
      <c r="X934" s="324">
        <v>0</v>
      </c>
      <c r="Y934" s="325">
        <v>0</v>
      </c>
    </row>
    <row r="935" spans="1:25" hidden="1" outlineLevel="1" x14ac:dyDescent="0.3">
      <c r="E935" s="250" t="s">
        <v>1902</v>
      </c>
      <c r="F935" s="317">
        <v>4503001</v>
      </c>
      <c r="G935" s="318"/>
      <c r="H935" s="319"/>
      <c r="I935" s="320"/>
      <c r="J935" s="337">
        <v>0</v>
      </c>
      <c r="K935" s="321">
        <v>0</v>
      </c>
      <c r="L935" s="321">
        <v>0</v>
      </c>
      <c r="M935" s="321">
        <v>0</v>
      </c>
      <c r="N935" s="321">
        <v>0</v>
      </c>
      <c r="O935" s="321">
        <v>0</v>
      </c>
      <c r="P935" s="321">
        <v>0</v>
      </c>
      <c r="Q935" s="321">
        <v>0</v>
      </c>
      <c r="R935" s="321">
        <v>0</v>
      </c>
      <c r="S935" s="321">
        <v>0</v>
      </c>
      <c r="T935" s="321">
        <v>0</v>
      </c>
      <c r="U935" s="322">
        <v>0</v>
      </c>
      <c r="V935" s="323">
        <v>0</v>
      </c>
      <c r="W935" s="303"/>
      <c r="X935" s="324">
        <v>0</v>
      </c>
      <c r="Y935" s="325">
        <v>0</v>
      </c>
    </row>
    <row r="936" spans="1:25" hidden="1" outlineLevel="1" x14ac:dyDescent="0.3">
      <c r="E936" s="250" t="s">
        <v>1903</v>
      </c>
      <c r="F936" s="317">
        <v>4503008</v>
      </c>
      <c r="G936" s="318"/>
      <c r="H936" s="319">
        <v>7301050101</v>
      </c>
      <c r="I936" s="320"/>
      <c r="J936" s="337">
        <v>0</v>
      </c>
      <c r="K936" s="321">
        <v>0</v>
      </c>
      <c r="L936" s="321">
        <v>0</v>
      </c>
      <c r="M936" s="321">
        <v>0</v>
      </c>
      <c r="N936" s="321">
        <v>0</v>
      </c>
      <c r="O936" s="321">
        <v>0</v>
      </c>
      <c r="P936" s="321">
        <v>0</v>
      </c>
      <c r="Q936" s="321">
        <v>0</v>
      </c>
      <c r="R936" s="321">
        <v>0</v>
      </c>
      <c r="S936" s="321">
        <v>0</v>
      </c>
      <c r="T936" s="321">
        <v>0</v>
      </c>
      <c r="U936" s="322">
        <v>0</v>
      </c>
      <c r="V936" s="323">
        <v>0</v>
      </c>
      <c r="W936" s="303"/>
      <c r="X936" s="324">
        <v>0</v>
      </c>
      <c r="Y936" s="325">
        <v>0</v>
      </c>
    </row>
    <row r="937" spans="1:25" hidden="1" outlineLevel="1" x14ac:dyDescent="0.3">
      <c r="E937" s="250" t="s">
        <v>1904</v>
      </c>
      <c r="F937" s="317">
        <v>4503011</v>
      </c>
      <c r="G937" s="318"/>
      <c r="H937" s="319"/>
      <c r="I937" s="320"/>
      <c r="J937" s="337">
        <v>0</v>
      </c>
      <c r="K937" s="321">
        <v>0</v>
      </c>
      <c r="L937" s="321">
        <v>0</v>
      </c>
      <c r="M937" s="321">
        <v>0</v>
      </c>
      <c r="N937" s="321">
        <v>0</v>
      </c>
      <c r="O937" s="321">
        <v>0</v>
      </c>
      <c r="P937" s="321">
        <v>0</v>
      </c>
      <c r="Q937" s="321">
        <v>0</v>
      </c>
      <c r="R937" s="321">
        <v>0</v>
      </c>
      <c r="S937" s="321">
        <v>0</v>
      </c>
      <c r="T937" s="321">
        <v>0</v>
      </c>
      <c r="U937" s="322">
        <v>0</v>
      </c>
      <c r="V937" s="323">
        <v>0</v>
      </c>
      <c r="W937" s="303"/>
      <c r="X937" s="324">
        <v>0</v>
      </c>
      <c r="Y937" s="325">
        <v>0</v>
      </c>
    </row>
    <row r="938" spans="1:25" hidden="1" outlineLevel="1" x14ac:dyDescent="0.3">
      <c r="E938" s="250" t="s">
        <v>1905</v>
      </c>
      <c r="F938" s="317">
        <v>4503012</v>
      </c>
      <c r="G938" s="318"/>
      <c r="H938" s="319"/>
      <c r="I938" s="320"/>
      <c r="J938" s="337">
        <v>0</v>
      </c>
      <c r="K938" s="321">
        <v>0</v>
      </c>
      <c r="L938" s="321">
        <v>0</v>
      </c>
      <c r="M938" s="321">
        <v>0</v>
      </c>
      <c r="N938" s="321">
        <v>0</v>
      </c>
      <c r="O938" s="321">
        <v>0</v>
      </c>
      <c r="P938" s="321">
        <v>0</v>
      </c>
      <c r="Q938" s="321">
        <v>0</v>
      </c>
      <c r="R938" s="321">
        <v>0</v>
      </c>
      <c r="S938" s="321">
        <v>0</v>
      </c>
      <c r="T938" s="321">
        <v>0</v>
      </c>
      <c r="U938" s="322">
        <v>0</v>
      </c>
      <c r="V938" s="323">
        <v>0</v>
      </c>
      <c r="W938" s="303"/>
      <c r="X938" s="324">
        <v>0</v>
      </c>
      <c r="Y938" s="325">
        <v>0</v>
      </c>
    </row>
    <row r="939" spans="1:25" hidden="1" outlineLevel="1" x14ac:dyDescent="0.3">
      <c r="E939" s="250" t="s">
        <v>1906</v>
      </c>
      <c r="F939" s="317">
        <v>4503003</v>
      </c>
      <c r="G939" s="318"/>
      <c r="H939" s="319"/>
      <c r="I939" s="320"/>
      <c r="J939" s="337">
        <v>0</v>
      </c>
      <c r="K939" s="321">
        <v>0</v>
      </c>
      <c r="L939" s="321">
        <v>0</v>
      </c>
      <c r="M939" s="321">
        <v>0</v>
      </c>
      <c r="N939" s="321">
        <v>0</v>
      </c>
      <c r="O939" s="321">
        <v>0</v>
      </c>
      <c r="P939" s="321">
        <v>0</v>
      </c>
      <c r="Q939" s="321">
        <v>0</v>
      </c>
      <c r="R939" s="321">
        <v>0</v>
      </c>
      <c r="S939" s="321">
        <v>0</v>
      </c>
      <c r="T939" s="321">
        <v>0</v>
      </c>
      <c r="U939" s="322">
        <v>0</v>
      </c>
      <c r="V939" s="323">
        <v>0</v>
      </c>
      <c r="W939" s="303"/>
      <c r="X939" s="324">
        <v>0</v>
      </c>
      <c r="Y939" s="325">
        <v>0</v>
      </c>
    </row>
    <row r="940" spans="1:25" hidden="1" outlineLevel="1" x14ac:dyDescent="0.3">
      <c r="E940" s="250" t="s">
        <v>1907</v>
      </c>
      <c r="F940" s="317">
        <v>4503004</v>
      </c>
      <c r="G940" s="318"/>
      <c r="H940" s="319"/>
      <c r="I940" s="320"/>
      <c r="J940" s="337">
        <v>0</v>
      </c>
      <c r="K940" s="321">
        <v>0</v>
      </c>
      <c r="L940" s="321">
        <v>0</v>
      </c>
      <c r="M940" s="321">
        <v>0</v>
      </c>
      <c r="N940" s="321">
        <v>0</v>
      </c>
      <c r="O940" s="321">
        <v>0</v>
      </c>
      <c r="P940" s="321">
        <v>0</v>
      </c>
      <c r="Q940" s="321">
        <v>0</v>
      </c>
      <c r="R940" s="321">
        <v>0</v>
      </c>
      <c r="S940" s="321">
        <v>0</v>
      </c>
      <c r="T940" s="321">
        <v>0</v>
      </c>
      <c r="U940" s="322">
        <v>0</v>
      </c>
      <c r="V940" s="323">
        <v>0</v>
      </c>
      <c r="W940" s="303"/>
      <c r="X940" s="324">
        <v>0</v>
      </c>
      <c r="Y940" s="325">
        <v>0</v>
      </c>
    </row>
    <row r="941" spans="1:25" hidden="1" outlineLevel="1" x14ac:dyDescent="0.3">
      <c r="E941" s="250" t="s">
        <v>1908</v>
      </c>
      <c r="F941" s="317">
        <v>4503005</v>
      </c>
      <c r="G941" s="318"/>
      <c r="H941" s="319"/>
      <c r="I941" s="320"/>
      <c r="J941" s="337">
        <v>0</v>
      </c>
      <c r="K941" s="321">
        <v>0</v>
      </c>
      <c r="L941" s="321">
        <v>0</v>
      </c>
      <c r="M941" s="321">
        <v>0</v>
      </c>
      <c r="N941" s="321">
        <v>0</v>
      </c>
      <c r="O941" s="321">
        <v>0</v>
      </c>
      <c r="P941" s="321">
        <v>0</v>
      </c>
      <c r="Q941" s="321">
        <v>0</v>
      </c>
      <c r="R941" s="321">
        <v>0</v>
      </c>
      <c r="S941" s="321">
        <v>0</v>
      </c>
      <c r="T941" s="321">
        <v>0</v>
      </c>
      <c r="U941" s="322">
        <v>0</v>
      </c>
      <c r="V941" s="323">
        <v>0</v>
      </c>
      <c r="W941" s="303"/>
      <c r="X941" s="324">
        <v>0</v>
      </c>
      <c r="Y941" s="325">
        <v>0</v>
      </c>
    </row>
    <row r="942" spans="1:25" hidden="1" outlineLevel="1" x14ac:dyDescent="0.3">
      <c r="E942" s="250" t="s">
        <v>1909</v>
      </c>
      <c r="F942" s="317">
        <v>4503009</v>
      </c>
      <c r="G942" s="318"/>
      <c r="H942" s="319"/>
      <c r="I942" s="320"/>
      <c r="J942" s="337">
        <v>0</v>
      </c>
      <c r="K942" s="321">
        <v>0</v>
      </c>
      <c r="L942" s="321">
        <v>0</v>
      </c>
      <c r="M942" s="321">
        <v>0</v>
      </c>
      <c r="N942" s="321">
        <v>0</v>
      </c>
      <c r="O942" s="321">
        <v>0</v>
      </c>
      <c r="P942" s="321">
        <v>0</v>
      </c>
      <c r="Q942" s="321">
        <v>0</v>
      </c>
      <c r="R942" s="321">
        <v>0</v>
      </c>
      <c r="S942" s="321">
        <v>0</v>
      </c>
      <c r="T942" s="321">
        <v>0</v>
      </c>
      <c r="U942" s="322">
        <v>0</v>
      </c>
      <c r="V942" s="323">
        <v>0</v>
      </c>
      <c r="W942" s="303"/>
      <c r="X942" s="324">
        <v>0</v>
      </c>
      <c r="Y942" s="325">
        <v>0</v>
      </c>
    </row>
    <row r="943" spans="1:25" s="250" customFormat="1" hidden="1" outlineLevel="2" x14ac:dyDescent="0.3">
      <c r="E943" s="250" t="s">
        <v>1910</v>
      </c>
      <c r="F943" s="306">
        <v>4505606</v>
      </c>
      <c r="G943" s="307"/>
      <c r="H943" s="308"/>
      <c r="I943" s="309"/>
      <c r="J943" s="310">
        <v>0</v>
      </c>
      <c r="K943" s="311">
        <v>0</v>
      </c>
      <c r="L943" s="311">
        <v>0</v>
      </c>
      <c r="M943" s="311">
        <v>0</v>
      </c>
      <c r="N943" s="311">
        <v>0</v>
      </c>
      <c r="O943" s="311">
        <v>0</v>
      </c>
      <c r="P943" s="311">
        <v>0</v>
      </c>
      <c r="Q943" s="311">
        <v>0</v>
      </c>
      <c r="R943" s="311">
        <v>0</v>
      </c>
      <c r="S943" s="311">
        <v>0</v>
      </c>
      <c r="T943" s="311">
        <v>0</v>
      </c>
      <c r="U943" s="312">
        <v>0</v>
      </c>
      <c r="V943" s="313">
        <v>0</v>
      </c>
      <c r="W943" s="314"/>
      <c r="X943" s="315">
        <v>0</v>
      </c>
      <c r="Y943" s="316">
        <v>0</v>
      </c>
    </row>
    <row r="944" spans="1:25" s="250" customFormat="1" hidden="1" outlineLevel="2" x14ac:dyDescent="0.3">
      <c r="E944" s="250" t="s">
        <v>1911</v>
      </c>
      <c r="F944" s="306">
        <v>4505608</v>
      </c>
      <c r="G944" s="307"/>
      <c r="H944" s="308"/>
      <c r="I944" s="309"/>
      <c r="J944" s="310">
        <v>0</v>
      </c>
      <c r="K944" s="311">
        <v>0</v>
      </c>
      <c r="L944" s="311">
        <v>0</v>
      </c>
      <c r="M944" s="311">
        <v>0</v>
      </c>
      <c r="N944" s="311">
        <v>0</v>
      </c>
      <c r="O944" s="311">
        <v>0</v>
      </c>
      <c r="P944" s="311">
        <v>0</v>
      </c>
      <c r="Q944" s="311">
        <v>0</v>
      </c>
      <c r="R944" s="311">
        <v>0</v>
      </c>
      <c r="S944" s="311">
        <v>0</v>
      </c>
      <c r="T944" s="311">
        <v>0</v>
      </c>
      <c r="U944" s="312">
        <v>0</v>
      </c>
      <c r="V944" s="313">
        <v>0</v>
      </c>
      <c r="W944" s="314"/>
      <c r="X944" s="315">
        <v>0</v>
      </c>
      <c r="Y944" s="316">
        <v>0</v>
      </c>
    </row>
    <row r="945" spans="1:25" s="326" customFormat="1" hidden="1" outlineLevel="2" x14ac:dyDescent="0.3">
      <c r="E945" s="326" t="s">
        <v>1912</v>
      </c>
      <c r="F945" s="336"/>
      <c r="G945" s="327"/>
      <c r="H945" s="328"/>
      <c r="I945" s="329"/>
      <c r="J945" s="338">
        <v>0</v>
      </c>
      <c r="K945" s="330">
        <v>0</v>
      </c>
      <c r="L945" s="330">
        <v>0</v>
      </c>
      <c r="M945" s="330">
        <v>0</v>
      </c>
      <c r="N945" s="330">
        <v>0</v>
      </c>
      <c r="O945" s="330">
        <v>0</v>
      </c>
      <c r="P945" s="330">
        <v>0</v>
      </c>
      <c r="Q945" s="330">
        <v>0</v>
      </c>
      <c r="R945" s="330">
        <v>0</v>
      </c>
      <c r="S945" s="330">
        <v>0</v>
      </c>
      <c r="T945" s="330">
        <v>0</v>
      </c>
      <c r="U945" s="331">
        <v>0</v>
      </c>
      <c r="V945" s="332">
        <v>0</v>
      </c>
      <c r="W945" s="333"/>
      <c r="X945" s="334">
        <v>0</v>
      </c>
      <c r="Y945" s="335">
        <v>0</v>
      </c>
    </row>
    <row r="946" spans="1:25" s="326" customFormat="1" hidden="1" outlineLevel="2" x14ac:dyDescent="0.3">
      <c r="E946" s="326" t="s">
        <v>1913</v>
      </c>
      <c r="F946" s="336"/>
      <c r="G946" s="327"/>
      <c r="H946" s="328"/>
      <c r="I946" s="329"/>
      <c r="J946" s="338">
        <v>0</v>
      </c>
      <c r="K946" s="330">
        <v>0</v>
      </c>
      <c r="L946" s="330">
        <v>0</v>
      </c>
      <c r="M946" s="330">
        <v>0</v>
      </c>
      <c r="N946" s="330">
        <v>0</v>
      </c>
      <c r="O946" s="330">
        <v>0</v>
      </c>
      <c r="P946" s="330">
        <v>0</v>
      </c>
      <c r="Q946" s="330">
        <v>0</v>
      </c>
      <c r="R946" s="330">
        <v>0</v>
      </c>
      <c r="S946" s="330">
        <v>0</v>
      </c>
      <c r="T946" s="330">
        <v>0</v>
      </c>
      <c r="U946" s="331">
        <v>0</v>
      </c>
      <c r="V946" s="332">
        <v>0</v>
      </c>
      <c r="W946" s="333"/>
      <c r="X946" s="334">
        <v>0</v>
      </c>
      <c r="Y946" s="335">
        <v>0</v>
      </c>
    </row>
    <row r="947" spans="1:25" s="326" customFormat="1" hidden="1" outlineLevel="2" x14ac:dyDescent="0.3">
      <c r="E947" s="326" t="s">
        <v>1914</v>
      </c>
      <c r="F947" s="336"/>
      <c r="G947" s="327"/>
      <c r="H947" s="328"/>
      <c r="I947" s="329"/>
      <c r="J947" s="338">
        <v>0</v>
      </c>
      <c r="K947" s="330">
        <v>0</v>
      </c>
      <c r="L947" s="330">
        <v>0</v>
      </c>
      <c r="M947" s="330">
        <v>0</v>
      </c>
      <c r="N947" s="330">
        <v>0</v>
      </c>
      <c r="O947" s="330">
        <v>0</v>
      </c>
      <c r="P947" s="330">
        <v>0</v>
      </c>
      <c r="Q947" s="330">
        <v>0</v>
      </c>
      <c r="R947" s="330">
        <v>0</v>
      </c>
      <c r="S947" s="330">
        <v>0</v>
      </c>
      <c r="T947" s="330">
        <v>0</v>
      </c>
      <c r="U947" s="331">
        <v>0</v>
      </c>
      <c r="V947" s="332">
        <v>0</v>
      </c>
      <c r="W947" s="333"/>
      <c r="X947" s="334">
        <v>0</v>
      </c>
      <c r="Y947" s="335">
        <v>0</v>
      </c>
    </row>
    <row r="948" spans="1:25" collapsed="1" x14ac:dyDescent="0.3">
      <c r="A948" s="233"/>
      <c r="B948" s="234" t="s">
        <v>74</v>
      </c>
      <c r="D948" s="293" t="s">
        <v>1915</v>
      </c>
      <c r="E948" s="294"/>
      <c r="F948" s="295" t="s">
        <v>1916</v>
      </c>
      <c r="G948" s="296"/>
      <c r="H948" s="297"/>
      <c r="I948" s="298"/>
      <c r="J948" s="299">
        <v>0</v>
      </c>
      <c r="K948" s="300">
        <v>0</v>
      </c>
      <c r="L948" s="300">
        <v>0</v>
      </c>
      <c r="M948" s="300">
        <v>0</v>
      </c>
      <c r="N948" s="300">
        <v>0</v>
      </c>
      <c r="O948" s="300">
        <v>0</v>
      </c>
      <c r="P948" s="300">
        <v>0</v>
      </c>
      <c r="Q948" s="300">
        <v>0</v>
      </c>
      <c r="R948" s="300">
        <v>0</v>
      </c>
      <c r="S948" s="300">
        <v>0</v>
      </c>
      <c r="T948" s="300">
        <v>0</v>
      </c>
      <c r="U948" s="301">
        <v>0</v>
      </c>
      <c r="V948" s="302">
        <v>0</v>
      </c>
      <c r="W948" s="303"/>
      <c r="X948" s="304">
        <v>0</v>
      </c>
      <c r="Y948" s="305">
        <v>0</v>
      </c>
    </row>
    <row r="949" spans="1:25" hidden="1" outlineLevel="1" x14ac:dyDescent="0.3">
      <c r="E949" s="250" t="s">
        <v>1917</v>
      </c>
      <c r="F949" s="317">
        <v>4504581</v>
      </c>
      <c r="G949" s="318"/>
      <c r="H949" s="319"/>
      <c r="I949" s="320"/>
      <c r="J949" s="337">
        <v>0</v>
      </c>
      <c r="K949" s="321">
        <v>0</v>
      </c>
      <c r="L949" s="321">
        <v>0</v>
      </c>
      <c r="M949" s="321">
        <v>0</v>
      </c>
      <c r="N949" s="321">
        <v>0</v>
      </c>
      <c r="O949" s="321">
        <v>0</v>
      </c>
      <c r="P949" s="321">
        <v>0</v>
      </c>
      <c r="Q949" s="321">
        <v>0</v>
      </c>
      <c r="R949" s="321">
        <v>0</v>
      </c>
      <c r="S949" s="321">
        <v>0</v>
      </c>
      <c r="T949" s="321">
        <v>0</v>
      </c>
      <c r="U949" s="322">
        <v>0</v>
      </c>
      <c r="V949" s="323">
        <v>0</v>
      </c>
      <c r="W949" s="303"/>
      <c r="X949" s="324">
        <v>0</v>
      </c>
      <c r="Y949" s="325">
        <v>0</v>
      </c>
    </row>
    <row r="950" spans="1:25" hidden="1" outlineLevel="1" x14ac:dyDescent="0.3">
      <c r="E950" s="250" t="s">
        <v>1918</v>
      </c>
      <c r="F950" s="317">
        <v>4504582</v>
      </c>
      <c r="G950" s="318"/>
      <c r="H950" s="319"/>
      <c r="I950" s="320"/>
      <c r="J950" s="337">
        <v>0</v>
      </c>
      <c r="K950" s="321">
        <v>0</v>
      </c>
      <c r="L950" s="321">
        <v>0</v>
      </c>
      <c r="M950" s="321">
        <v>0</v>
      </c>
      <c r="N950" s="321">
        <v>0</v>
      </c>
      <c r="O950" s="321">
        <v>0</v>
      </c>
      <c r="P950" s="321">
        <v>0</v>
      </c>
      <c r="Q950" s="321">
        <v>0</v>
      </c>
      <c r="R950" s="321">
        <v>0</v>
      </c>
      <c r="S950" s="321">
        <v>0</v>
      </c>
      <c r="T950" s="321">
        <v>0</v>
      </c>
      <c r="U950" s="322">
        <v>0</v>
      </c>
      <c r="V950" s="323">
        <v>0</v>
      </c>
      <c r="W950" s="303"/>
      <c r="X950" s="324">
        <v>0</v>
      </c>
      <c r="Y950" s="325">
        <v>0</v>
      </c>
    </row>
    <row r="951" spans="1:25" hidden="1" outlineLevel="1" x14ac:dyDescent="0.3">
      <c r="E951" s="250" t="s">
        <v>1919</v>
      </c>
      <c r="F951" s="317">
        <v>4504580</v>
      </c>
      <c r="G951" s="318"/>
      <c r="H951" s="319"/>
      <c r="I951" s="320"/>
      <c r="J951" s="337">
        <v>0</v>
      </c>
      <c r="K951" s="321">
        <v>0</v>
      </c>
      <c r="L951" s="321">
        <v>0</v>
      </c>
      <c r="M951" s="321">
        <v>0</v>
      </c>
      <c r="N951" s="321">
        <v>0</v>
      </c>
      <c r="O951" s="321">
        <v>0</v>
      </c>
      <c r="P951" s="321">
        <v>0</v>
      </c>
      <c r="Q951" s="321">
        <v>0</v>
      </c>
      <c r="R951" s="321">
        <v>0</v>
      </c>
      <c r="S951" s="321">
        <v>0</v>
      </c>
      <c r="T951" s="321">
        <v>0</v>
      </c>
      <c r="U951" s="322">
        <v>0</v>
      </c>
      <c r="V951" s="323">
        <v>0</v>
      </c>
      <c r="W951" s="303"/>
      <c r="X951" s="324">
        <v>0</v>
      </c>
      <c r="Y951" s="325">
        <v>0</v>
      </c>
    </row>
    <row r="952" spans="1:25" hidden="1" outlineLevel="1" x14ac:dyDescent="0.3">
      <c r="E952" s="250" t="s">
        <v>1920</v>
      </c>
      <c r="F952" s="317">
        <v>4504583</v>
      </c>
      <c r="G952" s="318"/>
      <c r="H952" s="319"/>
      <c r="I952" s="320"/>
      <c r="J952" s="337">
        <v>0</v>
      </c>
      <c r="K952" s="321">
        <v>0</v>
      </c>
      <c r="L952" s="321">
        <v>0</v>
      </c>
      <c r="M952" s="321">
        <v>0</v>
      </c>
      <c r="N952" s="321">
        <v>0</v>
      </c>
      <c r="O952" s="321">
        <v>0</v>
      </c>
      <c r="P952" s="321">
        <v>0</v>
      </c>
      <c r="Q952" s="321">
        <v>0</v>
      </c>
      <c r="R952" s="321">
        <v>0</v>
      </c>
      <c r="S952" s="321">
        <v>0</v>
      </c>
      <c r="T952" s="321">
        <v>0</v>
      </c>
      <c r="U952" s="322">
        <v>0</v>
      </c>
      <c r="V952" s="323">
        <v>0</v>
      </c>
      <c r="W952" s="303"/>
      <c r="X952" s="324">
        <v>0</v>
      </c>
      <c r="Y952" s="325">
        <v>0</v>
      </c>
    </row>
    <row r="953" spans="1:25" hidden="1" outlineLevel="1" x14ac:dyDescent="0.3">
      <c r="E953" s="250" t="s">
        <v>1921</v>
      </c>
      <c r="F953" s="317">
        <v>4504584</v>
      </c>
      <c r="G953" s="318"/>
      <c r="H953" s="319"/>
      <c r="I953" s="320"/>
      <c r="J953" s="337">
        <v>0</v>
      </c>
      <c r="K953" s="321">
        <v>0</v>
      </c>
      <c r="L953" s="321">
        <v>0</v>
      </c>
      <c r="M953" s="321">
        <v>0</v>
      </c>
      <c r="N953" s="321">
        <v>0</v>
      </c>
      <c r="O953" s="321">
        <v>0</v>
      </c>
      <c r="P953" s="321">
        <v>0</v>
      </c>
      <c r="Q953" s="321">
        <v>0</v>
      </c>
      <c r="R953" s="321">
        <v>0</v>
      </c>
      <c r="S953" s="321">
        <v>0</v>
      </c>
      <c r="T953" s="321">
        <v>0</v>
      </c>
      <c r="U953" s="322">
        <v>0</v>
      </c>
      <c r="V953" s="323">
        <v>0</v>
      </c>
      <c r="W953" s="303"/>
      <c r="X953" s="324">
        <v>0</v>
      </c>
      <c r="Y953" s="325">
        <v>0</v>
      </c>
    </row>
    <row r="954" spans="1:25" s="326" customFormat="1" hidden="1" outlineLevel="2" x14ac:dyDescent="0.3">
      <c r="E954" s="326" t="s">
        <v>1922</v>
      </c>
      <c r="F954" s="336"/>
      <c r="G954" s="327"/>
      <c r="H954" s="328"/>
      <c r="I954" s="329"/>
      <c r="J954" s="338">
        <v>0</v>
      </c>
      <c r="K954" s="330">
        <v>0</v>
      </c>
      <c r="L954" s="330">
        <v>0</v>
      </c>
      <c r="M954" s="330">
        <v>0</v>
      </c>
      <c r="N954" s="330">
        <v>0</v>
      </c>
      <c r="O954" s="330">
        <v>0</v>
      </c>
      <c r="P954" s="330">
        <v>0</v>
      </c>
      <c r="Q954" s="330">
        <v>0</v>
      </c>
      <c r="R954" s="330">
        <v>0</v>
      </c>
      <c r="S954" s="330">
        <v>0</v>
      </c>
      <c r="T954" s="330">
        <v>0</v>
      </c>
      <c r="U954" s="331">
        <v>0</v>
      </c>
      <c r="V954" s="332">
        <v>0</v>
      </c>
      <c r="W954" s="333"/>
      <c r="X954" s="334">
        <v>0</v>
      </c>
      <c r="Y954" s="335">
        <v>0</v>
      </c>
    </row>
    <row r="955" spans="1:25" s="326" customFormat="1" hidden="1" outlineLevel="2" x14ac:dyDescent="0.3">
      <c r="E955" s="326" t="s">
        <v>1923</v>
      </c>
      <c r="F955" s="336"/>
      <c r="G955" s="327"/>
      <c r="H955" s="328"/>
      <c r="I955" s="329"/>
      <c r="J955" s="338">
        <v>0</v>
      </c>
      <c r="K955" s="330">
        <v>0</v>
      </c>
      <c r="L955" s="330">
        <v>0</v>
      </c>
      <c r="M955" s="330">
        <v>0</v>
      </c>
      <c r="N955" s="330">
        <v>0</v>
      </c>
      <c r="O955" s="330">
        <v>0</v>
      </c>
      <c r="P955" s="330">
        <v>0</v>
      </c>
      <c r="Q955" s="330">
        <v>0</v>
      </c>
      <c r="R955" s="330">
        <v>0</v>
      </c>
      <c r="S955" s="330">
        <v>0</v>
      </c>
      <c r="T955" s="330">
        <v>0</v>
      </c>
      <c r="U955" s="331">
        <v>0</v>
      </c>
      <c r="V955" s="332">
        <v>0</v>
      </c>
      <c r="W955" s="333"/>
      <c r="X955" s="334">
        <v>0</v>
      </c>
      <c r="Y955" s="335">
        <v>0</v>
      </c>
    </row>
    <row r="956" spans="1:25" s="326" customFormat="1" hidden="1" outlineLevel="2" x14ac:dyDescent="0.3">
      <c r="E956" s="326" t="s">
        <v>1924</v>
      </c>
      <c r="F956" s="336"/>
      <c r="G956" s="327"/>
      <c r="H956" s="328"/>
      <c r="I956" s="329"/>
      <c r="J956" s="338">
        <v>0</v>
      </c>
      <c r="K956" s="330">
        <v>0</v>
      </c>
      <c r="L956" s="330">
        <v>0</v>
      </c>
      <c r="M956" s="330">
        <v>0</v>
      </c>
      <c r="N956" s="330">
        <v>0</v>
      </c>
      <c r="O956" s="330">
        <v>0</v>
      </c>
      <c r="P956" s="330">
        <v>0</v>
      </c>
      <c r="Q956" s="330">
        <v>0</v>
      </c>
      <c r="R956" s="330">
        <v>0</v>
      </c>
      <c r="S956" s="330">
        <v>0</v>
      </c>
      <c r="T956" s="330">
        <v>0</v>
      </c>
      <c r="U956" s="331">
        <v>0</v>
      </c>
      <c r="V956" s="332">
        <v>0</v>
      </c>
      <c r="W956" s="333"/>
      <c r="X956" s="334">
        <v>0</v>
      </c>
      <c r="Y956" s="335">
        <v>0</v>
      </c>
    </row>
    <row r="957" spans="1:25" collapsed="1" x14ac:dyDescent="0.3">
      <c r="A957" s="233"/>
      <c r="B957" s="234" t="s">
        <v>74</v>
      </c>
      <c r="D957" s="293" t="s">
        <v>1925</v>
      </c>
      <c r="E957" s="294"/>
      <c r="F957" s="295" t="s">
        <v>1926</v>
      </c>
      <c r="G957" s="296"/>
      <c r="H957" s="297"/>
      <c r="I957" s="298"/>
      <c r="J957" s="299">
        <v>0</v>
      </c>
      <c r="K957" s="300">
        <v>0</v>
      </c>
      <c r="L957" s="300">
        <v>0</v>
      </c>
      <c r="M957" s="300">
        <v>0</v>
      </c>
      <c r="N957" s="300">
        <v>0</v>
      </c>
      <c r="O957" s="300">
        <v>0</v>
      </c>
      <c r="P957" s="300">
        <v>0</v>
      </c>
      <c r="Q957" s="300">
        <v>0</v>
      </c>
      <c r="R957" s="300">
        <v>0</v>
      </c>
      <c r="S957" s="300">
        <v>0</v>
      </c>
      <c r="T957" s="300">
        <v>0</v>
      </c>
      <c r="U957" s="301">
        <v>0</v>
      </c>
      <c r="V957" s="302">
        <v>0</v>
      </c>
      <c r="W957" s="303"/>
      <c r="X957" s="304">
        <v>0</v>
      </c>
      <c r="Y957" s="305">
        <v>0</v>
      </c>
    </row>
    <row r="958" spans="1:25" s="250" customFormat="1" hidden="1" outlineLevel="1" x14ac:dyDescent="0.3">
      <c r="E958" s="250" t="s">
        <v>1927</v>
      </c>
      <c r="F958" s="376">
        <v>4503068</v>
      </c>
      <c r="G958" s="377"/>
      <c r="H958" s="378">
        <v>7301030000</v>
      </c>
      <c r="I958" s="379"/>
      <c r="J958" s="391">
        <v>0</v>
      </c>
      <c r="K958" s="392">
        <v>0</v>
      </c>
      <c r="L958" s="392">
        <v>0</v>
      </c>
      <c r="M958" s="392">
        <v>0</v>
      </c>
      <c r="N958" s="392">
        <v>0</v>
      </c>
      <c r="O958" s="392">
        <v>0</v>
      </c>
      <c r="P958" s="392">
        <v>0</v>
      </c>
      <c r="Q958" s="392">
        <v>0</v>
      </c>
      <c r="R958" s="392">
        <v>0</v>
      </c>
      <c r="S958" s="392">
        <v>0</v>
      </c>
      <c r="T958" s="392">
        <v>0</v>
      </c>
      <c r="U958" s="393">
        <v>0</v>
      </c>
      <c r="V958" s="394">
        <v>0</v>
      </c>
      <c r="W958" s="395"/>
      <c r="X958" s="396">
        <v>0</v>
      </c>
      <c r="Y958" s="397">
        <v>0</v>
      </c>
    </row>
    <row r="959" spans="1:25" s="250" customFormat="1" hidden="1" outlineLevel="1" x14ac:dyDescent="0.3">
      <c r="E959" s="250" t="s">
        <v>1928</v>
      </c>
      <c r="F959" s="376">
        <v>4503069</v>
      </c>
      <c r="G959" s="377"/>
      <c r="H959" s="378"/>
      <c r="I959" s="379"/>
      <c r="J959" s="391">
        <v>0</v>
      </c>
      <c r="K959" s="392">
        <v>0</v>
      </c>
      <c r="L959" s="392">
        <v>0</v>
      </c>
      <c r="M959" s="392">
        <v>0</v>
      </c>
      <c r="N959" s="392">
        <v>0</v>
      </c>
      <c r="O959" s="392">
        <v>0</v>
      </c>
      <c r="P959" s="392">
        <v>0</v>
      </c>
      <c r="Q959" s="392">
        <v>0</v>
      </c>
      <c r="R959" s="392">
        <v>0</v>
      </c>
      <c r="S959" s="392">
        <v>0</v>
      </c>
      <c r="T959" s="392">
        <v>0</v>
      </c>
      <c r="U959" s="393">
        <v>0</v>
      </c>
      <c r="V959" s="394">
        <v>0</v>
      </c>
      <c r="W959" s="395"/>
      <c r="X959" s="396">
        <v>0</v>
      </c>
      <c r="Y959" s="397">
        <v>0</v>
      </c>
    </row>
    <row r="960" spans="1:25" s="250" customFormat="1" hidden="1" outlineLevel="1" x14ac:dyDescent="0.3">
      <c r="E960" s="250" t="s">
        <v>1929</v>
      </c>
      <c r="F960" s="376">
        <v>4503070</v>
      </c>
      <c r="G960" s="377"/>
      <c r="H960" s="378"/>
      <c r="I960" s="379"/>
      <c r="J960" s="391">
        <v>0</v>
      </c>
      <c r="K960" s="392">
        <v>0</v>
      </c>
      <c r="L960" s="392">
        <v>0</v>
      </c>
      <c r="M960" s="392">
        <v>0</v>
      </c>
      <c r="N960" s="392">
        <v>0</v>
      </c>
      <c r="O960" s="392">
        <v>0</v>
      </c>
      <c r="P960" s="392">
        <v>0</v>
      </c>
      <c r="Q960" s="392">
        <v>0</v>
      </c>
      <c r="R960" s="392">
        <v>0</v>
      </c>
      <c r="S960" s="392">
        <v>0</v>
      </c>
      <c r="T960" s="392">
        <v>0</v>
      </c>
      <c r="U960" s="393">
        <v>0</v>
      </c>
      <c r="V960" s="394">
        <v>0</v>
      </c>
      <c r="W960" s="395"/>
      <c r="X960" s="396">
        <v>0</v>
      </c>
      <c r="Y960" s="397">
        <v>0</v>
      </c>
    </row>
    <row r="961" spans="1:25" s="250" customFormat="1" hidden="1" outlineLevel="1" x14ac:dyDescent="0.3">
      <c r="E961" s="250" t="s">
        <v>1930</v>
      </c>
      <c r="F961" s="376">
        <v>4503071</v>
      </c>
      <c r="G961" s="377"/>
      <c r="H961" s="378"/>
      <c r="I961" s="379"/>
      <c r="J961" s="391">
        <v>0</v>
      </c>
      <c r="K961" s="392">
        <v>0</v>
      </c>
      <c r="L961" s="392">
        <v>0</v>
      </c>
      <c r="M961" s="392">
        <v>0</v>
      </c>
      <c r="N961" s="392">
        <v>0</v>
      </c>
      <c r="O961" s="392">
        <v>0</v>
      </c>
      <c r="P961" s="392">
        <v>0</v>
      </c>
      <c r="Q961" s="392">
        <v>0</v>
      </c>
      <c r="R961" s="392">
        <v>0</v>
      </c>
      <c r="S961" s="392">
        <v>0</v>
      </c>
      <c r="T961" s="392">
        <v>0</v>
      </c>
      <c r="U961" s="393">
        <v>0</v>
      </c>
      <c r="V961" s="394">
        <v>0</v>
      </c>
      <c r="W961" s="395"/>
      <c r="X961" s="396">
        <v>0</v>
      </c>
      <c r="Y961" s="397">
        <v>0</v>
      </c>
    </row>
    <row r="962" spans="1:25" s="250" customFormat="1" hidden="1" outlineLevel="1" x14ac:dyDescent="0.3">
      <c r="E962" s="250" t="s">
        <v>1931</v>
      </c>
      <c r="F962" s="376">
        <v>4503085</v>
      </c>
      <c r="G962" s="377"/>
      <c r="H962" s="378"/>
      <c r="I962" s="379"/>
      <c r="J962" s="391">
        <v>0</v>
      </c>
      <c r="K962" s="392">
        <v>0</v>
      </c>
      <c r="L962" s="392">
        <v>0</v>
      </c>
      <c r="M962" s="392">
        <v>0</v>
      </c>
      <c r="N962" s="392">
        <v>0</v>
      </c>
      <c r="O962" s="392">
        <v>0</v>
      </c>
      <c r="P962" s="392">
        <v>0</v>
      </c>
      <c r="Q962" s="392">
        <v>0</v>
      </c>
      <c r="R962" s="392">
        <v>0</v>
      </c>
      <c r="S962" s="392">
        <v>0</v>
      </c>
      <c r="T962" s="392">
        <v>0</v>
      </c>
      <c r="U962" s="393">
        <v>0</v>
      </c>
      <c r="V962" s="394">
        <v>0</v>
      </c>
      <c r="W962" s="395"/>
      <c r="X962" s="396">
        <v>0</v>
      </c>
      <c r="Y962" s="397">
        <v>0</v>
      </c>
    </row>
    <row r="963" spans="1:25" s="250" customFormat="1" hidden="1" outlineLevel="1" x14ac:dyDescent="0.3">
      <c r="E963" s="250" t="s">
        <v>1932</v>
      </c>
      <c r="F963" s="376">
        <v>4503090</v>
      </c>
      <c r="G963" s="377"/>
      <c r="H963" s="378"/>
      <c r="I963" s="379"/>
      <c r="J963" s="391">
        <v>0</v>
      </c>
      <c r="K963" s="392">
        <v>0</v>
      </c>
      <c r="L963" s="392">
        <v>0</v>
      </c>
      <c r="M963" s="392">
        <v>0</v>
      </c>
      <c r="N963" s="392">
        <v>0</v>
      </c>
      <c r="O963" s="392">
        <v>0</v>
      </c>
      <c r="P963" s="392">
        <v>0</v>
      </c>
      <c r="Q963" s="392">
        <v>0</v>
      </c>
      <c r="R963" s="392">
        <v>0</v>
      </c>
      <c r="S963" s="392">
        <v>0</v>
      </c>
      <c r="T963" s="392">
        <v>0</v>
      </c>
      <c r="U963" s="393">
        <v>0</v>
      </c>
      <c r="V963" s="394">
        <v>0</v>
      </c>
      <c r="W963" s="395"/>
      <c r="X963" s="396">
        <v>0</v>
      </c>
      <c r="Y963" s="397">
        <v>0</v>
      </c>
    </row>
    <row r="964" spans="1:25" s="250" customFormat="1" hidden="1" outlineLevel="1" x14ac:dyDescent="0.3">
      <c r="E964" s="250" t="s">
        <v>1933</v>
      </c>
      <c r="F964" s="376">
        <v>4503072</v>
      </c>
      <c r="G964" s="377"/>
      <c r="H964" s="378"/>
      <c r="I964" s="379"/>
      <c r="J964" s="391">
        <v>0</v>
      </c>
      <c r="K964" s="392">
        <v>0</v>
      </c>
      <c r="L964" s="392">
        <v>0</v>
      </c>
      <c r="M964" s="392">
        <v>0</v>
      </c>
      <c r="N964" s="392">
        <v>0</v>
      </c>
      <c r="O964" s="392">
        <v>0</v>
      </c>
      <c r="P964" s="392">
        <v>0</v>
      </c>
      <c r="Q964" s="392">
        <v>0</v>
      </c>
      <c r="R964" s="392">
        <v>0</v>
      </c>
      <c r="S964" s="392">
        <v>0</v>
      </c>
      <c r="T964" s="392">
        <v>0</v>
      </c>
      <c r="U964" s="393">
        <v>0</v>
      </c>
      <c r="V964" s="394">
        <v>0</v>
      </c>
      <c r="W964" s="395"/>
      <c r="X964" s="396">
        <v>0</v>
      </c>
      <c r="Y964" s="397">
        <v>0</v>
      </c>
    </row>
    <row r="965" spans="1:25" s="250" customFormat="1" hidden="1" outlineLevel="1" x14ac:dyDescent="0.3">
      <c r="E965" s="250" t="s">
        <v>1934</v>
      </c>
      <c r="F965" s="376">
        <v>4503073</v>
      </c>
      <c r="G965" s="377"/>
      <c r="H965" s="378"/>
      <c r="I965" s="379"/>
      <c r="J965" s="391">
        <v>0</v>
      </c>
      <c r="K965" s="392">
        <v>0</v>
      </c>
      <c r="L965" s="392">
        <v>0</v>
      </c>
      <c r="M965" s="392">
        <v>0</v>
      </c>
      <c r="N965" s="392">
        <v>0</v>
      </c>
      <c r="O965" s="392">
        <v>0</v>
      </c>
      <c r="P965" s="392">
        <v>0</v>
      </c>
      <c r="Q965" s="392">
        <v>0</v>
      </c>
      <c r="R965" s="392">
        <v>0</v>
      </c>
      <c r="S965" s="392">
        <v>0</v>
      </c>
      <c r="T965" s="392">
        <v>0</v>
      </c>
      <c r="U965" s="393">
        <v>0</v>
      </c>
      <c r="V965" s="394">
        <v>0</v>
      </c>
      <c r="W965" s="395"/>
      <c r="X965" s="396">
        <v>0</v>
      </c>
      <c r="Y965" s="397">
        <v>0</v>
      </c>
    </row>
    <row r="966" spans="1:25" s="250" customFormat="1" hidden="1" outlineLevel="1" x14ac:dyDescent="0.3">
      <c r="E966" s="250" t="s">
        <v>1935</v>
      </c>
      <c r="F966" s="376">
        <v>4503074</v>
      </c>
      <c r="G966" s="377"/>
      <c r="H966" s="378"/>
      <c r="I966" s="379"/>
      <c r="J966" s="391">
        <v>0</v>
      </c>
      <c r="K966" s="392">
        <v>0</v>
      </c>
      <c r="L966" s="392">
        <v>0</v>
      </c>
      <c r="M966" s="392">
        <v>0</v>
      </c>
      <c r="N966" s="392">
        <v>0</v>
      </c>
      <c r="O966" s="392">
        <v>0</v>
      </c>
      <c r="P966" s="392">
        <v>0</v>
      </c>
      <c r="Q966" s="392">
        <v>0</v>
      </c>
      <c r="R966" s="392">
        <v>0</v>
      </c>
      <c r="S966" s="392">
        <v>0</v>
      </c>
      <c r="T966" s="392">
        <v>0</v>
      </c>
      <c r="U966" s="393">
        <v>0</v>
      </c>
      <c r="V966" s="394">
        <v>0</v>
      </c>
      <c r="W966" s="395"/>
      <c r="X966" s="396">
        <v>0</v>
      </c>
      <c r="Y966" s="397">
        <v>0</v>
      </c>
    </row>
    <row r="967" spans="1:25" s="250" customFormat="1" hidden="1" outlineLevel="1" x14ac:dyDescent="0.3">
      <c r="E967" s="250" t="s">
        <v>1936</v>
      </c>
      <c r="F967" s="376">
        <v>4503083</v>
      </c>
      <c r="G967" s="377"/>
      <c r="H967" s="378"/>
      <c r="I967" s="379"/>
      <c r="J967" s="391">
        <v>0</v>
      </c>
      <c r="K967" s="392">
        <v>0</v>
      </c>
      <c r="L967" s="392">
        <v>0</v>
      </c>
      <c r="M967" s="392">
        <v>0</v>
      </c>
      <c r="N967" s="392">
        <v>0</v>
      </c>
      <c r="O967" s="392">
        <v>0</v>
      </c>
      <c r="P967" s="392">
        <v>0</v>
      </c>
      <c r="Q967" s="392">
        <v>0</v>
      </c>
      <c r="R967" s="392">
        <v>0</v>
      </c>
      <c r="S967" s="392">
        <v>0</v>
      </c>
      <c r="T967" s="392">
        <v>0</v>
      </c>
      <c r="U967" s="393">
        <v>0</v>
      </c>
      <c r="V967" s="394">
        <v>0</v>
      </c>
      <c r="W967" s="395"/>
      <c r="X967" s="396">
        <v>0</v>
      </c>
      <c r="Y967" s="397">
        <v>0</v>
      </c>
    </row>
    <row r="968" spans="1:25" s="250" customFormat="1" hidden="1" outlineLevel="1" x14ac:dyDescent="0.3">
      <c r="E968" s="250" t="s">
        <v>1937</v>
      </c>
      <c r="F968" s="376">
        <v>4503067</v>
      </c>
      <c r="G968" s="377"/>
      <c r="H968" s="378"/>
      <c r="I968" s="379"/>
      <c r="J968" s="391">
        <v>0</v>
      </c>
      <c r="K968" s="392">
        <v>0</v>
      </c>
      <c r="L968" s="392">
        <v>0</v>
      </c>
      <c r="M968" s="392">
        <v>0</v>
      </c>
      <c r="N968" s="392">
        <v>0</v>
      </c>
      <c r="O968" s="392">
        <v>0</v>
      </c>
      <c r="P968" s="392">
        <v>0</v>
      </c>
      <c r="Q968" s="392">
        <v>0</v>
      </c>
      <c r="R968" s="392">
        <v>0</v>
      </c>
      <c r="S968" s="392">
        <v>0</v>
      </c>
      <c r="T968" s="392">
        <v>0</v>
      </c>
      <c r="U968" s="393">
        <v>0</v>
      </c>
      <c r="V968" s="394">
        <v>0</v>
      </c>
      <c r="W968" s="395"/>
      <c r="X968" s="396">
        <v>0</v>
      </c>
      <c r="Y968" s="397">
        <v>0</v>
      </c>
    </row>
    <row r="969" spans="1:25" s="250" customFormat="1" hidden="1" outlineLevel="1" x14ac:dyDescent="0.3">
      <c r="E969" s="250" t="s">
        <v>1938</v>
      </c>
      <c r="F969" s="376">
        <v>4503084</v>
      </c>
      <c r="G969" s="377"/>
      <c r="H969" s="378"/>
      <c r="I969" s="379"/>
      <c r="J969" s="391">
        <v>0</v>
      </c>
      <c r="K969" s="392">
        <v>0</v>
      </c>
      <c r="L969" s="392">
        <v>0</v>
      </c>
      <c r="M969" s="392">
        <v>0</v>
      </c>
      <c r="N969" s="392">
        <v>0</v>
      </c>
      <c r="O969" s="392">
        <v>0</v>
      </c>
      <c r="P969" s="392">
        <v>0</v>
      </c>
      <c r="Q969" s="392">
        <v>0</v>
      </c>
      <c r="R969" s="392">
        <v>0</v>
      </c>
      <c r="S969" s="392">
        <v>0</v>
      </c>
      <c r="T969" s="392">
        <v>0</v>
      </c>
      <c r="U969" s="393">
        <v>0</v>
      </c>
      <c r="V969" s="394">
        <v>0</v>
      </c>
      <c r="W969" s="395"/>
      <c r="X969" s="396">
        <v>0</v>
      </c>
      <c r="Y969" s="397">
        <v>0</v>
      </c>
    </row>
    <row r="970" spans="1:25" s="250" customFormat="1" hidden="1" outlineLevel="1" x14ac:dyDescent="0.3">
      <c r="E970" s="250" t="s">
        <v>1939</v>
      </c>
      <c r="F970" s="376">
        <v>4503075</v>
      </c>
      <c r="G970" s="377"/>
      <c r="H970" s="378"/>
      <c r="I970" s="379"/>
      <c r="J970" s="391">
        <v>0</v>
      </c>
      <c r="K970" s="392">
        <v>0</v>
      </c>
      <c r="L970" s="392">
        <v>0</v>
      </c>
      <c r="M970" s="392">
        <v>0</v>
      </c>
      <c r="N970" s="392">
        <v>0</v>
      </c>
      <c r="O970" s="392">
        <v>0</v>
      </c>
      <c r="P970" s="392">
        <v>0</v>
      </c>
      <c r="Q970" s="392">
        <v>0</v>
      </c>
      <c r="R970" s="392">
        <v>0</v>
      </c>
      <c r="S970" s="392">
        <v>0</v>
      </c>
      <c r="T970" s="392">
        <v>0</v>
      </c>
      <c r="U970" s="393">
        <v>0</v>
      </c>
      <c r="V970" s="394">
        <v>0</v>
      </c>
      <c r="W970" s="395"/>
      <c r="X970" s="396">
        <v>0</v>
      </c>
      <c r="Y970" s="397">
        <v>0</v>
      </c>
    </row>
    <row r="971" spans="1:25" s="250" customFormat="1" hidden="1" outlineLevel="1" x14ac:dyDescent="0.3">
      <c r="E971" s="250" t="s">
        <v>1940</v>
      </c>
      <c r="F971" s="376">
        <v>4503076</v>
      </c>
      <c r="G971" s="377"/>
      <c r="H971" s="378"/>
      <c r="I971" s="379"/>
      <c r="J971" s="391">
        <v>0</v>
      </c>
      <c r="K971" s="392">
        <v>0</v>
      </c>
      <c r="L971" s="392">
        <v>0</v>
      </c>
      <c r="M971" s="392">
        <v>0</v>
      </c>
      <c r="N971" s="392">
        <v>0</v>
      </c>
      <c r="O971" s="392">
        <v>0</v>
      </c>
      <c r="P971" s="392">
        <v>0</v>
      </c>
      <c r="Q971" s="392">
        <v>0</v>
      </c>
      <c r="R971" s="392">
        <v>0</v>
      </c>
      <c r="S971" s="392">
        <v>0</v>
      </c>
      <c r="T971" s="392">
        <v>0</v>
      </c>
      <c r="U971" s="393">
        <v>0</v>
      </c>
      <c r="V971" s="394">
        <v>0</v>
      </c>
      <c r="W971" s="395"/>
      <c r="X971" s="396">
        <v>0</v>
      </c>
      <c r="Y971" s="397">
        <v>0</v>
      </c>
    </row>
    <row r="972" spans="1:25" s="350" customFormat="1" hidden="1" outlineLevel="1" x14ac:dyDescent="0.3">
      <c r="E972" s="350" t="s">
        <v>1941</v>
      </c>
      <c r="F972" s="306">
        <v>4503077</v>
      </c>
      <c r="G972" s="307"/>
      <c r="H972" s="308"/>
      <c r="I972" s="309"/>
      <c r="J972" s="310">
        <v>0</v>
      </c>
      <c r="K972" s="311">
        <v>0</v>
      </c>
      <c r="L972" s="311">
        <v>0</v>
      </c>
      <c r="M972" s="311">
        <v>0</v>
      </c>
      <c r="N972" s="311">
        <v>0</v>
      </c>
      <c r="O972" s="311">
        <v>0</v>
      </c>
      <c r="P972" s="311">
        <v>0</v>
      </c>
      <c r="Q972" s="311">
        <v>0</v>
      </c>
      <c r="R972" s="311">
        <v>0</v>
      </c>
      <c r="S972" s="311">
        <v>0</v>
      </c>
      <c r="T972" s="311">
        <v>0</v>
      </c>
      <c r="U972" s="312">
        <v>0</v>
      </c>
      <c r="V972" s="313">
        <v>0</v>
      </c>
      <c r="W972" s="314"/>
      <c r="X972" s="315">
        <v>0</v>
      </c>
      <c r="Y972" s="316">
        <v>0</v>
      </c>
    </row>
    <row r="973" spans="1:25" s="350" customFormat="1" hidden="1" outlineLevel="2" x14ac:dyDescent="0.3">
      <c r="E973" s="326" t="s">
        <v>1942</v>
      </c>
      <c r="F973" s="306"/>
      <c r="G973" s="307"/>
      <c r="H973" s="308"/>
      <c r="I973" s="309"/>
      <c r="J973" s="310">
        <v>0</v>
      </c>
      <c r="K973" s="311">
        <v>0</v>
      </c>
      <c r="L973" s="311">
        <v>0</v>
      </c>
      <c r="M973" s="311">
        <v>0</v>
      </c>
      <c r="N973" s="311">
        <v>0</v>
      </c>
      <c r="O973" s="311">
        <v>0</v>
      </c>
      <c r="P973" s="311">
        <v>0</v>
      </c>
      <c r="Q973" s="311">
        <v>0</v>
      </c>
      <c r="R973" s="311">
        <v>0</v>
      </c>
      <c r="S973" s="311">
        <v>0</v>
      </c>
      <c r="T973" s="311">
        <v>0</v>
      </c>
      <c r="U973" s="312">
        <v>0</v>
      </c>
      <c r="V973" s="313">
        <v>0</v>
      </c>
      <c r="W973" s="314"/>
      <c r="X973" s="315">
        <v>0</v>
      </c>
      <c r="Y973" s="316">
        <v>0</v>
      </c>
    </row>
    <row r="974" spans="1:25" s="350" customFormat="1" hidden="1" outlineLevel="2" x14ac:dyDescent="0.3">
      <c r="E974" s="326" t="s">
        <v>1942</v>
      </c>
      <c r="F974" s="306"/>
      <c r="G974" s="307"/>
      <c r="H974" s="308"/>
      <c r="I974" s="309"/>
      <c r="J974" s="310">
        <v>0</v>
      </c>
      <c r="K974" s="311">
        <v>0</v>
      </c>
      <c r="L974" s="311">
        <v>0</v>
      </c>
      <c r="M974" s="311">
        <v>0</v>
      </c>
      <c r="N974" s="311">
        <v>0</v>
      </c>
      <c r="O974" s="311">
        <v>0</v>
      </c>
      <c r="P974" s="311">
        <v>0</v>
      </c>
      <c r="Q974" s="311">
        <v>0</v>
      </c>
      <c r="R974" s="311">
        <v>0</v>
      </c>
      <c r="S974" s="311">
        <v>0</v>
      </c>
      <c r="T974" s="311">
        <v>0</v>
      </c>
      <c r="U974" s="312">
        <v>0</v>
      </c>
      <c r="V974" s="313">
        <v>0</v>
      </c>
      <c r="W974" s="314"/>
      <c r="X974" s="315">
        <v>0</v>
      </c>
      <c r="Y974" s="316">
        <v>0</v>
      </c>
    </row>
    <row r="975" spans="1:25" s="350" customFormat="1" hidden="1" outlineLevel="2" x14ac:dyDescent="0.3">
      <c r="E975" s="326" t="s">
        <v>1943</v>
      </c>
      <c r="F975" s="306"/>
      <c r="G975" s="307"/>
      <c r="H975" s="308"/>
      <c r="I975" s="309"/>
      <c r="J975" s="310">
        <v>0</v>
      </c>
      <c r="K975" s="311">
        <v>0</v>
      </c>
      <c r="L975" s="311">
        <v>0</v>
      </c>
      <c r="M975" s="311">
        <v>0</v>
      </c>
      <c r="N975" s="311">
        <v>0</v>
      </c>
      <c r="O975" s="311">
        <v>0</v>
      </c>
      <c r="P975" s="311">
        <v>0</v>
      </c>
      <c r="Q975" s="311">
        <v>0</v>
      </c>
      <c r="R975" s="311">
        <v>0</v>
      </c>
      <c r="S975" s="311">
        <v>0</v>
      </c>
      <c r="T975" s="311">
        <v>0</v>
      </c>
      <c r="U975" s="312">
        <v>0</v>
      </c>
      <c r="V975" s="313">
        <v>0</v>
      </c>
      <c r="W975" s="314"/>
      <c r="X975" s="315">
        <v>0</v>
      </c>
      <c r="Y975" s="316">
        <v>0</v>
      </c>
    </row>
    <row r="976" spans="1:25" collapsed="1" x14ac:dyDescent="0.3">
      <c r="A976" s="233"/>
      <c r="B976" s="234" t="s">
        <v>74</v>
      </c>
      <c r="D976" s="293" t="s">
        <v>1944</v>
      </c>
      <c r="E976" s="294"/>
      <c r="F976" s="295" t="s">
        <v>1945</v>
      </c>
      <c r="G976" s="296"/>
      <c r="H976" s="297"/>
      <c r="I976" s="298"/>
      <c r="J976" s="299">
        <v>0</v>
      </c>
      <c r="K976" s="300">
        <v>0</v>
      </c>
      <c r="L976" s="300">
        <v>0</v>
      </c>
      <c r="M976" s="300">
        <v>0</v>
      </c>
      <c r="N976" s="300">
        <v>0</v>
      </c>
      <c r="O976" s="300">
        <v>0</v>
      </c>
      <c r="P976" s="300">
        <v>0</v>
      </c>
      <c r="Q976" s="300">
        <v>0</v>
      </c>
      <c r="R976" s="300">
        <v>0</v>
      </c>
      <c r="S976" s="300">
        <v>0</v>
      </c>
      <c r="T976" s="300">
        <v>0</v>
      </c>
      <c r="U976" s="301">
        <v>0</v>
      </c>
      <c r="V976" s="302">
        <v>0</v>
      </c>
      <c r="W976" s="303"/>
      <c r="X976" s="304">
        <v>0</v>
      </c>
      <c r="Y976" s="305">
        <v>0</v>
      </c>
    </row>
    <row r="977" spans="1:25" hidden="1" outlineLevel="1" x14ac:dyDescent="0.3">
      <c r="E977" s="250" t="s">
        <v>1946</v>
      </c>
      <c r="F977" s="317">
        <v>4503087</v>
      </c>
      <c r="G977" s="318"/>
      <c r="H977" s="319">
        <v>7301230102</v>
      </c>
      <c r="I977" s="320"/>
      <c r="J977" s="337">
        <v>0</v>
      </c>
      <c r="K977" s="321">
        <v>0</v>
      </c>
      <c r="L977" s="321">
        <v>0</v>
      </c>
      <c r="M977" s="321">
        <v>0</v>
      </c>
      <c r="N977" s="321">
        <v>0</v>
      </c>
      <c r="O977" s="321">
        <v>0</v>
      </c>
      <c r="P977" s="321">
        <v>0</v>
      </c>
      <c r="Q977" s="321">
        <v>0</v>
      </c>
      <c r="R977" s="321">
        <v>0</v>
      </c>
      <c r="S977" s="321">
        <v>0</v>
      </c>
      <c r="T977" s="321">
        <v>0</v>
      </c>
      <c r="U977" s="322">
        <v>0</v>
      </c>
      <c r="V977" s="323">
        <v>0</v>
      </c>
      <c r="W977" s="303"/>
      <c r="X977" s="324">
        <v>0</v>
      </c>
      <c r="Y977" s="325">
        <v>0</v>
      </c>
    </row>
    <row r="978" spans="1:25" hidden="1" outlineLevel="1" x14ac:dyDescent="0.3">
      <c r="E978" s="250" t="s">
        <v>1947</v>
      </c>
      <c r="F978" s="317">
        <v>4503065</v>
      </c>
      <c r="G978" s="318"/>
      <c r="H978" s="319"/>
      <c r="I978" s="320"/>
      <c r="J978" s="337">
        <v>0</v>
      </c>
      <c r="K978" s="321">
        <v>0</v>
      </c>
      <c r="L978" s="321">
        <v>0</v>
      </c>
      <c r="M978" s="321">
        <v>0</v>
      </c>
      <c r="N978" s="321">
        <v>0</v>
      </c>
      <c r="O978" s="321">
        <v>0</v>
      </c>
      <c r="P978" s="321">
        <v>0</v>
      </c>
      <c r="Q978" s="321">
        <v>0</v>
      </c>
      <c r="R978" s="321">
        <v>0</v>
      </c>
      <c r="S978" s="321">
        <v>0</v>
      </c>
      <c r="T978" s="321">
        <v>0</v>
      </c>
      <c r="U978" s="322">
        <v>0</v>
      </c>
      <c r="V978" s="323">
        <v>0</v>
      </c>
      <c r="W978" s="303"/>
      <c r="X978" s="324">
        <v>0</v>
      </c>
      <c r="Y978" s="325">
        <v>0</v>
      </c>
    </row>
    <row r="979" spans="1:25" hidden="1" outlineLevel="1" x14ac:dyDescent="0.3">
      <c r="E979" s="250" t="s">
        <v>1948</v>
      </c>
      <c r="F979" s="317">
        <v>4503066</v>
      </c>
      <c r="G979" s="318"/>
      <c r="H979" s="319"/>
      <c r="I979" s="320"/>
      <c r="J979" s="337">
        <v>0</v>
      </c>
      <c r="K979" s="321">
        <v>0</v>
      </c>
      <c r="L979" s="321">
        <v>0</v>
      </c>
      <c r="M979" s="321">
        <v>0</v>
      </c>
      <c r="N979" s="321">
        <v>0</v>
      </c>
      <c r="O979" s="321">
        <v>0</v>
      </c>
      <c r="P979" s="321">
        <v>0</v>
      </c>
      <c r="Q979" s="321">
        <v>0</v>
      </c>
      <c r="R979" s="321">
        <v>0</v>
      </c>
      <c r="S979" s="321">
        <v>0</v>
      </c>
      <c r="T979" s="321">
        <v>0</v>
      </c>
      <c r="U979" s="322">
        <v>0</v>
      </c>
      <c r="V979" s="323">
        <v>0</v>
      </c>
      <c r="W979" s="303"/>
      <c r="X979" s="324">
        <v>0</v>
      </c>
      <c r="Y979" s="325">
        <v>0</v>
      </c>
    </row>
    <row r="980" spans="1:25" hidden="1" outlineLevel="1" x14ac:dyDescent="0.3">
      <c r="E980" s="250" t="s">
        <v>1949</v>
      </c>
      <c r="F980" s="317">
        <v>4503086</v>
      </c>
      <c r="G980" s="318"/>
      <c r="H980" s="319">
        <v>7301230101</v>
      </c>
      <c r="I980" s="320"/>
      <c r="J980" s="337">
        <v>0</v>
      </c>
      <c r="K980" s="321">
        <v>0</v>
      </c>
      <c r="L980" s="321">
        <v>0</v>
      </c>
      <c r="M980" s="321">
        <v>0</v>
      </c>
      <c r="N980" s="321">
        <v>0</v>
      </c>
      <c r="O980" s="321">
        <v>0</v>
      </c>
      <c r="P980" s="321">
        <v>0</v>
      </c>
      <c r="Q980" s="321">
        <v>0</v>
      </c>
      <c r="R980" s="321">
        <v>0</v>
      </c>
      <c r="S980" s="321">
        <v>0</v>
      </c>
      <c r="T980" s="321">
        <v>0</v>
      </c>
      <c r="U980" s="322">
        <v>0</v>
      </c>
      <c r="V980" s="323">
        <v>0</v>
      </c>
      <c r="W980" s="303"/>
      <c r="X980" s="324">
        <v>0</v>
      </c>
      <c r="Y980" s="325">
        <v>0</v>
      </c>
    </row>
    <row r="981" spans="1:25" hidden="1" outlineLevel="1" x14ac:dyDescent="0.3">
      <c r="E981" s="250" t="s">
        <v>1950</v>
      </c>
      <c r="F981" s="317">
        <v>4503078</v>
      </c>
      <c r="G981" s="318"/>
      <c r="H981" s="319"/>
      <c r="I981" s="320"/>
      <c r="J981" s="337">
        <v>0</v>
      </c>
      <c r="K981" s="321">
        <v>0</v>
      </c>
      <c r="L981" s="321">
        <v>0</v>
      </c>
      <c r="M981" s="321">
        <v>0</v>
      </c>
      <c r="N981" s="321">
        <v>0</v>
      </c>
      <c r="O981" s="321">
        <v>0</v>
      </c>
      <c r="P981" s="321">
        <v>0</v>
      </c>
      <c r="Q981" s="321">
        <v>0</v>
      </c>
      <c r="R981" s="321">
        <v>0</v>
      </c>
      <c r="S981" s="321">
        <v>0</v>
      </c>
      <c r="T981" s="321">
        <v>0</v>
      </c>
      <c r="U981" s="322">
        <v>0</v>
      </c>
      <c r="V981" s="323">
        <v>0</v>
      </c>
      <c r="W981" s="303"/>
      <c r="X981" s="324">
        <v>0</v>
      </c>
      <c r="Y981" s="325">
        <v>0</v>
      </c>
    </row>
    <row r="982" spans="1:25" hidden="1" outlineLevel="1" x14ac:dyDescent="0.3">
      <c r="E982" s="250" t="s">
        <v>1951</v>
      </c>
      <c r="F982" s="317">
        <v>4503180</v>
      </c>
      <c r="G982" s="318"/>
      <c r="H982" s="319"/>
      <c r="I982" s="320"/>
      <c r="J982" s="337">
        <v>0</v>
      </c>
      <c r="K982" s="321">
        <v>0</v>
      </c>
      <c r="L982" s="321">
        <v>0</v>
      </c>
      <c r="M982" s="321">
        <v>0</v>
      </c>
      <c r="N982" s="321">
        <v>0</v>
      </c>
      <c r="O982" s="321">
        <v>0</v>
      </c>
      <c r="P982" s="321">
        <v>0</v>
      </c>
      <c r="Q982" s="321">
        <v>0</v>
      </c>
      <c r="R982" s="321">
        <v>0</v>
      </c>
      <c r="S982" s="321">
        <v>0</v>
      </c>
      <c r="T982" s="321">
        <v>0</v>
      </c>
      <c r="U982" s="322">
        <v>0</v>
      </c>
      <c r="V982" s="323">
        <v>0</v>
      </c>
      <c r="W982" s="303"/>
      <c r="X982" s="324">
        <v>0</v>
      </c>
      <c r="Y982" s="325">
        <v>0</v>
      </c>
    </row>
    <row r="983" spans="1:25" hidden="1" outlineLevel="1" x14ac:dyDescent="0.3">
      <c r="E983" s="250" t="s">
        <v>1952</v>
      </c>
      <c r="F983" s="317">
        <v>4503181</v>
      </c>
      <c r="G983" s="318"/>
      <c r="H983" s="319"/>
      <c r="I983" s="320"/>
      <c r="J983" s="337">
        <v>0</v>
      </c>
      <c r="K983" s="321">
        <v>0</v>
      </c>
      <c r="L983" s="321">
        <v>0</v>
      </c>
      <c r="M983" s="321">
        <v>0</v>
      </c>
      <c r="N983" s="321">
        <v>0</v>
      </c>
      <c r="O983" s="321">
        <v>0</v>
      </c>
      <c r="P983" s="321">
        <v>0</v>
      </c>
      <c r="Q983" s="321">
        <v>0</v>
      </c>
      <c r="R983" s="321">
        <v>0</v>
      </c>
      <c r="S983" s="321">
        <v>0</v>
      </c>
      <c r="T983" s="321">
        <v>0</v>
      </c>
      <c r="U983" s="322">
        <v>0</v>
      </c>
      <c r="V983" s="323">
        <v>0</v>
      </c>
      <c r="W983" s="303"/>
      <c r="X983" s="324">
        <v>0</v>
      </c>
      <c r="Y983" s="325">
        <v>0</v>
      </c>
    </row>
    <row r="984" spans="1:25" s="250" customFormat="1" hidden="1" outlineLevel="2" x14ac:dyDescent="0.3">
      <c r="E984" s="250" t="s">
        <v>1953</v>
      </c>
      <c r="F984" s="306">
        <v>4505607</v>
      </c>
      <c r="G984" s="307"/>
      <c r="H984" s="308"/>
      <c r="I984" s="309"/>
      <c r="J984" s="310">
        <v>0</v>
      </c>
      <c r="K984" s="311">
        <v>0</v>
      </c>
      <c r="L984" s="311">
        <v>0</v>
      </c>
      <c r="M984" s="311">
        <v>0</v>
      </c>
      <c r="N984" s="311">
        <v>0</v>
      </c>
      <c r="O984" s="311">
        <v>0</v>
      </c>
      <c r="P984" s="311">
        <v>0</v>
      </c>
      <c r="Q984" s="311">
        <v>0</v>
      </c>
      <c r="R984" s="311">
        <v>0</v>
      </c>
      <c r="S984" s="311">
        <v>0</v>
      </c>
      <c r="T984" s="311">
        <v>0</v>
      </c>
      <c r="U984" s="312">
        <v>0</v>
      </c>
      <c r="V984" s="313">
        <v>0</v>
      </c>
      <c r="W984" s="314"/>
      <c r="X984" s="315">
        <v>0</v>
      </c>
      <c r="Y984" s="316">
        <v>0</v>
      </c>
    </row>
    <row r="985" spans="1:25" s="250" customFormat="1" hidden="1" outlineLevel="2" x14ac:dyDescent="0.3">
      <c r="E985" s="250" t="s">
        <v>1954</v>
      </c>
      <c r="F985" s="306">
        <v>4505609</v>
      </c>
      <c r="G985" s="307"/>
      <c r="H985" s="308"/>
      <c r="I985" s="309"/>
      <c r="J985" s="310">
        <v>0</v>
      </c>
      <c r="K985" s="311">
        <v>0</v>
      </c>
      <c r="L985" s="311">
        <v>0</v>
      </c>
      <c r="M985" s="311">
        <v>0</v>
      </c>
      <c r="N985" s="311">
        <v>0</v>
      </c>
      <c r="O985" s="311">
        <v>0</v>
      </c>
      <c r="P985" s="311">
        <v>0</v>
      </c>
      <c r="Q985" s="311">
        <v>0</v>
      </c>
      <c r="R985" s="311">
        <v>0</v>
      </c>
      <c r="S985" s="311">
        <v>0</v>
      </c>
      <c r="T985" s="311">
        <v>0</v>
      </c>
      <c r="U985" s="312">
        <v>0</v>
      </c>
      <c r="V985" s="313">
        <v>0</v>
      </c>
      <c r="W985" s="314"/>
      <c r="X985" s="315">
        <v>0</v>
      </c>
      <c r="Y985" s="316">
        <v>0</v>
      </c>
    </row>
    <row r="986" spans="1:25" s="326" customFormat="1" hidden="1" outlineLevel="2" x14ac:dyDescent="0.3">
      <c r="E986" s="326" t="s">
        <v>1955</v>
      </c>
      <c r="F986" s="336"/>
      <c r="G986" s="327"/>
      <c r="H986" s="328"/>
      <c r="I986" s="329"/>
      <c r="J986" s="338">
        <v>0</v>
      </c>
      <c r="K986" s="330">
        <v>0</v>
      </c>
      <c r="L986" s="330">
        <v>0</v>
      </c>
      <c r="M986" s="330">
        <v>0</v>
      </c>
      <c r="N986" s="330">
        <v>0</v>
      </c>
      <c r="O986" s="330">
        <v>0</v>
      </c>
      <c r="P986" s="330">
        <v>0</v>
      </c>
      <c r="Q986" s="330">
        <v>0</v>
      </c>
      <c r="R986" s="330">
        <v>0</v>
      </c>
      <c r="S986" s="330">
        <v>0</v>
      </c>
      <c r="T986" s="330">
        <v>0</v>
      </c>
      <c r="U986" s="331">
        <v>0</v>
      </c>
      <c r="V986" s="332">
        <v>0</v>
      </c>
      <c r="W986" s="333"/>
      <c r="X986" s="334">
        <v>0</v>
      </c>
      <c r="Y986" s="335">
        <v>0</v>
      </c>
    </row>
    <row r="987" spans="1:25" s="326" customFormat="1" hidden="1" outlineLevel="2" x14ac:dyDescent="0.3">
      <c r="E987" s="326" t="s">
        <v>1956</v>
      </c>
      <c r="F987" s="336"/>
      <c r="G987" s="327"/>
      <c r="H987" s="328"/>
      <c r="I987" s="329"/>
      <c r="J987" s="338">
        <v>0</v>
      </c>
      <c r="K987" s="330">
        <v>0</v>
      </c>
      <c r="L987" s="330">
        <v>0</v>
      </c>
      <c r="M987" s="330">
        <v>0</v>
      </c>
      <c r="N987" s="330">
        <v>0</v>
      </c>
      <c r="O987" s="330">
        <v>0</v>
      </c>
      <c r="P987" s="330">
        <v>0</v>
      </c>
      <c r="Q987" s="330">
        <v>0</v>
      </c>
      <c r="R987" s="330">
        <v>0</v>
      </c>
      <c r="S987" s="330">
        <v>0</v>
      </c>
      <c r="T987" s="330">
        <v>0</v>
      </c>
      <c r="U987" s="331">
        <v>0</v>
      </c>
      <c r="V987" s="332">
        <v>0</v>
      </c>
      <c r="W987" s="333"/>
      <c r="X987" s="334">
        <v>0</v>
      </c>
      <c r="Y987" s="335">
        <v>0</v>
      </c>
    </row>
    <row r="988" spans="1:25" s="326" customFormat="1" hidden="1" outlineLevel="2" x14ac:dyDescent="0.3">
      <c r="E988" s="326" t="s">
        <v>1957</v>
      </c>
      <c r="F988" s="336"/>
      <c r="G988" s="327"/>
      <c r="H988" s="328"/>
      <c r="I988" s="329"/>
      <c r="J988" s="338">
        <v>0</v>
      </c>
      <c r="K988" s="330">
        <v>0</v>
      </c>
      <c r="L988" s="330">
        <v>0</v>
      </c>
      <c r="M988" s="330">
        <v>0</v>
      </c>
      <c r="N988" s="330">
        <v>0</v>
      </c>
      <c r="O988" s="330">
        <v>0</v>
      </c>
      <c r="P988" s="330">
        <v>0</v>
      </c>
      <c r="Q988" s="330">
        <v>0</v>
      </c>
      <c r="R988" s="330">
        <v>0</v>
      </c>
      <c r="S988" s="330">
        <v>0</v>
      </c>
      <c r="T988" s="330">
        <v>0</v>
      </c>
      <c r="U988" s="331">
        <v>0</v>
      </c>
      <c r="V988" s="332">
        <v>0</v>
      </c>
      <c r="W988" s="333"/>
      <c r="X988" s="334">
        <v>0</v>
      </c>
      <c r="Y988" s="335">
        <v>0</v>
      </c>
    </row>
    <row r="989" spans="1:25" collapsed="1" x14ac:dyDescent="0.3">
      <c r="A989" s="233"/>
      <c r="B989" s="234" t="s">
        <v>74</v>
      </c>
      <c r="D989" s="293" t="s">
        <v>1958</v>
      </c>
      <c r="E989" s="294"/>
      <c r="F989" s="295" t="s">
        <v>1959</v>
      </c>
      <c r="G989" s="296"/>
      <c r="H989" s="297"/>
      <c r="I989" s="298"/>
      <c r="J989" s="299">
        <v>0</v>
      </c>
      <c r="K989" s="300">
        <v>0</v>
      </c>
      <c r="L989" s="300">
        <v>0</v>
      </c>
      <c r="M989" s="300">
        <v>0</v>
      </c>
      <c r="N989" s="300">
        <v>0</v>
      </c>
      <c r="O989" s="300">
        <v>0</v>
      </c>
      <c r="P989" s="300">
        <v>0</v>
      </c>
      <c r="Q989" s="300">
        <v>0</v>
      </c>
      <c r="R989" s="300">
        <v>0</v>
      </c>
      <c r="S989" s="300">
        <v>0</v>
      </c>
      <c r="T989" s="300">
        <v>0</v>
      </c>
      <c r="U989" s="301">
        <v>0</v>
      </c>
      <c r="V989" s="302">
        <v>0</v>
      </c>
      <c r="W989" s="303"/>
      <c r="X989" s="304">
        <v>0</v>
      </c>
      <c r="Y989" s="305">
        <v>0</v>
      </c>
    </row>
    <row r="990" spans="1:25" s="250" customFormat="1" hidden="1" outlineLevel="1" x14ac:dyDescent="0.3">
      <c r="E990" s="250" t="s">
        <v>1960</v>
      </c>
      <c r="F990" s="376">
        <v>4503089</v>
      </c>
      <c r="G990" s="377"/>
      <c r="H990" s="378">
        <v>7301090101</v>
      </c>
      <c r="I990" s="379"/>
      <c r="J990" s="391">
        <v>0</v>
      </c>
      <c r="K990" s="392">
        <v>0</v>
      </c>
      <c r="L990" s="392">
        <v>0</v>
      </c>
      <c r="M990" s="392">
        <v>0</v>
      </c>
      <c r="N990" s="392">
        <v>0</v>
      </c>
      <c r="O990" s="392">
        <v>0</v>
      </c>
      <c r="P990" s="392">
        <v>0</v>
      </c>
      <c r="Q990" s="392">
        <v>0</v>
      </c>
      <c r="R990" s="392">
        <v>0</v>
      </c>
      <c r="S990" s="392">
        <v>0</v>
      </c>
      <c r="T990" s="392">
        <v>0</v>
      </c>
      <c r="U990" s="393">
        <v>0</v>
      </c>
      <c r="V990" s="394">
        <v>0</v>
      </c>
      <c r="W990" s="395"/>
      <c r="X990" s="396">
        <v>0</v>
      </c>
      <c r="Y990" s="397">
        <v>0</v>
      </c>
    </row>
    <row r="991" spans="1:25" s="250" customFormat="1" hidden="1" outlineLevel="1" x14ac:dyDescent="0.3">
      <c r="E991" s="250" t="s">
        <v>1961</v>
      </c>
      <c r="F991" s="376">
        <v>4503091</v>
      </c>
      <c r="G991" s="377"/>
      <c r="H991" s="378"/>
      <c r="I991" s="379"/>
      <c r="J991" s="391">
        <v>0</v>
      </c>
      <c r="K991" s="392">
        <v>0</v>
      </c>
      <c r="L991" s="392">
        <v>0</v>
      </c>
      <c r="M991" s="392">
        <v>0</v>
      </c>
      <c r="N991" s="392">
        <v>0</v>
      </c>
      <c r="O991" s="392">
        <v>0</v>
      </c>
      <c r="P991" s="392">
        <v>0</v>
      </c>
      <c r="Q991" s="392">
        <v>0</v>
      </c>
      <c r="R991" s="392">
        <v>0</v>
      </c>
      <c r="S991" s="392">
        <v>0</v>
      </c>
      <c r="T991" s="392">
        <v>0</v>
      </c>
      <c r="U991" s="393">
        <v>0</v>
      </c>
      <c r="V991" s="394">
        <v>0</v>
      </c>
      <c r="W991" s="395"/>
      <c r="X991" s="396">
        <v>0</v>
      </c>
      <c r="Y991" s="397">
        <v>0</v>
      </c>
    </row>
    <row r="992" spans="1:25" s="250" customFormat="1" hidden="1" outlineLevel="1" x14ac:dyDescent="0.3">
      <c r="E992" s="250" t="s">
        <v>1962</v>
      </c>
      <c r="F992" s="376">
        <v>4503092</v>
      </c>
      <c r="G992" s="377"/>
      <c r="H992" s="378"/>
      <c r="I992" s="379"/>
      <c r="J992" s="391">
        <v>0</v>
      </c>
      <c r="K992" s="392">
        <v>0</v>
      </c>
      <c r="L992" s="392">
        <v>0</v>
      </c>
      <c r="M992" s="392">
        <v>0</v>
      </c>
      <c r="N992" s="392">
        <v>0</v>
      </c>
      <c r="O992" s="392">
        <v>0</v>
      </c>
      <c r="P992" s="392">
        <v>0</v>
      </c>
      <c r="Q992" s="392">
        <v>0</v>
      </c>
      <c r="R992" s="392">
        <v>0</v>
      </c>
      <c r="S992" s="392">
        <v>0</v>
      </c>
      <c r="T992" s="392">
        <v>0</v>
      </c>
      <c r="U992" s="393">
        <v>0</v>
      </c>
      <c r="V992" s="394">
        <v>0</v>
      </c>
      <c r="W992" s="395"/>
      <c r="X992" s="396">
        <v>0</v>
      </c>
      <c r="Y992" s="397">
        <v>0</v>
      </c>
    </row>
    <row r="993" spans="1:25" s="350" customFormat="1" hidden="1" outlineLevel="1" x14ac:dyDescent="0.3">
      <c r="E993" s="350" t="s">
        <v>1963</v>
      </c>
      <c r="F993" s="306">
        <v>4503093</v>
      </c>
      <c r="G993" s="307"/>
      <c r="H993" s="308"/>
      <c r="I993" s="309"/>
      <c r="J993" s="310">
        <v>0</v>
      </c>
      <c r="K993" s="311">
        <v>0</v>
      </c>
      <c r="L993" s="311">
        <v>0</v>
      </c>
      <c r="M993" s="311">
        <v>0</v>
      </c>
      <c r="N993" s="311">
        <v>0</v>
      </c>
      <c r="O993" s="311">
        <v>0</v>
      </c>
      <c r="P993" s="311">
        <v>0</v>
      </c>
      <c r="Q993" s="311">
        <v>0</v>
      </c>
      <c r="R993" s="311">
        <v>0</v>
      </c>
      <c r="S993" s="311">
        <v>0</v>
      </c>
      <c r="T993" s="311">
        <v>0</v>
      </c>
      <c r="U993" s="312">
        <v>0</v>
      </c>
      <c r="V993" s="313">
        <v>0</v>
      </c>
      <c r="W993" s="314"/>
      <c r="X993" s="315">
        <v>0</v>
      </c>
      <c r="Y993" s="316">
        <v>0</v>
      </c>
    </row>
    <row r="994" spans="1:25" s="350" customFormat="1" hidden="1" outlineLevel="1" x14ac:dyDescent="0.3">
      <c r="E994" s="350" t="s">
        <v>1964</v>
      </c>
      <c r="F994" s="306">
        <v>4503094</v>
      </c>
      <c r="G994" s="307"/>
      <c r="H994" s="308"/>
      <c r="I994" s="309"/>
      <c r="J994" s="310">
        <v>0</v>
      </c>
      <c r="K994" s="311">
        <v>0</v>
      </c>
      <c r="L994" s="311">
        <v>0</v>
      </c>
      <c r="M994" s="311">
        <v>0</v>
      </c>
      <c r="N994" s="311">
        <v>0</v>
      </c>
      <c r="O994" s="311">
        <v>0</v>
      </c>
      <c r="P994" s="311">
        <v>0</v>
      </c>
      <c r="Q994" s="311">
        <v>0</v>
      </c>
      <c r="R994" s="311">
        <v>0</v>
      </c>
      <c r="S994" s="311">
        <v>0</v>
      </c>
      <c r="T994" s="311">
        <v>0</v>
      </c>
      <c r="U994" s="312">
        <v>0</v>
      </c>
      <c r="V994" s="313">
        <v>0</v>
      </c>
      <c r="W994" s="314"/>
      <c r="X994" s="315">
        <v>0</v>
      </c>
      <c r="Y994" s="316">
        <v>0</v>
      </c>
    </row>
    <row r="995" spans="1:25" s="361" customFormat="1" hidden="1" outlineLevel="2" x14ac:dyDescent="0.3">
      <c r="E995" s="361" t="s">
        <v>1965</v>
      </c>
      <c r="F995" s="351"/>
      <c r="G995" s="352"/>
      <c r="H995" s="353"/>
      <c r="I995" s="354"/>
      <c r="J995" s="362">
        <v>0</v>
      </c>
      <c r="K995" s="355">
        <v>0</v>
      </c>
      <c r="L995" s="355">
        <v>0</v>
      </c>
      <c r="M995" s="355">
        <v>0</v>
      </c>
      <c r="N995" s="355">
        <v>0</v>
      </c>
      <c r="O995" s="355">
        <v>0</v>
      </c>
      <c r="P995" s="355">
        <v>0</v>
      </c>
      <c r="Q995" s="355">
        <v>0</v>
      </c>
      <c r="R995" s="355">
        <v>0</v>
      </c>
      <c r="S995" s="355">
        <v>0</v>
      </c>
      <c r="T995" s="355">
        <v>0</v>
      </c>
      <c r="U995" s="356">
        <v>0</v>
      </c>
      <c r="V995" s="357">
        <v>0</v>
      </c>
      <c r="W995" s="358"/>
      <c r="X995" s="359">
        <v>0</v>
      </c>
      <c r="Y995" s="360">
        <v>0</v>
      </c>
    </row>
    <row r="996" spans="1:25" s="361" customFormat="1" hidden="1" outlineLevel="2" x14ac:dyDescent="0.3">
      <c r="E996" s="361" t="s">
        <v>1966</v>
      </c>
      <c r="F996" s="351"/>
      <c r="G996" s="352"/>
      <c r="H996" s="353"/>
      <c r="I996" s="354"/>
      <c r="J996" s="362">
        <v>0</v>
      </c>
      <c r="K996" s="355">
        <v>0</v>
      </c>
      <c r="L996" s="355">
        <v>0</v>
      </c>
      <c r="M996" s="355">
        <v>0</v>
      </c>
      <c r="N996" s="355">
        <v>0</v>
      </c>
      <c r="O996" s="355">
        <v>0</v>
      </c>
      <c r="P996" s="355">
        <v>0</v>
      </c>
      <c r="Q996" s="355">
        <v>0</v>
      </c>
      <c r="R996" s="355">
        <v>0</v>
      </c>
      <c r="S996" s="355">
        <v>0</v>
      </c>
      <c r="T996" s="355">
        <v>0</v>
      </c>
      <c r="U996" s="356">
        <v>0</v>
      </c>
      <c r="V996" s="357">
        <v>0</v>
      </c>
      <c r="W996" s="358"/>
      <c r="X996" s="359">
        <v>0</v>
      </c>
      <c r="Y996" s="360">
        <v>0</v>
      </c>
    </row>
    <row r="997" spans="1:25" s="361" customFormat="1" hidden="1" outlineLevel="2" x14ac:dyDescent="0.3">
      <c r="E997" s="361" t="s">
        <v>1967</v>
      </c>
      <c r="F997" s="351"/>
      <c r="G997" s="352"/>
      <c r="H997" s="353"/>
      <c r="I997" s="354"/>
      <c r="J997" s="362">
        <v>0</v>
      </c>
      <c r="K997" s="355">
        <v>0</v>
      </c>
      <c r="L997" s="355">
        <v>0</v>
      </c>
      <c r="M997" s="355">
        <v>0</v>
      </c>
      <c r="N997" s="355">
        <v>0</v>
      </c>
      <c r="O997" s="355">
        <v>0</v>
      </c>
      <c r="P997" s="355">
        <v>0</v>
      </c>
      <c r="Q997" s="355">
        <v>0</v>
      </c>
      <c r="R997" s="355">
        <v>0</v>
      </c>
      <c r="S997" s="355">
        <v>0</v>
      </c>
      <c r="T997" s="355">
        <v>0</v>
      </c>
      <c r="U997" s="356">
        <v>0</v>
      </c>
      <c r="V997" s="357">
        <v>0</v>
      </c>
      <c r="W997" s="358"/>
      <c r="X997" s="359">
        <v>0</v>
      </c>
      <c r="Y997" s="360">
        <v>0</v>
      </c>
    </row>
    <row r="998" spans="1:25" collapsed="1" x14ac:dyDescent="0.3">
      <c r="A998" s="233"/>
      <c r="B998" s="234" t="s">
        <v>74</v>
      </c>
      <c r="D998" s="293" t="s">
        <v>1968</v>
      </c>
      <c r="E998" s="294"/>
      <c r="F998" s="295" t="s">
        <v>1969</v>
      </c>
      <c r="G998" s="296"/>
      <c r="H998" s="297"/>
      <c r="I998" s="298"/>
      <c r="J998" s="299">
        <v>0</v>
      </c>
      <c r="K998" s="300">
        <v>0</v>
      </c>
      <c r="L998" s="300">
        <v>320000</v>
      </c>
      <c r="M998" s="300">
        <v>2149782.23</v>
      </c>
      <c r="N998" s="300">
        <v>0</v>
      </c>
      <c r="O998" s="300">
        <v>285000</v>
      </c>
      <c r="P998" s="300">
        <v>95000</v>
      </c>
      <c r="Q998" s="300">
        <v>279727.78000000003</v>
      </c>
      <c r="R998" s="300">
        <v>415000</v>
      </c>
      <c r="S998" s="300">
        <v>139330</v>
      </c>
      <c r="T998" s="300">
        <v>129740.03</v>
      </c>
      <c r="U998" s="301">
        <v>392402.01</v>
      </c>
      <c r="V998" s="302">
        <v>4205982.05</v>
      </c>
      <c r="W998" s="303"/>
      <c r="X998" s="304">
        <v>392402.01</v>
      </c>
      <c r="Y998" s="305">
        <v>4205982.05</v>
      </c>
    </row>
    <row r="999" spans="1:25" s="250" customFormat="1" hidden="1" outlineLevel="1" x14ac:dyDescent="0.3">
      <c r="E999" s="250" t="s">
        <v>1970</v>
      </c>
      <c r="F999" s="376">
        <v>4507501</v>
      </c>
      <c r="G999" s="377"/>
      <c r="H999" s="378">
        <v>7301190101</v>
      </c>
      <c r="I999" s="379"/>
      <c r="J999" s="391">
        <v>0</v>
      </c>
      <c r="K999" s="392">
        <v>0</v>
      </c>
      <c r="L999" s="392">
        <v>0</v>
      </c>
      <c r="M999" s="392">
        <v>0</v>
      </c>
      <c r="N999" s="392">
        <v>0</v>
      </c>
      <c r="O999" s="392">
        <v>0</v>
      </c>
      <c r="P999" s="392">
        <v>0</v>
      </c>
      <c r="Q999" s="392">
        <v>0</v>
      </c>
      <c r="R999" s="392">
        <v>0</v>
      </c>
      <c r="S999" s="392">
        <v>0</v>
      </c>
      <c r="T999" s="392">
        <v>8740.0300000000007</v>
      </c>
      <c r="U999" s="393">
        <v>0</v>
      </c>
      <c r="V999" s="394">
        <v>8740.0300000000007</v>
      </c>
      <c r="W999" s="395"/>
      <c r="X999" s="396">
        <v>0</v>
      </c>
      <c r="Y999" s="397">
        <v>8740.0300000000007</v>
      </c>
    </row>
    <row r="1000" spans="1:25" s="350" customFormat="1" hidden="1" outlineLevel="1" x14ac:dyDescent="0.3">
      <c r="E1000" s="350" t="s">
        <v>1971</v>
      </c>
      <c r="F1000" s="306">
        <v>4507502</v>
      </c>
      <c r="G1000" s="307"/>
      <c r="H1000" s="308"/>
      <c r="I1000" s="309"/>
      <c r="J1000" s="310">
        <v>0</v>
      </c>
      <c r="K1000" s="311">
        <v>0</v>
      </c>
      <c r="L1000" s="311">
        <v>0</v>
      </c>
      <c r="M1000" s="311">
        <v>10000</v>
      </c>
      <c r="N1000" s="311">
        <v>0</v>
      </c>
      <c r="O1000" s="311">
        <v>0</v>
      </c>
      <c r="P1000" s="311">
        <v>0</v>
      </c>
      <c r="Q1000" s="311">
        <v>0</v>
      </c>
      <c r="R1000" s="311">
        <v>0</v>
      </c>
      <c r="S1000" s="311">
        <v>0</v>
      </c>
      <c r="T1000" s="311">
        <v>0</v>
      </c>
      <c r="U1000" s="312">
        <v>0</v>
      </c>
      <c r="V1000" s="313">
        <v>10000</v>
      </c>
      <c r="W1000" s="314"/>
      <c r="X1000" s="315">
        <v>0</v>
      </c>
      <c r="Y1000" s="316">
        <v>10000</v>
      </c>
    </row>
    <row r="1001" spans="1:25" s="350" customFormat="1" hidden="1" outlineLevel="1" x14ac:dyDescent="0.3">
      <c r="E1001" s="350" t="s">
        <v>1972</v>
      </c>
      <c r="F1001" s="306">
        <v>4507503</v>
      </c>
      <c r="G1001" s="307"/>
      <c r="H1001" s="308"/>
      <c r="I1001" s="309"/>
      <c r="J1001" s="310">
        <v>0</v>
      </c>
      <c r="K1001" s="311">
        <v>0</v>
      </c>
      <c r="L1001" s="311">
        <v>320000</v>
      </c>
      <c r="M1001" s="311">
        <v>2139782.23</v>
      </c>
      <c r="N1001" s="311">
        <v>0</v>
      </c>
      <c r="O1001" s="311">
        <v>285000</v>
      </c>
      <c r="P1001" s="311">
        <v>95000</v>
      </c>
      <c r="Q1001" s="311">
        <v>279727.78000000003</v>
      </c>
      <c r="R1001" s="311">
        <v>415000</v>
      </c>
      <c r="S1001" s="311">
        <v>139330</v>
      </c>
      <c r="T1001" s="311">
        <v>121000</v>
      </c>
      <c r="U1001" s="312">
        <v>392402.01</v>
      </c>
      <c r="V1001" s="313">
        <v>4187242.0199999996</v>
      </c>
      <c r="W1001" s="314"/>
      <c r="X1001" s="315">
        <v>392402.01</v>
      </c>
      <c r="Y1001" s="316">
        <v>4187242.0199999996</v>
      </c>
    </row>
    <row r="1002" spans="1:25" s="350" customFormat="1" hidden="1" outlineLevel="1" x14ac:dyDescent="0.3">
      <c r="E1002" s="350" t="s">
        <v>1973</v>
      </c>
      <c r="F1002" s="306">
        <v>4507504</v>
      </c>
      <c r="G1002" s="307"/>
      <c r="H1002" s="308"/>
      <c r="I1002" s="309"/>
      <c r="J1002" s="310">
        <v>0</v>
      </c>
      <c r="K1002" s="311">
        <v>0</v>
      </c>
      <c r="L1002" s="311">
        <v>0</v>
      </c>
      <c r="M1002" s="311">
        <v>0</v>
      </c>
      <c r="N1002" s="311">
        <v>0</v>
      </c>
      <c r="O1002" s="311">
        <v>0</v>
      </c>
      <c r="P1002" s="311">
        <v>0</v>
      </c>
      <c r="Q1002" s="311">
        <v>0</v>
      </c>
      <c r="R1002" s="311">
        <v>0</v>
      </c>
      <c r="S1002" s="311">
        <v>0</v>
      </c>
      <c r="T1002" s="311">
        <v>0</v>
      </c>
      <c r="U1002" s="312">
        <v>0</v>
      </c>
      <c r="V1002" s="313">
        <v>0</v>
      </c>
      <c r="W1002" s="314"/>
      <c r="X1002" s="315">
        <v>0</v>
      </c>
      <c r="Y1002" s="316">
        <v>0</v>
      </c>
    </row>
    <row r="1003" spans="1:25" s="350" customFormat="1" hidden="1" outlineLevel="1" x14ac:dyDescent="0.3">
      <c r="E1003" s="350" t="s">
        <v>1974</v>
      </c>
      <c r="F1003" s="306">
        <v>4507505</v>
      </c>
      <c r="G1003" s="307"/>
      <c r="H1003" s="308"/>
      <c r="I1003" s="309"/>
      <c r="J1003" s="310">
        <v>0</v>
      </c>
      <c r="K1003" s="311">
        <v>0</v>
      </c>
      <c r="L1003" s="311">
        <v>0</v>
      </c>
      <c r="M1003" s="311">
        <v>0</v>
      </c>
      <c r="N1003" s="311">
        <v>0</v>
      </c>
      <c r="O1003" s="311">
        <v>0</v>
      </c>
      <c r="P1003" s="311">
        <v>0</v>
      </c>
      <c r="Q1003" s="311">
        <v>0</v>
      </c>
      <c r="R1003" s="311">
        <v>0</v>
      </c>
      <c r="S1003" s="311">
        <v>0</v>
      </c>
      <c r="T1003" s="311">
        <v>0</v>
      </c>
      <c r="U1003" s="312">
        <v>0</v>
      </c>
      <c r="V1003" s="313">
        <v>0</v>
      </c>
      <c r="W1003" s="314"/>
      <c r="X1003" s="315">
        <v>0</v>
      </c>
      <c r="Y1003" s="316">
        <v>0</v>
      </c>
    </row>
    <row r="1004" spans="1:25" s="350" customFormat="1" hidden="1" outlineLevel="1" x14ac:dyDescent="0.3">
      <c r="E1004" s="350" t="s">
        <v>1975</v>
      </c>
      <c r="F1004" s="306">
        <v>4507506</v>
      </c>
      <c r="G1004" s="307"/>
      <c r="H1004" s="308"/>
      <c r="I1004" s="309"/>
      <c r="J1004" s="310">
        <v>0</v>
      </c>
      <c r="K1004" s="311">
        <v>0</v>
      </c>
      <c r="L1004" s="311">
        <v>0</v>
      </c>
      <c r="M1004" s="311">
        <v>0</v>
      </c>
      <c r="N1004" s="311">
        <v>0</v>
      </c>
      <c r="O1004" s="311">
        <v>0</v>
      </c>
      <c r="P1004" s="311">
        <v>0</v>
      </c>
      <c r="Q1004" s="311">
        <v>0</v>
      </c>
      <c r="R1004" s="311">
        <v>0</v>
      </c>
      <c r="S1004" s="311">
        <v>0</v>
      </c>
      <c r="T1004" s="311">
        <v>0</v>
      </c>
      <c r="U1004" s="312">
        <v>0</v>
      </c>
      <c r="V1004" s="313">
        <v>0</v>
      </c>
      <c r="W1004" s="314"/>
      <c r="X1004" s="315">
        <v>0</v>
      </c>
      <c r="Y1004" s="316">
        <v>0</v>
      </c>
    </row>
    <row r="1005" spans="1:25" s="361" customFormat="1" hidden="1" outlineLevel="2" x14ac:dyDescent="0.3">
      <c r="E1005" s="361" t="s">
        <v>1976</v>
      </c>
      <c r="F1005" s="351"/>
      <c r="G1005" s="352"/>
      <c r="H1005" s="353"/>
      <c r="I1005" s="354"/>
      <c r="J1005" s="362">
        <v>0</v>
      </c>
      <c r="K1005" s="355">
        <v>0</v>
      </c>
      <c r="L1005" s="355">
        <v>0</v>
      </c>
      <c r="M1005" s="355">
        <v>0</v>
      </c>
      <c r="N1005" s="355">
        <v>0</v>
      </c>
      <c r="O1005" s="355">
        <v>0</v>
      </c>
      <c r="P1005" s="355">
        <v>0</v>
      </c>
      <c r="Q1005" s="355">
        <v>0</v>
      </c>
      <c r="R1005" s="355">
        <v>0</v>
      </c>
      <c r="S1005" s="355">
        <v>0</v>
      </c>
      <c r="T1005" s="355">
        <v>0</v>
      </c>
      <c r="U1005" s="356">
        <v>0</v>
      </c>
      <c r="V1005" s="357">
        <v>0</v>
      </c>
      <c r="W1005" s="358"/>
      <c r="X1005" s="359">
        <v>0</v>
      </c>
      <c r="Y1005" s="360">
        <v>0</v>
      </c>
    </row>
    <row r="1006" spans="1:25" s="361" customFormat="1" hidden="1" outlineLevel="2" x14ac:dyDescent="0.3">
      <c r="E1006" s="361" t="s">
        <v>1977</v>
      </c>
      <c r="F1006" s="351"/>
      <c r="G1006" s="352"/>
      <c r="H1006" s="353"/>
      <c r="I1006" s="354"/>
      <c r="J1006" s="362">
        <v>0</v>
      </c>
      <c r="K1006" s="355">
        <v>0</v>
      </c>
      <c r="L1006" s="355">
        <v>0</v>
      </c>
      <c r="M1006" s="355">
        <v>0</v>
      </c>
      <c r="N1006" s="355">
        <v>0</v>
      </c>
      <c r="O1006" s="355">
        <v>0</v>
      </c>
      <c r="P1006" s="355">
        <v>0</v>
      </c>
      <c r="Q1006" s="355">
        <v>0</v>
      </c>
      <c r="R1006" s="355">
        <v>0</v>
      </c>
      <c r="S1006" s="355">
        <v>0</v>
      </c>
      <c r="T1006" s="355">
        <v>0</v>
      </c>
      <c r="U1006" s="356">
        <v>0</v>
      </c>
      <c r="V1006" s="357">
        <v>0</v>
      </c>
      <c r="W1006" s="358"/>
      <c r="X1006" s="359">
        <v>0</v>
      </c>
      <c r="Y1006" s="360">
        <v>0</v>
      </c>
    </row>
    <row r="1007" spans="1:25" s="361" customFormat="1" hidden="1" outlineLevel="2" x14ac:dyDescent="0.3">
      <c r="E1007" s="361" t="s">
        <v>1978</v>
      </c>
      <c r="F1007" s="351"/>
      <c r="G1007" s="352"/>
      <c r="H1007" s="353"/>
      <c r="I1007" s="354"/>
      <c r="J1007" s="362">
        <v>0</v>
      </c>
      <c r="K1007" s="355">
        <v>0</v>
      </c>
      <c r="L1007" s="355">
        <v>0</v>
      </c>
      <c r="M1007" s="355">
        <v>0</v>
      </c>
      <c r="N1007" s="355">
        <v>0</v>
      </c>
      <c r="O1007" s="355">
        <v>0</v>
      </c>
      <c r="P1007" s="355">
        <v>0</v>
      </c>
      <c r="Q1007" s="355">
        <v>0</v>
      </c>
      <c r="R1007" s="355">
        <v>0</v>
      </c>
      <c r="S1007" s="355">
        <v>0</v>
      </c>
      <c r="T1007" s="355">
        <v>0</v>
      </c>
      <c r="U1007" s="356">
        <v>0</v>
      </c>
      <c r="V1007" s="357">
        <v>0</v>
      </c>
      <c r="W1007" s="358"/>
      <c r="X1007" s="359">
        <v>0</v>
      </c>
      <c r="Y1007" s="360">
        <v>0</v>
      </c>
    </row>
    <row r="1008" spans="1:25" collapsed="1" x14ac:dyDescent="0.3">
      <c r="B1008" s="234" t="s">
        <v>74</v>
      </c>
      <c r="D1008" s="293" t="s">
        <v>1979</v>
      </c>
      <c r="E1008" s="294"/>
      <c r="F1008" s="295" t="s">
        <v>1980</v>
      </c>
      <c r="G1008" s="296"/>
      <c r="H1008" s="297"/>
      <c r="I1008" s="298"/>
      <c r="J1008" s="299">
        <v>0</v>
      </c>
      <c r="K1008" s="300">
        <v>0</v>
      </c>
      <c r="L1008" s="300">
        <v>0</v>
      </c>
      <c r="M1008" s="300">
        <v>0</v>
      </c>
      <c r="N1008" s="300">
        <v>0</v>
      </c>
      <c r="O1008" s="300">
        <v>0</v>
      </c>
      <c r="P1008" s="300">
        <v>0</v>
      </c>
      <c r="Q1008" s="300">
        <v>0</v>
      </c>
      <c r="R1008" s="300">
        <v>0</v>
      </c>
      <c r="S1008" s="300">
        <v>0</v>
      </c>
      <c r="T1008" s="300">
        <v>0</v>
      </c>
      <c r="U1008" s="301">
        <v>0</v>
      </c>
      <c r="V1008" s="302">
        <v>0</v>
      </c>
      <c r="W1008" s="303"/>
      <c r="X1008" s="304">
        <v>0</v>
      </c>
      <c r="Y1008" s="305">
        <v>0</v>
      </c>
    </row>
    <row r="1009" spans="1:25" s="350" customFormat="1" hidden="1" outlineLevel="1" x14ac:dyDescent="0.3">
      <c r="E1009" s="350" t="s">
        <v>1981</v>
      </c>
      <c r="F1009" s="306">
        <v>4508700</v>
      </c>
      <c r="G1009" s="307"/>
      <c r="H1009" s="308"/>
      <c r="I1009" s="309"/>
      <c r="J1009" s="310">
        <v>0</v>
      </c>
      <c r="K1009" s="311">
        <v>0</v>
      </c>
      <c r="L1009" s="311">
        <v>0</v>
      </c>
      <c r="M1009" s="311">
        <v>0</v>
      </c>
      <c r="N1009" s="311">
        <v>0</v>
      </c>
      <c r="O1009" s="311">
        <v>0</v>
      </c>
      <c r="P1009" s="311">
        <v>0</v>
      </c>
      <c r="Q1009" s="311">
        <v>0</v>
      </c>
      <c r="R1009" s="311">
        <v>0</v>
      </c>
      <c r="S1009" s="311">
        <v>0</v>
      </c>
      <c r="T1009" s="311">
        <v>0</v>
      </c>
      <c r="U1009" s="312">
        <v>0</v>
      </c>
      <c r="V1009" s="313">
        <v>0</v>
      </c>
      <c r="W1009" s="314"/>
      <c r="X1009" s="315">
        <v>0</v>
      </c>
      <c r="Y1009" s="316">
        <v>0</v>
      </c>
    </row>
    <row r="1010" spans="1:25" s="361" customFormat="1" hidden="1" outlineLevel="2" x14ac:dyDescent="0.3">
      <c r="E1010" s="361" t="s">
        <v>1982</v>
      </c>
      <c r="F1010" s="351"/>
      <c r="G1010" s="352"/>
      <c r="H1010" s="353"/>
      <c r="I1010" s="354"/>
      <c r="J1010" s="362">
        <v>0</v>
      </c>
      <c r="K1010" s="355">
        <v>0</v>
      </c>
      <c r="L1010" s="355">
        <v>0</v>
      </c>
      <c r="M1010" s="355">
        <v>0</v>
      </c>
      <c r="N1010" s="355">
        <v>0</v>
      </c>
      <c r="O1010" s="355">
        <v>0</v>
      </c>
      <c r="P1010" s="355">
        <v>0</v>
      </c>
      <c r="Q1010" s="355">
        <v>0</v>
      </c>
      <c r="R1010" s="355">
        <v>0</v>
      </c>
      <c r="S1010" s="355">
        <v>0</v>
      </c>
      <c r="T1010" s="355">
        <v>0</v>
      </c>
      <c r="U1010" s="356">
        <v>0</v>
      </c>
      <c r="V1010" s="357">
        <v>0</v>
      </c>
      <c r="W1010" s="358"/>
      <c r="X1010" s="359">
        <v>0</v>
      </c>
      <c r="Y1010" s="360">
        <v>0</v>
      </c>
    </row>
    <row r="1011" spans="1:25" s="361" customFormat="1" hidden="1" outlineLevel="2" x14ac:dyDescent="0.3">
      <c r="E1011" s="361" t="s">
        <v>1983</v>
      </c>
      <c r="F1011" s="351"/>
      <c r="G1011" s="352"/>
      <c r="H1011" s="353"/>
      <c r="I1011" s="354"/>
      <c r="J1011" s="362">
        <v>0</v>
      </c>
      <c r="K1011" s="355">
        <v>0</v>
      </c>
      <c r="L1011" s="355">
        <v>0</v>
      </c>
      <c r="M1011" s="355">
        <v>0</v>
      </c>
      <c r="N1011" s="355">
        <v>0</v>
      </c>
      <c r="O1011" s="355">
        <v>0</v>
      </c>
      <c r="P1011" s="355">
        <v>0</v>
      </c>
      <c r="Q1011" s="355">
        <v>0</v>
      </c>
      <c r="R1011" s="355">
        <v>0</v>
      </c>
      <c r="S1011" s="355">
        <v>0</v>
      </c>
      <c r="T1011" s="355">
        <v>0</v>
      </c>
      <c r="U1011" s="356">
        <v>0</v>
      </c>
      <c r="V1011" s="357">
        <v>0</v>
      </c>
      <c r="W1011" s="358"/>
      <c r="X1011" s="359">
        <v>0</v>
      </c>
      <c r="Y1011" s="360">
        <v>0</v>
      </c>
    </row>
    <row r="1012" spans="1:25" s="361" customFormat="1" hidden="1" outlineLevel="2" x14ac:dyDescent="0.3">
      <c r="E1012" s="361" t="s">
        <v>1984</v>
      </c>
      <c r="F1012" s="351"/>
      <c r="G1012" s="352"/>
      <c r="H1012" s="353"/>
      <c r="I1012" s="354"/>
      <c r="J1012" s="362">
        <v>0</v>
      </c>
      <c r="K1012" s="355">
        <v>0</v>
      </c>
      <c r="L1012" s="355">
        <v>0</v>
      </c>
      <c r="M1012" s="355">
        <v>0</v>
      </c>
      <c r="N1012" s="355">
        <v>0</v>
      </c>
      <c r="O1012" s="355">
        <v>0</v>
      </c>
      <c r="P1012" s="355">
        <v>0</v>
      </c>
      <c r="Q1012" s="355">
        <v>0</v>
      </c>
      <c r="R1012" s="355">
        <v>0</v>
      </c>
      <c r="S1012" s="355">
        <v>0</v>
      </c>
      <c r="T1012" s="355">
        <v>0</v>
      </c>
      <c r="U1012" s="356">
        <v>0</v>
      </c>
      <c r="V1012" s="357">
        <v>0</v>
      </c>
      <c r="W1012" s="358"/>
      <c r="X1012" s="359">
        <v>0</v>
      </c>
      <c r="Y1012" s="360">
        <v>0</v>
      </c>
    </row>
    <row r="1013" spans="1:25" collapsed="1" x14ac:dyDescent="0.3">
      <c r="A1013" s="233"/>
      <c r="B1013" s="234" t="s">
        <v>74</v>
      </c>
      <c r="D1013" s="293" t="s">
        <v>1985</v>
      </c>
      <c r="E1013" s="294"/>
      <c r="F1013" s="295" t="s">
        <v>1986</v>
      </c>
      <c r="G1013" s="296"/>
      <c r="H1013" s="297"/>
      <c r="I1013" s="298"/>
      <c r="J1013" s="299">
        <v>0</v>
      </c>
      <c r="K1013" s="300">
        <v>0</v>
      </c>
      <c r="L1013" s="300">
        <v>0</v>
      </c>
      <c r="M1013" s="300">
        <v>0</v>
      </c>
      <c r="N1013" s="300">
        <v>0</v>
      </c>
      <c r="O1013" s="300">
        <v>0</v>
      </c>
      <c r="P1013" s="300">
        <v>0</v>
      </c>
      <c r="Q1013" s="300">
        <v>0</v>
      </c>
      <c r="R1013" s="300">
        <v>0</v>
      </c>
      <c r="S1013" s="300">
        <v>0</v>
      </c>
      <c r="T1013" s="300">
        <v>0</v>
      </c>
      <c r="U1013" s="301">
        <v>0</v>
      </c>
      <c r="V1013" s="302">
        <v>0</v>
      </c>
      <c r="W1013" s="303"/>
      <c r="X1013" s="304">
        <v>0</v>
      </c>
      <c r="Y1013" s="305">
        <v>0</v>
      </c>
    </row>
    <row r="1014" spans="1:25" hidden="1" outlineLevel="1" x14ac:dyDescent="0.3">
      <c r="E1014" s="250" t="s">
        <v>1987</v>
      </c>
      <c r="F1014" s="317">
        <v>4503088</v>
      </c>
      <c r="G1014" s="318"/>
      <c r="H1014" s="319">
        <v>7301100000</v>
      </c>
      <c r="I1014" s="320"/>
      <c r="J1014" s="337">
        <v>0</v>
      </c>
      <c r="K1014" s="321">
        <v>0</v>
      </c>
      <c r="L1014" s="321">
        <v>0</v>
      </c>
      <c r="M1014" s="321">
        <v>0</v>
      </c>
      <c r="N1014" s="321">
        <v>0</v>
      </c>
      <c r="O1014" s="321">
        <v>0</v>
      </c>
      <c r="P1014" s="321">
        <v>0</v>
      </c>
      <c r="Q1014" s="321">
        <v>0</v>
      </c>
      <c r="R1014" s="321">
        <v>0</v>
      </c>
      <c r="S1014" s="321">
        <v>0</v>
      </c>
      <c r="T1014" s="321">
        <v>0</v>
      </c>
      <c r="U1014" s="322">
        <v>0</v>
      </c>
      <c r="V1014" s="323">
        <v>0</v>
      </c>
      <c r="W1014" s="303"/>
      <c r="X1014" s="324">
        <v>0</v>
      </c>
      <c r="Y1014" s="325">
        <v>0</v>
      </c>
    </row>
    <row r="1015" spans="1:25" hidden="1" outlineLevel="1" x14ac:dyDescent="0.3">
      <c r="E1015" s="250" t="s">
        <v>1988</v>
      </c>
      <c r="F1015" s="317">
        <v>4503501</v>
      </c>
      <c r="G1015" s="318"/>
      <c r="H1015" s="319">
        <v>7301310201</v>
      </c>
      <c r="I1015" s="320"/>
      <c r="J1015" s="337">
        <v>0</v>
      </c>
      <c r="K1015" s="321">
        <v>0</v>
      </c>
      <c r="L1015" s="321">
        <v>0</v>
      </c>
      <c r="M1015" s="321">
        <v>0</v>
      </c>
      <c r="N1015" s="321">
        <v>0</v>
      </c>
      <c r="O1015" s="321">
        <v>0</v>
      </c>
      <c r="P1015" s="321">
        <v>0</v>
      </c>
      <c r="Q1015" s="321">
        <v>0</v>
      </c>
      <c r="R1015" s="321">
        <v>0</v>
      </c>
      <c r="S1015" s="321">
        <v>0</v>
      </c>
      <c r="T1015" s="321">
        <v>0</v>
      </c>
      <c r="U1015" s="322">
        <v>0</v>
      </c>
      <c r="V1015" s="323">
        <v>0</v>
      </c>
      <c r="W1015" s="303"/>
      <c r="X1015" s="324">
        <v>0</v>
      </c>
      <c r="Y1015" s="325">
        <v>0</v>
      </c>
    </row>
    <row r="1016" spans="1:25" hidden="1" outlineLevel="1" x14ac:dyDescent="0.3">
      <c r="E1016" s="250" t="s">
        <v>1989</v>
      </c>
      <c r="F1016" s="317">
        <v>4503502</v>
      </c>
      <c r="G1016" s="318"/>
      <c r="H1016" s="319">
        <v>7301310301</v>
      </c>
      <c r="I1016" s="320"/>
      <c r="J1016" s="337">
        <v>0</v>
      </c>
      <c r="K1016" s="321">
        <v>0</v>
      </c>
      <c r="L1016" s="321">
        <v>0</v>
      </c>
      <c r="M1016" s="321">
        <v>0</v>
      </c>
      <c r="N1016" s="321">
        <v>0</v>
      </c>
      <c r="O1016" s="321">
        <v>0</v>
      </c>
      <c r="P1016" s="321">
        <v>0</v>
      </c>
      <c r="Q1016" s="321">
        <v>0</v>
      </c>
      <c r="R1016" s="321">
        <v>0</v>
      </c>
      <c r="S1016" s="321">
        <v>0</v>
      </c>
      <c r="T1016" s="321">
        <v>0</v>
      </c>
      <c r="U1016" s="322">
        <v>0</v>
      </c>
      <c r="V1016" s="323">
        <v>0</v>
      </c>
      <c r="W1016" s="303"/>
      <c r="X1016" s="324">
        <v>0</v>
      </c>
      <c r="Y1016" s="325">
        <v>0</v>
      </c>
    </row>
    <row r="1017" spans="1:25" hidden="1" outlineLevel="1" x14ac:dyDescent="0.3">
      <c r="E1017" s="250" t="s">
        <v>1990</v>
      </c>
      <c r="F1017" s="317">
        <v>4503505</v>
      </c>
      <c r="G1017" s="318"/>
      <c r="H1017" s="319"/>
      <c r="I1017" s="320"/>
      <c r="J1017" s="337">
        <v>0</v>
      </c>
      <c r="K1017" s="321">
        <v>0</v>
      </c>
      <c r="L1017" s="321">
        <v>0</v>
      </c>
      <c r="M1017" s="321">
        <v>0</v>
      </c>
      <c r="N1017" s="321">
        <v>0</v>
      </c>
      <c r="O1017" s="321">
        <v>0</v>
      </c>
      <c r="P1017" s="321">
        <v>0</v>
      </c>
      <c r="Q1017" s="321">
        <v>0</v>
      </c>
      <c r="R1017" s="321">
        <v>0</v>
      </c>
      <c r="S1017" s="321">
        <v>0</v>
      </c>
      <c r="T1017" s="321">
        <v>0</v>
      </c>
      <c r="U1017" s="322">
        <v>0</v>
      </c>
      <c r="V1017" s="323">
        <v>0</v>
      </c>
      <c r="W1017" s="303"/>
      <c r="X1017" s="324">
        <v>0</v>
      </c>
      <c r="Y1017" s="325">
        <v>0</v>
      </c>
    </row>
    <row r="1018" spans="1:25" hidden="1" outlineLevel="1" x14ac:dyDescent="0.3">
      <c r="E1018" s="250" t="s">
        <v>1991</v>
      </c>
      <c r="F1018" s="317">
        <v>4503506</v>
      </c>
      <c r="G1018" s="318"/>
      <c r="H1018" s="319"/>
      <c r="I1018" s="320"/>
      <c r="J1018" s="337">
        <v>0</v>
      </c>
      <c r="K1018" s="321">
        <v>0</v>
      </c>
      <c r="L1018" s="321">
        <v>0</v>
      </c>
      <c r="M1018" s="321">
        <v>0</v>
      </c>
      <c r="N1018" s="321">
        <v>0</v>
      </c>
      <c r="O1018" s="321">
        <v>0</v>
      </c>
      <c r="P1018" s="321">
        <v>0</v>
      </c>
      <c r="Q1018" s="321">
        <v>0</v>
      </c>
      <c r="R1018" s="321">
        <v>0</v>
      </c>
      <c r="S1018" s="321">
        <v>0</v>
      </c>
      <c r="T1018" s="321">
        <v>0</v>
      </c>
      <c r="U1018" s="322">
        <v>0</v>
      </c>
      <c r="V1018" s="323">
        <v>0</v>
      </c>
      <c r="W1018" s="303"/>
      <c r="X1018" s="324">
        <v>0</v>
      </c>
      <c r="Y1018" s="325">
        <v>0</v>
      </c>
    </row>
    <row r="1019" spans="1:25" hidden="1" outlineLevel="1" x14ac:dyDescent="0.3">
      <c r="E1019" s="250" t="s">
        <v>1992</v>
      </c>
      <c r="F1019" s="317">
        <v>4503507</v>
      </c>
      <c r="G1019" s="318"/>
      <c r="H1019" s="319"/>
      <c r="I1019" s="320"/>
      <c r="J1019" s="337">
        <v>0</v>
      </c>
      <c r="K1019" s="321">
        <v>0</v>
      </c>
      <c r="L1019" s="321">
        <v>0</v>
      </c>
      <c r="M1019" s="321">
        <v>0</v>
      </c>
      <c r="N1019" s="321">
        <v>0</v>
      </c>
      <c r="O1019" s="321">
        <v>0</v>
      </c>
      <c r="P1019" s="321">
        <v>0</v>
      </c>
      <c r="Q1019" s="321">
        <v>0</v>
      </c>
      <c r="R1019" s="321">
        <v>0</v>
      </c>
      <c r="S1019" s="321">
        <v>0</v>
      </c>
      <c r="T1019" s="321">
        <v>0</v>
      </c>
      <c r="U1019" s="322">
        <v>0</v>
      </c>
      <c r="V1019" s="323">
        <v>0</v>
      </c>
      <c r="W1019" s="303"/>
      <c r="X1019" s="324">
        <v>0</v>
      </c>
      <c r="Y1019" s="325">
        <v>0</v>
      </c>
    </row>
    <row r="1020" spans="1:25" s="326" customFormat="1" hidden="1" outlineLevel="2" x14ac:dyDescent="0.3">
      <c r="E1020" s="250" t="s">
        <v>1993</v>
      </c>
      <c r="F1020" s="306">
        <v>4309204</v>
      </c>
      <c r="G1020" s="307"/>
      <c r="H1020" s="308">
        <v>7301310101</v>
      </c>
      <c r="I1020" s="309"/>
      <c r="J1020" s="310">
        <v>0</v>
      </c>
      <c r="K1020" s="311">
        <v>0</v>
      </c>
      <c r="L1020" s="311">
        <v>0</v>
      </c>
      <c r="M1020" s="311">
        <v>0</v>
      </c>
      <c r="N1020" s="311">
        <v>0</v>
      </c>
      <c r="O1020" s="311">
        <v>0</v>
      </c>
      <c r="P1020" s="311">
        <v>0</v>
      </c>
      <c r="Q1020" s="311">
        <v>0</v>
      </c>
      <c r="R1020" s="311">
        <v>0</v>
      </c>
      <c r="S1020" s="311">
        <v>0</v>
      </c>
      <c r="T1020" s="311">
        <v>0</v>
      </c>
      <c r="U1020" s="312">
        <v>0</v>
      </c>
      <c r="V1020" s="313">
        <v>0</v>
      </c>
      <c r="W1020" s="314"/>
      <c r="X1020" s="315">
        <v>0</v>
      </c>
      <c r="Y1020" s="316">
        <v>0</v>
      </c>
    </row>
    <row r="1021" spans="1:25" s="326" customFormat="1" hidden="1" outlineLevel="2" x14ac:dyDescent="0.3">
      <c r="E1021" s="250" t="s">
        <v>1994</v>
      </c>
      <c r="F1021" s="306">
        <v>4309205</v>
      </c>
      <c r="G1021" s="307"/>
      <c r="H1021" s="308"/>
      <c r="I1021" s="309"/>
      <c r="J1021" s="310">
        <v>0</v>
      </c>
      <c r="K1021" s="311">
        <v>0</v>
      </c>
      <c r="L1021" s="311">
        <v>0</v>
      </c>
      <c r="M1021" s="311">
        <v>0</v>
      </c>
      <c r="N1021" s="311">
        <v>0</v>
      </c>
      <c r="O1021" s="311">
        <v>0</v>
      </c>
      <c r="P1021" s="311">
        <v>0</v>
      </c>
      <c r="Q1021" s="311">
        <v>0</v>
      </c>
      <c r="R1021" s="311">
        <v>0</v>
      </c>
      <c r="S1021" s="311">
        <v>0</v>
      </c>
      <c r="T1021" s="311">
        <v>0</v>
      </c>
      <c r="U1021" s="312">
        <v>0</v>
      </c>
      <c r="V1021" s="313">
        <v>0</v>
      </c>
      <c r="W1021" s="314"/>
      <c r="X1021" s="315">
        <v>0</v>
      </c>
      <c r="Y1021" s="316">
        <v>0</v>
      </c>
    </row>
    <row r="1022" spans="1:25" s="326" customFormat="1" hidden="1" outlineLevel="2" x14ac:dyDescent="0.3">
      <c r="E1022" s="326" t="s">
        <v>1995</v>
      </c>
      <c r="F1022" s="336"/>
      <c r="G1022" s="327"/>
      <c r="H1022" s="328"/>
      <c r="I1022" s="329"/>
      <c r="J1022" s="338">
        <v>0</v>
      </c>
      <c r="K1022" s="330">
        <v>0</v>
      </c>
      <c r="L1022" s="330">
        <v>0</v>
      </c>
      <c r="M1022" s="330">
        <v>0</v>
      </c>
      <c r="N1022" s="330">
        <v>0</v>
      </c>
      <c r="O1022" s="330">
        <v>0</v>
      </c>
      <c r="P1022" s="330">
        <v>0</v>
      </c>
      <c r="Q1022" s="330">
        <v>0</v>
      </c>
      <c r="R1022" s="330">
        <v>0</v>
      </c>
      <c r="S1022" s="330">
        <v>0</v>
      </c>
      <c r="T1022" s="330">
        <v>0</v>
      </c>
      <c r="U1022" s="331">
        <v>0</v>
      </c>
      <c r="V1022" s="332">
        <v>0</v>
      </c>
      <c r="W1022" s="333"/>
      <c r="X1022" s="334">
        <v>0</v>
      </c>
      <c r="Y1022" s="335">
        <v>0</v>
      </c>
    </row>
    <row r="1023" spans="1:25" collapsed="1" x14ac:dyDescent="0.3">
      <c r="A1023" s="233"/>
      <c r="B1023" s="234" t="s">
        <v>56</v>
      </c>
      <c r="D1023" s="293" t="s">
        <v>1996</v>
      </c>
      <c r="E1023" s="294"/>
      <c r="F1023" s="295" t="s">
        <v>1997</v>
      </c>
      <c r="G1023" s="296"/>
      <c r="H1023" s="297"/>
      <c r="I1023" s="298"/>
      <c r="J1023" s="299">
        <v>358.38600000000002</v>
      </c>
      <c r="K1023" s="300">
        <v>819.17399999999998</v>
      </c>
      <c r="L1023" s="300">
        <v>737.351</v>
      </c>
      <c r="M1023" s="300">
        <v>1021.311</v>
      </c>
      <c r="N1023" s="300">
        <v>659.62</v>
      </c>
      <c r="O1023" s="300">
        <v>1399.0509999999999</v>
      </c>
      <c r="P1023" s="300">
        <v>984.59699999999998</v>
      </c>
      <c r="Q1023" s="300">
        <v>711.59400000000005</v>
      </c>
      <c r="R1023" s="300">
        <v>11250.791999999999</v>
      </c>
      <c r="S1023" s="300">
        <v>1304.829</v>
      </c>
      <c r="T1023" s="300">
        <v>704.53899999999999</v>
      </c>
      <c r="U1023" s="301">
        <v>9446.4339999999993</v>
      </c>
      <c r="V1023" s="302">
        <v>29397.678</v>
      </c>
      <c r="W1023" s="303"/>
      <c r="X1023" s="304">
        <v>9446.4339999999993</v>
      </c>
      <c r="Y1023" s="305">
        <v>29397.678</v>
      </c>
    </row>
    <row r="1024" spans="1:25" hidden="1" outlineLevel="1" x14ac:dyDescent="0.3">
      <c r="E1024" s="250" t="s">
        <v>1998</v>
      </c>
      <c r="F1024" s="317">
        <v>4509901</v>
      </c>
      <c r="G1024" s="318"/>
      <c r="H1024" s="319">
        <v>7301990101</v>
      </c>
      <c r="I1024" s="320"/>
      <c r="J1024" s="337">
        <v>0</v>
      </c>
      <c r="K1024" s="321">
        <v>0</v>
      </c>
      <c r="L1024" s="321">
        <v>0</v>
      </c>
      <c r="M1024" s="321">
        <v>0</v>
      </c>
      <c r="N1024" s="321">
        <v>0</v>
      </c>
      <c r="O1024" s="321">
        <v>0</v>
      </c>
      <c r="P1024" s="321">
        <v>0</v>
      </c>
      <c r="Q1024" s="321">
        <v>0</v>
      </c>
      <c r="R1024" s="321">
        <v>0</v>
      </c>
      <c r="S1024" s="321">
        <v>0</v>
      </c>
      <c r="T1024" s="321">
        <v>0</v>
      </c>
      <c r="U1024" s="322">
        <v>0</v>
      </c>
      <c r="V1024" s="323">
        <v>0</v>
      </c>
      <c r="W1024" s="303"/>
      <c r="X1024" s="324">
        <v>0</v>
      </c>
      <c r="Y1024" s="325">
        <v>0</v>
      </c>
    </row>
    <row r="1025" spans="1:25" hidden="1" outlineLevel="1" x14ac:dyDescent="0.3">
      <c r="E1025" s="250" t="s">
        <v>1999</v>
      </c>
      <c r="F1025" s="317">
        <v>4509902</v>
      </c>
      <c r="G1025" s="318"/>
      <c r="H1025" s="319">
        <v>7301990199</v>
      </c>
      <c r="I1025" s="320"/>
      <c r="J1025" s="337">
        <v>0</v>
      </c>
      <c r="K1025" s="321">
        <v>0</v>
      </c>
      <c r="L1025" s="321">
        <v>0</v>
      </c>
      <c r="M1025" s="321">
        <v>0</v>
      </c>
      <c r="N1025" s="321">
        <v>0</v>
      </c>
      <c r="O1025" s="321">
        <v>0</v>
      </c>
      <c r="P1025" s="321">
        <v>0</v>
      </c>
      <c r="Q1025" s="321">
        <v>0</v>
      </c>
      <c r="R1025" s="321">
        <v>0</v>
      </c>
      <c r="S1025" s="321">
        <v>0</v>
      </c>
      <c r="T1025" s="321">
        <v>0</v>
      </c>
      <c r="U1025" s="322">
        <v>0</v>
      </c>
      <c r="V1025" s="323">
        <v>0</v>
      </c>
      <c r="W1025" s="303"/>
      <c r="X1025" s="324">
        <v>0</v>
      </c>
      <c r="Y1025" s="325">
        <v>0</v>
      </c>
    </row>
    <row r="1026" spans="1:25" hidden="1" outlineLevel="1" x14ac:dyDescent="0.3">
      <c r="E1026" s="250" t="s">
        <v>2000</v>
      </c>
      <c r="F1026" s="317">
        <v>4509903</v>
      </c>
      <c r="G1026" s="318"/>
      <c r="H1026" s="319"/>
      <c r="I1026" s="320"/>
      <c r="J1026" s="337">
        <v>0</v>
      </c>
      <c r="K1026" s="321">
        <v>0</v>
      </c>
      <c r="L1026" s="321">
        <v>0</v>
      </c>
      <c r="M1026" s="321">
        <v>0</v>
      </c>
      <c r="N1026" s="321">
        <v>0</v>
      </c>
      <c r="O1026" s="321">
        <v>0</v>
      </c>
      <c r="P1026" s="321">
        <v>0</v>
      </c>
      <c r="Q1026" s="321">
        <v>0</v>
      </c>
      <c r="R1026" s="321">
        <v>0</v>
      </c>
      <c r="S1026" s="321">
        <v>0</v>
      </c>
      <c r="T1026" s="321">
        <v>0</v>
      </c>
      <c r="U1026" s="322">
        <v>0</v>
      </c>
      <c r="V1026" s="323">
        <v>0</v>
      </c>
      <c r="W1026" s="303"/>
      <c r="X1026" s="324">
        <v>0</v>
      </c>
      <c r="Y1026" s="325">
        <v>0</v>
      </c>
    </row>
    <row r="1027" spans="1:25" hidden="1" outlineLevel="1" x14ac:dyDescent="0.3">
      <c r="E1027" s="250" t="s">
        <v>2001</v>
      </c>
      <c r="F1027" s="317">
        <v>4509904</v>
      </c>
      <c r="G1027" s="318"/>
      <c r="H1027" s="319"/>
      <c r="I1027" s="320"/>
      <c r="J1027" s="337">
        <v>0</v>
      </c>
      <c r="K1027" s="321">
        <v>0</v>
      </c>
      <c r="L1027" s="321">
        <v>0</v>
      </c>
      <c r="M1027" s="321">
        <v>0</v>
      </c>
      <c r="N1027" s="321">
        <v>0</v>
      </c>
      <c r="O1027" s="321">
        <v>0</v>
      </c>
      <c r="P1027" s="321">
        <v>0</v>
      </c>
      <c r="Q1027" s="321">
        <v>0</v>
      </c>
      <c r="R1027" s="321">
        <v>0</v>
      </c>
      <c r="S1027" s="321">
        <v>0</v>
      </c>
      <c r="T1027" s="321">
        <v>0</v>
      </c>
      <c r="U1027" s="322">
        <v>0</v>
      </c>
      <c r="V1027" s="323">
        <v>0</v>
      </c>
      <c r="W1027" s="303"/>
      <c r="X1027" s="324">
        <v>0</v>
      </c>
      <c r="Y1027" s="325">
        <v>0</v>
      </c>
    </row>
    <row r="1028" spans="1:25" hidden="1" outlineLevel="1" x14ac:dyDescent="0.3">
      <c r="E1028" s="250" t="s">
        <v>2002</v>
      </c>
      <c r="F1028" s="317">
        <v>4509905</v>
      </c>
      <c r="G1028" s="318"/>
      <c r="H1028" s="319">
        <v>7301990105</v>
      </c>
      <c r="I1028" s="320"/>
      <c r="J1028" s="337">
        <v>0</v>
      </c>
      <c r="K1028" s="321">
        <v>0</v>
      </c>
      <c r="L1028" s="321">
        <v>0</v>
      </c>
      <c r="M1028" s="321">
        <v>0</v>
      </c>
      <c r="N1028" s="321">
        <v>0</v>
      </c>
      <c r="O1028" s="321">
        <v>0</v>
      </c>
      <c r="P1028" s="321">
        <v>0</v>
      </c>
      <c r="Q1028" s="321">
        <v>0</v>
      </c>
      <c r="R1028" s="321">
        <v>0</v>
      </c>
      <c r="S1028" s="321">
        <v>0</v>
      </c>
      <c r="T1028" s="321">
        <v>0</v>
      </c>
      <c r="U1028" s="322">
        <v>0</v>
      </c>
      <c r="V1028" s="323">
        <v>0</v>
      </c>
      <c r="W1028" s="303"/>
      <c r="X1028" s="324">
        <v>0</v>
      </c>
      <c r="Y1028" s="325">
        <v>0</v>
      </c>
    </row>
    <row r="1029" spans="1:25" hidden="1" outlineLevel="1" x14ac:dyDescent="0.3">
      <c r="E1029" s="250" t="s">
        <v>2003</v>
      </c>
      <c r="F1029" s="317">
        <v>4509999</v>
      </c>
      <c r="G1029" s="318"/>
      <c r="H1029" s="319"/>
      <c r="I1029" s="320"/>
      <c r="J1029" s="337">
        <v>358.38600000000002</v>
      </c>
      <c r="K1029" s="321">
        <v>819.17399999999998</v>
      </c>
      <c r="L1029" s="321">
        <v>737.351</v>
      </c>
      <c r="M1029" s="321">
        <v>1021.311</v>
      </c>
      <c r="N1029" s="321">
        <v>659.62</v>
      </c>
      <c r="O1029" s="321">
        <v>1399.0509999999999</v>
      </c>
      <c r="P1029" s="321">
        <v>984.59699999999998</v>
      </c>
      <c r="Q1029" s="321">
        <v>711.59400000000005</v>
      </c>
      <c r="R1029" s="321">
        <v>11250.791999999999</v>
      </c>
      <c r="S1029" s="321">
        <v>1304.829</v>
      </c>
      <c r="T1029" s="321">
        <v>704.53899999999999</v>
      </c>
      <c r="U1029" s="322">
        <v>9446.4339999999993</v>
      </c>
      <c r="V1029" s="323">
        <v>29397.678</v>
      </c>
      <c r="W1029" s="303"/>
      <c r="X1029" s="324">
        <v>9446.4339999999993</v>
      </c>
      <c r="Y1029" s="325">
        <v>29397.678</v>
      </c>
    </row>
    <row r="1030" spans="1:25" s="361" customFormat="1" hidden="1" outlineLevel="2" x14ac:dyDescent="0.3">
      <c r="E1030" s="326" t="s">
        <v>2004</v>
      </c>
      <c r="F1030" s="351"/>
      <c r="G1030" s="352"/>
      <c r="H1030" s="353"/>
      <c r="I1030" s="354"/>
      <c r="J1030" s="362">
        <v>0</v>
      </c>
      <c r="K1030" s="355">
        <v>0</v>
      </c>
      <c r="L1030" s="355">
        <v>0</v>
      </c>
      <c r="M1030" s="355">
        <v>0</v>
      </c>
      <c r="N1030" s="355">
        <v>0</v>
      </c>
      <c r="O1030" s="355">
        <v>0</v>
      </c>
      <c r="P1030" s="355">
        <v>0</v>
      </c>
      <c r="Q1030" s="355">
        <v>0</v>
      </c>
      <c r="R1030" s="355">
        <v>0</v>
      </c>
      <c r="S1030" s="355">
        <v>0</v>
      </c>
      <c r="T1030" s="355">
        <v>0</v>
      </c>
      <c r="U1030" s="356">
        <v>0</v>
      </c>
      <c r="V1030" s="357">
        <v>0</v>
      </c>
      <c r="W1030" s="358"/>
      <c r="X1030" s="359">
        <v>0</v>
      </c>
      <c r="Y1030" s="360">
        <v>0</v>
      </c>
    </row>
    <row r="1031" spans="1:25" s="361" customFormat="1" hidden="1" outlineLevel="2" x14ac:dyDescent="0.3">
      <c r="E1031" s="326" t="s">
        <v>2005</v>
      </c>
      <c r="F1031" s="351"/>
      <c r="G1031" s="352"/>
      <c r="H1031" s="353"/>
      <c r="I1031" s="354"/>
      <c r="J1031" s="362">
        <v>0</v>
      </c>
      <c r="K1031" s="355">
        <v>0</v>
      </c>
      <c r="L1031" s="355">
        <v>0</v>
      </c>
      <c r="M1031" s="355">
        <v>0</v>
      </c>
      <c r="N1031" s="355">
        <v>0</v>
      </c>
      <c r="O1031" s="355">
        <v>0</v>
      </c>
      <c r="P1031" s="355">
        <v>0</v>
      </c>
      <c r="Q1031" s="355">
        <v>0</v>
      </c>
      <c r="R1031" s="355">
        <v>0</v>
      </c>
      <c r="S1031" s="355">
        <v>0</v>
      </c>
      <c r="T1031" s="355">
        <v>0</v>
      </c>
      <c r="U1031" s="356">
        <v>0</v>
      </c>
      <c r="V1031" s="357">
        <v>0</v>
      </c>
      <c r="W1031" s="358"/>
      <c r="X1031" s="359">
        <v>0</v>
      </c>
      <c r="Y1031" s="360">
        <v>0</v>
      </c>
    </row>
    <row r="1032" spans="1:25" s="361" customFormat="1" hidden="1" outlineLevel="2" x14ac:dyDescent="0.3">
      <c r="E1032" s="326" t="s">
        <v>2006</v>
      </c>
      <c r="F1032" s="351"/>
      <c r="G1032" s="352"/>
      <c r="H1032" s="353"/>
      <c r="I1032" s="354"/>
      <c r="J1032" s="362">
        <v>0</v>
      </c>
      <c r="K1032" s="355">
        <v>0</v>
      </c>
      <c r="L1032" s="355">
        <v>0</v>
      </c>
      <c r="M1032" s="355">
        <v>0</v>
      </c>
      <c r="N1032" s="355">
        <v>0</v>
      </c>
      <c r="O1032" s="355">
        <v>0</v>
      </c>
      <c r="P1032" s="355">
        <v>0</v>
      </c>
      <c r="Q1032" s="355">
        <v>0</v>
      </c>
      <c r="R1032" s="355">
        <v>0</v>
      </c>
      <c r="S1032" s="355">
        <v>0</v>
      </c>
      <c r="T1032" s="355">
        <v>0</v>
      </c>
      <c r="U1032" s="356">
        <v>0</v>
      </c>
      <c r="V1032" s="357">
        <v>0</v>
      </c>
      <c r="W1032" s="358"/>
      <c r="X1032" s="359">
        <v>0</v>
      </c>
      <c r="Y1032" s="360">
        <v>0</v>
      </c>
    </row>
    <row r="1033" spans="1:25" collapsed="1" x14ac:dyDescent="0.3">
      <c r="A1033" s="233"/>
      <c r="B1033" s="234" t="s">
        <v>74</v>
      </c>
      <c r="D1033" s="293" t="s">
        <v>2007</v>
      </c>
      <c r="E1033" s="294"/>
      <c r="F1033" s="295" t="s">
        <v>2008</v>
      </c>
      <c r="G1033" s="296"/>
      <c r="H1033" s="297"/>
      <c r="I1033" s="298"/>
      <c r="J1033" s="299">
        <v>0</v>
      </c>
      <c r="K1033" s="300">
        <v>0</v>
      </c>
      <c r="L1033" s="300">
        <v>0</v>
      </c>
      <c r="M1033" s="300">
        <v>0</v>
      </c>
      <c r="N1033" s="300">
        <v>0</v>
      </c>
      <c r="O1033" s="300">
        <v>0</v>
      </c>
      <c r="P1033" s="300">
        <v>0</v>
      </c>
      <c r="Q1033" s="300">
        <v>0</v>
      </c>
      <c r="R1033" s="300">
        <v>0</v>
      </c>
      <c r="S1033" s="300">
        <v>0</v>
      </c>
      <c r="T1033" s="300">
        <v>0</v>
      </c>
      <c r="U1033" s="301">
        <v>0</v>
      </c>
      <c r="V1033" s="302">
        <v>0</v>
      </c>
      <c r="W1033" s="303"/>
      <c r="X1033" s="304">
        <v>0</v>
      </c>
      <c r="Y1033" s="305">
        <v>0</v>
      </c>
    </row>
    <row r="1034" spans="1:25" hidden="1" outlineLevel="1" x14ac:dyDescent="0.3">
      <c r="E1034" s="250" t="s">
        <v>2009</v>
      </c>
      <c r="F1034" s="317">
        <v>4505601</v>
      </c>
      <c r="G1034" s="318"/>
      <c r="H1034" s="319">
        <v>7301350101</v>
      </c>
      <c r="I1034" s="320"/>
      <c r="J1034" s="337">
        <v>0</v>
      </c>
      <c r="K1034" s="321">
        <v>0</v>
      </c>
      <c r="L1034" s="321">
        <v>0</v>
      </c>
      <c r="M1034" s="321">
        <v>0</v>
      </c>
      <c r="N1034" s="321">
        <v>0</v>
      </c>
      <c r="O1034" s="321">
        <v>0</v>
      </c>
      <c r="P1034" s="321">
        <v>0</v>
      </c>
      <c r="Q1034" s="321">
        <v>0</v>
      </c>
      <c r="R1034" s="321">
        <v>0</v>
      </c>
      <c r="S1034" s="321">
        <v>0</v>
      </c>
      <c r="T1034" s="321">
        <v>0</v>
      </c>
      <c r="U1034" s="322">
        <v>0</v>
      </c>
      <c r="V1034" s="323">
        <v>0</v>
      </c>
      <c r="W1034" s="303"/>
      <c r="X1034" s="324">
        <v>0</v>
      </c>
      <c r="Y1034" s="325">
        <v>0</v>
      </c>
    </row>
    <row r="1035" spans="1:25" hidden="1" outlineLevel="1" x14ac:dyDescent="0.3">
      <c r="E1035" s="250" t="s">
        <v>2010</v>
      </c>
      <c r="F1035" s="317">
        <v>4505602</v>
      </c>
      <c r="G1035" s="318"/>
      <c r="H1035" s="319"/>
      <c r="I1035" s="320"/>
      <c r="J1035" s="337">
        <v>0</v>
      </c>
      <c r="K1035" s="321">
        <v>0</v>
      </c>
      <c r="L1035" s="321">
        <v>0</v>
      </c>
      <c r="M1035" s="321">
        <v>0</v>
      </c>
      <c r="N1035" s="321">
        <v>0</v>
      </c>
      <c r="O1035" s="321">
        <v>0</v>
      </c>
      <c r="P1035" s="321">
        <v>0</v>
      </c>
      <c r="Q1035" s="321">
        <v>0</v>
      </c>
      <c r="R1035" s="321">
        <v>0</v>
      </c>
      <c r="S1035" s="321">
        <v>0</v>
      </c>
      <c r="T1035" s="321">
        <v>0</v>
      </c>
      <c r="U1035" s="322">
        <v>0</v>
      </c>
      <c r="V1035" s="323">
        <v>0</v>
      </c>
      <c r="W1035" s="303"/>
      <c r="X1035" s="324">
        <v>0</v>
      </c>
      <c r="Y1035" s="325">
        <v>0</v>
      </c>
    </row>
    <row r="1036" spans="1:25" hidden="1" outlineLevel="1" x14ac:dyDescent="0.3">
      <c r="E1036" s="250" t="s">
        <v>2011</v>
      </c>
      <c r="F1036" s="317">
        <v>4505604</v>
      </c>
      <c r="G1036" s="318"/>
      <c r="H1036" s="319">
        <v>7701150105</v>
      </c>
      <c r="I1036" s="320"/>
      <c r="J1036" s="337">
        <v>0</v>
      </c>
      <c r="K1036" s="321">
        <v>0</v>
      </c>
      <c r="L1036" s="321">
        <v>0</v>
      </c>
      <c r="M1036" s="321">
        <v>0</v>
      </c>
      <c r="N1036" s="321">
        <v>0</v>
      </c>
      <c r="O1036" s="321">
        <v>0</v>
      </c>
      <c r="P1036" s="321">
        <v>0</v>
      </c>
      <c r="Q1036" s="321">
        <v>0</v>
      </c>
      <c r="R1036" s="321">
        <v>0</v>
      </c>
      <c r="S1036" s="321">
        <v>0</v>
      </c>
      <c r="T1036" s="321">
        <v>0</v>
      </c>
      <c r="U1036" s="322">
        <v>0</v>
      </c>
      <c r="V1036" s="323">
        <v>0</v>
      </c>
      <c r="W1036" s="303"/>
      <c r="X1036" s="324">
        <v>0</v>
      </c>
      <c r="Y1036" s="325">
        <v>0</v>
      </c>
    </row>
    <row r="1037" spans="1:25" collapsed="1" x14ac:dyDescent="0.3">
      <c r="A1037" s="233"/>
      <c r="B1037" s="234" t="s">
        <v>74</v>
      </c>
      <c r="D1037" s="293" t="s">
        <v>2012</v>
      </c>
      <c r="E1037" s="294"/>
      <c r="F1037" s="295" t="s">
        <v>2013</v>
      </c>
      <c r="G1037" s="296"/>
      <c r="H1037" s="297"/>
      <c r="I1037" s="298"/>
      <c r="J1037" s="299">
        <v>0</v>
      </c>
      <c r="K1037" s="300">
        <v>0</v>
      </c>
      <c r="L1037" s="300">
        <v>0</v>
      </c>
      <c r="M1037" s="300">
        <v>0</v>
      </c>
      <c r="N1037" s="300">
        <v>0</v>
      </c>
      <c r="O1037" s="300">
        <v>0</v>
      </c>
      <c r="P1037" s="300">
        <v>0</v>
      </c>
      <c r="Q1037" s="300">
        <v>0</v>
      </c>
      <c r="R1037" s="300">
        <v>0</v>
      </c>
      <c r="S1037" s="300">
        <v>0</v>
      </c>
      <c r="T1037" s="300">
        <v>0</v>
      </c>
      <c r="U1037" s="301">
        <v>0</v>
      </c>
      <c r="V1037" s="302">
        <v>0</v>
      </c>
      <c r="W1037" s="303"/>
      <c r="X1037" s="304">
        <v>0</v>
      </c>
      <c r="Y1037" s="305">
        <v>0</v>
      </c>
    </row>
    <row r="1038" spans="1:25" hidden="1" outlineLevel="1" x14ac:dyDescent="0.3">
      <c r="E1038" s="250" t="s">
        <v>2014</v>
      </c>
      <c r="F1038" s="317">
        <v>4505600</v>
      </c>
      <c r="G1038" s="318"/>
      <c r="H1038" s="319">
        <v>7301330101</v>
      </c>
      <c r="I1038" s="320"/>
      <c r="J1038" s="337">
        <v>0</v>
      </c>
      <c r="K1038" s="321">
        <v>0</v>
      </c>
      <c r="L1038" s="321">
        <v>0</v>
      </c>
      <c r="M1038" s="321">
        <v>0</v>
      </c>
      <c r="N1038" s="321">
        <v>0</v>
      </c>
      <c r="O1038" s="321">
        <v>0</v>
      </c>
      <c r="P1038" s="321">
        <v>0</v>
      </c>
      <c r="Q1038" s="321">
        <v>0</v>
      </c>
      <c r="R1038" s="321">
        <v>0</v>
      </c>
      <c r="S1038" s="321">
        <v>0</v>
      </c>
      <c r="T1038" s="321">
        <v>0</v>
      </c>
      <c r="U1038" s="322">
        <v>0</v>
      </c>
      <c r="V1038" s="323">
        <v>0</v>
      </c>
      <c r="W1038" s="303"/>
      <c r="X1038" s="324">
        <v>0</v>
      </c>
      <c r="Y1038" s="325">
        <v>0</v>
      </c>
    </row>
    <row r="1039" spans="1:25" hidden="1" outlineLevel="1" x14ac:dyDescent="0.3">
      <c r="E1039" s="250" t="s">
        <v>2015</v>
      </c>
      <c r="F1039" s="317">
        <v>4505603</v>
      </c>
      <c r="G1039" s="318"/>
      <c r="H1039" s="319"/>
      <c r="I1039" s="320"/>
      <c r="J1039" s="337">
        <v>0</v>
      </c>
      <c r="K1039" s="321">
        <v>0</v>
      </c>
      <c r="L1039" s="321">
        <v>0</v>
      </c>
      <c r="M1039" s="321">
        <v>0</v>
      </c>
      <c r="N1039" s="321">
        <v>0</v>
      </c>
      <c r="O1039" s="321">
        <v>0</v>
      </c>
      <c r="P1039" s="321">
        <v>0</v>
      </c>
      <c r="Q1039" s="321">
        <v>0</v>
      </c>
      <c r="R1039" s="321">
        <v>0</v>
      </c>
      <c r="S1039" s="321">
        <v>0</v>
      </c>
      <c r="T1039" s="321">
        <v>0</v>
      </c>
      <c r="U1039" s="322">
        <v>0</v>
      </c>
      <c r="V1039" s="323">
        <v>0</v>
      </c>
      <c r="W1039" s="303"/>
      <c r="X1039" s="324">
        <v>0</v>
      </c>
      <c r="Y1039" s="325">
        <v>0</v>
      </c>
    </row>
    <row r="1040" spans="1:25" hidden="1" outlineLevel="1" x14ac:dyDescent="0.3">
      <c r="E1040" s="250" t="s">
        <v>2016</v>
      </c>
      <c r="F1040" s="317">
        <v>4505605</v>
      </c>
      <c r="G1040" s="318"/>
      <c r="H1040" s="319">
        <v>7701190105</v>
      </c>
      <c r="I1040" s="320"/>
      <c r="J1040" s="337">
        <v>0</v>
      </c>
      <c r="K1040" s="321">
        <v>0</v>
      </c>
      <c r="L1040" s="321">
        <v>0</v>
      </c>
      <c r="M1040" s="321">
        <v>0</v>
      </c>
      <c r="N1040" s="321">
        <v>0</v>
      </c>
      <c r="O1040" s="321">
        <v>0</v>
      </c>
      <c r="P1040" s="321">
        <v>0</v>
      </c>
      <c r="Q1040" s="321">
        <v>0</v>
      </c>
      <c r="R1040" s="321">
        <v>0</v>
      </c>
      <c r="S1040" s="321">
        <v>0</v>
      </c>
      <c r="T1040" s="321">
        <v>0</v>
      </c>
      <c r="U1040" s="322">
        <v>0</v>
      </c>
      <c r="V1040" s="323">
        <v>0</v>
      </c>
      <c r="W1040" s="303"/>
      <c r="X1040" s="324">
        <v>0</v>
      </c>
      <c r="Y1040" s="325">
        <v>0</v>
      </c>
    </row>
    <row r="1041" spans="1:28" collapsed="1" x14ac:dyDescent="0.3">
      <c r="B1041" s="234" t="s">
        <v>74</v>
      </c>
      <c r="D1041" s="293" t="s">
        <v>2017</v>
      </c>
      <c r="E1041" s="294"/>
      <c r="F1041" s="295"/>
      <c r="G1041" s="296"/>
      <c r="H1041" s="297"/>
      <c r="I1041" s="298"/>
      <c r="J1041" s="299">
        <v>0</v>
      </c>
      <c r="K1041" s="300">
        <v>0</v>
      </c>
      <c r="L1041" s="300">
        <v>0</v>
      </c>
      <c r="M1041" s="300">
        <v>0</v>
      </c>
      <c r="N1041" s="300">
        <v>0</v>
      </c>
      <c r="O1041" s="300">
        <v>0</v>
      </c>
      <c r="P1041" s="300">
        <v>0</v>
      </c>
      <c r="Q1041" s="300">
        <v>0</v>
      </c>
      <c r="R1041" s="300">
        <v>0</v>
      </c>
      <c r="S1041" s="300">
        <v>0</v>
      </c>
      <c r="T1041" s="300">
        <v>0</v>
      </c>
      <c r="U1041" s="301">
        <v>0</v>
      </c>
      <c r="V1041" s="302">
        <v>0</v>
      </c>
      <c r="W1041" s="303"/>
      <c r="X1041" s="304">
        <v>0</v>
      </c>
      <c r="Y1041" s="305">
        <v>0</v>
      </c>
    </row>
    <row r="1042" spans="1:28" s="326" customFormat="1" hidden="1" outlineLevel="2" x14ac:dyDescent="0.3">
      <c r="E1042" s="326" t="s">
        <v>2018</v>
      </c>
      <c r="F1042" s="336"/>
      <c r="G1042" s="327"/>
      <c r="H1042" s="328">
        <v>7301310300</v>
      </c>
      <c r="I1042" s="329"/>
      <c r="J1042" s="338">
        <v>0</v>
      </c>
      <c r="K1042" s="330">
        <v>0</v>
      </c>
      <c r="L1042" s="330">
        <v>0</v>
      </c>
      <c r="M1042" s="330">
        <v>0</v>
      </c>
      <c r="N1042" s="330">
        <v>0</v>
      </c>
      <c r="O1042" s="330">
        <v>0</v>
      </c>
      <c r="P1042" s="330">
        <v>0</v>
      </c>
      <c r="Q1042" s="330">
        <v>0</v>
      </c>
      <c r="R1042" s="330">
        <v>0</v>
      </c>
      <c r="S1042" s="330">
        <v>0</v>
      </c>
      <c r="T1042" s="330">
        <v>0</v>
      </c>
      <c r="U1042" s="331">
        <v>0</v>
      </c>
      <c r="V1042" s="332">
        <v>0</v>
      </c>
      <c r="W1042" s="333"/>
      <c r="X1042" s="334">
        <v>0</v>
      </c>
      <c r="Y1042" s="335">
        <v>0</v>
      </c>
    </row>
    <row r="1043" spans="1:28" s="326" customFormat="1" hidden="1" outlineLevel="2" x14ac:dyDescent="0.3">
      <c r="E1043" s="326" t="s">
        <v>2019</v>
      </c>
      <c r="F1043" s="336"/>
      <c r="G1043" s="327"/>
      <c r="H1043" s="328"/>
      <c r="I1043" s="329"/>
      <c r="J1043" s="338">
        <v>0</v>
      </c>
      <c r="K1043" s="330">
        <v>0</v>
      </c>
      <c r="L1043" s="330">
        <v>0</v>
      </c>
      <c r="M1043" s="330">
        <v>0</v>
      </c>
      <c r="N1043" s="330">
        <v>0</v>
      </c>
      <c r="O1043" s="330">
        <v>0</v>
      </c>
      <c r="P1043" s="330">
        <v>0</v>
      </c>
      <c r="Q1043" s="330">
        <v>0</v>
      </c>
      <c r="R1043" s="330">
        <v>0</v>
      </c>
      <c r="S1043" s="330">
        <v>0</v>
      </c>
      <c r="T1043" s="330">
        <v>0</v>
      </c>
      <c r="U1043" s="331">
        <v>0</v>
      </c>
      <c r="V1043" s="332">
        <v>0</v>
      </c>
      <c r="W1043" s="333"/>
      <c r="X1043" s="334">
        <v>0</v>
      </c>
      <c r="Y1043" s="335">
        <v>0</v>
      </c>
    </row>
    <row r="1044" spans="1:28" s="326" customFormat="1" hidden="1" outlineLevel="2" x14ac:dyDescent="0.3">
      <c r="E1044" s="326" t="s">
        <v>2020</v>
      </c>
      <c r="F1044" s="336"/>
      <c r="G1044" s="327"/>
      <c r="H1044" s="328"/>
      <c r="I1044" s="329"/>
      <c r="J1044" s="338">
        <v>0</v>
      </c>
      <c r="K1044" s="330">
        <v>0</v>
      </c>
      <c r="L1044" s="330">
        <v>0</v>
      </c>
      <c r="M1044" s="330">
        <v>0</v>
      </c>
      <c r="N1044" s="330">
        <v>0</v>
      </c>
      <c r="O1044" s="330">
        <v>0</v>
      </c>
      <c r="P1044" s="330">
        <v>0</v>
      </c>
      <c r="Q1044" s="330">
        <v>0</v>
      </c>
      <c r="R1044" s="330">
        <v>0</v>
      </c>
      <c r="S1044" s="330">
        <v>0</v>
      </c>
      <c r="T1044" s="330">
        <v>0</v>
      </c>
      <c r="U1044" s="331">
        <v>0</v>
      </c>
      <c r="V1044" s="332">
        <v>0</v>
      </c>
      <c r="W1044" s="333"/>
      <c r="X1044" s="334">
        <v>0</v>
      </c>
      <c r="Y1044" s="335">
        <v>0</v>
      </c>
    </row>
    <row r="1045" spans="1:28" collapsed="1" x14ac:dyDescent="0.3">
      <c r="B1045" s="234" t="s">
        <v>74</v>
      </c>
      <c r="D1045" s="293" t="s">
        <v>2021</v>
      </c>
      <c r="E1045" s="294"/>
      <c r="F1045" s="295"/>
      <c r="G1045" s="296"/>
      <c r="H1045" s="297"/>
      <c r="I1045" s="298"/>
      <c r="J1045" s="299">
        <v>0</v>
      </c>
      <c r="K1045" s="300">
        <v>0</v>
      </c>
      <c r="L1045" s="300">
        <v>0</v>
      </c>
      <c r="M1045" s="300">
        <v>0</v>
      </c>
      <c r="N1045" s="300">
        <v>0</v>
      </c>
      <c r="O1045" s="300">
        <v>0</v>
      </c>
      <c r="P1045" s="300">
        <v>0</v>
      </c>
      <c r="Q1045" s="300">
        <v>0</v>
      </c>
      <c r="R1045" s="300">
        <v>0</v>
      </c>
      <c r="S1045" s="300">
        <v>0</v>
      </c>
      <c r="T1045" s="300">
        <v>0</v>
      </c>
      <c r="U1045" s="301">
        <v>0</v>
      </c>
      <c r="V1045" s="302">
        <v>0</v>
      </c>
      <c r="W1045" s="303"/>
      <c r="X1045" s="304">
        <v>0</v>
      </c>
      <c r="Y1045" s="305">
        <v>0</v>
      </c>
    </row>
    <row r="1046" spans="1:28" s="326" customFormat="1" hidden="1" outlineLevel="2" x14ac:dyDescent="0.3">
      <c r="E1046" s="326" t="s">
        <v>2018</v>
      </c>
      <c r="F1046" s="336"/>
      <c r="G1046" s="327"/>
      <c r="H1046" s="328"/>
      <c r="I1046" s="329"/>
      <c r="J1046" s="338">
        <v>0</v>
      </c>
      <c r="K1046" s="330">
        <v>0</v>
      </c>
      <c r="L1046" s="330">
        <v>0</v>
      </c>
      <c r="M1046" s="330">
        <v>0</v>
      </c>
      <c r="N1046" s="330">
        <v>0</v>
      </c>
      <c r="O1046" s="330">
        <v>0</v>
      </c>
      <c r="P1046" s="330">
        <v>0</v>
      </c>
      <c r="Q1046" s="330">
        <v>0</v>
      </c>
      <c r="R1046" s="330">
        <v>0</v>
      </c>
      <c r="S1046" s="330">
        <v>0</v>
      </c>
      <c r="T1046" s="330">
        <v>0</v>
      </c>
      <c r="U1046" s="331">
        <v>0</v>
      </c>
      <c r="V1046" s="332">
        <v>0</v>
      </c>
      <c r="W1046" s="333"/>
      <c r="X1046" s="334">
        <v>0</v>
      </c>
      <c r="Y1046" s="335">
        <v>0</v>
      </c>
    </row>
    <row r="1047" spans="1:28" s="326" customFormat="1" hidden="1" outlineLevel="2" x14ac:dyDescent="0.3">
      <c r="E1047" s="326" t="s">
        <v>2019</v>
      </c>
      <c r="F1047" s="336"/>
      <c r="G1047" s="327"/>
      <c r="H1047" s="328"/>
      <c r="I1047" s="329"/>
      <c r="J1047" s="338">
        <v>0</v>
      </c>
      <c r="K1047" s="330">
        <v>0</v>
      </c>
      <c r="L1047" s="330">
        <v>0</v>
      </c>
      <c r="M1047" s="330">
        <v>0</v>
      </c>
      <c r="N1047" s="330">
        <v>0</v>
      </c>
      <c r="O1047" s="330">
        <v>0</v>
      </c>
      <c r="P1047" s="330">
        <v>0</v>
      </c>
      <c r="Q1047" s="330">
        <v>0</v>
      </c>
      <c r="R1047" s="330">
        <v>0</v>
      </c>
      <c r="S1047" s="330">
        <v>0</v>
      </c>
      <c r="T1047" s="330">
        <v>0</v>
      </c>
      <c r="U1047" s="331">
        <v>0</v>
      </c>
      <c r="V1047" s="332">
        <v>0</v>
      </c>
      <c r="W1047" s="333"/>
      <c r="X1047" s="334">
        <v>0</v>
      </c>
      <c r="Y1047" s="335">
        <v>0</v>
      </c>
    </row>
    <row r="1048" spans="1:28" s="326" customFormat="1" hidden="1" outlineLevel="2" x14ac:dyDescent="0.3">
      <c r="E1048" s="326" t="s">
        <v>2020</v>
      </c>
      <c r="F1048" s="336"/>
      <c r="G1048" s="327"/>
      <c r="H1048" s="328"/>
      <c r="I1048" s="329"/>
      <c r="J1048" s="338">
        <v>0</v>
      </c>
      <c r="K1048" s="330">
        <v>0</v>
      </c>
      <c r="L1048" s="330">
        <v>0</v>
      </c>
      <c r="M1048" s="330">
        <v>0</v>
      </c>
      <c r="N1048" s="330">
        <v>0</v>
      </c>
      <c r="O1048" s="330">
        <v>0</v>
      </c>
      <c r="P1048" s="330">
        <v>0</v>
      </c>
      <c r="Q1048" s="330">
        <v>0</v>
      </c>
      <c r="R1048" s="330">
        <v>0</v>
      </c>
      <c r="S1048" s="330">
        <v>0</v>
      </c>
      <c r="T1048" s="330">
        <v>0</v>
      </c>
      <c r="U1048" s="331">
        <v>0</v>
      </c>
      <c r="V1048" s="332">
        <v>0</v>
      </c>
      <c r="W1048" s="333"/>
      <c r="X1048" s="334">
        <v>0</v>
      </c>
      <c r="Y1048" s="335">
        <v>0</v>
      </c>
    </row>
    <row r="1049" spans="1:28" collapsed="1" x14ac:dyDescent="0.3">
      <c r="B1049" s="234" t="s">
        <v>74</v>
      </c>
      <c r="D1049" s="293" t="s">
        <v>2022</v>
      </c>
      <c r="E1049" s="294"/>
      <c r="F1049" s="295"/>
      <c r="G1049" s="296"/>
      <c r="H1049" s="297"/>
      <c r="I1049" s="298"/>
      <c r="J1049" s="299">
        <v>0</v>
      </c>
      <c r="K1049" s="300">
        <v>0</v>
      </c>
      <c r="L1049" s="300">
        <v>0</v>
      </c>
      <c r="M1049" s="300">
        <v>0</v>
      </c>
      <c r="N1049" s="300">
        <v>0</v>
      </c>
      <c r="O1049" s="300">
        <v>0</v>
      </c>
      <c r="P1049" s="300">
        <v>0</v>
      </c>
      <c r="Q1049" s="300">
        <v>0</v>
      </c>
      <c r="R1049" s="300">
        <v>0</v>
      </c>
      <c r="S1049" s="300">
        <v>0</v>
      </c>
      <c r="T1049" s="300">
        <v>0</v>
      </c>
      <c r="U1049" s="301">
        <v>0</v>
      </c>
      <c r="V1049" s="302">
        <v>0</v>
      </c>
      <c r="W1049" s="303"/>
      <c r="X1049" s="304">
        <v>0</v>
      </c>
      <c r="Y1049" s="305">
        <v>0</v>
      </c>
    </row>
    <row r="1050" spans="1:28" s="326" customFormat="1" hidden="1" outlineLevel="2" x14ac:dyDescent="0.3">
      <c r="E1050" s="326" t="s">
        <v>2018</v>
      </c>
      <c r="F1050" s="336"/>
      <c r="G1050" s="327"/>
      <c r="H1050" s="328"/>
      <c r="I1050" s="329"/>
      <c r="J1050" s="338">
        <v>0</v>
      </c>
      <c r="K1050" s="330">
        <v>0</v>
      </c>
      <c r="L1050" s="330">
        <v>0</v>
      </c>
      <c r="M1050" s="330">
        <v>0</v>
      </c>
      <c r="N1050" s="330">
        <v>0</v>
      </c>
      <c r="O1050" s="330">
        <v>0</v>
      </c>
      <c r="P1050" s="330">
        <v>0</v>
      </c>
      <c r="Q1050" s="330">
        <v>0</v>
      </c>
      <c r="R1050" s="330">
        <v>0</v>
      </c>
      <c r="S1050" s="330">
        <v>0</v>
      </c>
      <c r="T1050" s="330">
        <v>0</v>
      </c>
      <c r="U1050" s="331">
        <v>0</v>
      </c>
      <c r="V1050" s="332">
        <v>0</v>
      </c>
      <c r="W1050" s="333"/>
      <c r="X1050" s="334">
        <v>0</v>
      </c>
      <c r="Y1050" s="335">
        <v>0</v>
      </c>
    </row>
    <row r="1051" spans="1:28" s="326" customFormat="1" hidden="1" outlineLevel="2" x14ac:dyDescent="0.3">
      <c r="E1051" s="326" t="s">
        <v>2019</v>
      </c>
      <c r="F1051" s="336"/>
      <c r="G1051" s="327"/>
      <c r="H1051" s="328"/>
      <c r="I1051" s="329"/>
      <c r="J1051" s="338">
        <v>0</v>
      </c>
      <c r="K1051" s="330">
        <v>0</v>
      </c>
      <c r="L1051" s="330">
        <v>0</v>
      </c>
      <c r="M1051" s="330">
        <v>0</v>
      </c>
      <c r="N1051" s="330">
        <v>0</v>
      </c>
      <c r="O1051" s="330">
        <v>0</v>
      </c>
      <c r="P1051" s="330">
        <v>0</v>
      </c>
      <c r="Q1051" s="330">
        <v>0</v>
      </c>
      <c r="R1051" s="330">
        <v>0</v>
      </c>
      <c r="S1051" s="330">
        <v>0</v>
      </c>
      <c r="T1051" s="330">
        <v>0</v>
      </c>
      <c r="U1051" s="331">
        <v>0</v>
      </c>
      <c r="V1051" s="332">
        <v>0</v>
      </c>
      <c r="W1051" s="333"/>
      <c r="X1051" s="334">
        <v>0</v>
      </c>
      <c r="Y1051" s="335">
        <v>0</v>
      </c>
    </row>
    <row r="1052" spans="1:28" s="326" customFormat="1" hidden="1" outlineLevel="2" x14ac:dyDescent="0.3">
      <c r="E1052" s="326" t="s">
        <v>2020</v>
      </c>
      <c r="F1052" s="336"/>
      <c r="G1052" s="327"/>
      <c r="H1052" s="328"/>
      <c r="I1052" s="329"/>
      <c r="J1052" s="338">
        <v>0</v>
      </c>
      <c r="K1052" s="330">
        <v>0</v>
      </c>
      <c r="L1052" s="330">
        <v>0</v>
      </c>
      <c r="M1052" s="330">
        <v>0</v>
      </c>
      <c r="N1052" s="330">
        <v>0</v>
      </c>
      <c r="O1052" s="330">
        <v>0</v>
      </c>
      <c r="P1052" s="330">
        <v>0</v>
      </c>
      <c r="Q1052" s="330">
        <v>0</v>
      </c>
      <c r="R1052" s="330">
        <v>0</v>
      </c>
      <c r="S1052" s="330">
        <v>0</v>
      </c>
      <c r="T1052" s="330">
        <v>0</v>
      </c>
      <c r="U1052" s="331">
        <v>0</v>
      </c>
      <c r="V1052" s="332">
        <v>0</v>
      </c>
      <c r="W1052" s="333"/>
      <c r="X1052" s="334">
        <v>0</v>
      </c>
      <c r="Y1052" s="335">
        <v>0</v>
      </c>
    </row>
    <row r="1053" spans="1:28" ht="16.5" customHeight="1" collapsed="1" x14ac:dyDescent="0.3">
      <c r="A1053" s="930" t="s">
        <v>75</v>
      </c>
      <c r="B1053" s="248"/>
      <c r="C1053" s="280" t="s">
        <v>2023</v>
      </c>
      <c r="D1053" s="281"/>
      <c r="E1053" s="282"/>
      <c r="F1053" s="283" t="s">
        <v>2024</v>
      </c>
      <c r="G1053" s="284"/>
      <c r="H1053" s="285"/>
      <c r="I1053" s="286"/>
      <c r="J1053" s="287">
        <v>219.02500000000001</v>
      </c>
      <c r="K1053" s="288">
        <v>1841.32</v>
      </c>
      <c r="L1053" s="288">
        <v>1900872.409</v>
      </c>
      <c r="M1053" s="288">
        <v>7351.1059999999998</v>
      </c>
      <c r="N1053" s="288">
        <v>2492.819</v>
      </c>
      <c r="O1053" s="288">
        <v>2752.9569999999999</v>
      </c>
      <c r="P1053" s="288">
        <v>132.834</v>
      </c>
      <c r="Q1053" s="288">
        <v>438.51700000000005</v>
      </c>
      <c r="R1053" s="288">
        <v>5663.3320000000003</v>
      </c>
      <c r="S1053" s="288">
        <v>153.09299999999999</v>
      </c>
      <c r="T1053" s="288">
        <v>543.64599999999996</v>
      </c>
      <c r="U1053" s="289">
        <v>5694.4549999999999</v>
      </c>
      <c r="V1053" s="290">
        <v>1928155.5130000003</v>
      </c>
      <c r="W1053" s="277"/>
      <c r="X1053" s="291">
        <v>5694.4549999999999</v>
      </c>
      <c r="Y1053" s="292">
        <v>1928155.5130000003</v>
      </c>
      <c r="AA1053">
        <f>'9. 추정 IS'!J92</f>
        <v>16992.360786000001</v>
      </c>
      <c r="AB1053" s="931">
        <f>AA1053*1000-V1053</f>
        <v>15064205.273000002</v>
      </c>
    </row>
    <row r="1054" spans="1:28" collapsed="1" x14ac:dyDescent="0.3">
      <c r="A1054" s="233"/>
      <c r="B1054" s="234" t="s">
        <v>76</v>
      </c>
      <c r="D1054" s="293" t="s">
        <v>2025</v>
      </c>
      <c r="E1054" s="294"/>
      <c r="F1054" s="295" t="s">
        <v>2026</v>
      </c>
      <c r="G1054" s="296"/>
      <c r="H1054" s="297"/>
      <c r="I1054" s="298"/>
      <c r="J1054" s="299">
        <v>160.16800000000001</v>
      </c>
      <c r="K1054" s="300">
        <v>160.60900000000001</v>
      </c>
      <c r="L1054" s="300">
        <v>475.26</v>
      </c>
      <c r="M1054" s="300">
        <v>161.495</v>
      </c>
      <c r="N1054" s="300">
        <v>161.94</v>
      </c>
      <c r="O1054" s="300">
        <v>2111.866</v>
      </c>
      <c r="P1054" s="300">
        <v>132.834</v>
      </c>
      <c r="Q1054" s="300">
        <v>152.29400000000001</v>
      </c>
      <c r="R1054" s="300">
        <v>403.65700000000004</v>
      </c>
      <c r="S1054" s="300">
        <v>153.09</v>
      </c>
      <c r="T1054" s="300">
        <v>153.49100000000001</v>
      </c>
      <c r="U1054" s="301">
        <v>2231.011</v>
      </c>
      <c r="V1054" s="302">
        <v>6457.7150000000001</v>
      </c>
      <c r="W1054" s="303"/>
      <c r="X1054" s="304">
        <v>2231.011</v>
      </c>
      <c r="Y1054" s="305">
        <v>6457.7150000000001</v>
      </c>
    </row>
    <row r="1055" spans="1:28" x14ac:dyDescent="0.3">
      <c r="E1055" s="339" t="s">
        <v>2027</v>
      </c>
      <c r="F1055" s="340" t="s">
        <v>2028</v>
      </c>
      <c r="G1055" s="341"/>
      <c r="H1055" s="342"/>
      <c r="I1055" s="343"/>
      <c r="J1055" s="344">
        <v>0</v>
      </c>
      <c r="K1055" s="345">
        <v>0</v>
      </c>
      <c r="L1055" s="345">
        <v>314.20800000000003</v>
      </c>
      <c r="M1055" s="345">
        <v>0</v>
      </c>
      <c r="N1055" s="345">
        <v>0</v>
      </c>
      <c r="O1055" s="345">
        <v>1949.482</v>
      </c>
      <c r="P1055" s="345">
        <v>0</v>
      </c>
      <c r="Q1055" s="345">
        <v>0</v>
      </c>
      <c r="R1055" s="345">
        <v>250.965</v>
      </c>
      <c r="S1055" s="345">
        <v>0</v>
      </c>
      <c r="T1055" s="345">
        <v>0</v>
      </c>
      <c r="U1055" s="346">
        <v>2077.1210000000001</v>
      </c>
      <c r="V1055" s="347">
        <v>4591.7759999999998</v>
      </c>
      <c r="W1055" s="303"/>
      <c r="X1055" s="348">
        <v>2077.1210000000001</v>
      </c>
      <c r="Y1055" s="349">
        <v>4591.7759999999998</v>
      </c>
    </row>
    <row r="1056" spans="1:28" hidden="1" outlineLevel="1" x14ac:dyDescent="0.3">
      <c r="E1056" t="s">
        <v>2029</v>
      </c>
      <c r="F1056" s="317">
        <v>4400101</v>
      </c>
      <c r="G1056" s="318"/>
      <c r="H1056" s="319">
        <v>7501010101</v>
      </c>
      <c r="I1056" s="320"/>
      <c r="J1056" s="337">
        <v>0</v>
      </c>
      <c r="K1056" s="321">
        <v>0</v>
      </c>
      <c r="L1056" s="321">
        <v>314.20800000000003</v>
      </c>
      <c r="M1056" s="321">
        <v>0</v>
      </c>
      <c r="N1056" s="321">
        <v>0</v>
      </c>
      <c r="O1056" s="321">
        <v>1949.482</v>
      </c>
      <c r="P1056" s="321">
        <v>0</v>
      </c>
      <c r="Q1056" s="321">
        <v>0</v>
      </c>
      <c r="R1056" s="321">
        <v>250.965</v>
      </c>
      <c r="S1056" s="321">
        <v>0</v>
      </c>
      <c r="T1056" s="321">
        <v>0</v>
      </c>
      <c r="U1056" s="322">
        <v>2077.1210000000001</v>
      </c>
      <c r="V1056" s="323">
        <v>4591.7759999999998</v>
      </c>
      <c r="W1056" s="303"/>
      <c r="X1056" s="324">
        <v>2077.1210000000001</v>
      </c>
      <c r="Y1056" s="325">
        <v>4591.7759999999998</v>
      </c>
    </row>
    <row r="1057" spans="1:25" hidden="1" outlineLevel="1" x14ac:dyDescent="0.3">
      <c r="E1057" t="s">
        <v>2030</v>
      </c>
      <c r="F1057" s="317">
        <v>4400102</v>
      </c>
      <c r="G1057" s="318"/>
      <c r="H1057" s="319"/>
      <c r="I1057" s="320"/>
      <c r="J1057" s="337">
        <v>0</v>
      </c>
      <c r="K1057" s="321">
        <v>0</v>
      </c>
      <c r="L1057" s="321">
        <v>0</v>
      </c>
      <c r="M1057" s="321">
        <v>0</v>
      </c>
      <c r="N1057" s="321">
        <v>0</v>
      </c>
      <c r="O1057" s="321">
        <v>0</v>
      </c>
      <c r="P1057" s="321">
        <v>0</v>
      </c>
      <c r="Q1057" s="321">
        <v>0</v>
      </c>
      <c r="R1057" s="321">
        <v>0</v>
      </c>
      <c r="S1057" s="321">
        <v>0</v>
      </c>
      <c r="T1057" s="321">
        <v>0</v>
      </c>
      <c r="U1057" s="322">
        <v>0</v>
      </c>
      <c r="V1057" s="323">
        <v>0</v>
      </c>
      <c r="W1057" s="303"/>
      <c r="X1057" s="324">
        <v>0</v>
      </c>
      <c r="Y1057" s="325">
        <v>0</v>
      </c>
    </row>
    <row r="1058" spans="1:25" hidden="1" outlineLevel="1" x14ac:dyDescent="0.3">
      <c r="E1058" t="s">
        <v>2031</v>
      </c>
      <c r="F1058" s="317">
        <v>4400199</v>
      </c>
      <c r="G1058" s="318"/>
      <c r="H1058" s="319">
        <v>7501010199</v>
      </c>
      <c r="I1058" s="320"/>
      <c r="J1058" s="337">
        <v>0</v>
      </c>
      <c r="K1058" s="321">
        <v>0</v>
      </c>
      <c r="L1058" s="321">
        <v>0</v>
      </c>
      <c r="M1058" s="321">
        <v>0</v>
      </c>
      <c r="N1058" s="321">
        <v>0</v>
      </c>
      <c r="O1058" s="321">
        <v>0</v>
      </c>
      <c r="P1058" s="321">
        <v>0</v>
      </c>
      <c r="Q1058" s="321">
        <v>0</v>
      </c>
      <c r="R1058" s="321">
        <v>0</v>
      </c>
      <c r="S1058" s="321">
        <v>0</v>
      </c>
      <c r="T1058" s="321">
        <v>0</v>
      </c>
      <c r="U1058" s="322">
        <v>0</v>
      </c>
      <c r="V1058" s="323">
        <v>0</v>
      </c>
      <c r="W1058" s="303"/>
      <c r="X1058" s="324">
        <v>0</v>
      </c>
      <c r="Y1058" s="325">
        <v>0</v>
      </c>
    </row>
    <row r="1059" spans="1:25" s="326" customFormat="1" hidden="1" outlineLevel="2" x14ac:dyDescent="0.3">
      <c r="E1059" s="326" t="s">
        <v>2032</v>
      </c>
      <c r="F1059" s="336"/>
      <c r="G1059" s="327"/>
      <c r="H1059" s="328"/>
      <c r="I1059" s="329"/>
      <c r="J1059" s="338">
        <v>0</v>
      </c>
      <c r="K1059" s="330">
        <v>0</v>
      </c>
      <c r="L1059" s="330">
        <v>0</v>
      </c>
      <c r="M1059" s="330">
        <v>0</v>
      </c>
      <c r="N1059" s="330">
        <v>0</v>
      </c>
      <c r="O1059" s="330">
        <v>0</v>
      </c>
      <c r="P1059" s="330">
        <v>0</v>
      </c>
      <c r="Q1059" s="330">
        <v>0</v>
      </c>
      <c r="R1059" s="330">
        <v>0</v>
      </c>
      <c r="S1059" s="330">
        <v>0</v>
      </c>
      <c r="T1059" s="330">
        <v>0</v>
      </c>
      <c r="U1059" s="331">
        <v>0</v>
      </c>
      <c r="V1059" s="332">
        <v>0</v>
      </c>
      <c r="W1059" s="333"/>
      <c r="X1059" s="334">
        <v>0</v>
      </c>
      <c r="Y1059" s="335">
        <v>0</v>
      </c>
    </row>
    <row r="1060" spans="1:25" s="326" customFormat="1" hidden="1" outlineLevel="2" x14ac:dyDescent="0.3">
      <c r="E1060" s="326" t="s">
        <v>2033</v>
      </c>
      <c r="F1060" s="336"/>
      <c r="G1060" s="327"/>
      <c r="H1060" s="328"/>
      <c r="I1060" s="329"/>
      <c r="J1060" s="338">
        <v>0</v>
      </c>
      <c r="K1060" s="330">
        <v>0</v>
      </c>
      <c r="L1060" s="330">
        <v>0</v>
      </c>
      <c r="M1060" s="330">
        <v>0</v>
      </c>
      <c r="N1060" s="330">
        <v>0</v>
      </c>
      <c r="O1060" s="330">
        <v>0</v>
      </c>
      <c r="P1060" s="330">
        <v>0</v>
      </c>
      <c r="Q1060" s="330">
        <v>0</v>
      </c>
      <c r="R1060" s="330">
        <v>0</v>
      </c>
      <c r="S1060" s="330">
        <v>0</v>
      </c>
      <c r="T1060" s="330">
        <v>0</v>
      </c>
      <c r="U1060" s="331">
        <v>0</v>
      </c>
      <c r="V1060" s="332">
        <v>0</v>
      </c>
      <c r="W1060" s="333"/>
      <c r="X1060" s="334">
        <v>0</v>
      </c>
      <c r="Y1060" s="335">
        <v>0</v>
      </c>
    </row>
    <row r="1061" spans="1:25" s="326" customFormat="1" hidden="1" outlineLevel="2" x14ac:dyDescent="0.3">
      <c r="E1061" s="326" t="s">
        <v>2034</v>
      </c>
      <c r="F1061" s="336"/>
      <c r="G1061" s="327"/>
      <c r="H1061" s="328"/>
      <c r="I1061" s="329"/>
      <c r="J1061" s="338">
        <v>0</v>
      </c>
      <c r="K1061" s="330">
        <v>0</v>
      </c>
      <c r="L1061" s="330">
        <v>0</v>
      </c>
      <c r="M1061" s="330">
        <v>0</v>
      </c>
      <c r="N1061" s="330">
        <v>0</v>
      </c>
      <c r="O1061" s="330">
        <v>0</v>
      </c>
      <c r="P1061" s="330">
        <v>0</v>
      </c>
      <c r="Q1061" s="330">
        <v>0</v>
      </c>
      <c r="R1061" s="330">
        <v>0</v>
      </c>
      <c r="S1061" s="330">
        <v>0</v>
      </c>
      <c r="T1061" s="330">
        <v>0</v>
      </c>
      <c r="U1061" s="331">
        <v>0</v>
      </c>
      <c r="V1061" s="332">
        <v>0</v>
      </c>
      <c r="W1061" s="333"/>
      <c r="X1061" s="334">
        <v>0</v>
      </c>
      <c r="Y1061" s="335">
        <v>0</v>
      </c>
    </row>
    <row r="1062" spans="1:25" collapsed="1" x14ac:dyDescent="0.3">
      <c r="E1062" s="339" t="s">
        <v>2035</v>
      </c>
      <c r="F1062" s="340" t="s">
        <v>2036</v>
      </c>
      <c r="G1062" s="341"/>
      <c r="H1062" s="342"/>
      <c r="I1062" s="343"/>
      <c r="J1062" s="344">
        <v>160.16800000000001</v>
      </c>
      <c r="K1062" s="345">
        <v>160.60900000000001</v>
      </c>
      <c r="L1062" s="345">
        <v>161.05199999999999</v>
      </c>
      <c r="M1062" s="345">
        <v>161.495</v>
      </c>
      <c r="N1062" s="345">
        <v>161.94</v>
      </c>
      <c r="O1062" s="345">
        <v>162.38399999999999</v>
      </c>
      <c r="P1062" s="345">
        <v>132.834</v>
      </c>
      <c r="Q1062" s="345">
        <v>152.29400000000001</v>
      </c>
      <c r="R1062" s="345">
        <v>152.69200000000001</v>
      </c>
      <c r="S1062" s="345">
        <v>153.09</v>
      </c>
      <c r="T1062" s="345">
        <v>153.49100000000001</v>
      </c>
      <c r="U1062" s="346">
        <v>153.88999999999999</v>
      </c>
      <c r="V1062" s="347">
        <v>1865.9390000000003</v>
      </c>
      <c r="W1062" s="303"/>
      <c r="X1062" s="348">
        <v>153.88999999999999</v>
      </c>
      <c r="Y1062" s="349">
        <v>1865.9390000000003</v>
      </c>
    </row>
    <row r="1063" spans="1:25" hidden="1" outlineLevel="1" x14ac:dyDescent="0.3">
      <c r="E1063" t="s">
        <v>2037</v>
      </c>
      <c r="F1063" s="317">
        <v>4400182</v>
      </c>
      <c r="G1063" s="318"/>
      <c r="H1063" s="319">
        <v>7501010303</v>
      </c>
      <c r="I1063" s="320"/>
      <c r="J1063" s="337">
        <v>0</v>
      </c>
      <c r="K1063" s="321">
        <v>0</v>
      </c>
      <c r="L1063" s="321">
        <v>0</v>
      </c>
      <c r="M1063" s="321">
        <v>0</v>
      </c>
      <c r="N1063" s="321">
        <v>0</v>
      </c>
      <c r="O1063" s="321">
        <v>0</v>
      </c>
      <c r="P1063" s="321">
        <v>0</v>
      </c>
      <c r="Q1063" s="321">
        <v>0</v>
      </c>
      <c r="R1063" s="321">
        <v>0</v>
      </c>
      <c r="S1063" s="321">
        <v>0</v>
      </c>
      <c r="T1063" s="321">
        <v>0</v>
      </c>
      <c r="U1063" s="322">
        <v>0</v>
      </c>
      <c r="V1063" s="323">
        <v>0</v>
      </c>
      <c r="W1063" s="303"/>
      <c r="X1063" s="324">
        <v>0</v>
      </c>
      <c r="Y1063" s="325">
        <v>0</v>
      </c>
    </row>
    <row r="1064" spans="1:25" hidden="1" outlineLevel="1" x14ac:dyDescent="0.3">
      <c r="E1064" t="s">
        <v>2038</v>
      </c>
      <c r="F1064" s="317">
        <v>4400181</v>
      </c>
      <c r="G1064" s="318"/>
      <c r="H1064" s="319">
        <v>7501010301</v>
      </c>
      <c r="I1064" s="320"/>
      <c r="J1064" s="337">
        <v>160.16800000000001</v>
      </c>
      <c r="K1064" s="321">
        <v>160.60900000000001</v>
      </c>
      <c r="L1064" s="321">
        <v>161.05199999999999</v>
      </c>
      <c r="M1064" s="321">
        <v>161.495</v>
      </c>
      <c r="N1064" s="321">
        <v>161.94</v>
      </c>
      <c r="O1064" s="321">
        <v>162.38399999999999</v>
      </c>
      <c r="P1064" s="321">
        <v>132.834</v>
      </c>
      <c r="Q1064" s="321">
        <v>152.29400000000001</v>
      </c>
      <c r="R1064" s="321">
        <v>152.69200000000001</v>
      </c>
      <c r="S1064" s="321">
        <v>153.09</v>
      </c>
      <c r="T1064" s="321">
        <v>153.49100000000001</v>
      </c>
      <c r="U1064" s="322">
        <v>153.88999999999999</v>
      </c>
      <c r="V1064" s="323">
        <v>1865.9390000000003</v>
      </c>
      <c r="W1064" s="303"/>
      <c r="X1064" s="324">
        <v>153.88999999999999</v>
      </c>
      <c r="Y1064" s="325">
        <v>1865.9390000000003</v>
      </c>
    </row>
    <row r="1065" spans="1:25" s="326" customFormat="1" hidden="1" outlineLevel="2" x14ac:dyDescent="0.3">
      <c r="E1065" s="326" t="s">
        <v>2032</v>
      </c>
      <c r="F1065" s="336"/>
      <c r="G1065" s="327"/>
      <c r="H1065" s="328"/>
      <c r="I1065" s="329"/>
      <c r="J1065" s="338">
        <v>0</v>
      </c>
      <c r="K1065" s="330">
        <v>0</v>
      </c>
      <c r="L1065" s="330">
        <v>0</v>
      </c>
      <c r="M1065" s="330">
        <v>0</v>
      </c>
      <c r="N1065" s="330">
        <v>0</v>
      </c>
      <c r="O1065" s="330">
        <v>0</v>
      </c>
      <c r="P1065" s="330">
        <v>0</v>
      </c>
      <c r="Q1065" s="330">
        <v>0</v>
      </c>
      <c r="R1065" s="330">
        <v>0</v>
      </c>
      <c r="S1065" s="330">
        <v>0</v>
      </c>
      <c r="T1065" s="330">
        <v>0</v>
      </c>
      <c r="U1065" s="331">
        <v>0</v>
      </c>
      <c r="V1065" s="332">
        <v>0</v>
      </c>
      <c r="W1065" s="333"/>
      <c r="X1065" s="334">
        <v>0</v>
      </c>
      <c r="Y1065" s="335">
        <v>0</v>
      </c>
    </row>
    <row r="1066" spans="1:25" s="326" customFormat="1" hidden="1" outlineLevel="2" x14ac:dyDescent="0.3">
      <c r="E1066" s="326" t="s">
        <v>2033</v>
      </c>
      <c r="F1066" s="336"/>
      <c r="G1066" s="327"/>
      <c r="H1066" s="328"/>
      <c r="I1066" s="329"/>
      <c r="J1066" s="338">
        <v>0</v>
      </c>
      <c r="K1066" s="330">
        <v>0</v>
      </c>
      <c r="L1066" s="330">
        <v>0</v>
      </c>
      <c r="M1066" s="330">
        <v>0</v>
      </c>
      <c r="N1066" s="330">
        <v>0</v>
      </c>
      <c r="O1066" s="330">
        <v>0</v>
      </c>
      <c r="P1066" s="330">
        <v>0</v>
      </c>
      <c r="Q1066" s="330">
        <v>0</v>
      </c>
      <c r="R1066" s="330">
        <v>0</v>
      </c>
      <c r="S1066" s="330">
        <v>0</v>
      </c>
      <c r="T1066" s="330">
        <v>0</v>
      </c>
      <c r="U1066" s="331">
        <v>0</v>
      </c>
      <c r="V1066" s="332">
        <v>0</v>
      </c>
      <c r="W1066" s="333"/>
      <c r="X1066" s="334">
        <v>0</v>
      </c>
      <c r="Y1066" s="335">
        <v>0</v>
      </c>
    </row>
    <row r="1067" spans="1:25" s="326" customFormat="1" hidden="1" outlineLevel="2" x14ac:dyDescent="0.3">
      <c r="E1067" s="326" t="s">
        <v>2034</v>
      </c>
      <c r="F1067" s="336"/>
      <c r="G1067" s="327"/>
      <c r="H1067" s="328"/>
      <c r="I1067" s="329"/>
      <c r="J1067" s="338">
        <v>0</v>
      </c>
      <c r="K1067" s="330">
        <v>0</v>
      </c>
      <c r="L1067" s="330">
        <v>0</v>
      </c>
      <c r="M1067" s="330">
        <v>0</v>
      </c>
      <c r="N1067" s="330">
        <v>0</v>
      </c>
      <c r="O1067" s="330">
        <v>0</v>
      </c>
      <c r="P1067" s="330">
        <v>0</v>
      </c>
      <c r="Q1067" s="330">
        <v>0</v>
      </c>
      <c r="R1067" s="330">
        <v>0</v>
      </c>
      <c r="S1067" s="330">
        <v>0</v>
      </c>
      <c r="T1067" s="330">
        <v>0</v>
      </c>
      <c r="U1067" s="331">
        <v>0</v>
      </c>
      <c r="V1067" s="332">
        <v>0</v>
      </c>
      <c r="W1067" s="333"/>
      <c r="X1067" s="334">
        <v>0</v>
      </c>
      <c r="Y1067" s="335">
        <v>0</v>
      </c>
    </row>
    <row r="1068" spans="1:25" collapsed="1" x14ac:dyDescent="0.3">
      <c r="A1068" s="233"/>
      <c r="B1068" s="234" t="s">
        <v>77</v>
      </c>
      <c r="D1068" s="293" t="s">
        <v>2039</v>
      </c>
      <c r="E1068" s="294"/>
      <c r="F1068" s="295" t="s">
        <v>2040</v>
      </c>
      <c r="G1068" s="296"/>
      <c r="H1068" s="297"/>
      <c r="I1068" s="298"/>
      <c r="J1068" s="299">
        <v>0</v>
      </c>
      <c r="K1068" s="300">
        <v>0</v>
      </c>
      <c r="L1068" s="300">
        <v>1900000</v>
      </c>
      <c r="M1068" s="300">
        <v>0</v>
      </c>
      <c r="N1068" s="300">
        <v>0</v>
      </c>
      <c r="O1068" s="300">
        <v>0</v>
      </c>
      <c r="P1068" s="300">
        <v>0</v>
      </c>
      <c r="Q1068" s="300">
        <v>0</v>
      </c>
      <c r="R1068" s="300">
        <v>0</v>
      </c>
      <c r="S1068" s="300">
        <v>0</v>
      </c>
      <c r="T1068" s="300">
        <v>0</v>
      </c>
      <c r="U1068" s="301">
        <v>0</v>
      </c>
      <c r="V1068" s="302">
        <v>1900000</v>
      </c>
      <c r="W1068" s="303"/>
      <c r="X1068" s="304">
        <v>0</v>
      </c>
      <c r="Y1068" s="305">
        <v>1900000</v>
      </c>
    </row>
    <row r="1069" spans="1:25" hidden="1" outlineLevel="1" x14ac:dyDescent="0.3">
      <c r="E1069" t="s">
        <v>2041</v>
      </c>
      <c r="F1069" s="317">
        <v>4401000</v>
      </c>
      <c r="G1069" s="318"/>
      <c r="H1069" s="319">
        <v>7501030101</v>
      </c>
      <c r="I1069" s="320"/>
      <c r="J1069" s="337">
        <v>0</v>
      </c>
      <c r="K1069" s="321">
        <v>0</v>
      </c>
      <c r="L1069" s="321">
        <v>1900000</v>
      </c>
      <c r="M1069" s="321">
        <v>0</v>
      </c>
      <c r="N1069" s="321">
        <v>0</v>
      </c>
      <c r="O1069" s="321">
        <v>0</v>
      </c>
      <c r="P1069" s="321">
        <v>0</v>
      </c>
      <c r="Q1069" s="321">
        <v>0</v>
      </c>
      <c r="R1069" s="321">
        <v>0</v>
      </c>
      <c r="S1069" s="321">
        <v>0</v>
      </c>
      <c r="T1069" s="321">
        <v>0</v>
      </c>
      <c r="U1069" s="322">
        <v>0</v>
      </c>
      <c r="V1069" s="323">
        <v>1900000</v>
      </c>
      <c r="W1069" s="303"/>
      <c r="X1069" s="324">
        <v>0</v>
      </c>
      <c r="Y1069" s="325">
        <v>1900000</v>
      </c>
    </row>
    <row r="1070" spans="1:25" s="326" customFormat="1" hidden="1" outlineLevel="2" x14ac:dyDescent="0.3">
      <c r="E1070" s="326" t="s">
        <v>2042</v>
      </c>
      <c r="F1070" s="336"/>
      <c r="G1070" s="327"/>
      <c r="H1070" s="328"/>
      <c r="I1070" s="329"/>
      <c r="J1070" s="338">
        <v>0</v>
      </c>
      <c r="K1070" s="330">
        <v>0</v>
      </c>
      <c r="L1070" s="330">
        <v>0</v>
      </c>
      <c r="M1070" s="330">
        <v>0</v>
      </c>
      <c r="N1070" s="330">
        <v>0</v>
      </c>
      <c r="O1070" s="330">
        <v>0</v>
      </c>
      <c r="P1070" s="330">
        <v>0</v>
      </c>
      <c r="Q1070" s="330">
        <v>0</v>
      </c>
      <c r="R1070" s="330">
        <v>0</v>
      </c>
      <c r="S1070" s="330">
        <v>0</v>
      </c>
      <c r="T1070" s="330">
        <v>0</v>
      </c>
      <c r="U1070" s="331">
        <v>0</v>
      </c>
      <c r="V1070" s="332">
        <v>0</v>
      </c>
      <c r="W1070" s="333"/>
      <c r="X1070" s="334">
        <v>0</v>
      </c>
      <c r="Y1070" s="335">
        <v>0</v>
      </c>
    </row>
    <row r="1071" spans="1:25" s="326" customFormat="1" hidden="1" outlineLevel="2" x14ac:dyDescent="0.3">
      <c r="E1071" s="326" t="s">
        <v>2043</v>
      </c>
      <c r="F1071" s="336"/>
      <c r="G1071" s="327"/>
      <c r="H1071" s="328"/>
      <c r="I1071" s="329"/>
      <c r="J1071" s="338">
        <v>0</v>
      </c>
      <c r="K1071" s="330">
        <v>0</v>
      </c>
      <c r="L1071" s="330">
        <v>0</v>
      </c>
      <c r="M1071" s="330">
        <v>0</v>
      </c>
      <c r="N1071" s="330">
        <v>0</v>
      </c>
      <c r="O1071" s="330">
        <v>0</v>
      </c>
      <c r="P1071" s="330">
        <v>0</v>
      </c>
      <c r="Q1071" s="330">
        <v>0</v>
      </c>
      <c r="R1071" s="330">
        <v>0</v>
      </c>
      <c r="S1071" s="330">
        <v>0</v>
      </c>
      <c r="T1071" s="330">
        <v>0</v>
      </c>
      <c r="U1071" s="331">
        <v>0</v>
      </c>
      <c r="V1071" s="332">
        <v>0</v>
      </c>
      <c r="W1071" s="333"/>
      <c r="X1071" s="334">
        <v>0</v>
      </c>
      <c r="Y1071" s="335">
        <v>0</v>
      </c>
    </row>
    <row r="1072" spans="1:25" s="326" customFormat="1" hidden="1" outlineLevel="2" x14ac:dyDescent="0.3">
      <c r="E1072" s="326" t="s">
        <v>2044</v>
      </c>
      <c r="F1072" s="336"/>
      <c r="G1072" s="327"/>
      <c r="H1072" s="328"/>
      <c r="I1072" s="329"/>
      <c r="J1072" s="338">
        <v>0</v>
      </c>
      <c r="K1072" s="330">
        <v>0</v>
      </c>
      <c r="L1072" s="330">
        <v>0</v>
      </c>
      <c r="M1072" s="330">
        <v>0</v>
      </c>
      <c r="N1072" s="330">
        <v>0</v>
      </c>
      <c r="O1072" s="330">
        <v>0</v>
      </c>
      <c r="P1072" s="330">
        <v>0</v>
      </c>
      <c r="Q1072" s="330">
        <v>0</v>
      </c>
      <c r="R1072" s="330">
        <v>0</v>
      </c>
      <c r="S1072" s="330">
        <v>0</v>
      </c>
      <c r="T1072" s="330">
        <v>0</v>
      </c>
      <c r="U1072" s="331">
        <v>0</v>
      </c>
      <c r="V1072" s="332">
        <v>0</v>
      </c>
      <c r="W1072" s="333"/>
      <c r="X1072" s="334">
        <v>0</v>
      </c>
      <c r="Y1072" s="335">
        <v>0</v>
      </c>
    </row>
    <row r="1073" spans="1:25" collapsed="1" x14ac:dyDescent="0.3">
      <c r="A1073" s="233"/>
      <c r="B1073" s="234" t="s">
        <v>78</v>
      </c>
      <c r="D1073" s="293" t="s">
        <v>2045</v>
      </c>
      <c r="E1073" s="294"/>
      <c r="F1073" s="295" t="s">
        <v>2046</v>
      </c>
      <c r="G1073" s="296"/>
      <c r="H1073" s="297"/>
      <c r="I1073" s="298"/>
      <c r="J1073" s="299">
        <v>0</v>
      </c>
      <c r="K1073" s="300">
        <v>0</v>
      </c>
      <c r="L1073" s="300">
        <v>0</v>
      </c>
      <c r="M1073" s="300">
        <v>0</v>
      </c>
      <c r="N1073" s="300">
        <v>0</v>
      </c>
      <c r="O1073" s="300">
        <v>0</v>
      </c>
      <c r="P1073" s="300">
        <v>0</v>
      </c>
      <c r="Q1073" s="300">
        <v>0</v>
      </c>
      <c r="R1073" s="300">
        <v>0</v>
      </c>
      <c r="S1073" s="300">
        <v>0</v>
      </c>
      <c r="T1073" s="300">
        <v>0</v>
      </c>
      <c r="U1073" s="301">
        <v>0</v>
      </c>
      <c r="V1073" s="302">
        <v>0</v>
      </c>
      <c r="W1073" s="303"/>
      <c r="X1073" s="304">
        <v>0</v>
      </c>
      <c r="Y1073" s="305">
        <v>0</v>
      </c>
    </row>
    <row r="1074" spans="1:25" hidden="1" outlineLevel="1" x14ac:dyDescent="0.3">
      <c r="E1074" t="s">
        <v>2047</v>
      </c>
      <c r="F1074" s="317">
        <v>4408510</v>
      </c>
      <c r="G1074" s="318"/>
      <c r="H1074" s="319">
        <v>7501320101</v>
      </c>
      <c r="I1074" s="320"/>
      <c r="J1074" s="337">
        <v>0</v>
      </c>
      <c r="K1074" s="321">
        <v>0</v>
      </c>
      <c r="L1074" s="321">
        <v>0</v>
      </c>
      <c r="M1074" s="321">
        <v>0</v>
      </c>
      <c r="N1074" s="321">
        <v>0</v>
      </c>
      <c r="O1074" s="321">
        <v>0</v>
      </c>
      <c r="P1074" s="321">
        <v>0</v>
      </c>
      <c r="Q1074" s="321">
        <v>0</v>
      </c>
      <c r="R1074" s="321">
        <v>0</v>
      </c>
      <c r="S1074" s="321">
        <v>0</v>
      </c>
      <c r="T1074" s="321">
        <v>0</v>
      </c>
      <c r="U1074" s="322">
        <v>0</v>
      </c>
      <c r="V1074" s="323">
        <v>0</v>
      </c>
      <c r="W1074" s="303"/>
      <c r="X1074" s="324">
        <v>0</v>
      </c>
      <c r="Y1074" s="325">
        <v>0</v>
      </c>
    </row>
    <row r="1075" spans="1:25" hidden="1" outlineLevel="1" x14ac:dyDescent="0.3">
      <c r="E1075" t="s">
        <v>2048</v>
      </c>
      <c r="F1075" s="317">
        <v>4408511</v>
      </c>
      <c r="G1075" s="318"/>
      <c r="H1075" s="319">
        <v>7501320102</v>
      </c>
      <c r="I1075" s="320"/>
      <c r="J1075" s="337">
        <v>0</v>
      </c>
      <c r="K1075" s="321">
        <v>0</v>
      </c>
      <c r="L1075" s="321">
        <v>0</v>
      </c>
      <c r="M1075" s="321">
        <v>0</v>
      </c>
      <c r="N1075" s="321">
        <v>0</v>
      </c>
      <c r="O1075" s="321">
        <v>0</v>
      </c>
      <c r="P1075" s="321">
        <v>0</v>
      </c>
      <c r="Q1075" s="321">
        <v>0</v>
      </c>
      <c r="R1075" s="321">
        <v>0</v>
      </c>
      <c r="S1075" s="321">
        <v>0</v>
      </c>
      <c r="T1075" s="321">
        <v>0</v>
      </c>
      <c r="U1075" s="322">
        <v>0</v>
      </c>
      <c r="V1075" s="323">
        <v>0</v>
      </c>
      <c r="W1075" s="303"/>
      <c r="X1075" s="324">
        <v>0</v>
      </c>
      <c r="Y1075" s="325">
        <v>0</v>
      </c>
    </row>
    <row r="1076" spans="1:25" hidden="1" outlineLevel="1" x14ac:dyDescent="0.3">
      <c r="E1076" t="s">
        <v>2049</v>
      </c>
      <c r="F1076" s="317">
        <v>4408512</v>
      </c>
      <c r="G1076" s="318"/>
      <c r="H1076" s="319">
        <v>7501320103</v>
      </c>
      <c r="I1076" s="320"/>
      <c r="J1076" s="337">
        <v>0</v>
      </c>
      <c r="K1076" s="321">
        <v>0</v>
      </c>
      <c r="L1076" s="321">
        <v>0</v>
      </c>
      <c r="M1076" s="321">
        <v>0</v>
      </c>
      <c r="N1076" s="321">
        <v>0</v>
      </c>
      <c r="O1076" s="321">
        <v>0</v>
      </c>
      <c r="P1076" s="321">
        <v>0</v>
      </c>
      <c r="Q1076" s="321">
        <v>0</v>
      </c>
      <c r="R1076" s="321">
        <v>0</v>
      </c>
      <c r="S1076" s="321">
        <v>0</v>
      </c>
      <c r="T1076" s="321">
        <v>0</v>
      </c>
      <c r="U1076" s="322">
        <v>0</v>
      </c>
      <c r="V1076" s="323">
        <v>0</v>
      </c>
      <c r="W1076" s="303"/>
      <c r="X1076" s="324">
        <v>0</v>
      </c>
      <c r="Y1076" s="325">
        <v>0</v>
      </c>
    </row>
    <row r="1077" spans="1:25" hidden="1" outlineLevel="1" x14ac:dyDescent="0.3">
      <c r="E1077" t="s">
        <v>2050</v>
      </c>
      <c r="F1077" s="317">
        <v>4408513</v>
      </c>
      <c r="G1077" s="318"/>
      <c r="H1077" s="319"/>
      <c r="I1077" s="320"/>
      <c r="J1077" s="337">
        <v>0</v>
      </c>
      <c r="K1077" s="321">
        <v>0</v>
      </c>
      <c r="L1077" s="321">
        <v>0</v>
      </c>
      <c r="M1077" s="321">
        <v>0</v>
      </c>
      <c r="N1077" s="321">
        <v>0</v>
      </c>
      <c r="O1077" s="321">
        <v>0</v>
      </c>
      <c r="P1077" s="321">
        <v>0</v>
      </c>
      <c r="Q1077" s="321">
        <v>0</v>
      </c>
      <c r="R1077" s="321">
        <v>0</v>
      </c>
      <c r="S1077" s="321">
        <v>0</v>
      </c>
      <c r="T1077" s="321">
        <v>0</v>
      </c>
      <c r="U1077" s="322">
        <v>0</v>
      </c>
      <c r="V1077" s="323">
        <v>0</v>
      </c>
      <c r="W1077" s="303"/>
      <c r="X1077" s="324">
        <v>0</v>
      </c>
      <c r="Y1077" s="325">
        <v>0</v>
      </c>
    </row>
    <row r="1078" spans="1:25" hidden="1" outlineLevel="1" x14ac:dyDescent="0.3">
      <c r="E1078" t="s">
        <v>2051</v>
      </c>
      <c r="F1078" s="317">
        <v>4408514</v>
      </c>
      <c r="G1078" s="318"/>
      <c r="H1078" s="319"/>
      <c r="I1078" s="320"/>
      <c r="J1078" s="337">
        <v>0</v>
      </c>
      <c r="K1078" s="321">
        <v>0</v>
      </c>
      <c r="L1078" s="321">
        <v>0</v>
      </c>
      <c r="M1078" s="321">
        <v>0</v>
      </c>
      <c r="N1078" s="321">
        <v>0</v>
      </c>
      <c r="O1078" s="321">
        <v>0</v>
      </c>
      <c r="P1078" s="321">
        <v>0</v>
      </c>
      <c r="Q1078" s="321">
        <v>0</v>
      </c>
      <c r="R1078" s="321">
        <v>0</v>
      </c>
      <c r="S1078" s="321">
        <v>0</v>
      </c>
      <c r="T1078" s="321">
        <v>0</v>
      </c>
      <c r="U1078" s="322">
        <v>0</v>
      </c>
      <c r="V1078" s="323">
        <v>0</v>
      </c>
      <c r="W1078" s="303"/>
      <c r="X1078" s="324">
        <v>0</v>
      </c>
      <c r="Y1078" s="325">
        <v>0</v>
      </c>
    </row>
    <row r="1079" spans="1:25" s="326" customFormat="1" hidden="1" outlineLevel="2" x14ac:dyDescent="0.3">
      <c r="E1079" s="326" t="s">
        <v>2052</v>
      </c>
      <c r="F1079" s="336"/>
      <c r="G1079" s="327"/>
      <c r="H1079" s="328"/>
      <c r="I1079" s="329"/>
      <c r="J1079" s="338">
        <v>0</v>
      </c>
      <c r="K1079" s="330">
        <v>0</v>
      </c>
      <c r="L1079" s="330">
        <v>0</v>
      </c>
      <c r="M1079" s="330">
        <v>0</v>
      </c>
      <c r="N1079" s="330">
        <v>0</v>
      </c>
      <c r="O1079" s="330">
        <v>0</v>
      </c>
      <c r="P1079" s="330">
        <v>0</v>
      </c>
      <c r="Q1079" s="330">
        <v>0</v>
      </c>
      <c r="R1079" s="330">
        <v>0</v>
      </c>
      <c r="S1079" s="330">
        <v>0</v>
      </c>
      <c r="T1079" s="330">
        <v>0</v>
      </c>
      <c r="U1079" s="331">
        <v>0</v>
      </c>
      <c r="V1079" s="332">
        <v>0</v>
      </c>
      <c r="W1079" s="333"/>
      <c r="X1079" s="334">
        <v>0</v>
      </c>
      <c r="Y1079" s="335">
        <v>0</v>
      </c>
    </row>
    <row r="1080" spans="1:25" s="326" customFormat="1" hidden="1" outlineLevel="2" x14ac:dyDescent="0.3">
      <c r="E1080" s="326" t="s">
        <v>2053</v>
      </c>
      <c r="F1080" s="336"/>
      <c r="G1080" s="327"/>
      <c r="H1080" s="328"/>
      <c r="I1080" s="329"/>
      <c r="J1080" s="338">
        <v>0</v>
      </c>
      <c r="K1080" s="330">
        <v>0</v>
      </c>
      <c r="L1080" s="330">
        <v>0</v>
      </c>
      <c r="M1080" s="330">
        <v>0</v>
      </c>
      <c r="N1080" s="330">
        <v>0</v>
      </c>
      <c r="O1080" s="330">
        <v>0</v>
      </c>
      <c r="P1080" s="330">
        <v>0</v>
      </c>
      <c r="Q1080" s="330">
        <v>0</v>
      </c>
      <c r="R1080" s="330">
        <v>0</v>
      </c>
      <c r="S1080" s="330">
        <v>0</v>
      </c>
      <c r="T1080" s="330">
        <v>0</v>
      </c>
      <c r="U1080" s="331">
        <v>0</v>
      </c>
      <c r="V1080" s="332">
        <v>0</v>
      </c>
      <c r="W1080" s="333"/>
      <c r="X1080" s="334">
        <v>0</v>
      </c>
      <c r="Y1080" s="335">
        <v>0</v>
      </c>
    </row>
    <row r="1081" spans="1:25" s="326" customFormat="1" hidden="1" outlineLevel="2" x14ac:dyDescent="0.3">
      <c r="E1081" s="326" t="s">
        <v>2054</v>
      </c>
      <c r="F1081" s="336"/>
      <c r="G1081" s="327"/>
      <c r="H1081" s="328"/>
      <c r="I1081" s="329"/>
      <c r="J1081" s="338">
        <v>0</v>
      </c>
      <c r="K1081" s="330">
        <v>0</v>
      </c>
      <c r="L1081" s="330">
        <v>0</v>
      </c>
      <c r="M1081" s="330">
        <v>0</v>
      </c>
      <c r="N1081" s="330">
        <v>0</v>
      </c>
      <c r="O1081" s="330">
        <v>0</v>
      </c>
      <c r="P1081" s="330">
        <v>0</v>
      </c>
      <c r="Q1081" s="330">
        <v>0</v>
      </c>
      <c r="R1081" s="330">
        <v>0</v>
      </c>
      <c r="S1081" s="330">
        <v>0</v>
      </c>
      <c r="T1081" s="330">
        <v>0</v>
      </c>
      <c r="U1081" s="331">
        <v>0</v>
      </c>
      <c r="V1081" s="332">
        <v>0</v>
      </c>
      <c r="W1081" s="333"/>
      <c r="X1081" s="334">
        <v>0</v>
      </c>
      <c r="Y1081" s="335">
        <v>0</v>
      </c>
    </row>
    <row r="1082" spans="1:25" collapsed="1" x14ac:dyDescent="0.3">
      <c r="A1082" s="233"/>
      <c r="B1082" s="234" t="s">
        <v>78</v>
      </c>
      <c r="D1082" s="293" t="s">
        <v>2055</v>
      </c>
      <c r="E1082" s="294"/>
      <c r="F1082" s="295" t="s">
        <v>2056</v>
      </c>
      <c r="G1082" s="296"/>
      <c r="H1082" s="297"/>
      <c r="I1082" s="298"/>
      <c r="J1082" s="299">
        <v>0</v>
      </c>
      <c r="K1082" s="300">
        <v>0</v>
      </c>
      <c r="L1082" s="300">
        <v>0</v>
      </c>
      <c r="M1082" s="300">
        <v>0</v>
      </c>
      <c r="N1082" s="300">
        <v>0</v>
      </c>
      <c r="O1082" s="300">
        <v>0</v>
      </c>
      <c r="P1082" s="300">
        <v>0</v>
      </c>
      <c r="Q1082" s="300">
        <v>0</v>
      </c>
      <c r="R1082" s="300">
        <v>0</v>
      </c>
      <c r="S1082" s="300">
        <v>0</v>
      </c>
      <c r="T1082" s="300">
        <v>0</v>
      </c>
      <c r="U1082" s="301">
        <v>0</v>
      </c>
      <c r="V1082" s="302">
        <v>0</v>
      </c>
      <c r="W1082" s="303"/>
      <c r="X1082" s="304">
        <v>0</v>
      </c>
      <c r="Y1082" s="305">
        <v>0</v>
      </c>
    </row>
    <row r="1083" spans="1:25" hidden="1" outlineLevel="1" x14ac:dyDescent="0.3">
      <c r="E1083" t="s">
        <v>2057</v>
      </c>
      <c r="F1083" s="317">
        <v>4402580</v>
      </c>
      <c r="G1083" s="318"/>
      <c r="H1083" s="319">
        <v>7501070101</v>
      </c>
      <c r="I1083" s="320"/>
      <c r="J1083" s="337">
        <v>0</v>
      </c>
      <c r="K1083" s="321">
        <v>0</v>
      </c>
      <c r="L1083" s="321">
        <v>0</v>
      </c>
      <c r="M1083" s="321">
        <v>0</v>
      </c>
      <c r="N1083" s="321">
        <v>0</v>
      </c>
      <c r="O1083" s="321">
        <v>0</v>
      </c>
      <c r="P1083" s="321">
        <v>0</v>
      </c>
      <c r="Q1083" s="321">
        <v>0</v>
      </c>
      <c r="R1083" s="321">
        <v>0</v>
      </c>
      <c r="S1083" s="321">
        <v>0</v>
      </c>
      <c r="T1083" s="321">
        <v>0</v>
      </c>
      <c r="U1083" s="322">
        <v>0</v>
      </c>
      <c r="V1083" s="323">
        <v>0</v>
      </c>
      <c r="W1083" s="303"/>
      <c r="X1083" s="324">
        <v>0</v>
      </c>
      <c r="Y1083" s="325">
        <v>0</v>
      </c>
    </row>
    <row r="1084" spans="1:25" hidden="1" outlineLevel="1" x14ac:dyDescent="0.3">
      <c r="E1084" t="s">
        <v>2058</v>
      </c>
      <c r="F1084" s="317">
        <v>4402505</v>
      </c>
      <c r="G1084" s="318"/>
      <c r="H1084" s="319"/>
      <c r="I1084" s="320"/>
      <c r="J1084" s="337">
        <v>0</v>
      </c>
      <c r="K1084" s="321">
        <v>0</v>
      </c>
      <c r="L1084" s="321">
        <v>0</v>
      </c>
      <c r="M1084" s="321">
        <v>0</v>
      </c>
      <c r="N1084" s="321">
        <v>0</v>
      </c>
      <c r="O1084" s="321">
        <v>0</v>
      </c>
      <c r="P1084" s="321">
        <v>0</v>
      </c>
      <c r="Q1084" s="321">
        <v>0</v>
      </c>
      <c r="R1084" s="321">
        <v>0</v>
      </c>
      <c r="S1084" s="321">
        <v>0</v>
      </c>
      <c r="T1084" s="321">
        <v>0</v>
      </c>
      <c r="U1084" s="322">
        <v>0</v>
      </c>
      <c r="V1084" s="323">
        <v>0</v>
      </c>
      <c r="W1084" s="303"/>
      <c r="X1084" s="324">
        <v>0</v>
      </c>
      <c r="Y1084" s="325">
        <v>0</v>
      </c>
    </row>
    <row r="1085" spans="1:25" hidden="1" outlineLevel="1" x14ac:dyDescent="0.3">
      <c r="E1085" t="s">
        <v>2059</v>
      </c>
      <c r="F1085" s="317">
        <v>4402506</v>
      </c>
      <c r="G1085" s="318"/>
      <c r="H1085" s="319"/>
      <c r="I1085" s="320"/>
      <c r="J1085" s="337">
        <v>0</v>
      </c>
      <c r="K1085" s="321">
        <v>0</v>
      </c>
      <c r="L1085" s="321">
        <v>0</v>
      </c>
      <c r="M1085" s="321">
        <v>0</v>
      </c>
      <c r="N1085" s="321">
        <v>0</v>
      </c>
      <c r="O1085" s="321">
        <v>0</v>
      </c>
      <c r="P1085" s="321">
        <v>0</v>
      </c>
      <c r="Q1085" s="321">
        <v>0</v>
      </c>
      <c r="R1085" s="321">
        <v>0</v>
      </c>
      <c r="S1085" s="321">
        <v>0</v>
      </c>
      <c r="T1085" s="321">
        <v>0</v>
      </c>
      <c r="U1085" s="322">
        <v>0</v>
      </c>
      <c r="V1085" s="323">
        <v>0</v>
      </c>
      <c r="W1085" s="303"/>
      <c r="X1085" s="324">
        <v>0</v>
      </c>
      <c r="Y1085" s="325">
        <v>0</v>
      </c>
    </row>
    <row r="1086" spans="1:25" hidden="1" outlineLevel="1" x14ac:dyDescent="0.3">
      <c r="E1086" t="s">
        <v>2060</v>
      </c>
      <c r="F1086" s="317">
        <v>4402507</v>
      </c>
      <c r="G1086" s="318"/>
      <c r="H1086" s="319"/>
      <c r="I1086" s="320"/>
      <c r="J1086" s="337">
        <v>0</v>
      </c>
      <c r="K1086" s="321">
        <v>0</v>
      </c>
      <c r="L1086" s="321">
        <v>0</v>
      </c>
      <c r="M1086" s="321">
        <v>0</v>
      </c>
      <c r="N1086" s="321">
        <v>0</v>
      </c>
      <c r="O1086" s="321">
        <v>0</v>
      </c>
      <c r="P1086" s="321">
        <v>0</v>
      </c>
      <c r="Q1086" s="321">
        <v>0</v>
      </c>
      <c r="R1086" s="321">
        <v>0</v>
      </c>
      <c r="S1086" s="321">
        <v>0</v>
      </c>
      <c r="T1086" s="321">
        <v>0</v>
      </c>
      <c r="U1086" s="322">
        <v>0</v>
      </c>
      <c r="V1086" s="323">
        <v>0</v>
      </c>
      <c r="W1086" s="303"/>
      <c r="X1086" s="324">
        <v>0</v>
      </c>
      <c r="Y1086" s="325">
        <v>0</v>
      </c>
    </row>
    <row r="1087" spans="1:25" hidden="1" outlineLevel="1" x14ac:dyDescent="0.3">
      <c r="E1087" t="s">
        <v>2061</v>
      </c>
      <c r="F1087" s="317">
        <v>4402508</v>
      </c>
      <c r="G1087" s="318"/>
      <c r="H1087" s="319"/>
      <c r="I1087" s="320"/>
      <c r="J1087" s="337">
        <v>0</v>
      </c>
      <c r="K1087" s="321">
        <v>0</v>
      </c>
      <c r="L1087" s="321">
        <v>0</v>
      </c>
      <c r="M1087" s="321">
        <v>0</v>
      </c>
      <c r="N1087" s="321">
        <v>0</v>
      </c>
      <c r="O1087" s="321">
        <v>0</v>
      </c>
      <c r="P1087" s="321">
        <v>0</v>
      </c>
      <c r="Q1087" s="321">
        <v>0</v>
      </c>
      <c r="R1087" s="321">
        <v>0</v>
      </c>
      <c r="S1087" s="321">
        <v>0</v>
      </c>
      <c r="T1087" s="321">
        <v>0</v>
      </c>
      <c r="U1087" s="322">
        <v>0</v>
      </c>
      <c r="V1087" s="323">
        <v>0</v>
      </c>
      <c r="W1087" s="303"/>
      <c r="X1087" s="324">
        <v>0</v>
      </c>
      <c r="Y1087" s="325">
        <v>0</v>
      </c>
    </row>
    <row r="1088" spans="1:25" s="326" customFormat="1" hidden="1" outlineLevel="2" x14ac:dyDescent="0.3">
      <c r="E1088" s="326" t="s">
        <v>2062</v>
      </c>
      <c r="F1088" s="336"/>
      <c r="G1088" s="327"/>
      <c r="H1088" s="328"/>
      <c r="I1088" s="329"/>
      <c r="J1088" s="338">
        <v>0</v>
      </c>
      <c r="K1088" s="330">
        <v>0</v>
      </c>
      <c r="L1088" s="330">
        <v>0</v>
      </c>
      <c r="M1088" s="330">
        <v>0</v>
      </c>
      <c r="N1088" s="330">
        <v>0</v>
      </c>
      <c r="O1088" s="330">
        <v>0</v>
      </c>
      <c r="P1088" s="330">
        <v>0</v>
      </c>
      <c r="Q1088" s="330">
        <v>0</v>
      </c>
      <c r="R1088" s="330">
        <v>0</v>
      </c>
      <c r="S1088" s="330">
        <v>0</v>
      </c>
      <c r="T1088" s="330">
        <v>0</v>
      </c>
      <c r="U1088" s="331">
        <v>0</v>
      </c>
      <c r="V1088" s="332">
        <v>0</v>
      </c>
      <c r="W1088" s="333"/>
      <c r="X1088" s="334">
        <v>0</v>
      </c>
      <c r="Y1088" s="335">
        <v>0</v>
      </c>
    </row>
    <row r="1089" spans="1:25" s="326" customFormat="1" hidden="1" outlineLevel="2" x14ac:dyDescent="0.3">
      <c r="E1089" s="326" t="s">
        <v>2063</v>
      </c>
      <c r="F1089" s="336"/>
      <c r="G1089" s="327"/>
      <c r="H1089" s="328"/>
      <c r="I1089" s="329"/>
      <c r="J1089" s="338">
        <v>0</v>
      </c>
      <c r="K1089" s="330">
        <v>0</v>
      </c>
      <c r="L1089" s="330">
        <v>0</v>
      </c>
      <c r="M1089" s="330">
        <v>0</v>
      </c>
      <c r="N1089" s="330">
        <v>0</v>
      </c>
      <c r="O1089" s="330">
        <v>0</v>
      </c>
      <c r="P1089" s="330">
        <v>0</v>
      </c>
      <c r="Q1089" s="330">
        <v>0</v>
      </c>
      <c r="R1089" s="330">
        <v>0</v>
      </c>
      <c r="S1089" s="330">
        <v>0</v>
      </c>
      <c r="T1089" s="330">
        <v>0</v>
      </c>
      <c r="U1089" s="331">
        <v>0</v>
      </c>
      <c r="V1089" s="332">
        <v>0</v>
      </c>
      <c r="W1089" s="333"/>
      <c r="X1089" s="334">
        <v>0</v>
      </c>
      <c r="Y1089" s="335">
        <v>0</v>
      </c>
    </row>
    <row r="1090" spans="1:25" s="326" customFormat="1" hidden="1" outlineLevel="2" x14ac:dyDescent="0.3">
      <c r="E1090" s="326" t="s">
        <v>2062</v>
      </c>
      <c r="F1090" s="336"/>
      <c r="G1090" s="327"/>
      <c r="H1090" s="328"/>
      <c r="I1090" s="329"/>
      <c r="J1090" s="338">
        <v>0</v>
      </c>
      <c r="K1090" s="330">
        <v>0</v>
      </c>
      <c r="L1090" s="330">
        <v>0</v>
      </c>
      <c r="M1090" s="330">
        <v>0</v>
      </c>
      <c r="N1090" s="330">
        <v>0</v>
      </c>
      <c r="O1090" s="330">
        <v>0</v>
      </c>
      <c r="P1090" s="330">
        <v>0</v>
      </c>
      <c r="Q1090" s="330">
        <v>0</v>
      </c>
      <c r="R1090" s="330">
        <v>0</v>
      </c>
      <c r="S1090" s="330">
        <v>0</v>
      </c>
      <c r="T1090" s="330">
        <v>0</v>
      </c>
      <c r="U1090" s="331">
        <v>0</v>
      </c>
      <c r="V1090" s="332">
        <v>0</v>
      </c>
      <c r="W1090" s="333"/>
      <c r="X1090" s="334">
        <v>0</v>
      </c>
      <c r="Y1090" s="335">
        <v>0</v>
      </c>
    </row>
    <row r="1091" spans="1:25" collapsed="1" x14ac:dyDescent="0.3">
      <c r="A1091" s="233"/>
      <c r="B1091" s="234" t="s">
        <v>78</v>
      </c>
      <c r="D1091" s="293" t="s">
        <v>2064</v>
      </c>
      <c r="E1091" s="294"/>
      <c r="F1091" s="295" t="s">
        <v>2065</v>
      </c>
      <c r="G1091" s="296"/>
      <c r="H1091" s="297"/>
      <c r="I1091" s="298"/>
      <c r="J1091" s="299">
        <v>0</v>
      </c>
      <c r="K1091" s="300">
        <v>0</v>
      </c>
      <c r="L1091" s="300">
        <v>0</v>
      </c>
      <c r="M1091" s="300">
        <v>0</v>
      </c>
      <c r="N1091" s="300">
        <v>0</v>
      </c>
      <c r="O1091" s="300">
        <v>0</v>
      </c>
      <c r="P1091" s="300">
        <v>0</v>
      </c>
      <c r="Q1091" s="300">
        <v>0</v>
      </c>
      <c r="R1091" s="300">
        <v>0</v>
      </c>
      <c r="S1091" s="300">
        <v>0</v>
      </c>
      <c r="T1091" s="300">
        <v>0</v>
      </c>
      <c r="U1091" s="301">
        <v>0</v>
      </c>
      <c r="V1091" s="302">
        <v>0</v>
      </c>
      <c r="W1091" s="303"/>
      <c r="X1091" s="304">
        <v>0</v>
      </c>
      <c r="Y1091" s="305">
        <v>0</v>
      </c>
    </row>
    <row r="1092" spans="1:25" hidden="1" outlineLevel="1" x14ac:dyDescent="0.3">
      <c r="E1092" t="s">
        <v>2066</v>
      </c>
      <c r="F1092" s="317">
        <v>4402503</v>
      </c>
      <c r="G1092" s="318"/>
      <c r="H1092" s="319">
        <v>7501110102</v>
      </c>
      <c r="I1092" s="320"/>
      <c r="J1092" s="337">
        <v>0</v>
      </c>
      <c r="K1092" s="321">
        <v>0</v>
      </c>
      <c r="L1092" s="321">
        <v>0</v>
      </c>
      <c r="M1092" s="321">
        <v>0</v>
      </c>
      <c r="N1092" s="321">
        <v>0</v>
      </c>
      <c r="O1092" s="321">
        <v>0</v>
      </c>
      <c r="P1092" s="321">
        <v>0</v>
      </c>
      <c r="Q1092" s="321">
        <v>0</v>
      </c>
      <c r="R1092" s="321">
        <v>0</v>
      </c>
      <c r="S1092" s="321">
        <v>0</v>
      </c>
      <c r="T1092" s="321">
        <v>0</v>
      </c>
      <c r="U1092" s="322">
        <v>0</v>
      </c>
      <c r="V1092" s="323">
        <v>0</v>
      </c>
      <c r="W1092" s="303"/>
      <c r="X1092" s="324">
        <v>0</v>
      </c>
      <c r="Y1092" s="325">
        <v>0</v>
      </c>
    </row>
    <row r="1093" spans="1:25" hidden="1" outlineLevel="2" x14ac:dyDescent="0.3">
      <c r="E1093" s="326" t="s">
        <v>2067</v>
      </c>
      <c r="F1093" s="317"/>
      <c r="G1093" s="318"/>
      <c r="H1093" s="319"/>
      <c r="I1093" s="320"/>
      <c r="J1093" s="337">
        <v>0</v>
      </c>
      <c r="K1093" s="321">
        <v>0</v>
      </c>
      <c r="L1093" s="321">
        <v>0</v>
      </c>
      <c r="M1093" s="321">
        <v>0</v>
      </c>
      <c r="N1093" s="321">
        <v>0</v>
      </c>
      <c r="O1093" s="321">
        <v>0</v>
      </c>
      <c r="P1093" s="321">
        <v>0</v>
      </c>
      <c r="Q1093" s="321">
        <v>0</v>
      </c>
      <c r="R1093" s="321">
        <v>0</v>
      </c>
      <c r="S1093" s="321">
        <v>0</v>
      </c>
      <c r="T1093" s="321">
        <v>0</v>
      </c>
      <c r="U1093" s="322">
        <v>0</v>
      </c>
      <c r="V1093" s="323">
        <v>0</v>
      </c>
      <c r="W1093" s="303"/>
      <c r="X1093" s="324">
        <v>0</v>
      </c>
      <c r="Y1093" s="325">
        <v>0</v>
      </c>
    </row>
    <row r="1094" spans="1:25" hidden="1" outlineLevel="2" x14ac:dyDescent="0.3">
      <c r="E1094" s="326" t="s">
        <v>2068</v>
      </c>
      <c r="F1094" s="317"/>
      <c r="G1094" s="318"/>
      <c r="H1094" s="319"/>
      <c r="I1094" s="320"/>
      <c r="J1094" s="337">
        <v>0</v>
      </c>
      <c r="K1094" s="321">
        <v>0</v>
      </c>
      <c r="L1094" s="321">
        <v>0</v>
      </c>
      <c r="M1094" s="321">
        <v>0</v>
      </c>
      <c r="N1094" s="321">
        <v>0</v>
      </c>
      <c r="O1094" s="321">
        <v>0</v>
      </c>
      <c r="P1094" s="321">
        <v>0</v>
      </c>
      <c r="Q1094" s="321">
        <v>0</v>
      </c>
      <c r="R1094" s="321">
        <v>0</v>
      </c>
      <c r="S1094" s="321">
        <v>0</v>
      </c>
      <c r="T1094" s="321">
        <v>0</v>
      </c>
      <c r="U1094" s="322">
        <v>0</v>
      </c>
      <c r="V1094" s="323">
        <v>0</v>
      </c>
      <c r="W1094" s="303"/>
      <c r="X1094" s="324">
        <v>0</v>
      </c>
      <c r="Y1094" s="325">
        <v>0</v>
      </c>
    </row>
    <row r="1095" spans="1:25" hidden="1" outlineLevel="2" x14ac:dyDescent="0.3">
      <c r="E1095" s="326" t="s">
        <v>2069</v>
      </c>
      <c r="F1095" s="317"/>
      <c r="G1095" s="318"/>
      <c r="H1095" s="319"/>
      <c r="I1095" s="320"/>
      <c r="J1095" s="337">
        <v>0</v>
      </c>
      <c r="K1095" s="321">
        <v>0</v>
      </c>
      <c r="L1095" s="321">
        <v>0</v>
      </c>
      <c r="M1095" s="321">
        <v>0</v>
      </c>
      <c r="N1095" s="321">
        <v>0</v>
      </c>
      <c r="O1095" s="321">
        <v>0</v>
      </c>
      <c r="P1095" s="321">
        <v>0</v>
      </c>
      <c r="Q1095" s="321">
        <v>0</v>
      </c>
      <c r="R1095" s="321">
        <v>0</v>
      </c>
      <c r="S1095" s="321">
        <v>0</v>
      </c>
      <c r="T1095" s="321">
        <v>0</v>
      </c>
      <c r="U1095" s="322">
        <v>0</v>
      </c>
      <c r="V1095" s="323">
        <v>0</v>
      </c>
      <c r="W1095" s="303"/>
      <c r="X1095" s="324">
        <v>0</v>
      </c>
      <c r="Y1095" s="325">
        <v>0</v>
      </c>
    </row>
    <row r="1096" spans="1:25" collapsed="1" x14ac:dyDescent="0.3">
      <c r="A1096" s="233"/>
      <c r="B1096" s="234" t="s">
        <v>78</v>
      </c>
      <c r="D1096" s="293" t="s">
        <v>2070</v>
      </c>
      <c r="E1096" s="294"/>
      <c r="F1096" s="295" t="s">
        <v>2071</v>
      </c>
      <c r="G1096" s="296"/>
      <c r="H1096" s="297"/>
      <c r="I1096" s="298"/>
      <c r="J1096" s="299">
        <v>0</v>
      </c>
      <c r="K1096" s="300">
        <v>0</v>
      </c>
      <c r="L1096" s="300">
        <v>0</v>
      </c>
      <c r="M1096" s="300">
        <v>0</v>
      </c>
      <c r="N1096" s="300">
        <v>0</v>
      </c>
      <c r="O1096" s="300">
        <v>0</v>
      </c>
      <c r="P1096" s="300">
        <v>0</v>
      </c>
      <c r="Q1096" s="300">
        <v>0</v>
      </c>
      <c r="R1096" s="300">
        <v>4580.0460000000003</v>
      </c>
      <c r="S1096" s="300">
        <v>0</v>
      </c>
      <c r="T1096" s="300">
        <v>0</v>
      </c>
      <c r="U1096" s="301">
        <v>3270.0340000000001</v>
      </c>
      <c r="V1096" s="302">
        <v>7850.08</v>
      </c>
      <c r="W1096" s="303"/>
      <c r="X1096" s="304">
        <v>3270.0340000000001</v>
      </c>
      <c r="Y1096" s="305">
        <v>7850.08</v>
      </c>
    </row>
    <row r="1097" spans="1:25" hidden="1" outlineLevel="1" x14ac:dyDescent="0.3">
      <c r="E1097" t="s">
        <v>2072</v>
      </c>
      <c r="F1097" s="317">
        <v>4406500</v>
      </c>
      <c r="G1097" s="318"/>
      <c r="H1097" s="319">
        <v>7501250101</v>
      </c>
      <c r="I1097" s="320"/>
      <c r="J1097" s="337">
        <v>0</v>
      </c>
      <c r="K1097" s="321">
        <v>0</v>
      </c>
      <c r="L1097" s="321">
        <v>0</v>
      </c>
      <c r="M1097" s="321">
        <v>0</v>
      </c>
      <c r="N1097" s="321">
        <v>0</v>
      </c>
      <c r="O1097" s="321">
        <v>0</v>
      </c>
      <c r="P1097" s="321">
        <v>0</v>
      </c>
      <c r="Q1097" s="321">
        <v>0</v>
      </c>
      <c r="R1097" s="321">
        <v>4580.0460000000003</v>
      </c>
      <c r="S1097" s="321">
        <v>0</v>
      </c>
      <c r="T1097" s="321">
        <v>0</v>
      </c>
      <c r="U1097" s="322">
        <v>3270.0340000000001</v>
      </c>
      <c r="V1097" s="323">
        <v>7850.08</v>
      </c>
      <c r="W1097" s="303"/>
      <c r="X1097" s="324">
        <v>3270.0340000000001</v>
      </c>
      <c r="Y1097" s="325">
        <v>7850.08</v>
      </c>
    </row>
    <row r="1098" spans="1:25" hidden="1" outlineLevel="2" x14ac:dyDescent="0.3">
      <c r="E1098" s="326" t="s">
        <v>2073</v>
      </c>
      <c r="F1098" s="317"/>
      <c r="G1098" s="318"/>
      <c r="H1098" s="319"/>
      <c r="I1098" s="320"/>
      <c r="J1098" s="337">
        <v>0</v>
      </c>
      <c r="K1098" s="321">
        <v>0</v>
      </c>
      <c r="L1098" s="321">
        <v>0</v>
      </c>
      <c r="M1098" s="321">
        <v>0</v>
      </c>
      <c r="N1098" s="321">
        <v>0</v>
      </c>
      <c r="O1098" s="321">
        <v>0</v>
      </c>
      <c r="P1098" s="321">
        <v>0</v>
      </c>
      <c r="Q1098" s="321">
        <v>0</v>
      </c>
      <c r="R1098" s="321">
        <v>0</v>
      </c>
      <c r="S1098" s="321">
        <v>0</v>
      </c>
      <c r="T1098" s="321">
        <v>0</v>
      </c>
      <c r="U1098" s="322">
        <v>0</v>
      </c>
      <c r="V1098" s="323">
        <v>0</v>
      </c>
      <c r="W1098" s="303"/>
      <c r="X1098" s="324">
        <v>0</v>
      </c>
      <c r="Y1098" s="325">
        <v>0</v>
      </c>
    </row>
    <row r="1099" spans="1:25" hidden="1" outlineLevel="2" x14ac:dyDescent="0.3">
      <c r="E1099" s="326" t="s">
        <v>2074</v>
      </c>
      <c r="F1099" s="317"/>
      <c r="G1099" s="318"/>
      <c r="H1099" s="319"/>
      <c r="I1099" s="320"/>
      <c r="J1099" s="337">
        <v>0</v>
      </c>
      <c r="K1099" s="321">
        <v>0</v>
      </c>
      <c r="L1099" s="321">
        <v>0</v>
      </c>
      <c r="M1099" s="321">
        <v>0</v>
      </c>
      <c r="N1099" s="321">
        <v>0</v>
      </c>
      <c r="O1099" s="321">
        <v>0</v>
      </c>
      <c r="P1099" s="321">
        <v>0</v>
      </c>
      <c r="Q1099" s="321">
        <v>0</v>
      </c>
      <c r="R1099" s="321">
        <v>0</v>
      </c>
      <c r="S1099" s="321">
        <v>0</v>
      </c>
      <c r="T1099" s="321">
        <v>0</v>
      </c>
      <c r="U1099" s="322">
        <v>0</v>
      </c>
      <c r="V1099" s="323">
        <v>0</v>
      </c>
      <c r="W1099" s="303"/>
      <c r="X1099" s="324">
        <v>0</v>
      </c>
      <c r="Y1099" s="325">
        <v>0</v>
      </c>
    </row>
    <row r="1100" spans="1:25" hidden="1" outlineLevel="2" x14ac:dyDescent="0.3">
      <c r="E1100" s="326" t="s">
        <v>2075</v>
      </c>
      <c r="F1100" s="317"/>
      <c r="G1100" s="318"/>
      <c r="H1100" s="319"/>
      <c r="I1100" s="320"/>
      <c r="J1100" s="337">
        <v>0</v>
      </c>
      <c r="K1100" s="321">
        <v>0</v>
      </c>
      <c r="L1100" s="321">
        <v>0</v>
      </c>
      <c r="M1100" s="321">
        <v>0</v>
      </c>
      <c r="N1100" s="321">
        <v>0</v>
      </c>
      <c r="O1100" s="321">
        <v>0</v>
      </c>
      <c r="P1100" s="321">
        <v>0</v>
      </c>
      <c r="Q1100" s="321">
        <v>0</v>
      </c>
      <c r="R1100" s="321">
        <v>0</v>
      </c>
      <c r="S1100" s="321">
        <v>0</v>
      </c>
      <c r="T1100" s="321">
        <v>0</v>
      </c>
      <c r="U1100" s="322">
        <v>0</v>
      </c>
      <c r="V1100" s="323">
        <v>0</v>
      </c>
      <c r="W1100" s="303"/>
      <c r="X1100" s="324">
        <v>0</v>
      </c>
      <c r="Y1100" s="325">
        <v>0</v>
      </c>
    </row>
    <row r="1101" spans="1:25" collapsed="1" x14ac:dyDescent="0.3">
      <c r="A1101" s="233"/>
      <c r="B1101" s="234" t="s">
        <v>78</v>
      </c>
      <c r="D1101" s="293" t="s">
        <v>2076</v>
      </c>
      <c r="E1101" s="294"/>
      <c r="F1101" s="295" t="s">
        <v>2077</v>
      </c>
      <c r="G1101" s="296"/>
      <c r="H1101" s="297"/>
      <c r="I1101" s="298"/>
      <c r="J1101" s="299">
        <v>58.856999999999999</v>
      </c>
      <c r="K1101" s="300">
        <v>1680.711</v>
      </c>
      <c r="L1101" s="300">
        <v>397.149</v>
      </c>
      <c r="M1101" s="300">
        <v>7189.6109999999999</v>
      </c>
      <c r="N1101" s="300">
        <v>2330.8789999999999</v>
      </c>
      <c r="O1101" s="300">
        <v>641.09100000000001</v>
      </c>
      <c r="P1101" s="300">
        <v>0</v>
      </c>
      <c r="Q1101" s="300">
        <v>286.22300000000001</v>
      </c>
      <c r="R1101" s="300">
        <v>679.62900000000002</v>
      </c>
      <c r="S1101" s="300">
        <v>3.0000000000000001E-3</v>
      </c>
      <c r="T1101" s="300">
        <v>390.15499999999997</v>
      </c>
      <c r="U1101" s="301">
        <v>193.41</v>
      </c>
      <c r="V1101" s="302">
        <v>13847.718000000001</v>
      </c>
      <c r="W1101" s="303"/>
      <c r="X1101" s="304">
        <v>193.41</v>
      </c>
      <c r="Y1101" s="305">
        <v>13847.718000000001</v>
      </c>
    </row>
    <row r="1102" spans="1:25" hidden="1" outlineLevel="1" x14ac:dyDescent="0.3">
      <c r="E1102" t="s">
        <v>2078</v>
      </c>
      <c r="F1102" s="317">
        <v>4406501</v>
      </c>
      <c r="G1102" s="318"/>
      <c r="H1102" s="319">
        <v>7501270101</v>
      </c>
      <c r="I1102" s="320"/>
      <c r="J1102" s="337">
        <v>58.856999999999999</v>
      </c>
      <c r="K1102" s="321">
        <v>1680.711</v>
      </c>
      <c r="L1102" s="321">
        <v>397.149</v>
      </c>
      <c r="M1102" s="321">
        <v>7189.6109999999999</v>
      </c>
      <c r="N1102" s="321">
        <v>2330.8789999999999</v>
      </c>
      <c r="O1102" s="321">
        <v>641.09100000000001</v>
      </c>
      <c r="P1102" s="321">
        <v>0</v>
      </c>
      <c r="Q1102" s="321">
        <v>286.22300000000001</v>
      </c>
      <c r="R1102" s="321">
        <v>679.62900000000002</v>
      </c>
      <c r="S1102" s="321">
        <v>3.0000000000000001E-3</v>
      </c>
      <c r="T1102" s="321">
        <v>390.15499999999997</v>
      </c>
      <c r="U1102" s="322">
        <v>193.41</v>
      </c>
      <c r="V1102" s="323">
        <v>13847.718000000001</v>
      </c>
      <c r="W1102" s="303"/>
      <c r="X1102" s="324">
        <v>193.41</v>
      </c>
      <c r="Y1102" s="325">
        <v>13847.718000000001</v>
      </c>
    </row>
    <row r="1103" spans="1:25" hidden="1" outlineLevel="2" x14ac:dyDescent="0.3">
      <c r="E1103" s="326" t="s">
        <v>2079</v>
      </c>
      <c r="F1103" s="317"/>
      <c r="G1103" s="318"/>
      <c r="H1103" s="319"/>
      <c r="I1103" s="320"/>
      <c r="J1103" s="337">
        <v>0</v>
      </c>
      <c r="K1103" s="321">
        <v>0</v>
      </c>
      <c r="L1103" s="321">
        <v>0</v>
      </c>
      <c r="M1103" s="321">
        <v>0</v>
      </c>
      <c r="N1103" s="321">
        <v>0</v>
      </c>
      <c r="O1103" s="321">
        <v>0</v>
      </c>
      <c r="P1103" s="321">
        <v>0</v>
      </c>
      <c r="Q1103" s="321">
        <v>0</v>
      </c>
      <c r="R1103" s="321">
        <v>0</v>
      </c>
      <c r="S1103" s="321">
        <v>0</v>
      </c>
      <c r="T1103" s="321">
        <v>0</v>
      </c>
      <c r="U1103" s="322">
        <v>0</v>
      </c>
      <c r="V1103" s="323">
        <v>0</v>
      </c>
      <c r="W1103" s="303"/>
      <c r="X1103" s="324">
        <v>0</v>
      </c>
      <c r="Y1103" s="325">
        <v>0</v>
      </c>
    </row>
    <row r="1104" spans="1:25" hidden="1" outlineLevel="2" x14ac:dyDescent="0.3">
      <c r="E1104" s="326" t="s">
        <v>2080</v>
      </c>
      <c r="F1104" s="317"/>
      <c r="G1104" s="318"/>
      <c r="H1104" s="319"/>
      <c r="I1104" s="320"/>
      <c r="J1104" s="337">
        <v>0</v>
      </c>
      <c r="K1104" s="321">
        <v>0</v>
      </c>
      <c r="L1104" s="321">
        <v>0</v>
      </c>
      <c r="M1104" s="321">
        <v>0</v>
      </c>
      <c r="N1104" s="321">
        <v>0</v>
      </c>
      <c r="O1104" s="321">
        <v>0</v>
      </c>
      <c r="P1104" s="321">
        <v>0</v>
      </c>
      <c r="Q1104" s="321">
        <v>0</v>
      </c>
      <c r="R1104" s="321">
        <v>0</v>
      </c>
      <c r="S1104" s="321">
        <v>0</v>
      </c>
      <c r="T1104" s="321">
        <v>0</v>
      </c>
      <c r="U1104" s="322">
        <v>0</v>
      </c>
      <c r="V1104" s="323">
        <v>0</v>
      </c>
      <c r="W1104" s="303"/>
      <c r="X1104" s="324">
        <v>0</v>
      </c>
      <c r="Y1104" s="325">
        <v>0</v>
      </c>
    </row>
    <row r="1105" spans="1:25" hidden="1" outlineLevel="2" x14ac:dyDescent="0.3">
      <c r="E1105" s="326" t="s">
        <v>2081</v>
      </c>
      <c r="F1105" s="317"/>
      <c r="G1105" s="318"/>
      <c r="H1105" s="319"/>
      <c r="I1105" s="320"/>
      <c r="J1105" s="337">
        <v>0</v>
      </c>
      <c r="K1105" s="321">
        <v>0</v>
      </c>
      <c r="L1105" s="321">
        <v>0</v>
      </c>
      <c r="M1105" s="321">
        <v>0</v>
      </c>
      <c r="N1105" s="321">
        <v>0</v>
      </c>
      <c r="O1105" s="321">
        <v>0</v>
      </c>
      <c r="P1105" s="321">
        <v>0</v>
      </c>
      <c r="Q1105" s="321">
        <v>0</v>
      </c>
      <c r="R1105" s="321">
        <v>0</v>
      </c>
      <c r="S1105" s="321">
        <v>0</v>
      </c>
      <c r="T1105" s="321">
        <v>0</v>
      </c>
      <c r="U1105" s="322">
        <v>0</v>
      </c>
      <c r="V1105" s="323">
        <v>0</v>
      </c>
      <c r="W1105" s="303"/>
      <c r="X1105" s="324">
        <v>0</v>
      </c>
      <c r="Y1105" s="325">
        <v>0</v>
      </c>
    </row>
    <row r="1106" spans="1:25" collapsed="1" x14ac:dyDescent="0.3">
      <c r="A1106" s="233"/>
      <c r="B1106" s="234" t="s">
        <v>78</v>
      </c>
      <c r="D1106" s="293" t="s">
        <v>2082</v>
      </c>
      <c r="E1106" s="294"/>
      <c r="F1106" s="295" t="s">
        <v>2083</v>
      </c>
      <c r="G1106" s="296"/>
      <c r="H1106" s="297"/>
      <c r="I1106" s="298"/>
      <c r="J1106" s="299">
        <v>0</v>
      </c>
      <c r="K1106" s="300">
        <v>0</v>
      </c>
      <c r="L1106" s="300">
        <v>0</v>
      </c>
      <c r="M1106" s="300">
        <v>0</v>
      </c>
      <c r="N1106" s="300">
        <v>0</v>
      </c>
      <c r="O1106" s="300">
        <v>0</v>
      </c>
      <c r="P1106" s="300">
        <v>0</v>
      </c>
      <c r="Q1106" s="300">
        <v>0</v>
      </c>
      <c r="R1106" s="300">
        <v>0</v>
      </c>
      <c r="S1106" s="300">
        <v>0</v>
      </c>
      <c r="T1106" s="300">
        <v>0</v>
      </c>
      <c r="U1106" s="301">
        <v>0</v>
      </c>
      <c r="V1106" s="302">
        <v>0</v>
      </c>
      <c r="W1106" s="303"/>
      <c r="X1106" s="304">
        <v>0</v>
      </c>
      <c r="Y1106" s="305">
        <v>0</v>
      </c>
    </row>
    <row r="1107" spans="1:25" hidden="1" outlineLevel="1" x14ac:dyDescent="0.3">
      <c r="E1107" t="s">
        <v>2084</v>
      </c>
      <c r="F1107" s="317">
        <v>4408500</v>
      </c>
      <c r="G1107" s="318"/>
      <c r="H1107" s="319">
        <v>7501290101</v>
      </c>
      <c r="I1107" s="320"/>
      <c r="J1107" s="337">
        <v>0</v>
      </c>
      <c r="K1107" s="321">
        <v>0</v>
      </c>
      <c r="L1107" s="321">
        <v>0</v>
      </c>
      <c r="M1107" s="321">
        <v>0</v>
      </c>
      <c r="N1107" s="321">
        <v>0</v>
      </c>
      <c r="O1107" s="321">
        <v>0</v>
      </c>
      <c r="P1107" s="321">
        <v>0</v>
      </c>
      <c r="Q1107" s="321">
        <v>0</v>
      </c>
      <c r="R1107" s="321">
        <v>0</v>
      </c>
      <c r="S1107" s="321">
        <v>0</v>
      </c>
      <c r="T1107" s="321">
        <v>0</v>
      </c>
      <c r="U1107" s="322">
        <v>0</v>
      </c>
      <c r="V1107" s="323">
        <v>0</v>
      </c>
      <c r="W1107" s="303"/>
      <c r="X1107" s="324">
        <v>0</v>
      </c>
      <c r="Y1107" s="325">
        <v>0</v>
      </c>
    </row>
    <row r="1108" spans="1:25" hidden="1" outlineLevel="2" x14ac:dyDescent="0.3">
      <c r="E1108" s="326" t="s">
        <v>2085</v>
      </c>
      <c r="F1108" s="317"/>
      <c r="G1108" s="318"/>
      <c r="H1108" s="319"/>
      <c r="I1108" s="320"/>
      <c r="J1108" s="337">
        <v>0</v>
      </c>
      <c r="K1108" s="321">
        <v>0</v>
      </c>
      <c r="L1108" s="321">
        <v>0</v>
      </c>
      <c r="M1108" s="321">
        <v>0</v>
      </c>
      <c r="N1108" s="321">
        <v>0</v>
      </c>
      <c r="O1108" s="321">
        <v>0</v>
      </c>
      <c r="P1108" s="321">
        <v>0</v>
      </c>
      <c r="Q1108" s="321">
        <v>0</v>
      </c>
      <c r="R1108" s="321">
        <v>0</v>
      </c>
      <c r="S1108" s="321">
        <v>0</v>
      </c>
      <c r="T1108" s="321">
        <v>0</v>
      </c>
      <c r="U1108" s="322">
        <v>0</v>
      </c>
      <c r="V1108" s="323">
        <v>0</v>
      </c>
      <c r="W1108" s="303"/>
      <c r="X1108" s="324">
        <v>0</v>
      </c>
      <c r="Y1108" s="325">
        <v>0</v>
      </c>
    </row>
    <row r="1109" spans="1:25" hidden="1" outlineLevel="2" x14ac:dyDescent="0.3">
      <c r="E1109" s="326" t="s">
        <v>2086</v>
      </c>
      <c r="F1109" s="317"/>
      <c r="G1109" s="318"/>
      <c r="H1109" s="319"/>
      <c r="I1109" s="320"/>
      <c r="J1109" s="337">
        <v>0</v>
      </c>
      <c r="K1109" s="321">
        <v>0</v>
      </c>
      <c r="L1109" s="321">
        <v>0</v>
      </c>
      <c r="M1109" s="321">
        <v>0</v>
      </c>
      <c r="N1109" s="321">
        <v>0</v>
      </c>
      <c r="O1109" s="321">
        <v>0</v>
      </c>
      <c r="P1109" s="321">
        <v>0</v>
      </c>
      <c r="Q1109" s="321">
        <v>0</v>
      </c>
      <c r="R1109" s="321">
        <v>0</v>
      </c>
      <c r="S1109" s="321">
        <v>0</v>
      </c>
      <c r="T1109" s="321">
        <v>0</v>
      </c>
      <c r="U1109" s="322">
        <v>0</v>
      </c>
      <c r="V1109" s="323">
        <v>0</v>
      </c>
      <c r="W1109" s="303"/>
      <c r="X1109" s="324">
        <v>0</v>
      </c>
      <c r="Y1109" s="325">
        <v>0</v>
      </c>
    </row>
    <row r="1110" spans="1:25" hidden="1" outlineLevel="2" x14ac:dyDescent="0.3">
      <c r="E1110" s="326" t="s">
        <v>2087</v>
      </c>
      <c r="F1110" s="317"/>
      <c r="G1110" s="318"/>
      <c r="H1110" s="319"/>
      <c r="I1110" s="320"/>
      <c r="J1110" s="337">
        <v>0</v>
      </c>
      <c r="K1110" s="321">
        <v>0</v>
      </c>
      <c r="L1110" s="321">
        <v>0</v>
      </c>
      <c r="M1110" s="321">
        <v>0</v>
      </c>
      <c r="N1110" s="321">
        <v>0</v>
      </c>
      <c r="O1110" s="321">
        <v>0</v>
      </c>
      <c r="P1110" s="321">
        <v>0</v>
      </c>
      <c r="Q1110" s="321">
        <v>0</v>
      </c>
      <c r="R1110" s="321">
        <v>0</v>
      </c>
      <c r="S1110" s="321">
        <v>0</v>
      </c>
      <c r="T1110" s="321">
        <v>0</v>
      </c>
      <c r="U1110" s="322">
        <v>0</v>
      </c>
      <c r="V1110" s="323">
        <v>0</v>
      </c>
      <c r="W1110" s="303"/>
      <c r="X1110" s="324">
        <v>0</v>
      </c>
      <c r="Y1110" s="325">
        <v>0</v>
      </c>
    </row>
    <row r="1111" spans="1:25" collapsed="1" x14ac:dyDescent="0.3">
      <c r="A1111" s="233"/>
      <c r="B1111" s="234" t="s">
        <v>78</v>
      </c>
      <c r="D1111" s="293" t="s">
        <v>2088</v>
      </c>
      <c r="E1111" s="294"/>
      <c r="F1111" s="295" t="s">
        <v>2089</v>
      </c>
      <c r="G1111" s="296"/>
      <c r="H1111" s="297"/>
      <c r="I1111" s="298"/>
      <c r="J1111" s="299">
        <v>0</v>
      </c>
      <c r="K1111" s="300">
        <v>0</v>
      </c>
      <c r="L1111" s="300">
        <v>0</v>
      </c>
      <c r="M1111" s="300">
        <v>0</v>
      </c>
      <c r="N1111" s="300">
        <v>0</v>
      </c>
      <c r="O1111" s="300">
        <v>0</v>
      </c>
      <c r="P1111" s="300">
        <v>0</v>
      </c>
      <c r="Q1111" s="300">
        <v>0</v>
      </c>
      <c r="R1111" s="300">
        <v>0</v>
      </c>
      <c r="S1111" s="300">
        <v>0</v>
      </c>
      <c r="T1111" s="300">
        <v>0</v>
      </c>
      <c r="U1111" s="301">
        <v>0</v>
      </c>
      <c r="V1111" s="302">
        <v>0</v>
      </c>
      <c r="W1111" s="303"/>
      <c r="X1111" s="304">
        <v>0</v>
      </c>
      <c r="Y1111" s="305">
        <v>0</v>
      </c>
    </row>
    <row r="1112" spans="1:25" hidden="1" outlineLevel="1" x14ac:dyDescent="0.3">
      <c r="E1112" t="s">
        <v>2090</v>
      </c>
      <c r="F1112" s="317">
        <v>4408600</v>
      </c>
      <c r="G1112" s="318"/>
      <c r="H1112" s="319"/>
      <c r="I1112" s="320"/>
      <c r="J1112" s="337">
        <v>0</v>
      </c>
      <c r="K1112" s="321">
        <v>0</v>
      </c>
      <c r="L1112" s="321">
        <v>0</v>
      </c>
      <c r="M1112" s="321">
        <v>0</v>
      </c>
      <c r="N1112" s="321">
        <v>0</v>
      </c>
      <c r="O1112" s="321">
        <v>0</v>
      </c>
      <c r="P1112" s="321">
        <v>0</v>
      </c>
      <c r="Q1112" s="321">
        <v>0</v>
      </c>
      <c r="R1112" s="321">
        <v>0</v>
      </c>
      <c r="S1112" s="321">
        <v>0</v>
      </c>
      <c r="T1112" s="321">
        <v>0</v>
      </c>
      <c r="U1112" s="322">
        <v>0</v>
      </c>
      <c r="V1112" s="323">
        <v>0</v>
      </c>
      <c r="W1112" s="303"/>
      <c r="X1112" s="324">
        <v>0</v>
      </c>
      <c r="Y1112" s="325">
        <v>0</v>
      </c>
    </row>
    <row r="1113" spans="1:25" s="326" customFormat="1" hidden="1" outlineLevel="2" x14ac:dyDescent="0.3">
      <c r="E1113" s="326" t="s">
        <v>2091</v>
      </c>
      <c r="F1113" s="336"/>
      <c r="G1113" s="327"/>
      <c r="H1113" s="328"/>
      <c r="I1113" s="329"/>
      <c r="J1113" s="338">
        <v>0</v>
      </c>
      <c r="K1113" s="330">
        <v>0</v>
      </c>
      <c r="L1113" s="330">
        <v>0</v>
      </c>
      <c r="M1113" s="330">
        <v>0</v>
      </c>
      <c r="N1113" s="330">
        <v>0</v>
      </c>
      <c r="O1113" s="330">
        <v>0</v>
      </c>
      <c r="P1113" s="330">
        <v>0</v>
      </c>
      <c r="Q1113" s="330">
        <v>0</v>
      </c>
      <c r="R1113" s="330">
        <v>0</v>
      </c>
      <c r="S1113" s="330">
        <v>0</v>
      </c>
      <c r="T1113" s="330">
        <v>0</v>
      </c>
      <c r="U1113" s="331">
        <v>0</v>
      </c>
      <c r="V1113" s="332">
        <v>0</v>
      </c>
      <c r="W1113" s="333"/>
      <c r="X1113" s="334">
        <v>0</v>
      </c>
      <c r="Y1113" s="335">
        <v>0</v>
      </c>
    </row>
    <row r="1114" spans="1:25" s="326" customFormat="1" hidden="1" outlineLevel="2" x14ac:dyDescent="0.3">
      <c r="E1114" s="326" t="s">
        <v>2092</v>
      </c>
      <c r="F1114" s="336"/>
      <c r="G1114" s="327"/>
      <c r="H1114" s="328"/>
      <c r="I1114" s="329"/>
      <c r="J1114" s="338">
        <v>0</v>
      </c>
      <c r="K1114" s="330">
        <v>0</v>
      </c>
      <c r="L1114" s="330">
        <v>0</v>
      </c>
      <c r="M1114" s="330">
        <v>0</v>
      </c>
      <c r="N1114" s="330">
        <v>0</v>
      </c>
      <c r="O1114" s="330">
        <v>0</v>
      </c>
      <c r="P1114" s="330">
        <v>0</v>
      </c>
      <c r="Q1114" s="330">
        <v>0</v>
      </c>
      <c r="R1114" s="330">
        <v>0</v>
      </c>
      <c r="S1114" s="330">
        <v>0</v>
      </c>
      <c r="T1114" s="330">
        <v>0</v>
      </c>
      <c r="U1114" s="331">
        <v>0</v>
      </c>
      <c r="V1114" s="332">
        <v>0</v>
      </c>
      <c r="W1114" s="333"/>
      <c r="X1114" s="334">
        <v>0</v>
      </c>
      <c r="Y1114" s="335">
        <v>0</v>
      </c>
    </row>
    <row r="1115" spans="1:25" s="326" customFormat="1" hidden="1" outlineLevel="2" x14ac:dyDescent="0.3">
      <c r="E1115" s="326" t="s">
        <v>2093</v>
      </c>
      <c r="F1115" s="336"/>
      <c r="G1115" s="327"/>
      <c r="H1115" s="328"/>
      <c r="I1115" s="329"/>
      <c r="J1115" s="338">
        <v>0</v>
      </c>
      <c r="K1115" s="330">
        <v>0</v>
      </c>
      <c r="L1115" s="330">
        <v>0</v>
      </c>
      <c r="M1115" s="330">
        <v>0</v>
      </c>
      <c r="N1115" s="330">
        <v>0</v>
      </c>
      <c r="O1115" s="330">
        <v>0</v>
      </c>
      <c r="P1115" s="330">
        <v>0</v>
      </c>
      <c r="Q1115" s="330">
        <v>0</v>
      </c>
      <c r="R1115" s="330">
        <v>0</v>
      </c>
      <c r="S1115" s="330">
        <v>0</v>
      </c>
      <c r="T1115" s="330">
        <v>0</v>
      </c>
      <c r="U1115" s="331">
        <v>0</v>
      </c>
      <c r="V1115" s="332">
        <v>0</v>
      </c>
      <c r="W1115" s="333"/>
      <c r="X1115" s="334">
        <v>0</v>
      </c>
      <c r="Y1115" s="335">
        <v>0</v>
      </c>
    </row>
    <row r="1116" spans="1:25" collapsed="1" x14ac:dyDescent="0.3">
      <c r="A1116" s="233"/>
      <c r="B1116" s="234" t="s">
        <v>78</v>
      </c>
      <c r="D1116" s="293" t="s">
        <v>2094</v>
      </c>
      <c r="E1116" s="294"/>
      <c r="F1116" s="295" t="s">
        <v>2095</v>
      </c>
      <c r="G1116" s="296"/>
      <c r="H1116" s="297"/>
      <c r="I1116" s="298"/>
      <c r="J1116" s="299">
        <v>0</v>
      </c>
      <c r="K1116" s="300">
        <v>0</v>
      </c>
      <c r="L1116" s="300">
        <v>0</v>
      </c>
      <c r="M1116" s="300">
        <v>0</v>
      </c>
      <c r="N1116" s="300">
        <v>0</v>
      </c>
      <c r="O1116" s="300">
        <v>0</v>
      </c>
      <c r="P1116" s="300">
        <v>0</v>
      </c>
      <c r="Q1116" s="300">
        <v>0</v>
      </c>
      <c r="R1116" s="300">
        <v>0</v>
      </c>
      <c r="S1116" s="300">
        <v>0</v>
      </c>
      <c r="T1116" s="300">
        <v>0</v>
      </c>
      <c r="U1116" s="301">
        <v>0</v>
      </c>
      <c r="V1116" s="302">
        <v>0</v>
      </c>
      <c r="W1116" s="303"/>
      <c r="X1116" s="304">
        <v>0</v>
      </c>
      <c r="Y1116" s="305">
        <v>0</v>
      </c>
    </row>
    <row r="1117" spans="1:25" hidden="1" outlineLevel="1" x14ac:dyDescent="0.3">
      <c r="E1117" t="s">
        <v>2096</v>
      </c>
      <c r="F1117" s="317">
        <v>4408601</v>
      </c>
      <c r="G1117" s="318"/>
      <c r="H1117" s="319"/>
      <c r="I1117" s="320"/>
      <c r="J1117" s="337">
        <v>0</v>
      </c>
      <c r="K1117" s="321">
        <v>0</v>
      </c>
      <c r="L1117" s="321">
        <v>0</v>
      </c>
      <c r="M1117" s="321">
        <v>0</v>
      </c>
      <c r="N1117" s="321">
        <v>0</v>
      </c>
      <c r="O1117" s="321">
        <v>0</v>
      </c>
      <c r="P1117" s="321">
        <v>0</v>
      </c>
      <c r="Q1117" s="321">
        <v>0</v>
      </c>
      <c r="R1117" s="321">
        <v>0</v>
      </c>
      <c r="S1117" s="321">
        <v>0</v>
      </c>
      <c r="T1117" s="321">
        <v>0</v>
      </c>
      <c r="U1117" s="322">
        <v>0</v>
      </c>
      <c r="V1117" s="323">
        <v>0</v>
      </c>
      <c r="W1117" s="303"/>
      <c r="X1117" s="324">
        <v>0</v>
      </c>
      <c r="Y1117" s="325">
        <v>0</v>
      </c>
    </row>
    <row r="1118" spans="1:25" hidden="1" outlineLevel="2" x14ac:dyDescent="0.3">
      <c r="E1118" s="326" t="s">
        <v>2067</v>
      </c>
      <c r="F1118" s="317"/>
      <c r="G1118" s="318"/>
      <c r="H1118" s="319"/>
      <c r="I1118" s="320"/>
      <c r="J1118" s="337">
        <v>0</v>
      </c>
      <c r="K1118" s="321">
        <v>0</v>
      </c>
      <c r="L1118" s="321">
        <v>0</v>
      </c>
      <c r="M1118" s="321">
        <v>0</v>
      </c>
      <c r="N1118" s="321">
        <v>0</v>
      </c>
      <c r="O1118" s="321">
        <v>0</v>
      </c>
      <c r="P1118" s="321">
        <v>0</v>
      </c>
      <c r="Q1118" s="321">
        <v>0</v>
      </c>
      <c r="R1118" s="321">
        <v>0</v>
      </c>
      <c r="S1118" s="321">
        <v>0</v>
      </c>
      <c r="T1118" s="321">
        <v>0</v>
      </c>
      <c r="U1118" s="322">
        <v>0</v>
      </c>
      <c r="V1118" s="323">
        <v>0</v>
      </c>
      <c r="W1118" s="303"/>
      <c r="X1118" s="324">
        <v>0</v>
      </c>
      <c r="Y1118" s="325">
        <v>0</v>
      </c>
    </row>
    <row r="1119" spans="1:25" hidden="1" outlineLevel="2" x14ac:dyDescent="0.3">
      <c r="E1119" s="326" t="s">
        <v>2068</v>
      </c>
      <c r="F1119" s="317"/>
      <c r="G1119" s="318"/>
      <c r="H1119" s="319"/>
      <c r="I1119" s="320"/>
      <c r="J1119" s="337">
        <v>0</v>
      </c>
      <c r="K1119" s="321">
        <v>0</v>
      </c>
      <c r="L1119" s="321">
        <v>0</v>
      </c>
      <c r="M1119" s="321">
        <v>0</v>
      </c>
      <c r="N1119" s="321">
        <v>0</v>
      </c>
      <c r="O1119" s="321">
        <v>0</v>
      </c>
      <c r="P1119" s="321">
        <v>0</v>
      </c>
      <c r="Q1119" s="321">
        <v>0</v>
      </c>
      <c r="R1119" s="321">
        <v>0</v>
      </c>
      <c r="S1119" s="321">
        <v>0</v>
      </c>
      <c r="T1119" s="321">
        <v>0</v>
      </c>
      <c r="U1119" s="322">
        <v>0</v>
      </c>
      <c r="V1119" s="323">
        <v>0</v>
      </c>
      <c r="W1119" s="303"/>
      <c r="X1119" s="324">
        <v>0</v>
      </c>
      <c r="Y1119" s="325">
        <v>0</v>
      </c>
    </row>
    <row r="1120" spans="1:25" hidden="1" outlineLevel="2" x14ac:dyDescent="0.3">
      <c r="E1120" s="326" t="s">
        <v>2069</v>
      </c>
      <c r="F1120" s="317"/>
      <c r="G1120" s="318"/>
      <c r="H1120" s="319"/>
      <c r="I1120" s="320"/>
      <c r="J1120" s="337">
        <v>0</v>
      </c>
      <c r="K1120" s="321">
        <v>0</v>
      </c>
      <c r="L1120" s="321">
        <v>0</v>
      </c>
      <c r="M1120" s="321">
        <v>0</v>
      </c>
      <c r="N1120" s="321">
        <v>0</v>
      </c>
      <c r="O1120" s="321">
        <v>0</v>
      </c>
      <c r="P1120" s="321">
        <v>0</v>
      </c>
      <c r="Q1120" s="321">
        <v>0</v>
      </c>
      <c r="R1120" s="321">
        <v>0</v>
      </c>
      <c r="S1120" s="321">
        <v>0</v>
      </c>
      <c r="T1120" s="321">
        <v>0</v>
      </c>
      <c r="U1120" s="322">
        <v>0</v>
      </c>
      <c r="V1120" s="323">
        <v>0</v>
      </c>
      <c r="W1120" s="303"/>
      <c r="X1120" s="324">
        <v>0</v>
      </c>
      <c r="Y1120" s="325">
        <v>0</v>
      </c>
    </row>
    <row r="1121" spans="4:25" collapsed="1" x14ac:dyDescent="0.3">
      <c r="D1121" s="293" t="s">
        <v>2097</v>
      </c>
      <c r="E1121" s="294"/>
      <c r="F1121" s="295" t="s">
        <v>2098</v>
      </c>
      <c r="G1121" s="296"/>
      <c r="H1121" s="297"/>
      <c r="I1121" s="298"/>
      <c r="J1121" s="299">
        <v>0</v>
      </c>
      <c r="K1121" s="300">
        <v>0</v>
      </c>
      <c r="L1121" s="300">
        <v>0</v>
      </c>
      <c r="M1121" s="300">
        <v>0</v>
      </c>
      <c r="N1121" s="300">
        <v>0</v>
      </c>
      <c r="O1121" s="300">
        <v>0</v>
      </c>
      <c r="P1121" s="300">
        <v>0</v>
      </c>
      <c r="Q1121" s="300">
        <v>0</v>
      </c>
      <c r="R1121" s="300">
        <v>0</v>
      </c>
      <c r="S1121" s="300">
        <v>0</v>
      </c>
      <c r="T1121" s="300">
        <v>0</v>
      </c>
      <c r="U1121" s="301">
        <v>0</v>
      </c>
      <c r="V1121" s="302">
        <v>0</v>
      </c>
      <c r="W1121" s="303"/>
      <c r="X1121" s="304">
        <v>0</v>
      </c>
      <c r="Y1121" s="305">
        <v>0</v>
      </c>
    </row>
    <row r="1122" spans="4:25" hidden="1" outlineLevel="1" x14ac:dyDescent="0.3">
      <c r="E1122" t="s">
        <v>2099</v>
      </c>
      <c r="F1122" s="317">
        <v>4408602</v>
      </c>
      <c r="G1122" s="318"/>
      <c r="H1122" s="319"/>
      <c r="I1122" s="320"/>
      <c r="J1122" s="337">
        <v>0</v>
      </c>
      <c r="K1122" s="321">
        <v>0</v>
      </c>
      <c r="L1122" s="321">
        <v>0</v>
      </c>
      <c r="M1122" s="321">
        <v>0</v>
      </c>
      <c r="N1122" s="321">
        <v>0</v>
      </c>
      <c r="O1122" s="321">
        <v>0</v>
      </c>
      <c r="P1122" s="321">
        <v>0</v>
      </c>
      <c r="Q1122" s="321">
        <v>0</v>
      </c>
      <c r="R1122" s="321">
        <v>0</v>
      </c>
      <c r="S1122" s="321">
        <v>0</v>
      </c>
      <c r="T1122" s="321">
        <v>0</v>
      </c>
      <c r="U1122" s="322">
        <v>0</v>
      </c>
      <c r="V1122" s="323">
        <v>0</v>
      </c>
      <c r="W1122" s="303"/>
      <c r="X1122" s="324">
        <v>0</v>
      </c>
      <c r="Y1122" s="325">
        <v>0</v>
      </c>
    </row>
    <row r="1123" spans="4:25" hidden="1" outlineLevel="2" x14ac:dyDescent="0.3">
      <c r="E1123" s="326" t="s">
        <v>2100</v>
      </c>
      <c r="F1123" s="317"/>
      <c r="G1123" s="318"/>
      <c r="H1123" s="319"/>
      <c r="I1123" s="320"/>
      <c r="J1123" s="337">
        <v>0</v>
      </c>
      <c r="K1123" s="321">
        <v>0</v>
      </c>
      <c r="L1123" s="321">
        <v>0</v>
      </c>
      <c r="M1123" s="321">
        <v>0</v>
      </c>
      <c r="N1123" s="321">
        <v>0</v>
      </c>
      <c r="O1123" s="321">
        <v>0</v>
      </c>
      <c r="P1123" s="321">
        <v>0</v>
      </c>
      <c r="Q1123" s="321">
        <v>0</v>
      </c>
      <c r="R1123" s="321">
        <v>0</v>
      </c>
      <c r="S1123" s="321">
        <v>0</v>
      </c>
      <c r="T1123" s="321">
        <v>0</v>
      </c>
      <c r="U1123" s="322">
        <v>0</v>
      </c>
      <c r="V1123" s="323">
        <v>0</v>
      </c>
      <c r="W1123" s="303"/>
      <c r="X1123" s="324">
        <v>0</v>
      </c>
      <c r="Y1123" s="325">
        <v>0</v>
      </c>
    </row>
    <row r="1124" spans="4:25" hidden="1" outlineLevel="2" x14ac:dyDescent="0.3">
      <c r="E1124" s="326" t="s">
        <v>2101</v>
      </c>
      <c r="F1124" s="317"/>
      <c r="G1124" s="318"/>
      <c r="H1124" s="319"/>
      <c r="I1124" s="320"/>
      <c r="J1124" s="337">
        <v>0</v>
      </c>
      <c r="K1124" s="321">
        <v>0</v>
      </c>
      <c r="L1124" s="321">
        <v>0</v>
      </c>
      <c r="M1124" s="321">
        <v>0</v>
      </c>
      <c r="N1124" s="321">
        <v>0</v>
      </c>
      <c r="O1124" s="321">
        <v>0</v>
      </c>
      <c r="P1124" s="321">
        <v>0</v>
      </c>
      <c r="Q1124" s="321">
        <v>0</v>
      </c>
      <c r="R1124" s="321">
        <v>0</v>
      </c>
      <c r="S1124" s="321">
        <v>0</v>
      </c>
      <c r="T1124" s="321">
        <v>0</v>
      </c>
      <c r="U1124" s="322">
        <v>0</v>
      </c>
      <c r="V1124" s="323">
        <v>0</v>
      </c>
      <c r="W1124" s="303"/>
      <c r="X1124" s="324">
        <v>0</v>
      </c>
      <c r="Y1124" s="325">
        <v>0</v>
      </c>
    </row>
    <row r="1125" spans="4:25" hidden="1" outlineLevel="2" x14ac:dyDescent="0.3">
      <c r="E1125" s="326" t="s">
        <v>2102</v>
      </c>
      <c r="F1125" s="317"/>
      <c r="G1125" s="318"/>
      <c r="H1125" s="319"/>
      <c r="I1125" s="320"/>
      <c r="J1125" s="337">
        <v>0</v>
      </c>
      <c r="K1125" s="321">
        <v>0</v>
      </c>
      <c r="L1125" s="321">
        <v>0</v>
      </c>
      <c r="M1125" s="321">
        <v>0</v>
      </c>
      <c r="N1125" s="321">
        <v>0</v>
      </c>
      <c r="O1125" s="321">
        <v>0</v>
      </c>
      <c r="P1125" s="321">
        <v>0</v>
      </c>
      <c r="Q1125" s="321">
        <v>0</v>
      </c>
      <c r="R1125" s="321">
        <v>0</v>
      </c>
      <c r="S1125" s="321">
        <v>0</v>
      </c>
      <c r="T1125" s="321">
        <v>0</v>
      </c>
      <c r="U1125" s="322">
        <v>0</v>
      </c>
      <c r="V1125" s="323">
        <v>0</v>
      </c>
      <c r="W1125" s="303"/>
      <c r="X1125" s="324">
        <v>0</v>
      </c>
      <c r="Y1125" s="325">
        <v>0</v>
      </c>
    </row>
    <row r="1126" spans="4:25" collapsed="1" x14ac:dyDescent="0.3">
      <c r="D1126" s="293" t="s">
        <v>2103</v>
      </c>
      <c r="E1126" s="294"/>
      <c r="F1126" s="295"/>
      <c r="G1126" s="296"/>
      <c r="H1126" s="297"/>
      <c r="I1126" s="298"/>
      <c r="J1126" s="299">
        <v>0</v>
      </c>
      <c r="K1126" s="300">
        <v>0</v>
      </c>
      <c r="L1126" s="300">
        <v>0</v>
      </c>
      <c r="M1126" s="300">
        <v>0</v>
      </c>
      <c r="N1126" s="300">
        <v>0</v>
      </c>
      <c r="O1126" s="300">
        <v>0</v>
      </c>
      <c r="P1126" s="300">
        <v>0</v>
      </c>
      <c r="Q1126" s="300">
        <v>0</v>
      </c>
      <c r="R1126" s="300">
        <v>0</v>
      </c>
      <c r="S1126" s="300">
        <v>0</v>
      </c>
      <c r="T1126" s="300">
        <v>0</v>
      </c>
      <c r="U1126" s="301">
        <v>0</v>
      </c>
      <c r="V1126" s="302">
        <v>0</v>
      </c>
      <c r="W1126" s="303"/>
      <c r="X1126" s="304">
        <v>0</v>
      </c>
      <c r="Y1126" s="305">
        <v>0</v>
      </c>
    </row>
    <row r="1127" spans="4:25" s="326" customFormat="1" hidden="1" outlineLevel="2" x14ac:dyDescent="0.3">
      <c r="E1127" s="326" t="s">
        <v>2104</v>
      </c>
      <c r="F1127" s="336"/>
      <c r="G1127" s="327"/>
      <c r="H1127" s="328"/>
      <c r="I1127" s="329"/>
      <c r="J1127" s="338">
        <v>0</v>
      </c>
      <c r="K1127" s="330">
        <v>0</v>
      </c>
      <c r="L1127" s="330">
        <v>0</v>
      </c>
      <c r="M1127" s="330">
        <v>0</v>
      </c>
      <c r="N1127" s="330">
        <v>0</v>
      </c>
      <c r="O1127" s="330">
        <v>0</v>
      </c>
      <c r="P1127" s="330">
        <v>0</v>
      </c>
      <c r="Q1127" s="330">
        <v>0</v>
      </c>
      <c r="R1127" s="330">
        <v>0</v>
      </c>
      <c r="S1127" s="330">
        <v>0</v>
      </c>
      <c r="T1127" s="330">
        <v>0</v>
      </c>
      <c r="U1127" s="331">
        <v>0</v>
      </c>
      <c r="V1127" s="332">
        <v>0</v>
      </c>
      <c r="W1127" s="333"/>
      <c r="X1127" s="334">
        <v>0</v>
      </c>
      <c r="Y1127" s="335">
        <v>0</v>
      </c>
    </row>
    <row r="1128" spans="4:25" s="326" customFormat="1" hidden="1" outlineLevel="2" x14ac:dyDescent="0.3">
      <c r="E1128" s="326" t="s">
        <v>2105</v>
      </c>
      <c r="F1128" s="336"/>
      <c r="G1128" s="327"/>
      <c r="H1128" s="328"/>
      <c r="I1128" s="329"/>
      <c r="J1128" s="338">
        <v>0</v>
      </c>
      <c r="K1128" s="330">
        <v>0</v>
      </c>
      <c r="L1128" s="330">
        <v>0</v>
      </c>
      <c r="M1128" s="330">
        <v>0</v>
      </c>
      <c r="N1128" s="330">
        <v>0</v>
      </c>
      <c r="O1128" s="330">
        <v>0</v>
      </c>
      <c r="P1128" s="330">
        <v>0</v>
      </c>
      <c r="Q1128" s="330">
        <v>0</v>
      </c>
      <c r="R1128" s="330">
        <v>0</v>
      </c>
      <c r="S1128" s="330">
        <v>0</v>
      </c>
      <c r="T1128" s="330">
        <v>0</v>
      </c>
      <c r="U1128" s="331">
        <v>0</v>
      </c>
      <c r="V1128" s="332">
        <v>0</v>
      </c>
      <c r="W1128" s="333"/>
      <c r="X1128" s="334">
        <v>0</v>
      </c>
      <c r="Y1128" s="335">
        <v>0</v>
      </c>
    </row>
    <row r="1129" spans="4:25" s="326" customFormat="1" hidden="1" outlineLevel="2" x14ac:dyDescent="0.3">
      <c r="E1129" s="326" t="s">
        <v>2106</v>
      </c>
      <c r="F1129" s="336"/>
      <c r="G1129" s="327"/>
      <c r="H1129" s="328"/>
      <c r="I1129" s="329"/>
      <c r="J1129" s="338">
        <v>0</v>
      </c>
      <c r="K1129" s="330">
        <v>0</v>
      </c>
      <c r="L1129" s="330">
        <v>0</v>
      </c>
      <c r="M1129" s="330">
        <v>0</v>
      </c>
      <c r="N1129" s="330">
        <v>0</v>
      </c>
      <c r="O1129" s="330">
        <v>0</v>
      </c>
      <c r="P1129" s="330">
        <v>0</v>
      </c>
      <c r="Q1129" s="330">
        <v>0</v>
      </c>
      <c r="R1129" s="330">
        <v>0</v>
      </c>
      <c r="S1129" s="330">
        <v>0</v>
      </c>
      <c r="T1129" s="330">
        <v>0</v>
      </c>
      <c r="U1129" s="331">
        <v>0</v>
      </c>
      <c r="V1129" s="332">
        <v>0</v>
      </c>
      <c r="W1129" s="333"/>
      <c r="X1129" s="334">
        <v>0</v>
      </c>
      <c r="Y1129" s="335">
        <v>0</v>
      </c>
    </row>
    <row r="1130" spans="4:25" collapsed="1" x14ac:dyDescent="0.3">
      <c r="D1130" s="293" t="s">
        <v>2107</v>
      </c>
      <c r="E1130" s="294"/>
      <c r="F1130" s="295"/>
      <c r="G1130" s="296"/>
      <c r="H1130" s="297"/>
      <c r="I1130" s="298"/>
      <c r="J1130" s="299">
        <v>0</v>
      </c>
      <c r="K1130" s="300">
        <v>0</v>
      </c>
      <c r="L1130" s="300">
        <v>0</v>
      </c>
      <c r="M1130" s="300">
        <v>0</v>
      </c>
      <c r="N1130" s="300">
        <v>0</v>
      </c>
      <c r="O1130" s="300">
        <v>0</v>
      </c>
      <c r="P1130" s="300">
        <v>0</v>
      </c>
      <c r="Q1130" s="300">
        <v>0</v>
      </c>
      <c r="R1130" s="300">
        <v>0</v>
      </c>
      <c r="S1130" s="300">
        <v>0</v>
      </c>
      <c r="T1130" s="300">
        <v>0</v>
      </c>
      <c r="U1130" s="301">
        <v>0</v>
      </c>
      <c r="V1130" s="302">
        <v>0</v>
      </c>
      <c r="W1130" s="303"/>
      <c r="X1130" s="304">
        <v>0</v>
      </c>
      <c r="Y1130" s="305">
        <v>0</v>
      </c>
    </row>
    <row r="1131" spans="4:25" s="326" customFormat="1" hidden="1" outlineLevel="2" x14ac:dyDescent="0.3">
      <c r="E1131" s="326" t="s">
        <v>2104</v>
      </c>
      <c r="F1131" s="336"/>
      <c r="G1131" s="327"/>
      <c r="H1131" s="328"/>
      <c r="I1131" s="329"/>
      <c r="J1131" s="338">
        <v>0</v>
      </c>
      <c r="K1131" s="330">
        <v>0</v>
      </c>
      <c r="L1131" s="330">
        <v>0</v>
      </c>
      <c r="M1131" s="330">
        <v>0</v>
      </c>
      <c r="N1131" s="330">
        <v>0</v>
      </c>
      <c r="O1131" s="330">
        <v>0</v>
      </c>
      <c r="P1131" s="330">
        <v>0</v>
      </c>
      <c r="Q1131" s="330">
        <v>0</v>
      </c>
      <c r="R1131" s="330">
        <v>0</v>
      </c>
      <c r="S1131" s="330">
        <v>0</v>
      </c>
      <c r="T1131" s="330">
        <v>0</v>
      </c>
      <c r="U1131" s="331">
        <v>0</v>
      </c>
      <c r="V1131" s="332">
        <v>0</v>
      </c>
      <c r="W1131" s="333"/>
      <c r="X1131" s="334">
        <v>0</v>
      </c>
      <c r="Y1131" s="335">
        <v>0</v>
      </c>
    </row>
    <row r="1132" spans="4:25" s="326" customFormat="1" hidden="1" outlineLevel="2" x14ac:dyDescent="0.3">
      <c r="E1132" s="326" t="s">
        <v>2105</v>
      </c>
      <c r="F1132" s="336"/>
      <c r="G1132" s="327"/>
      <c r="H1132" s="328"/>
      <c r="I1132" s="329"/>
      <c r="J1132" s="338">
        <v>0</v>
      </c>
      <c r="K1132" s="330">
        <v>0</v>
      </c>
      <c r="L1132" s="330">
        <v>0</v>
      </c>
      <c r="M1132" s="330">
        <v>0</v>
      </c>
      <c r="N1132" s="330">
        <v>0</v>
      </c>
      <c r="O1132" s="330">
        <v>0</v>
      </c>
      <c r="P1132" s="330">
        <v>0</v>
      </c>
      <c r="Q1132" s="330">
        <v>0</v>
      </c>
      <c r="R1132" s="330">
        <v>0</v>
      </c>
      <c r="S1132" s="330">
        <v>0</v>
      </c>
      <c r="T1132" s="330">
        <v>0</v>
      </c>
      <c r="U1132" s="331">
        <v>0</v>
      </c>
      <c r="V1132" s="332">
        <v>0</v>
      </c>
      <c r="W1132" s="333"/>
      <c r="X1132" s="334">
        <v>0</v>
      </c>
      <c r="Y1132" s="335">
        <v>0</v>
      </c>
    </row>
    <row r="1133" spans="4:25" s="326" customFormat="1" hidden="1" outlineLevel="2" x14ac:dyDescent="0.3">
      <c r="E1133" s="326" t="s">
        <v>2106</v>
      </c>
      <c r="F1133" s="336"/>
      <c r="G1133" s="327"/>
      <c r="H1133" s="328"/>
      <c r="I1133" s="329"/>
      <c r="J1133" s="338">
        <v>0</v>
      </c>
      <c r="K1133" s="330">
        <v>0</v>
      </c>
      <c r="L1133" s="330">
        <v>0</v>
      </c>
      <c r="M1133" s="330">
        <v>0</v>
      </c>
      <c r="N1133" s="330">
        <v>0</v>
      </c>
      <c r="O1133" s="330">
        <v>0</v>
      </c>
      <c r="P1133" s="330">
        <v>0</v>
      </c>
      <c r="Q1133" s="330">
        <v>0</v>
      </c>
      <c r="R1133" s="330">
        <v>0</v>
      </c>
      <c r="S1133" s="330">
        <v>0</v>
      </c>
      <c r="T1133" s="330">
        <v>0</v>
      </c>
      <c r="U1133" s="331">
        <v>0</v>
      </c>
      <c r="V1133" s="332">
        <v>0</v>
      </c>
      <c r="W1133" s="333"/>
      <c r="X1133" s="334">
        <v>0</v>
      </c>
      <c r="Y1133" s="335">
        <v>0</v>
      </c>
    </row>
    <row r="1134" spans="4:25" collapsed="1" x14ac:dyDescent="0.3">
      <c r="D1134" s="293" t="s">
        <v>2108</v>
      </c>
      <c r="E1134" s="294"/>
      <c r="F1134" s="295"/>
      <c r="G1134" s="296"/>
      <c r="H1134" s="297"/>
      <c r="I1134" s="298"/>
      <c r="J1134" s="299">
        <v>0</v>
      </c>
      <c r="K1134" s="300">
        <v>0</v>
      </c>
      <c r="L1134" s="300">
        <v>0</v>
      </c>
      <c r="M1134" s="300">
        <v>0</v>
      </c>
      <c r="N1134" s="300">
        <v>0</v>
      </c>
      <c r="O1134" s="300">
        <v>0</v>
      </c>
      <c r="P1134" s="300">
        <v>0</v>
      </c>
      <c r="Q1134" s="300">
        <v>0</v>
      </c>
      <c r="R1134" s="300">
        <v>0</v>
      </c>
      <c r="S1134" s="300">
        <v>0</v>
      </c>
      <c r="T1134" s="300">
        <v>0</v>
      </c>
      <c r="U1134" s="301">
        <v>0</v>
      </c>
      <c r="V1134" s="302">
        <v>0</v>
      </c>
      <c r="W1134" s="303"/>
      <c r="X1134" s="304">
        <v>0</v>
      </c>
      <c r="Y1134" s="305">
        <v>0</v>
      </c>
    </row>
    <row r="1135" spans="4:25" s="326" customFormat="1" hidden="1" outlineLevel="2" x14ac:dyDescent="0.3">
      <c r="E1135" s="326" t="s">
        <v>2104</v>
      </c>
      <c r="F1135" s="336"/>
      <c r="G1135" s="327"/>
      <c r="H1135" s="328"/>
      <c r="I1135" s="329"/>
      <c r="J1135" s="338">
        <v>0</v>
      </c>
      <c r="K1135" s="330">
        <v>0</v>
      </c>
      <c r="L1135" s="330">
        <v>0</v>
      </c>
      <c r="M1135" s="330">
        <v>0</v>
      </c>
      <c r="N1135" s="330">
        <v>0</v>
      </c>
      <c r="O1135" s="330">
        <v>0</v>
      </c>
      <c r="P1135" s="330">
        <v>0</v>
      </c>
      <c r="Q1135" s="330">
        <v>0</v>
      </c>
      <c r="R1135" s="330">
        <v>0</v>
      </c>
      <c r="S1135" s="330">
        <v>0</v>
      </c>
      <c r="T1135" s="330">
        <v>0</v>
      </c>
      <c r="U1135" s="331">
        <v>0</v>
      </c>
      <c r="V1135" s="332">
        <v>0</v>
      </c>
      <c r="W1135" s="333"/>
      <c r="X1135" s="334">
        <v>0</v>
      </c>
      <c r="Y1135" s="335">
        <v>0</v>
      </c>
    </row>
    <row r="1136" spans="4:25" s="326" customFormat="1" hidden="1" outlineLevel="2" x14ac:dyDescent="0.3">
      <c r="E1136" s="326" t="s">
        <v>2105</v>
      </c>
      <c r="F1136" s="336"/>
      <c r="G1136" s="327"/>
      <c r="H1136" s="328"/>
      <c r="I1136" s="329"/>
      <c r="J1136" s="338">
        <v>0</v>
      </c>
      <c r="K1136" s="330">
        <v>0</v>
      </c>
      <c r="L1136" s="330">
        <v>0</v>
      </c>
      <c r="M1136" s="330">
        <v>0</v>
      </c>
      <c r="N1136" s="330">
        <v>0</v>
      </c>
      <c r="O1136" s="330">
        <v>0</v>
      </c>
      <c r="P1136" s="330">
        <v>0</v>
      </c>
      <c r="Q1136" s="330">
        <v>0</v>
      </c>
      <c r="R1136" s="330">
        <v>0</v>
      </c>
      <c r="S1136" s="330">
        <v>0</v>
      </c>
      <c r="T1136" s="330">
        <v>0</v>
      </c>
      <c r="U1136" s="331">
        <v>0</v>
      </c>
      <c r="V1136" s="332">
        <v>0</v>
      </c>
      <c r="W1136" s="333"/>
      <c r="X1136" s="334">
        <v>0</v>
      </c>
      <c r="Y1136" s="335">
        <v>0</v>
      </c>
    </row>
    <row r="1137" spans="1:28" s="326" customFormat="1" hidden="1" outlineLevel="2" x14ac:dyDescent="0.3">
      <c r="E1137" s="326" t="s">
        <v>2106</v>
      </c>
      <c r="F1137" s="336"/>
      <c r="G1137" s="327"/>
      <c r="H1137" s="328"/>
      <c r="I1137" s="329"/>
      <c r="J1137" s="338">
        <v>0</v>
      </c>
      <c r="K1137" s="330">
        <v>0</v>
      </c>
      <c r="L1137" s="330">
        <v>0</v>
      </c>
      <c r="M1137" s="330">
        <v>0</v>
      </c>
      <c r="N1137" s="330">
        <v>0</v>
      </c>
      <c r="O1137" s="330">
        <v>0</v>
      </c>
      <c r="P1137" s="330">
        <v>0</v>
      </c>
      <c r="Q1137" s="330">
        <v>0</v>
      </c>
      <c r="R1137" s="330">
        <v>0</v>
      </c>
      <c r="S1137" s="330">
        <v>0</v>
      </c>
      <c r="T1137" s="330">
        <v>0</v>
      </c>
      <c r="U1137" s="331">
        <v>0</v>
      </c>
      <c r="V1137" s="332">
        <v>0</v>
      </c>
      <c r="W1137" s="333"/>
      <c r="X1137" s="334">
        <v>0</v>
      </c>
      <c r="Y1137" s="335">
        <v>0</v>
      </c>
    </row>
    <row r="1138" spans="1:28" ht="16.5" customHeight="1" collapsed="1" x14ac:dyDescent="0.3">
      <c r="A1138" s="930" t="s">
        <v>79</v>
      </c>
      <c r="B1138" s="248"/>
      <c r="C1138" s="280" t="s">
        <v>2109</v>
      </c>
      <c r="D1138" s="281"/>
      <c r="E1138" s="282"/>
      <c r="F1138" s="283" t="s">
        <v>2110</v>
      </c>
      <c r="G1138" s="284"/>
      <c r="H1138" s="285"/>
      <c r="I1138" s="286"/>
      <c r="J1138" s="287">
        <v>-1235361.5649999999</v>
      </c>
      <c r="K1138" s="288">
        <v>-1124445.648</v>
      </c>
      <c r="L1138" s="288">
        <v>-1241174.7879999999</v>
      </c>
      <c r="M1138" s="288">
        <v>-1198195.5229999998</v>
      </c>
      <c r="N1138" s="288">
        <v>-1252582.115</v>
      </c>
      <c r="O1138" s="288">
        <v>-1219115.1540000001</v>
      </c>
      <c r="P1138" s="288">
        <v>-1274381.173</v>
      </c>
      <c r="Q1138" s="288">
        <v>-1277405.112</v>
      </c>
      <c r="R1138" s="288">
        <v>-1260592.808</v>
      </c>
      <c r="S1138" s="288">
        <v>-1303819.56</v>
      </c>
      <c r="T1138" s="288">
        <v>-1272192.9519999998</v>
      </c>
      <c r="U1138" s="289">
        <v>-1327522.713</v>
      </c>
      <c r="V1138" s="290">
        <v>-14986789.111000001</v>
      </c>
      <c r="W1138" s="277"/>
      <c r="X1138" s="291">
        <v>-1327522.713</v>
      </c>
      <c r="Y1138" s="292">
        <v>-14986789.111000001</v>
      </c>
      <c r="AA1138">
        <f>'9. 추정 IS'!J95</f>
        <v>77.416161999999531</v>
      </c>
      <c r="AB1138" s="931">
        <f>AA1138*1000-V1138</f>
        <v>15064205.273</v>
      </c>
    </row>
    <row r="1139" spans="1:28" collapsed="1" x14ac:dyDescent="0.3">
      <c r="A1139" s="233"/>
      <c r="B1139" s="234" t="s">
        <v>80</v>
      </c>
      <c r="D1139" s="293" t="s">
        <v>2111</v>
      </c>
      <c r="E1139" s="294"/>
      <c r="F1139" s="295" t="s">
        <v>2112</v>
      </c>
      <c r="G1139" s="296"/>
      <c r="H1139" s="297"/>
      <c r="I1139" s="298"/>
      <c r="J1139" s="299">
        <v>5448.1289999999999</v>
      </c>
      <c r="K1139" s="300">
        <v>4970.3980000000001</v>
      </c>
      <c r="L1139" s="300">
        <v>5190.5290000000005</v>
      </c>
      <c r="M1139" s="300">
        <v>4664.9989999999998</v>
      </c>
      <c r="N1139" s="300">
        <v>4607.4120000000003</v>
      </c>
      <c r="O1139" s="300">
        <v>4403.88</v>
      </c>
      <c r="P1139" s="300">
        <v>4336.9279999999999</v>
      </c>
      <c r="Q1139" s="300">
        <v>4204.7269999999999</v>
      </c>
      <c r="R1139" s="300">
        <v>3961.0519999999997</v>
      </c>
      <c r="S1139" s="300">
        <v>4167.6109999999999</v>
      </c>
      <c r="T1139" s="300">
        <v>3951.8959999999997</v>
      </c>
      <c r="U1139" s="301">
        <v>3886.9110000000001</v>
      </c>
      <c r="V1139" s="302">
        <v>53794.471999999994</v>
      </c>
      <c r="W1139" s="303"/>
      <c r="X1139" s="304">
        <v>3886.9110000000001</v>
      </c>
      <c r="Y1139" s="305">
        <v>53794.471999999994</v>
      </c>
    </row>
    <row r="1140" spans="1:28" x14ac:dyDescent="0.3">
      <c r="E1140" s="339" t="s">
        <v>2113</v>
      </c>
      <c r="F1140" s="340" t="s">
        <v>2114</v>
      </c>
      <c r="G1140" s="341"/>
      <c r="H1140" s="342"/>
      <c r="I1140" s="343"/>
      <c r="J1140" s="344">
        <v>0</v>
      </c>
      <c r="K1140" s="345">
        <v>0</v>
      </c>
      <c r="L1140" s="345">
        <v>0</v>
      </c>
      <c r="M1140" s="345">
        <v>0</v>
      </c>
      <c r="N1140" s="345">
        <v>0</v>
      </c>
      <c r="O1140" s="345">
        <v>0</v>
      </c>
      <c r="P1140" s="345">
        <v>0</v>
      </c>
      <c r="Q1140" s="345">
        <v>0</v>
      </c>
      <c r="R1140" s="345">
        <v>0</v>
      </c>
      <c r="S1140" s="345">
        <v>0</v>
      </c>
      <c r="T1140" s="345">
        <v>0</v>
      </c>
      <c r="U1140" s="346">
        <v>0</v>
      </c>
      <c r="V1140" s="347">
        <v>0</v>
      </c>
      <c r="W1140" s="303"/>
      <c r="X1140" s="348">
        <v>0</v>
      </c>
      <c r="Y1140" s="349">
        <v>0</v>
      </c>
    </row>
    <row r="1141" spans="1:28" hidden="1" outlineLevel="1" x14ac:dyDescent="0.3">
      <c r="E1141" t="s">
        <v>2115</v>
      </c>
      <c r="F1141" s="317">
        <v>4500101</v>
      </c>
      <c r="G1141" s="318"/>
      <c r="H1141" s="319">
        <v>7701010101</v>
      </c>
      <c r="I1141" s="320"/>
      <c r="J1141" s="337">
        <v>0</v>
      </c>
      <c r="K1141" s="321">
        <v>0</v>
      </c>
      <c r="L1141" s="321">
        <v>0</v>
      </c>
      <c r="M1141" s="321">
        <v>0</v>
      </c>
      <c r="N1141" s="321">
        <v>0</v>
      </c>
      <c r="O1141" s="321">
        <v>0</v>
      </c>
      <c r="P1141" s="321">
        <v>0</v>
      </c>
      <c r="Q1141" s="321">
        <v>0</v>
      </c>
      <c r="R1141" s="321">
        <v>0</v>
      </c>
      <c r="S1141" s="321">
        <v>0</v>
      </c>
      <c r="T1141" s="321">
        <v>0</v>
      </c>
      <c r="U1141" s="322">
        <v>0</v>
      </c>
      <c r="V1141" s="323">
        <v>0</v>
      </c>
      <c r="W1141" s="303"/>
      <c r="X1141" s="324">
        <v>0</v>
      </c>
      <c r="Y1141" s="325">
        <v>0</v>
      </c>
    </row>
    <row r="1142" spans="1:28" hidden="1" outlineLevel="1" x14ac:dyDescent="0.3">
      <c r="E1142" t="s">
        <v>2116</v>
      </c>
      <c r="F1142" s="317">
        <v>4500102</v>
      </c>
      <c r="G1142" s="318"/>
      <c r="H1142" s="319">
        <v>7701010103</v>
      </c>
      <c r="I1142" s="320"/>
      <c r="J1142" s="337">
        <v>0</v>
      </c>
      <c r="K1142" s="321">
        <v>0</v>
      </c>
      <c r="L1142" s="321">
        <v>0</v>
      </c>
      <c r="M1142" s="321">
        <v>0</v>
      </c>
      <c r="N1142" s="321">
        <v>0</v>
      </c>
      <c r="O1142" s="321">
        <v>0</v>
      </c>
      <c r="P1142" s="321">
        <v>0</v>
      </c>
      <c r="Q1142" s="321">
        <v>0</v>
      </c>
      <c r="R1142" s="321">
        <v>0</v>
      </c>
      <c r="S1142" s="321">
        <v>0</v>
      </c>
      <c r="T1142" s="321">
        <v>0</v>
      </c>
      <c r="U1142" s="322">
        <v>0</v>
      </c>
      <c r="V1142" s="323">
        <v>0</v>
      </c>
      <c r="W1142" s="303"/>
      <c r="X1142" s="324">
        <v>0</v>
      </c>
      <c r="Y1142" s="325">
        <v>0</v>
      </c>
    </row>
    <row r="1143" spans="1:28" hidden="1" outlineLevel="1" x14ac:dyDescent="0.3">
      <c r="E1143" t="s">
        <v>2117</v>
      </c>
      <c r="F1143" s="317">
        <v>4500199</v>
      </c>
      <c r="G1143" s="318"/>
      <c r="H1143" s="319">
        <v>7701010199</v>
      </c>
      <c r="I1143" s="320"/>
      <c r="J1143" s="337">
        <v>0</v>
      </c>
      <c r="K1143" s="321">
        <v>0</v>
      </c>
      <c r="L1143" s="321">
        <v>0</v>
      </c>
      <c r="M1143" s="321">
        <v>0</v>
      </c>
      <c r="N1143" s="321">
        <v>0</v>
      </c>
      <c r="O1143" s="321">
        <v>0</v>
      </c>
      <c r="P1143" s="321">
        <v>0</v>
      </c>
      <c r="Q1143" s="321">
        <v>0</v>
      </c>
      <c r="R1143" s="321">
        <v>0</v>
      </c>
      <c r="S1143" s="321">
        <v>0</v>
      </c>
      <c r="T1143" s="321">
        <v>0</v>
      </c>
      <c r="U1143" s="322">
        <v>0</v>
      </c>
      <c r="V1143" s="323">
        <v>0</v>
      </c>
      <c r="W1143" s="303"/>
      <c r="X1143" s="324">
        <v>0</v>
      </c>
      <c r="Y1143" s="325">
        <v>0</v>
      </c>
    </row>
    <row r="1144" spans="1:28" s="350" customFormat="1" hidden="1" outlineLevel="2" x14ac:dyDescent="0.3">
      <c r="E1144" s="350" t="s">
        <v>2118</v>
      </c>
      <c r="F1144" s="306"/>
      <c r="G1144" s="307"/>
      <c r="H1144" s="308">
        <v>7701010107</v>
      </c>
      <c r="I1144" s="309"/>
      <c r="J1144" s="310">
        <v>0</v>
      </c>
      <c r="K1144" s="311">
        <v>0</v>
      </c>
      <c r="L1144" s="311">
        <v>0</v>
      </c>
      <c r="M1144" s="311">
        <v>0</v>
      </c>
      <c r="N1144" s="311">
        <v>0</v>
      </c>
      <c r="O1144" s="311">
        <v>0</v>
      </c>
      <c r="P1144" s="311">
        <v>0</v>
      </c>
      <c r="Q1144" s="311">
        <v>0</v>
      </c>
      <c r="R1144" s="311">
        <v>0</v>
      </c>
      <c r="S1144" s="311">
        <v>0</v>
      </c>
      <c r="T1144" s="311">
        <v>0</v>
      </c>
      <c r="U1144" s="312">
        <v>0</v>
      </c>
      <c r="V1144" s="313">
        <v>0</v>
      </c>
      <c r="W1144" s="314"/>
      <c r="X1144" s="315">
        <v>0</v>
      </c>
      <c r="Y1144" s="316">
        <v>0</v>
      </c>
    </row>
    <row r="1145" spans="1:28" s="326" customFormat="1" hidden="1" outlineLevel="2" x14ac:dyDescent="0.3">
      <c r="E1145" s="326" t="s">
        <v>2119</v>
      </c>
      <c r="F1145" s="336"/>
      <c r="G1145" s="327"/>
      <c r="H1145" s="328"/>
      <c r="I1145" s="329"/>
      <c r="J1145" s="338">
        <v>0</v>
      </c>
      <c r="K1145" s="330">
        <v>0</v>
      </c>
      <c r="L1145" s="330">
        <v>0</v>
      </c>
      <c r="M1145" s="330">
        <v>0</v>
      </c>
      <c r="N1145" s="330">
        <v>0</v>
      </c>
      <c r="O1145" s="330">
        <v>0</v>
      </c>
      <c r="P1145" s="330">
        <v>0</v>
      </c>
      <c r="Q1145" s="330">
        <v>0</v>
      </c>
      <c r="R1145" s="330">
        <v>0</v>
      </c>
      <c r="S1145" s="330">
        <v>0</v>
      </c>
      <c r="T1145" s="330">
        <v>0</v>
      </c>
      <c r="U1145" s="331">
        <v>0</v>
      </c>
      <c r="V1145" s="332">
        <v>0</v>
      </c>
      <c r="W1145" s="333"/>
      <c r="X1145" s="334">
        <v>0</v>
      </c>
      <c r="Y1145" s="335">
        <v>0</v>
      </c>
    </row>
    <row r="1146" spans="1:28" s="326" customFormat="1" hidden="1" outlineLevel="2" x14ac:dyDescent="0.3">
      <c r="E1146" s="326" t="s">
        <v>2120</v>
      </c>
      <c r="F1146" s="336"/>
      <c r="G1146" s="327"/>
      <c r="H1146" s="328"/>
      <c r="I1146" s="329"/>
      <c r="J1146" s="338">
        <v>0</v>
      </c>
      <c r="K1146" s="330">
        <v>0</v>
      </c>
      <c r="L1146" s="330">
        <v>0</v>
      </c>
      <c r="M1146" s="330">
        <v>0</v>
      </c>
      <c r="N1146" s="330">
        <v>0</v>
      </c>
      <c r="O1146" s="330">
        <v>0</v>
      </c>
      <c r="P1146" s="330">
        <v>0</v>
      </c>
      <c r="Q1146" s="330">
        <v>0</v>
      </c>
      <c r="R1146" s="330">
        <v>0</v>
      </c>
      <c r="S1146" s="330">
        <v>0</v>
      </c>
      <c r="T1146" s="330">
        <v>0</v>
      </c>
      <c r="U1146" s="331">
        <v>0</v>
      </c>
      <c r="V1146" s="332">
        <v>0</v>
      </c>
      <c r="W1146" s="333"/>
      <c r="X1146" s="334">
        <v>0</v>
      </c>
      <c r="Y1146" s="335">
        <v>0</v>
      </c>
    </row>
    <row r="1147" spans="1:28" collapsed="1" x14ac:dyDescent="0.3">
      <c r="E1147" s="339" t="s">
        <v>2035</v>
      </c>
      <c r="F1147" s="340" t="s">
        <v>2121</v>
      </c>
      <c r="G1147" s="341"/>
      <c r="H1147" s="342"/>
      <c r="I1147" s="343"/>
      <c r="J1147" s="344">
        <v>5448.1289999999999</v>
      </c>
      <c r="K1147" s="345">
        <v>4970.3980000000001</v>
      </c>
      <c r="L1147" s="345">
        <v>5190.5290000000005</v>
      </c>
      <c r="M1147" s="345">
        <v>4664.9989999999998</v>
      </c>
      <c r="N1147" s="345">
        <v>4607.4120000000003</v>
      </c>
      <c r="O1147" s="345">
        <v>4403.88</v>
      </c>
      <c r="P1147" s="345">
        <v>4336.9279999999999</v>
      </c>
      <c r="Q1147" s="345">
        <v>4204.7269999999999</v>
      </c>
      <c r="R1147" s="345">
        <v>3961.0519999999997</v>
      </c>
      <c r="S1147" s="345">
        <v>4167.6109999999999</v>
      </c>
      <c r="T1147" s="345">
        <v>3951.8959999999997</v>
      </c>
      <c r="U1147" s="346">
        <v>3886.9110000000001</v>
      </c>
      <c r="V1147" s="347">
        <v>53794.471999999994</v>
      </c>
      <c r="W1147" s="303"/>
      <c r="X1147" s="348">
        <v>3886.9110000000001</v>
      </c>
      <c r="Y1147" s="349">
        <v>53794.471999999994</v>
      </c>
    </row>
    <row r="1148" spans="1:28" hidden="1" outlineLevel="1" x14ac:dyDescent="0.3">
      <c r="E1148" t="s">
        <v>2122</v>
      </c>
      <c r="F1148" s="317">
        <v>4500104</v>
      </c>
      <c r="G1148" s="318"/>
      <c r="H1148" s="319">
        <v>7701010105</v>
      </c>
      <c r="I1148" s="320"/>
      <c r="J1148" s="337">
        <v>0</v>
      </c>
      <c r="K1148" s="321">
        <v>0</v>
      </c>
      <c r="L1148" s="321">
        <v>0</v>
      </c>
      <c r="M1148" s="321">
        <v>0</v>
      </c>
      <c r="N1148" s="321">
        <v>0</v>
      </c>
      <c r="O1148" s="321">
        <v>0</v>
      </c>
      <c r="P1148" s="321">
        <v>0</v>
      </c>
      <c r="Q1148" s="321">
        <v>0</v>
      </c>
      <c r="R1148" s="321">
        <v>0</v>
      </c>
      <c r="S1148" s="321">
        <v>0</v>
      </c>
      <c r="T1148" s="321">
        <v>0</v>
      </c>
      <c r="U1148" s="322">
        <v>0</v>
      </c>
      <c r="V1148" s="323">
        <v>0</v>
      </c>
      <c r="W1148" s="303"/>
      <c r="X1148" s="324">
        <v>0</v>
      </c>
      <c r="Y1148" s="325">
        <v>0</v>
      </c>
    </row>
    <row r="1149" spans="1:28" hidden="1" outlineLevel="1" x14ac:dyDescent="0.3">
      <c r="E1149" t="s">
        <v>2123</v>
      </c>
      <c r="F1149" s="317">
        <v>4500106</v>
      </c>
      <c r="G1149" s="318"/>
      <c r="H1149" s="319">
        <v>7701010305</v>
      </c>
      <c r="I1149" s="320"/>
      <c r="J1149" s="337">
        <v>0</v>
      </c>
      <c r="K1149" s="321">
        <v>0</v>
      </c>
      <c r="L1149" s="321">
        <v>0</v>
      </c>
      <c r="M1149" s="321">
        <v>0</v>
      </c>
      <c r="N1149" s="321">
        <v>0</v>
      </c>
      <c r="O1149" s="321">
        <v>0</v>
      </c>
      <c r="P1149" s="321">
        <v>0</v>
      </c>
      <c r="Q1149" s="321">
        <v>0</v>
      </c>
      <c r="R1149" s="321">
        <v>0</v>
      </c>
      <c r="S1149" s="321">
        <v>0</v>
      </c>
      <c r="T1149" s="321">
        <v>0</v>
      </c>
      <c r="U1149" s="322">
        <v>0</v>
      </c>
      <c r="V1149" s="323">
        <v>0</v>
      </c>
      <c r="W1149" s="303"/>
      <c r="X1149" s="324">
        <v>0</v>
      </c>
      <c r="Y1149" s="325">
        <v>0</v>
      </c>
    </row>
    <row r="1150" spans="1:28" hidden="1" outlineLevel="1" x14ac:dyDescent="0.3">
      <c r="E1150" t="s">
        <v>2124</v>
      </c>
      <c r="F1150" s="317">
        <v>4500181</v>
      </c>
      <c r="G1150" s="318"/>
      <c r="H1150" s="319">
        <v>7701010301</v>
      </c>
      <c r="I1150" s="320"/>
      <c r="J1150" s="337">
        <v>1539.5719999999999</v>
      </c>
      <c r="K1150" s="321">
        <v>1542.8630000000001</v>
      </c>
      <c r="L1150" s="321">
        <v>1546.1610000000001</v>
      </c>
      <c r="M1150" s="321">
        <v>1549.4649999999999</v>
      </c>
      <c r="N1150" s="321">
        <v>1552.778</v>
      </c>
      <c r="O1150" s="321">
        <v>1556.098</v>
      </c>
      <c r="P1150" s="321">
        <v>1559.4259999999999</v>
      </c>
      <c r="Q1150" s="321">
        <v>1562.7619999999999</v>
      </c>
      <c r="R1150" s="321">
        <v>1566.104</v>
      </c>
      <c r="S1150" s="321">
        <v>1569.4570000000001</v>
      </c>
      <c r="T1150" s="321">
        <v>1579.6220000000001</v>
      </c>
      <c r="U1150" s="322">
        <v>1582.9960000000001</v>
      </c>
      <c r="V1150" s="323">
        <v>18707.304</v>
      </c>
      <c r="W1150" s="303"/>
      <c r="X1150" s="324">
        <v>1582.9960000000001</v>
      </c>
      <c r="Y1150" s="325">
        <v>18707.304</v>
      </c>
    </row>
    <row r="1151" spans="1:28" hidden="1" outlineLevel="1" x14ac:dyDescent="0.3">
      <c r="E1151" t="s">
        <v>2125</v>
      </c>
      <c r="F1151" s="317">
        <v>4500182</v>
      </c>
      <c r="G1151" s="318"/>
      <c r="H1151" s="319">
        <v>7701010501</v>
      </c>
      <c r="I1151" s="320"/>
      <c r="J1151" s="337">
        <v>3908.5569999999998</v>
      </c>
      <c r="K1151" s="321">
        <v>3427.5349999999999</v>
      </c>
      <c r="L1151" s="321">
        <v>3644.3679999999999</v>
      </c>
      <c r="M1151" s="321">
        <v>3115.5340000000001</v>
      </c>
      <c r="N1151" s="321">
        <v>3054.634</v>
      </c>
      <c r="O1151" s="321">
        <v>2847.7820000000002</v>
      </c>
      <c r="P1151" s="321">
        <v>2777.502</v>
      </c>
      <c r="Q1151" s="321">
        <v>2641.9650000000001</v>
      </c>
      <c r="R1151" s="321">
        <v>2394.9479999999999</v>
      </c>
      <c r="S1151" s="321">
        <v>2598.154</v>
      </c>
      <c r="T1151" s="321">
        <v>2372.2739999999999</v>
      </c>
      <c r="U1151" s="322">
        <v>2303.915</v>
      </c>
      <c r="V1151" s="323">
        <v>35087.167999999998</v>
      </c>
      <c r="W1151" s="303"/>
      <c r="X1151" s="324">
        <v>2303.915</v>
      </c>
      <c r="Y1151" s="325">
        <v>35087.167999999998</v>
      </c>
    </row>
    <row r="1152" spans="1:28" hidden="1" outlineLevel="1" x14ac:dyDescent="0.3">
      <c r="E1152" t="s">
        <v>2126</v>
      </c>
      <c r="F1152" s="317">
        <v>4500813</v>
      </c>
      <c r="G1152" s="318"/>
      <c r="H1152" s="319">
        <v>7701010701</v>
      </c>
      <c r="I1152" s="320"/>
      <c r="J1152" s="337">
        <v>0</v>
      </c>
      <c r="K1152" s="321">
        <v>0</v>
      </c>
      <c r="L1152" s="321">
        <v>0</v>
      </c>
      <c r="M1152" s="321">
        <v>0</v>
      </c>
      <c r="N1152" s="321">
        <v>0</v>
      </c>
      <c r="O1152" s="321">
        <v>0</v>
      </c>
      <c r="P1152" s="321">
        <v>0</v>
      </c>
      <c r="Q1152" s="321">
        <v>0</v>
      </c>
      <c r="R1152" s="321">
        <v>0</v>
      </c>
      <c r="S1152" s="321">
        <v>0</v>
      </c>
      <c r="T1152" s="321">
        <v>0</v>
      </c>
      <c r="U1152" s="322">
        <v>0</v>
      </c>
      <c r="V1152" s="323">
        <v>0</v>
      </c>
      <c r="W1152" s="303"/>
      <c r="X1152" s="324">
        <v>0</v>
      </c>
      <c r="Y1152" s="325">
        <v>0</v>
      </c>
    </row>
    <row r="1153" spans="1:25" s="350" customFormat="1" hidden="1" outlineLevel="2" x14ac:dyDescent="0.3">
      <c r="E1153" s="350" t="s">
        <v>2127</v>
      </c>
      <c r="F1153" s="306"/>
      <c r="G1153" s="307"/>
      <c r="H1153" s="308"/>
      <c r="I1153" s="309"/>
      <c r="J1153" s="310">
        <v>0</v>
      </c>
      <c r="K1153" s="311">
        <v>0</v>
      </c>
      <c r="L1153" s="311">
        <v>0</v>
      </c>
      <c r="M1153" s="311">
        <v>0</v>
      </c>
      <c r="N1153" s="311">
        <v>0</v>
      </c>
      <c r="O1153" s="311">
        <v>0</v>
      </c>
      <c r="P1153" s="311">
        <v>0</v>
      </c>
      <c r="Q1153" s="311">
        <v>0</v>
      </c>
      <c r="R1153" s="311">
        <v>0</v>
      </c>
      <c r="S1153" s="311">
        <v>0</v>
      </c>
      <c r="T1153" s="311">
        <v>0</v>
      </c>
      <c r="U1153" s="312">
        <v>0</v>
      </c>
      <c r="V1153" s="313">
        <v>0</v>
      </c>
      <c r="W1153" s="314"/>
      <c r="X1153" s="315">
        <v>0</v>
      </c>
      <c r="Y1153" s="316">
        <v>0</v>
      </c>
    </row>
    <row r="1154" spans="1:25" s="326" customFormat="1" hidden="1" outlineLevel="2" x14ac:dyDescent="0.3">
      <c r="E1154" s="326" t="s">
        <v>2119</v>
      </c>
      <c r="F1154" s="336"/>
      <c r="G1154" s="327"/>
      <c r="H1154" s="328"/>
      <c r="I1154" s="329"/>
      <c r="J1154" s="338">
        <v>0</v>
      </c>
      <c r="K1154" s="330">
        <v>0</v>
      </c>
      <c r="L1154" s="330">
        <v>0</v>
      </c>
      <c r="M1154" s="330">
        <v>0</v>
      </c>
      <c r="N1154" s="330">
        <v>0</v>
      </c>
      <c r="O1154" s="330">
        <v>0</v>
      </c>
      <c r="P1154" s="330">
        <v>0</v>
      </c>
      <c r="Q1154" s="330">
        <v>0</v>
      </c>
      <c r="R1154" s="330">
        <v>0</v>
      </c>
      <c r="S1154" s="330">
        <v>0</v>
      </c>
      <c r="T1154" s="330">
        <v>0</v>
      </c>
      <c r="U1154" s="331">
        <v>0</v>
      </c>
      <c r="V1154" s="332">
        <v>0</v>
      </c>
      <c r="W1154" s="333"/>
      <c r="X1154" s="334">
        <v>0</v>
      </c>
      <c r="Y1154" s="335">
        <v>0</v>
      </c>
    </row>
    <row r="1155" spans="1:25" s="326" customFormat="1" hidden="1" outlineLevel="2" x14ac:dyDescent="0.3">
      <c r="E1155" s="326" t="s">
        <v>2120</v>
      </c>
      <c r="F1155" s="336"/>
      <c r="G1155" s="327"/>
      <c r="H1155" s="328"/>
      <c r="I1155" s="329"/>
      <c r="J1155" s="338">
        <v>0</v>
      </c>
      <c r="K1155" s="330">
        <v>0</v>
      </c>
      <c r="L1155" s="330">
        <v>0</v>
      </c>
      <c r="M1155" s="330">
        <v>0</v>
      </c>
      <c r="N1155" s="330">
        <v>0</v>
      </c>
      <c r="O1155" s="330">
        <v>0</v>
      </c>
      <c r="P1155" s="330">
        <v>0</v>
      </c>
      <c r="Q1155" s="330">
        <v>0</v>
      </c>
      <c r="R1155" s="330">
        <v>0</v>
      </c>
      <c r="S1155" s="330">
        <v>0</v>
      </c>
      <c r="T1155" s="330">
        <v>0</v>
      </c>
      <c r="U1155" s="331">
        <v>0</v>
      </c>
      <c r="V1155" s="332">
        <v>0</v>
      </c>
      <c r="W1155" s="333"/>
      <c r="X1155" s="334">
        <v>0</v>
      </c>
      <c r="Y1155" s="335">
        <v>0</v>
      </c>
    </row>
    <row r="1156" spans="1:25" collapsed="1" x14ac:dyDescent="0.3">
      <c r="A1156" s="233"/>
      <c r="B1156" s="234" t="s">
        <v>81</v>
      </c>
      <c r="D1156" s="293" t="s">
        <v>2128</v>
      </c>
      <c r="E1156" s="294"/>
      <c r="F1156" s="295" t="s">
        <v>2129</v>
      </c>
      <c r="G1156" s="296"/>
      <c r="H1156" s="297"/>
      <c r="I1156" s="298"/>
      <c r="J1156" s="299">
        <v>0</v>
      </c>
      <c r="K1156" s="300">
        <v>0</v>
      </c>
      <c r="L1156" s="300">
        <v>0</v>
      </c>
      <c r="M1156" s="300">
        <v>0</v>
      </c>
      <c r="N1156" s="300">
        <v>0</v>
      </c>
      <c r="O1156" s="300">
        <v>0</v>
      </c>
      <c r="P1156" s="300">
        <v>0</v>
      </c>
      <c r="Q1156" s="300">
        <v>0</v>
      </c>
      <c r="R1156" s="300">
        <v>0</v>
      </c>
      <c r="S1156" s="300">
        <v>0</v>
      </c>
      <c r="T1156" s="300">
        <v>0</v>
      </c>
      <c r="U1156" s="301">
        <v>0</v>
      </c>
      <c r="V1156" s="302">
        <v>0</v>
      </c>
      <c r="W1156" s="303"/>
      <c r="X1156" s="304">
        <v>0</v>
      </c>
      <c r="Y1156" s="305">
        <v>0</v>
      </c>
    </row>
    <row r="1157" spans="1:25" hidden="1" outlineLevel="1" x14ac:dyDescent="0.3">
      <c r="E1157" t="s">
        <v>2130</v>
      </c>
      <c r="F1157" s="317">
        <v>4502010</v>
      </c>
      <c r="G1157" s="318"/>
      <c r="H1157" s="319">
        <v>7701300101</v>
      </c>
      <c r="I1157" s="320"/>
      <c r="J1157" s="337">
        <v>0</v>
      </c>
      <c r="K1157" s="321">
        <v>0</v>
      </c>
      <c r="L1157" s="321">
        <v>0</v>
      </c>
      <c r="M1157" s="321">
        <v>0</v>
      </c>
      <c r="N1157" s="321">
        <v>0</v>
      </c>
      <c r="O1157" s="321">
        <v>0</v>
      </c>
      <c r="P1157" s="321">
        <v>0</v>
      </c>
      <c r="Q1157" s="321">
        <v>0</v>
      </c>
      <c r="R1157" s="321">
        <v>0</v>
      </c>
      <c r="S1157" s="321">
        <v>0</v>
      </c>
      <c r="T1157" s="321">
        <v>0</v>
      </c>
      <c r="U1157" s="322">
        <v>0</v>
      </c>
      <c r="V1157" s="323">
        <v>0</v>
      </c>
      <c r="W1157" s="303"/>
      <c r="X1157" s="324">
        <v>0</v>
      </c>
      <c r="Y1157" s="325">
        <v>0</v>
      </c>
    </row>
    <row r="1158" spans="1:25" hidden="1" outlineLevel="1" x14ac:dyDescent="0.3">
      <c r="E1158" t="s">
        <v>2131</v>
      </c>
      <c r="F1158" s="317">
        <v>4502011</v>
      </c>
      <c r="G1158" s="318"/>
      <c r="H1158" s="319">
        <v>7701300102</v>
      </c>
      <c r="I1158" s="320"/>
      <c r="J1158" s="337">
        <v>0</v>
      </c>
      <c r="K1158" s="321">
        <v>0</v>
      </c>
      <c r="L1158" s="321">
        <v>0</v>
      </c>
      <c r="M1158" s="321">
        <v>0</v>
      </c>
      <c r="N1158" s="321">
        <v>0</v>
      </c>
      <c r="O1158" s="321">
        <v>0</v>
      </c>
      <c r="P1158" s="321">
        <v>0</v>
      </c>
      <c r="Q1158" s="321">
        <v>0</v>
      </c>
      <c r="R1158" s="321">
        <v>0</v>
      </c>
      <c r="S1158" s="321">
        <v>0</v>
      </c>
      <c r="T1158" s="321">
        <v>0</v>
      </c>
      <c r="U1158" s="322">
        <v>0</v>
      </c>
      <c r="V1158" s="323">
        <v>0</v>
      </c>
      <c r="W1158" s="303"/>
      <c r="X1158" s="324">
        <v>0</v>
      </c>
      <c r="Y1158" s="325">
        <v>0</v>
      </c>
    </row>
    <row r="1159" spans="1:25" hidden="1" outlineLevel="1" x14ac:dyDescent="0.3">
      <c r="E1159" t="s">
        <v>2132</v>
      </c>
      <c r="F1159" s="317">
        <v>4502012</v>
      </c>
      <c r="G1159" s="318"/>
      <c r="H1159" s="319">
        <v>7701300103</v>
      </c>
      <c r="I1159" s="320"/>
      <c r="J1159" s="337">
        <v>0</v>
      </c>
      <c r="K1159" s="321">
        <v>0</v>
      </c>
      <c r="L1159" s="321">
        <v>0</v>
      </c>
      <c r="M1159" s="321">
        <v>0</v>
      </c>
      <c r="N1159" s="321">
        <v>0</v>
      </c>
      <c r="O1159" s="321">
        <v>0</v>
      </c>
      <c r="P1159" s="321">
        <v>0</v>
      </c>
      <c r="Q1159" s="321">
        <v>0</v>
      </c>
      <c r="R1159" s="321">
        <v>0</v>
      </c>
      <c r="S1159" s="321">
        <v>0</v>
      </c>
      <c r="T1159" s="321">
        <v>0</v>
      </c>
      <c r="U1159" s="322">
        <v>0</v>
      </c>
      <c r="V1159" s="323">
        <v>0</v>
      </c>
      <c r="W1159" s="303"/>
      <c r="X1159" s="324">
        <v>0</v>
      </c>
      <c r="Y1159" s="325">
        <v>0</v>
      </c>
    </row>
    <row r="1160" spans="1:25" hidden="1" outlineLevel="1" x14ac:dyDescent="0.3">
      <c r="E1160" t="s">
        <v>2133</v>
      </c>
      <c r="F1160" s="317">
        <v>4502013</v>
      </c>
      <c r="G1160" s="318"/>
      <c r="H1160" s="319">
        <v>7701030102</v>
      </c>
      <c r="I1160" s="320"/>
      <c r="J1160" s="337">
        <v>0</v>
      </c>
      <c r="K1160" s="321">
        <v>0</v>
      </c>
      <c r="L1160" s="321">
        <v>0</v>
      </c>
      <c r="M1160" s="321">
        <v>0</v>
      </c>
      <c r="N1160" s="321">
        <v>0</v>
      </c>
      <c r="O1160" s="321">
        <v>0</v>
      </c>
      <c r="P1160" s="321">
        <v>0</v>
      </c>
      <c r="Q1160" s="321">
        <v>0</v>
      </c>
      <c r="R1160" s="321">
        <v>0</v>
      </c>
      <c r="S1160" s="321">
        <v>0</v>
      </c>
      <c r="T1160" s="321">
        <v>0</v>
      </c>
      <c r="U1160" s="322">
        <v>0</v>
      </c>
      <c r="V1160" s="323">
        <v>0</v>
      </c>
      <c r="W1160" s="303"/>
      <c r="X1160" s="324">
        <v>0</v>
      </c>
      <c r="Y1160" s="325">
        <v>0</v>
      </c>
    </row>
    <row r="1161" spans="1:25" hidden="1" outlineLevel="1" x14ac:dyDescent="0.3">
      <c r="E1161" t="s">
        <v>2134</v>
      </c>
      <c r="F1161" s="317">
        <v>4502014</v>
      </c>
      <c r="G1161" s="318"/>
      <c r="H1161" s="319"/>
      <c r="I1161" s="320"/>
      <c r="J1161" s="337">
        <v>0</v>
      </c>
      <c r="K1161" s="321">
        <v>0</v>
      </c>
      <c r="L1161" s="321">
        <v>0</v>
      </c>
      <c r="M1161" s="321">
        <v>0</v>
      </c>
      <c r="N1161" s="321">
        <v>0</v>
      </c>
      <c r="O1161" s="321">
        <v>0</v>
      </c>
      <c r="P1161" s="321">
        <v>0</v>
      </c>
      <c r="Q1161" s="321">
        <v>0</v>
      </c>
      <c r="R1161" s="321">
        <v>0</v>
      </c>
      <c r="S1161" s="321">
        <v>0</v>
      </c>
      <c r="T1161" s="321">
        <v>0</v>
      </c>
      <c r="U1161" s="322">
        <v>0</v>
      </c>
      <c r="V1161" s="323">
        <v>0</v>
      </c>
      <c r="W1161" s="303"/>
      <c r="X1161" s="324">
        <v>0</v>
      </c>
      <c r="Y1161" s="325">
        <v>0</v>
      </c>
    </row>
    <row r="1162" spans="1:25" s="326" customFormat="1" hidden="1" outlineLevel="2" x14ac:dyDescent="0.3">
      <c r="E1162" s="326" t="s">
        <v>2135</v>
      </c>
      <c r="F1162" s="336"/>
      <c r="G1162" s="327"/>
      <c r="H1162" s="328"/>
      <c r="I1162" s="329"/>
      <c r="J1162" s="338">
        <v>0</v>
      </c>
      <c r="K1162" s="330">
        <v>0</v>
      </c>
      <c r="L1162" s="330">
        <v>0</v>
      </c>
      <c r="M1162" s="330">
        <v>0</v>
      </c>
      <c r="N1162" s="330">
        <v>0</v>
      </c>
      <c r="O1162" s="330">
        <v>0</v>
      </c>
      <c r="P1162" s="330">
        <v>0</v>
      </c>
      <c r="Q1162" s="330">
        <v>0</v>
      </c>
      <c r="R1162" s="330">
        <v>0</v>
      </c>
      <c r="S1162" s="330">
        <v>0</v>
      </c>
      <c r="T1162" s="330">
        <v>0</v>
      </c>
      <c r="U1162" s="331">
        <v>0</v>
      </c>
      <c r="V1162" s="332">
        <v>0</v>
      </c>
      <c r="W1162" s="333"/>
      <c r="X1162" s="334">
        <v>0</v>
      </c>
      <c r="Y1162" s="335">
        <v>0</v>
      </c>
    </row>
    <row r="1163" spans="1:25" s="326" customFormat="1" hidden="1" outlineLevel="2" x14ac:dyDescent="0.3">
      <c r="E1163" s="326" t="s">
        <v>2136</v>
      </c>
      <c r="F1163" s="336"/>
      <c r="G1163" s="327"/>
      <c r="H1163" s="328"/>
      <c r="I1163" s="329"/>
      <c r="J1163" s="338">
        <v>0</v>
      </c>
      <c r="K1163" s="330">
        <v>0</v>
      </c>
      <c r="L1163" s="330">
        <v>0</v>
      </c>
      <c r="M1163" s="330">
        <v>0</v>
      </c>
      <c r="N1163" s="330">
        <v>0</v>
      </c>
      <c r="O1163" s="330">
        <v>0</v>
      </c>
      <c r="P1163" s="330">
        <v>0</v>
      </c>
      <c r="Q1163" s="330">
        <v>0</v>
      </c>
      <c r="R1163" s="330">
        <v>0</v>
      </c>
      <c r="S1163" s="330">
        <v>0</v>
      </c>
      <c r="T1163" s="330">
        <v>0</v>
      </c>
      <c r="U1163" s="331">
        <v>0</v>
      </c>
      <c r="V1163" s="332">
        <v>0</v>
      </c>
      <c r="W1163" s="333"/>
      <c r="X1163" s="334">
        <v>0</v>
      </c>
      <c r="Y1163" s="335">
        <v>0</v>
      </c>
    </row>
    <row r="1164" spans="1:25" s="326" customFormat="1" hidden="1" outlineLevel="2" x14ac:dyDescent="0.3">
      <c r="E1164" s="326" t="s">
        <v>2137</v>
      </c>
      <c r="F1164" s="336"/>
      <c r="G1164" s="327"/>
      <c r="H1164" s="328"/>
      <c r="I1164" s="329"/>
      <c r="J1164" s="338">
        <v>0</v>
      </c>
      <c r="K1164" s="330">
        <v>0</v>
      </c>
      <c r="L1164" s="330">
        <v>0</v>
      </c>
      <c r="M1164" s="330">
        <v>0</v>
      </c>
      <c r="N1164" s="330">
        <v>0</v>
      </c>
      <c r="O1164" s="330">
        <v>0</v>
      </c>
      <c r="P1164" s="330">
        <v>0</v>
      </c>
      <c r="Q1164" s="330">
        <v>0</v>
      </c>
      <c r="R1164" s="330">
        <v>0</v>
      </c>
      <c r="S1164" s="330">
        <v>0</v>
      </c>
      <c r="T1164" s="330">
        <v>0</v>
      </c>
      <c r="U1164" s="331">
        <v>0</v>
      </c>
      <c r="V1164" s="332">
        <v>0</v>
      </c>
      <c r="W1164" s="333"/>
      <c r="X1164" s="334">
        <v>0</v>
      </c>
      <c r="Y1164" s="335">
        <v>0</v>
      </c>
    </row>
    <row r="1165" spans="1:25" collapsed="1" x14ac:dyDescent="0.3">
      <c r="A1165" s="233"/>
      <c r="B1165" s="234" t="s">
        <v>81</v>
      </c>
      <c r="D1165" s="293" t="s">
        <v>2138</v>
      </c>
      <c r="E1165" s="294"/>
      <c r="F1165" s="295" t="s">
        <v>2139</v>
      </c>
      <c r="G1165" s="296"/>
      <c r="H1165" s="297"/>
      <c r="I1165" s="298"/>
      <c r="J1165" s="299">
        <v>0</v>
      </c>
      <c r="K1165" s="300">
        <v>0</v>
      </c>
      <c r="L1165" s="300">
        <v>0</v>
      </c>
      <c r="M1165" s="300">
        <v>0</v>
      </c>
      <c r="N1165" s="300">
        <v>0</v>
      </c>
      <c r="O1165" s="300">
        <v>0</v>
      </c>
      <c r="P1165" s="300">
        <v>0</v>
      </c>
      <c r="Q1165" s="300">
        <v>0</v>
      </c>
      <c r="R1165" s="300">
        <v>0</v>
      </c>
      <c r="S1165" s="300">
        <v>0</v>
      </c>
      <c r="T1165" s="300">
        <v>0</v>
      </c>
      <c r="U1165" s="301">
        <v>0</v>
      </c>
      <c r="V1165" s="302">
        <v>0</v>
      </c>
      <c r="W1165" s="303"/>
      <c r="X1165" s="304">
        <v>0</v>
      </c>
      <c r="Y1165" s="305">
        <v>0</v>
      </c>
    </row>
    <row r="1166" spans="1:25" hidden="1" outlineLevel="1" x14ac:dyDescent="0.3">
      <c r="E1166" t="s">
        <v>2140</v>
      </c>
      <c r="F1166" s="317">
        <v>4502003</v>
      </c>
      <c r="G1166" s="318"/>
      <c r="H1166" s="319"/>
      <c r="I1166" s="320"/>
      <c r="J1166" s="337">
        <v>0</v>
      </c>
      <c r="K1166" s="321">
        <v>0</v>
      </c>
      <c r="L1166" s="321">
        <v>0</v>
      </c>
      <c r="M1166" s="321">
        <v>0</v>
      </c>
      <c r="N1166" s="321">
        <v>0</v>
      </c>
      <c r="O1166" s="321">
        <v>0</v>
      </c>
      <c r="P1166" s="321">
        <v>0</v>
      </c>
      <c r="Q1166" s="321">
        <v>0</v>
      </c>
      <c r="R1166" s="321">
        <v>0</v>
      </c>
      <c r="S1166" s="321">
        <v>0</v>
      </c>
      <c r="T1166" s="321">
        <v>0</v>
      </c>
      <c r="U1166" s="322">
        <v>0</v>
      </c>
      <c r="V1166" s="323">
        <v>0</v>
      </c>
      <c r="W1166" s="303"/>
      <c r="X1166" s="324">
        <v>0</v>
      </c>
      <c r="Y1166" s="325">
        <v>0</v>
      </c>
    </row>
    <row r="1167" spans="1:25" hidden="1" outlineLevel="1" x14ac:dyDescent="0.3">
      <c r="E1167" t="s">
        <v>2141</v>
      </c>
      <c r="F1167" s="317">
        <v>4502007</v>
      </c>
      <c r="G1167" s="318"/>
      <c r="H1167" s="319"/>
      <c r="I1167" s="320"/>
      <c r="J1167" s="337">
        <v>0</v>
      </c>
      <c r="K1167" s="321">
        <v>0</v>
      </c>
      <c r="L1167" s="321">
        <v>0</v>
      </c>
      <c r="M1167" s="321">
        <v>0</v>
      </c>
      <c r="N1167" s="321">
        <v>0</v>
      </c>
      <c r="O1167" s="321">
        <v>0</v>
      </c>
      <c r="P1167" s="321">
        <v>0</v>
      </c>
      <c r="Q1167" s="321">
        <v>0</v>
      </c>
      <c r="R1167" s="321">
        <v>0</v>
      </c>
      <c r="S1167" s="321">
        <v>0</v>
      </c>
      <c r="T1167" s="321">
        <v>0</v>
      </c>
      <c r="U1167" s="322">
        <v>0</v>
      </c>
      <c r="V1167" s="323">
        <v>0</v>
      </c>
      <c r="W1167" s="303"/>
      <c r="X1167" s="324">
        <v>0</v>
      </c>
      <c r="Y1167" s="325">
        <v>0</v>
      </c>
    </row>
    <row r="1168" spans="1:25" hidden="1" outlineLevel="1" x14ac:dyDescent="0.3">
      <c r="E1168" t="s">
        <v>2142</v>
      </c>
      <c r="F1168" s="317">
        <v>4502008</v>
      </c>
      <c r="G1168" s="318"/>
      <c r="H1168" s="319"/>
      <c r="I1168" s="320"/>
      <c r="J1168" s="337">
        <v>0</v>
      </c>
      <c r="K1168" s="321">
        <v>0</v>
      </c>
      <c r="L1168" s="321">
        <v>0</v>
      </c>
      <c r="M1168" s="321">
        <v>0</v>
      </c>
      <c r="N1168" s="321">
        <v>0</v>
      </c>
      <c r="O1168" s="321">
        <v>0</v>
      </c>
      <c r="P1168" s="321">
        <v>0</v>
      </c>
      <c r="Q1168" s="321">
        <v>0</v>
      </c>
      <c r="R1168" s="321">
        <v>0</v>
      </c>
      <c r="S1168" s="321">
        <v>0</v>
      </c>
      <c r="T1168" s="321">
        <v>0</v>
      </c>
      <c r="U1168" s="322">
        <v>0</v>
      </c>
      <c r="V1168" s="323">
        <v>0</v>
      </c>
      <c r="W1168" s="303"/>
      <c r="X1168" s="324">
        <v>0</v>
      </c>
      <c r="Y1168" s="325">
        <v>0</v>
      </c>
    </row>
    <row r="1169" spans="1:25" hidden="1" outlineLevel="1" x14ac:dyDescent="0.3">
      <c r="E1169" t="s">
        <v>2143</v>
      </c>
      <c r="F1169" s="317">
        <v>4502009</v>
      </c>
      <c r="G1169" s="318"/>
      <c r="H1169" s="319"/>
      <c r="I1169" s="320"/>
      <c r="J1169" s="337">
        <v>0</v>
      </c>
      <c r="K1169" s="321">
        <v>0</v>
      </c>
      <c r="L1169" s="321">
        <v>0</v>
      </c>
      <c r="M1169" s="321">
        <v>0</v>
      </c>
      <c r="N1169" s="321">
        <v>0</v>
      </c>
      <c r="O1169" s="321">
        <v>0</v>
      </c>
      <c r="P1169" s="321">
        <v>0</v>
      </c>
      <c r="Q1169" s="321">
        <v>0</v>
      </c>
      <c r="R1169" s="321">
        <v>0</v>
      </c>
      <c r="S1169" s="321">
        <v>0</v>
      </c>
      <c r="T1169" s="321">
        <v>0</v>
      </c>
      <c r="U1169" s="322">
        <v>0</v>
      </c>
      <c r="V1169" s="323">
        <v>0</v>
      </c>
      <c r="W1169" s="303"/>
      <c r="X1169" s="324">
        <v>0</v>
      </c>
      <c r="Y1169" s="325">
        <v>0</v>
      </c>
    </row>
    <row r="1170" spans="1:25" hidden="1" outlineLevel="1" x14ac:dyDescent="0.3">
      <c r="E1170" t="s">
        <v>2144</v>
      </c>
      <c r="F1170" s="317">
        <v>4502015</v>
      </c>
      <c r="G1170" s="318"/>
      <c r="H1170" s="319"/>
      <c r="I1170" s="320"/>
      <c r="J1170" s="337">
        <v>0</v>
      </c>
      <c r="K1170" s="321">
        <v>0</v>
      </c>
      <c r="L1170" s="321">
        <v>0</v>
      </c>
      <c r="M1170" s="321">
        <v>0</v>
      </c>
      <c r="N1170" s="321">
        <v>0</v>
      </c>
      <c r="O1170" s="321">
        <v>0</v>
      </c>
      <c r="P1170" s="321">
        <v>0</v>
      </c>
      <c r="Q1170" s="321">
        <v>0</v>
      </c>
      <c r="R1170" s="321">
        <v>0</v>
      </c>
      <c r="S1170" s="321">
        <v>0</v>
      </c>
      <c r="T1170" s="321">
        <v>0</v>
      </c>
      <c r="U1170" s="322">
        <v>0</v>
      </c>
      <c r="V1170" s="323">
        <v>0</v>
      </c>
      <c r="W1170" s="303"/>
      <c r="X1170" s="324">
        <v>0</v>
      </c>
      <c r="Y1170" s="325">
        <v>0</v>
      </c>
    </row>
    <row r="1171" spans="1:25" hidden="1" outlineLevel="1" x14ac:dyDescent="0.3">
      <c r="E1171" s="326" t="s">
        <v>2145</v>
      </c>
      <c r="F1171" s="317"/>
      <c r="G1171" s="318"/>
      <c r="H1171" s="319"/>
      <c r="I1171" s="320"/>
      <c r="J1171" s="337">
        <v>0</v>
      </c>
      <c r="K1171" s="321">
        <v>0</v>
      </c>
      <c r="L1171" s="321">
        <v>0</v>
      </c>
      <c r="M1171" s="321">
        <v>0</v>
      </c>
      <c r="N1171" s="321">
        <v>0</v>
      </c>
      <c r="O1171" s="321">
        <v>0</v>
      </c>
      <c r="P1171" s="321">
        <v>0</v>
      </c>
      <c r="Q1171" s="321">
        <v>0</v>
      </c>
      <c r="R1171" s="321">
        <v>0</v>
      </c>
      <c r="S1171" s="321">
        <v>0</v>
      </c>
      <c r="T1171" s="321">
        <v>0</v>
      </c>
      <c r="U1171" s="322">
        <v>0</v>
      </c>
      <c r="V1171" s="323">
        <v>0</v>
      </c>
      <c r="W1171" s="303"/>
      <c r="X1171" s="324">
        <v>0</v>
      </c>
      <c r="Y1171" s="325">
        <v>0</v>
      </c>
    </row>
    <row r="1172" spans="1:25" hidden="1" outlineLevel="1" x14ac:dyDescent="0.3">
      <c r="E1172" s="326" t="s">
        <v>2146</v>
      </c>
      <c r="F1172" s="317"/>
      <c r="G1172" s="318"/>
      <c r="H1172" s="319"/>
      <c r="I1172" s="320"/>
      <c r="J1172" s="337">
        <v>0</v>
      </c>
      <c r="K1172" s="321">
        <v>0</v>
      </c>
      <c r="L1172" s="321">
        <v>0</v>
      </c>
      <c r="M1172" s="321">
        <v>0</v>
      </c>
      <c r="N1172" s="321">
        <v>0</v>
      </c>
      <c r="O1172" s="321">
        <v>0</v>
      </c>
      <c r="P1172" s="321">
        <v>0</v>
      </c>
      <c r="Q1172" s="321">
        <v>0</v>
      </c>
      <c r="R1172" s="321">
        <v>0</v>
      </c>
      <c r="S1172" s="321">
        <v>0</v>
      </c>
      <c r="T1172" s="321">
        <v>0</v>
      </c>
      <c r="U1172" s="322">
        <v>0</v>
      </c>
      <c r="V1172" s="323">
        <v>0</v>
      </c>
      <c r="W1172" s="303"/>
      <c r="X1172" s="324">
        <v>0</v>
      </c>
      <c r="Y1172" s="325">
        <v>0</v>
      </c>
    </row>
    <row r="1173" spans="1:25" s="326" customFormat="1" hidden="1" outlineLevel="2" x14ac:dyDescent="0.3">
      <c r="E1173" s="326" t="s">
        <v>2147</v>
      </c>
      <c r="F1173" s="336"/>
      <c r="G1173" s="327"/>
      <c r="H1173" s="328"/>
      <c r="I1173" s="329"/>
      <c r="J1173" s="338">
        <v>0</v>
      </c>
      <c r="K1173" s="330">
        <v>0</v>
      </c>
      <c r="L1173" s="330">
        <v>0</v>
      </c>
      <c r="M1173" s="330">
        <v>0</v>
      </c>
      <c r="N1173" s="330">
        <v>0</v>
      </c>
      <c r="O1173" s="330">
        <v>0</v>
      </c>
      <c r="P1173" s="330">
        <v>0</v>
      </c>
      <c r="Q1173" s="330">
        <v>0</v>
      </c>
      <c r="R1173" s="330">
        <v>0</v>
      </c>
      <c r="S1173" s="330">
        <v>0</v>
      </c>
      <c r="T1173" s="330">
        <v>0</v>
      </c>
      <c r="U1173" s="331">
        <v>0</v>
      </c>
      <c r="V1173" s="332">
        <v>0</v>
      </c>
      <c r="W1173" s="333"/>
      <c r="X1173" s="334">
        <v>0</v>
      </c>
      <c r="Y1173" s="335">
        <v>0</v>
      </c>
    </row>
    <row r="1174" spans="1:25" collapsed="1" x14ac:dyDescent="0.3">
      <c r="A1174" s="233"/>
      <c r="B1174" s="234" t="s">
        <v>81</v>
      </c>
      <c r="D1174" s="293" t="s">
        <v>2148</v>
      </c>
      <c r="E1174" s="294"/>
      <c r="F1174" s="295" t="s">
        <v>2149</v>
      </c>
      <c r="G1174" s="296"/>
      <c r="H1174" s="297"/>
      <c r="I1174" s="298"/>
      <c r="J1174" s="299">
        <v>0</v>
      </c>
      <c r="K1174" s="300">
        <v>0</v>
      </c>
      <c r="L1174" s="300">
        <v>0</v>
      </c>
      <c r="M1174" s="300">
        <v>0</v>
      </c>
      <c r="N1174" s="300">
        <v>0</v>
      </c>
      <c r="O1174" s="300">
        <v>0</v>
      </c>
      <c r="P1174" s="300">
        <v>0</v>
      </c>
      <c r="Q1174" s="300">
        <v>0</v>
      </c>
      <c r="R1174" s="300">
        <v>0</v>
      </c>
      <c r="S1174" s="300">
        <v>0</v>
      </c>
      <c r="T1174" s="300">
        <v>0</v>
      </c>
      <c r="U1174" s="301">
        <v>0</v>
      </c>
      <c r="V1174" s="302">
        <v>0</v>
      </c>
      <c r="W1174" s="303"/>
      <c r="X1174" s="304">
        <v>0</v>
      </c>
      <c r="Y1174" s="305">
        <v>0</v>
      </c>
    </row>
    <row r="1175" spans="1:25" hidden="1" outlineLevel="1" x14ac:dyDescent="0.3">
      <c r="E1175" t="s">
        <v>2150</v>
      </c>
      <c r="F1175" s="317">
        <v>4502005</v>
      </c>
      <c r="G1175" s="318"/>
      <c r="H1175" s="319">
        <v>7701070000</v>
      </c>
      <c r="I1175" s="320"/>
      <c r="J1175" s="337">
        <v>0</v>
      </c>
      <c r="K1175" s="321">
        <v>0</v>
      </c>
      <c r="L1175" s="321">
        <v>0</v>
      </c>
      <c r="M1175" s="321">
        <v>0</v>
      </c>
      <c r="N1175" s="321">
        <v>0</v>
      </c>
      <c r="O1175" s="321">
        <v>0</v>
      </c>
      <c r="P1175" s="321">
        <v>0</v>
      </c>
      <c r="Q1175" s="321">
        <v>0</v>
      </c>
      <c r="R1175" s="321">
        <v>0</v>
      </c>
      <c r="S1175" s="321">
        <v>0</v>
      </c>
      <c r="T1175" s="321">
        <v>0</v>
      </c>
      <c r="U1175" s="322">
        <v>0</v>
      </c>
      <c r="V1175" s="323">
        <v>0</v>
      </c>
      <c r="W1175" s="303"/>
      <c r="X1175" s="324">
        <v>0</v>
      </c>
      <c r="Y1175" s="325">
        <v>0</v>
      </c>
    </row>
    <row r="1176" spans="1:25" s="326" customFormat="1" hidden="1" outlineLevel="2" x14ac:dyDescent="0.3">
      <c r="E1176" s="326" t="s">
        <v>2151</v>
      </c>
      <c r="F1176" s="336"/>
      <c r="G1176" s="327"/>
      <c r="H1176" s="328"/>
      <c r="I1176" s="329"/>
      <c r="J1176" s="338">
        <v>0</v>
      </c>
      <c r="K1176" s="330">
        <v>0</v>
      </c>
      <c r="L1176" s="330">
        <v>0</v>
      </c>
      <c r="M1176" s="330">
        <v>0</v>
      </c>
      <c r="N1176" s="330">
        <v>0</v>
      </c>
      <c r="O1176" s="330">
        <v>0</v>
      </c>
      <c r="P1176" s="330">
        <v>0</v>
      </c>
      <c r="Q1176" s="330">
        <v>0</v>
      </c>
      <c r="R1176" s="330">
        <v>0</v>
      </c>
      <c r="S1176" s="330">
        <v>0</v>
      </c>
      <c r="T1176" s="330">
        <v>0</v>
      </c>
      <c r="U1176" s="331">
        <v>0</v>
      </c>
      <c r="V1176" s="332">
        <v>0</v>
      </c>
      <c r="W1176" s="333"/>
      <c r="X1176" s="334">
        <v>0</v>
      </c>
      <c r="Y1176" s="335">
        <v>0</v>
      </c>
    </row>
    <row r="1177" spans="1:25" s="326" customFormat="1" hidden="1" outlineLevel="2" x14ac:dyDescent="0.3">
      <c r="E1177" s="326" t="s">
        <v>2152</v>
      </c>
      <c r="F1177" s="336"/>
      <c r="G1177" s="327"/>
      <c r="H1177" s="328"/>
      <c r="I1177" s="329"/>
      <c r="J1177" s="338">
        <v>0</v>
      </c>
      <c r="K1177" s="330">
        <v>0</v>
      </c>
      <c r="L1177" s="330">
        <v>0</v>
      </c>
      <c r="M1177" s="330">
        <v>0</v>
      </c>
      <c r="N1177" s="330">
        <v>0</v>
      </c>
      <c r="O1177" s="330">
        <v>0</v>
      </c>
      <c r="P1177" s="330">
        <v>0</v>
      </c>
      <c r="Q1177" s="330">
        <v>0</v>
      </c>
      <c r="R1177" s="330">
        <v>0</v>
      </c>
      <c r="S1177" s="330">
        <v>0</v>
      </c>
      <c r="T1177" s="330">
        <v>0</v>
      </c>
      <c r="U1177" s="331">
        <v>0</v>
      </c>
      <c r="V1177" s="332">
        <v>0</v>
      </c>
      <c r="W1177" s="333"/>
      <c r="X1177" s="334">
        <v>0</v>
      </c>
      <c r="Y1177" s="335">
        <v>0</v>
      </c>
    </row>
    <row r="1178" spans="1:25" s="326" customFormat="1" hidden="1" outlineLevel="2" x14ac:dyDescent="0.3">
      <c r="E1178" s="326" t="s">
        <v>2153</v>
      </c>
      <c r="F1178" s="336"/>
      <c r="G1178" s="327"/>
      <c r="H1178" s="328"/>
      <c r="I1178" s="329"/>
      <c r="J1178" s="338">
        <v>0</v>
      </c>
      <c r="K1178" s="330">
        <v>0</v>
      </c>
      <c r="L1178" s="330">
        <v>0</v>
      </c>
      <c r="M1178" s="330">
        <v>0</v>
      </c>
      <c r="N1178" s="330">
        <v>0</v>
      </c>
      <c r="O1178" s="330">
        <v>0</v>
      </c>
      <c r="P1178" s="330">
        <v>0</v>
      </c>
      <c r="Q1178" s="330">
        <v>0</v>
      </c>
      <c r="R1178" s="330">
        <v>0</v>
      </c>
      <c r="S1178" s="330">
        <v>0</v>
      </c>
      <c r="T1178" s="330">
        <v>0</v>
      </c>
      <c r="U1178" s="331">
        <v>0</v>
      </c>
      <c r="V1178" s="332">
        <v>0</v>
      </c>
      <c r="W1178" s="333"/>
      <c r="X1178" s="334">
        <v>0</v>
      </c>
      <c r="Y1178" s="335">
        <v>0</v>
      </c>
    </row>
    <row r="1179" spans="1:25" collapsed="1" x14ac:dyDescent="0.3">
      <c r="A1179" s="233"/>
      <c r="B1179" s="234" t="s">
        <v>81</v>
      </c>
      <c r="D1179" s="293" t="s">
        <v>2154</v>
      </c>
      <c r="E1179" s="294"/>
      <c r="F1179" s="295" t="s">
        <v>2149</v>
      </c>
      <c r="G1179" s="296"/>
      <c r="H1179" s="297"/>
      <c r="I1179" s="298"/>
      <c r="J1179" s="299">
        <v>0</v>
      </c>
      <c r="K1179" s="300">
        <v>0</v>
      </c>
      <c r="L1179" s="300">
        <v>0</v>
      </c>
      <c r="M1179" s="300">
        <v>0</v>
      </c>
      <c r="N1179" s="300">
        <v>0</v>
      </c>
      <c r="O1179" s="300">
        <v>11010.111000000001</v>
      </c>
      <c r="P1179" s="300">
        <v>0</v>
      </c>
      <c r="Q1179" s="300">
        <v>3454.663</v>
      </c>
      <c r="R1179" s="300">
        <v>0</v>
      </c>
      <c r="S1179" s="300">
        <v>0</v>
      </c>
      <c r="T1179" s="300">
        <v>0</v>
      </c>
      <c r="U1179" s="301">
        <v>0</v>
      </c>
      <c r="V1179" s="302">
        <v>14464.774000000001</v>
      </c>
      <c r="W1179" s="303"/>
      <c r="X1179" s="304">
        <v>0</v>
      </c>
      <c r="Y1179" s="305">
        <v>14464.774000000001</v>
      </c>
    </row>
    <row r="1180" spans="1:25" hidden="1" outlineLevel="1" x14ac:dyDescent="0.3">
      <c r="E1180" t="s">
        <v>2155</v>
      </c>
      <c r="F1180" s="317">
        <v>4506300</v>
      </c>
      <c r="G1180" s="318"/>
      <c r="H1180" s="319">
        <v>7701230101</v>
      </c>
      <c r="I1180" s="320"/>
      <c r="J1180" s="337">
        <v>0</v>
      </c>
      <c r="K1180" s="321">
        <v>0</v>
      </c>
      <c r="L1180" s="321">
        <v>0</v>
      </c>
      <c r="M1180" s="321">
        <v>0</v>
      </c>
      <c r="N1180" s="321">
        <v>0</v>
      </c>
      <c r="O1180" s="321">
        <v>11010.111000000001</v>
      </c>
      <c r="P1180" s="321">
        <v>0</v>
      </c>
      <c r="Q1180" s="321">
        <v>3454.663</v>
      </c>
      <c r="R1180" s="321">
        <v>0</v>
      </c>
      <c r="S1180" s="321">
        <v>0</v>
      </c>
      <c r="T1180" s="321">
        <v>0</v>
      </c>
      <c r="U1180" s="322">
        <v>0</v>
      </c>
      <c r="V1180" s="323">
        <v>14464.774000000001</v>
      </c>
      <c r="W1180" s="303"/>
      <c r="X1180" s="324">
        <v>0</v>
      </c>
      <c r="Y1180" s="325">
        <v>14464.774000000001</v>
      </c>
    </row>
    <row r="1181" spans="1:25" s="326" customFormat="1" hidden="1" outlineLevel="2" x14ac:dyDescent="0.3">
      <c r="E1181" s="326" t="s">
        <v>2151</v>
      </c>
      <c r="F1181" s="336"/>
      <c r="G1181" s="327"/>
      <c r="H1181" s="328"/>
      <c r="I1181" s="329"/>
      <c r="J1181" s="338">
        <v>0</v>
      </c>
      <c r="K1181" s="330">
        <v>0</v>
      </c>
      <c r="L1181" s="330">
        <v>0</v>
      </c>
      <c r="M1181" s="330">
        <v>0</v>
      </c>
      <c r="N1181" s="330">
        <v>0</v>
      </c>
      <c r="O1181" s="330">
        <v>0</v>
      </c>
      <c r="P1181" s="330">
        <v>0</v>
      </c>
      <c r="Q1181" s="330">
        <v>0</v>
      </c>
      <c r="R1181" s="330">
        <v>0</v>
      </c>
      <c r="S1181" s="330">
        <v>0</v>
      </c>
      <c r="T1181" s="330">
        <v>0</v>
      </c>
      <c r="U1181" s="331">
        <v>0</v>
      </c>
      <c r="V1181" s="332">
        <v>0</v>
      </c>
      <c r="W1181" s="333"/>
      <c r="X1181" s="334">
        <v>0</v>
      </c>
      <c r="Y1181" s="335">
        <v>0</v>
      </c>
    </row>
    <row r="1182" spans="1:25" s="326" customFormat="1" hidden="1" outlineLevel="2" x14ac:dyDescent="0.3">
      <c r="E1182" s="326" t="s">
        <v>2152</v>
      </c>
      <c r="F1182" s="336"/>
      <c r="G1182" s="327"/>
      <c r="H1182" s="328"/>
      <c r="I1182" s="329"/>
      <c r="J1182" s="338">
        <v>0</v>
      </c>
      <c r="K1182" s="330">
        <v>0</v>
      </c>
      <c r="L1182" s="330">
        <v>0</v>
      </c>
      <c r="M1182" s="330">
        <v>0</v>
      </c>
      <c r="N1182" s="330">
        <v>0</v>
      </c>
      <c r="O1182" s="330">
        <v>0</v>
      </c>
      <c r="P1182" s="330">
        <v>0</v>
      </c>
      <c r="Q1182" s="330">
        <v>0</v>
      </c>
      <c r="R1182" s="330">
        <v>0</v>
      </c>
      <c r="S1182" s="330">
        <v>0</v>
      </c>
      <c r="T1182" s="330">
        <v>0</v>
      </c>
      <c r="U1182" s="331">
        <v>0</v>
      </c>
      <c r="V1182" s="332">
        <v>0</v>
      </c>
      <c r="W1182" s="333"/>
      <c r="X1182" s="334">
        <v>0</v>
      </c>
      <c r="Y1182" s="335">
        <v>0</v>
      </c>
    </row>
    <row r="1183" spans="1:25" s="326" customFormat="1" hidden="1" outlineLevel="2" x14ac:dyDescent="0.3">
      <c r="E1183" s="326" t="s">
        <v>2153</v>
      </c>
      <c r="F1183" s="336"/>
      <c r="G1183" s="327"/>
      <c r="H1183" s="328"/>
      <c r="I1183" s="329"/>
      <c r="J1183" s="338">
        <v>0</v>
      </c>
      <c r="K1183" s="330">
        <v>0</v>
      </c>
      <c r="L1183" s="330">
        <v>0</v>
      </c>
      <c r="M1183" s="330">
        <v>0</v>
      </c>
      <c r="N1183" s="330">
        <v>0</v>
      </c>
      <c r="O1183" s="330">
        <v>0</v>
      </c>
      <c r="P1183" s="330">
        <v>0</v>
      </c>
      <c r="Q1183" s="330">
        <v>0</v>
      </c>
      <c r="R1183" s="330">
        <v>0</v>
      </c>
      <c r="S1183" s="330">
        <v>0</v>
      </c>
      <c r="T1183" s="330">
        <v>0</v>
      </c>
      <c r="U1183" s="331">
        <v>0</v>
      </c>
      <c r="V1183" s="332">
        <v>0</v>
      </c>
      <c r="W1183" s="333"/>
      <c r="X1183" s="334">
        <v>0</v>
      </c>
      <c r="Y1183" s="335">
        <v>0</v>
      </c>
    </row>
    <row r="1184" spans="1:25" collapsed="1" x14ac:dyDescent="0.3">
      <c r="A1184" s="233"/>
      <c r="B1184" s="234" t="s">
        <v>81</v>
      </c>
      <c r="D1184" s="293" t="s">
        <v>2156</v>
      </c>
      <c r="E1184" s="294"/>
      <c r="F1184" s="295" t="s">
        <v>2157</v>
      </c>
      <c r="G1184" s="296"/>
      <c r="H1184" s="297"/>
      <c r="I1184" s="298"/>
      <c r="J1184" s="299">
        <v>347.66800000000001</v>
      </c>
      <c r="K1184" s="300">
        <v>15.048999999999999</v>
      </c>
      <c r="L1184" s="300">
        <v>616.60799999999995</v>
      </c>
      <c r="M1184" s="300">
        <v>779.77300000000002</v>
      </c>
      <c r="N1184" s="300">
        <v>1054.232</v>
      </c>
      <c r="O1184" s="300">
        <v>1741.845</v>
      </c>
      <c r="P1184" s="300">
        <v>1485.961</v>
      </c>
      <c r="Q1184" s="300">
        <v>488.803</v>
      </c>
      <c r="R1184" s="300">
        <v>343.27300000000002</v>
      </c>
      <c r="S1184" s="300">
        <v>1234.3320000000001</v>
      </c>
      <c r="T1184" s="300">
        <v>630.13</v>
      </c>
      <c r="U1184" s="301">
        <v>419.24200000000002</v>
      </c>
      <c r="V1184" s="302">
        <v>9156.9160000000011</v>
      </c>
      <c r="W1184" s="303"/>
      <c r="X1184" s="304">
        <v>419.24200000000002</v>
      </c>
      <c r="Y1184" s="305">
        <v>9156.9160000000011</v>
      </c>
    </row>
    <row r="1185" spans="1:25" hidden="1" outlineLevel="1" x14ac:dyDescent="0.3">
      <c r="E1185" t="s">
        <v>2158</v>
      </c>
      <c r="F1185" s="317">
        <v>4506301</v>
      </c>
      <c r="G1185" s="318"/>
      <c r="H1185" s="319">
        <v>7701250101</v>
      </c>
      <c r="I1185" s="320"/>
      <c r="J1185" s="337">
        <v>347.66800000000001</v>
      </c>
      <c r="K1185" s="321">
        <v>15.048999999999999</v>
      </c>
      <c r="L1185" s="321">
        <v>616.60799999999995</v>
      </c>
      <c r="M1185" s="321">
        <v>779.77300000000002</v>
      </c>
      <c r="N1185" s="321">
        <v>1054.232</v>
      </c>
      <c r="O1185" s="321">
        <v>1741.845</v>
      </c>
      <c r="P1185" s="321">
        <v>1485.961</v>
      </c>
      <c r="Q1185" s="321">
        <v>488.803</v>
      </c>
      <c r="R1185" s="321">
        <v>343.27300000000002</v>
      </c>
      <c r="S1185" s="321">
        <v>1234.3320000000001</v>
      </c>
      <c r="T1185" s="321">
        <v>630.13</v>
      </c>
      <c r="U1185" s="322">
        <v>419.24200000000002</v>
      </c>
      <c r="V1185" s="323">
        <v>9156.9160000000011</v>
      </c>
      <c r="W1185" s="303"/>
      <c r="X1185" s="324">
        <v>419.24200000000002</v>
      </c>
      <c r="Y1185" s="325">
        <v>9156.9160000000011</v>
      </c>
    </row>
    <row r="1186" spans="1:25" s="326" customFormat="1" hidden="1" outlineLevel="2" x14ac:dyDescent="0.3">
      <c r="E1186" s="326" t="s">
        <v>2159</v>
      </c>
      <c r="F1186" s="336"/>
      <c r="G1186" s="327"/>
      <c r="H1186" s="328"/>
      <c r="I1186" s="329"/>
      <c r="J1186" s="338">
        <v>0</v>
      </c>
      <c r="K1186" s="330">
        <v>0</v>
      </c>
      <c r="L1186" s="330">
        <v>0</v>
      </c>
      <c r="M1186" s="330">
        <v>0</v>
      </c>
      <c r="N1186" s="330">
        <v>0</v>
      </c>
      <c r="O1186" s="330">
        <v>0</v>
      </c>
      <c r="P1186" s="330">
        <v>0</v>
      </c>
      <c r="Q1186" s="330">
        <v>0</v>
      </c>
      <c r="R1186" s="330">
        <v>0</v>
      </c>
      <c r="S1186" s="330">
        <v>0</v>
      </c>
      <c r="T1186" s="330">
        <v>0</v>
      </c>
      <c r="U1186" s="331">
        <v>0</v>
      </c>
      <c r="V1186" s="332">
        <v>0</v>
      </c>
      <c r="W1186" s="333"/>
      <c r="X1186" s="334">
        <v>0</v>
      </c>
      <c r="Y1186" s="335">
        <v>0</v>
      </c>
    </row>
    <row r="1187" spans="1:25" s="326" customFormat="1" hidden="1" outlineLevel="2" x14ac:dyDescent="0.3">
      <c r="E1187" s="326" t="s">
        <v>2160</v>
      </c>
      <c r="F1187" s="336"/>
      <c r="G1187" s="327"/>
      <c r="H1187" s="328"/>
      <c r="I1187" s="329"/>
      <c r="J1187" s="338">
        <v>0</v>
      </c>
      <c r="K1187" s="330">
        <v>0</v>
      </c>
      <c r="L1187" s="330">
        <v>0</v>
      </c>
      <c r="M1187" s="330">
        <v>0</v>
      </c>
      <c r="N1187" s="330">
        <v>0</v>
      </c>
      <c r="O1187" s="330">
        <v>0</v>
      </c>
      <c r="P1187" s="330">
        <v>0</v>
      </c>
      <c r="Q1187" s="330">
        <v>0</v>
      </c>
      <c r="R1187" s="330">
        <v>0</v>
      </c>
      <c r="S1187" s="330">
        <v>0</v>
      </c>
      <c r="T1187" s="330">
        <v>0</v>
      </c>
      <c r="U1187" s="331">
        <v>0</v>
      </c>
      <c r="V1187" s="332">
        <v>0</v>
      </c>
      <c r="W1187" s="333"/>
      <c r="X1187" s="334">
        <v>0</v>
      </c>
      <c r="Y1187" s="335">
        <v>0</v>
      </c>
    </row>
    <row r="1188" spans="1:25" s="326" customFormat="1" hidden="1" outlineLevel="2" x14ac:dyDescent="0.3">
      <c r="E1188" s="326" t="s">
        <v>2161</v>
      </c>
      <c r="F1188" s="336"/>
      <c r="G1188" s="327"/>
      <c r="H1188" s="328"/>
      <c r="I1188" s="329"/>
      <c r="J1188" s="338">
        <v>0</v>
      </c>
      <c r="K1188" s="330">
        <v>0</v>
      </c>
      <c r="L1188" s="330">
        <v>0</v>
      </c>
      <c r="M1188" s="330">
        <v>0</v>
      </c>
      <c r="N1188" s="330">
        <v>0</v>
      </c>
      <c r="O1188" s="330">
        <v>0</v>
      </c>
      <c r="P1188" s="330">
        <v>0</v>
      </c>
      <c r="Q1188" s="330">
        <v>0</v>
      </c>
      <c r="R1188" s="330">
        <v>0</v>
      </c>
      <c r="S1188" s="330">
        <v>0</v>
      </c>
      <c r="T1188" s="330">
        <v>0</v>
      </c>
      <c r="U1188" s="331">
        <v>0</v>
      </c>
      <c r="V1188" s="332">
        <v>0</v>
      </c>
      <c r="W1188" s="333"/>
      <c r="X1188" s="334">
        <v>0</v>
      </c>
      <c r="Y1188" s="335">
        <v>0</v>
      </c>
    </row>
    <row r="1189" spans="1:25" collapsed="1" x14ac:dyDescent="0.3">
      <c r="A1189" s="233"/>
      <c r="B1189" s="234" t="s">
        <v>81</v>
      </c>
      <c r="D1189" s="293" t="s">
        <v>2162</v>
      </c>
      <c r="E1189" s="294"/>
      <c r="F1189" s="295" t="s">
        <v>2163</v>
      </c>
      <c r="G1189" s="296"/>
      <c r="H1189" s="297"/>
      <c r="I1189" s="298"/>
      <c r="J1189" s="299">
        <v>0</v>
      </c>
      <c r="K1189" s="300">
        <v>0</v>
      </c>
      <c r="L1189" s="300">
        <v>0</v>
      </c>
      <c r="M1189" s="300">
        <v>0</v>
      </c>
      <c r="N1189" s="300">
        <v>0</v>
      </c>
      <c r="O1189" s="300">
        <v>0</v>
      </c>
      <c r="P1189" s="300">
        <v>0</v>
      </c>
      <c r="Q1189" s="300">
        <v>0</v>
      </c>
      <c r="R1189" s="300">
        <v>0</v>
      </c>
      <c r="S1189" s="300">
        <v>0</v>
      </c>
      <c r="T1189" s="300">
        <v>0</v>
      </c>
      <c r="U1189" s="301">
        <v>0</v>
      </c>
      <c r="V1189" s="302">
        <v>0</v>
      </c>
      <c r="W1189" s="303"/>
      <c r="X1189" s="304">
        <v>0</v>
      </c>
      <c r="Y1189" s="305">
        <v>0</v>
      </c>
    </row>
    <row r="1190" spans="1:25" hidden="1" outlineLevel="1" x14ac:dyDescent="0.3">
      <c r="E1190" t="s">
        <v>2164</v>
      </c>
      <c r="F1190" s="317">
        <v>4508500</v>
      </c>
      <c r="G1190" s="318"/>
      <c r="H1190" s="319">
        <v>7701270101</v>
      </c>
      <c r="I1190" s="320"/>
      <c r="J1190" s="337">
        <v>0</v>
      </c>
      <c r="K1190" s="321">
        <v>0</v>
      </c>
      <c r="L1190" s="321">
        <v>0</v>
      </c>
      <c r="M1190" s="321">
        <v>0</v>
      </c>
      <c r="N1190" s="321">
        <v>0</v>
      </c>
      <c r="O1190" s="321">
        <v>0</v>
      </c>
      <c r="P1190" s="321">
        <v>0</v>
      </c>
      <c r="Q1190" s="321">
        <v>0</v>
      </c>
      <c r="R1190" s="321">
        <v>0</v>
      </c>
      <c r="S1190" s="321">
        <v>0</v>
      </c>
      <c r="T1190" s="321">
        <v>0</v>
      </c>
      <c r="U1190" s="322">
        <v>0</v>
      </c>
      <c r="V1190" s="323">
        <v>0</v>
      </c>
      <c r="W1190" s="303"/>
      <c r="X1190" s="324">
        <v>0</v>
      </c>
      <c r="Y1190" s="325">
        <v>0</v>
      </c>
    </row>
    <row r="1191" spans="1:25" s="326" customFormat="1" hidden="1" outlineLevel="2" x14ac:dyDescent="0.3">
      <c r="E1191" s="326" t="s">
        <v>2165</v>
      </c>
      <c r="F1191" s="336"/>
      <c r="G1191" s="327"/>
      <c r="H1191" s="328"/>
      <c r="I1191" s="329"/>
      <c r="J1191" s="338">
        <v>0</v>
      </c>
      <c r="K1191" s="330">
        <v>0</v>
      </c>
      <c r="L1191" s="330">
        <v>0</v>
      </c>
      <c r="M1191" s="330">
        <v>0</v>
      </c>
      <c r="N1191" s="330">
        <v>0</v>
      </c>
      <c r="O1191" s="330">
        <v>0</v>
      </c>
      <c r="P1191" s="330">
        <v>0</v>
      </c>
      <c r="Q1191" s="330">
        <v>0</v>
      </c>
      <c r="R1191" s="330">
        <v>0</v>
      </c>
      <c r="S1191" s="330">
        <v>0</v>
      </c>
      <c r="T1191" s="330">
        <v>0</v>
      </c>
      <c r="U1191" s="331">
        <v>0</v>
      </c>
      <c r="V1191" s="332">
        <v>0</v>
      </c>
      <c r="W1191" s="333"/>
      <c r="X1191" s="334">
        <v>0</v>
      </c>
      <c r="Y1191" s="335">
        <v>0</v>
      </c>
    </row>
    <row r="1192" spans="1:25" s="326" customFormat="1" hidden="1" outlineLevel="2" x14ac:dyDescent="0.3">
      <c r="E1192" s="326" t="s">
        <v>2166</v>
      </c>
      <c r="F1192" s="336"/>
      <c r="G1192" s="327"/>
      <c r="H1192" s="328"/>
      <c r="I1192" s="329"/>
      <c r="J1192" s="338">
        <v>0</v>
      </c>
      <c r="K1192" s="330">
        <v>0</v>
      </c>
      <c r="L1192" s="330">
        <v>0</v>
      </c>
      <c r="M1192" s="330">
        <v>0</v>
      </c>
      <c r="N1192" s="330">
        <v>0</v>
      </c>
      <c r="O1192" s="330">
        <v>0</v>
      </c>
      <c r="P1192" s="330">
        <v>0</v>
      </c>
      <c r="Q1192" s="330">
        <v>0</v>
      </c>
      <c r="R1192" s="330">
        <v>0</v>
      </c>
      <c r="S1192" s="330">
        <v>0</v>
      </c>
      <c r="T1192" s="330">
        <v>0</v>
      </c>
      <c r="U1192" s="331">
        <v>0</v>
      </c>
      <c r="V1192" s="332">
        <v>0</v>
      </c>
      <c r="W1192" s="333"/>
      <c r="X1192" s="334">
        <v>0</v>
      </c>
      <c r="Y1192" s="335">
        <v>0</v>
      </c>
    </row>
    <row r="1193" spans="1:25" s="326" customFormat="1" hidden="1" outlineLevel="2" x14ac:dyDescent="0.3">
      <c r="E1193" s="326" t="s">
        <v>2167</v>
      </c>
      <c r="F1193" s="336"/>
      <c r="G1193" s="327"/>
      <c r="H1193" s="328"/>
      <c r="I1193" s="329"/>
      <c r="J1193" s="338">
        <v>0</v>
      </c>
      <c r="K1193" s="330">
        <v>0</v>
      </c>
      <c r="L1193" s="330">
        <v>0</v>
      </c>
      <c r="M1193" s="330">
        <v>0</v>
      </c>
      <c r="N1193" s="330">
        <v>0</v>
      </c>
      <c r="O1193" s="330">
        <v>0</v>
      </c>
      <c r="P1193" s="330">
        <v>0</v>
      </c>
      <c r="Q1193" s="330">
        <v>0</v>
      </c>
      <c r="R1193" s="330">
        <v>0</v>
      </c>
      <c r="S1193" s="330">
        <v>0</v>
      </c>
      <c r="T1193" s="330">
        <v>0</v>
      </c>
      <c r="U1193" s="331">
        <v>0</v>
      </c>
      <c r="V1193" s="332">
        <v>0</v>
      </c>
      <c r="W1193" s="333"/>
      <c r="X1193" s="334">
        <v>0</v>
      </c>
      <c r="Y1193" s="335">
        <v>0</v>
      </c>
    </row>
    <row r="1194" spans="1:25" collapsed="1" x14ac:dyDescent="0.3">
      <c r="A1194" s="233"/>
      <c r="B1194" s="234" t="s">
        <v>81</v>
      </c>
      <c r="D1194" s="293" t="s">
        <v>2168</v>
      </c>
      <c r="E1194" s="294"/>
      <c r="F1194" s="295" t="s">
        <v>2169</v>
      </c>
      <c r="G1194" s="296"/>
      <c r="H1194" s="297"/>
      <c r="I1194" s="298"/>
      <c r="J1194" s="299">
        <v>0</v>
      </c>
      <c r="K1194" s="300">
        <v>0</v>
      </c>
      <c r="L1194" s="300">
        <v>0</v>
      </c>
      <c r="M1194" s="300">
        <v>0</v>
      </c>
      <c r="N1194" s="300">
        <v>0</v>
      </c>
      <c r="O1194" s="300">
        <v>0</v>
      </c>
      <c r="P1194" s="300">
        <v>0</v>
      </c>
      <c r="Q1194" s="300">
        <v>0</v>
      </c>
      <c r="R1194" s="300">
        <v>0</v>
      </c>
      <c r="S1194" s="300">
        <v>0</v>
      </c>
      <c r="T1194" s="300">
        <v>0</v>
      </c>
      <c r="U1194" s="301">
        <v>0</v>
      </c>
      <c r="V1194" s="302">
        <v>0</v>
      </c>
      <c r="W1194" s="303"/>
      <c r="X1194" s="304">
        <v>0</v>
      </c>
      <c r="Y1194" s="305">
        <v>0</v>
      </c>
    </row>
    <row r="1195" spans="1:25" hidden="1" outlineLevel="1" x14ac:dyDescent="0.3">
      <c r="E1195" t="s">
        <v>2170</v>
      </c>
      <c r="F1195" s="317">
        <v>4508600</v>
      </c>
      <c r="G1195" s="318"/>
      <c r="H1195" s="319"/>
      <c r="I1195" s="320"/>
      <c r="J1195" s="337">
        <v>0</v>
      </c>
      <c r="K1195" s="321">
        <v>0</v>
      </c>
      <c r="L1195" s="321">
        <v>0</v>
      </c>
      <c r="M1195" s="321">
        <v>0</v>
      </c>
      <c r="N1195" s="321">
        <v>0</v>
      </c>
      <c r="O1195" s="321">
        <v>0</v>
      </c>
      <c r="P1195" s="321">
        <v>0</v>
      </c>
      <c r="Q1195" s="321">
        <v>0</v>
      </c>
      <c r="R1195" s="321">
        <v>0</v>
      </c>
      <c r="S1195" s="321">
        <v>0</v>
      </c>
      <c r="T1195" s="321">
        <v>0</v>
      </c>
      <c r="U1195" s="322">
        <v>0</v>
      </c>
      <c r="V1195" s="323">
        <v>0</v>
      </c>
      <c r="W1195" s="303"/>
      <c r="X1195" s="324">
        <v>0</v>
      </c>
      <c r="Y1195" s="325">
        <v>0</v>
      </c>
    </row>
    <row r="1196" spans="1:25" s="326" customFormat="1" hidden="1" outlineLevel="2" x14ac:dyDescent="0.3">
      <c r="E1196" s="326" t="s">
        <v>2171</v>
      </c>
      <c r="F1196" s="336"/>
      <c r="G1196" s="327"/>
      <c r="H1196" s="328"/>
      <c r="I1196" s="329"/>
      <c r="J1196" s="338">
        <v>0</v>
      </c>
      <c r="K1196" s="330">
        <v>0</v>
      </c>
      <c r="L1196" s="330">
        <v>0</v>
      </c>
      <c r="M1196" s="330">
        <v>0</v>
      </c>
      <c r="N1196" s="330">
        <v>0</v>
      </c>
      <c r="O1196" s="330">
        <v>0</v>
      </c>
      <c r="P1196" s="330">
        <v>0</v>
      </c>
      <c r="Q1196" s="330">
        <v>0</v>
      </c>
      <c r="R1196" s="330">
        <v>0</v>
      </c>
      <c r="S1196" s="330">
        <v>0</v>
      </c>
      <c r="T1196" s="330">
        <v>0</v>
      </c>
      <c r="U1196" s="331">
        <v>0</v>
      </c>
      <c r="V1196" s="332">
        <v>0</v>
      </c>
      <c r="W1196" s="333"/>
      <c r="X1196" s="334">
        <v>0</v>
      </c>
      <c r="Y1196" s="335">
        <v>0</v>
      </c>
    </row>
    <row r="1197" spans="1:25" s="326" customFormat="1" hidden="1" outlineLevel="2" x14ac:dyDescent="0.3">
      <c r="E1197" s="326" t="s">
        <v>2172</v>
      </c>
      <c r="F1197" s="336"/>
      <c r="G1197" s="327"/>
      <c r="H1197" s="328"/>
      <c r="I1197" s="329"/>
      <c r="J1197" s="338">
        <v>0</v>
      </c>
      <c r="K1197" s="330">
        <v>0</v>
      </c>
      <c r="L1197" s="330">
        <v>0</v>
      </c>
      <c r="M1197" s="330">
        <v>0</v>
      </c>
      <c r="N1197" s="330">
        <v>0</v>
      </c>
      <c r="O1197" s="330">
        <v>0</v>
      </c>
      <c r="P1197" s="330">
        <v>0</v>
      </c>
      <c r="Q1197" s="330">
        <v>0</v>
      </c>
      <c r="R1197" s="330">
        <v>0</v>
      </c>
      <c r="S1197" s="330">
        <v>0</v>
      </c>
      <c r="T1197" s="330">
        <v>0</v>
      </c>
      <c r="U1197" s="331">
        <v>0</v>
      </c>
      <c r="V1197" s="332">
        <v>0</v>
      </c>
      <c r="W1197" s="333"/>
      <c r="X1197" s="334">
        <v>0</v>
      </c>
      <c r="Y1197" s="335">
        <v>0</v>
      </c>
    </row>
    <row r="1198" spans="1:25" s="326" customFormat="1" hidden="1" outlineLevel="2" x14ac:dyDescent="0.3">
      <c r="E1198" s="326" t="s">
        <v>2173</v>
      </c>
      <c r="F1198" s="336"/>
      <c r="G1198" s="327"/>
      <c r="H1198" s="328"/>
      <c r="I1198" s="329"/>
      <c r="J1198" s="338">
        <v>0</v>
      </c>
      <c r="K1198" s="330">
        <v>0</v>
      </c>
      <c r="L1198" s="330">
        <v>0</v>
      </c>
      <c r="M1198" s="330">
        <v>0</v>
      </c>
      <c r="N1198" s="330">
        <v>0</v>
      </c>
      <c r="O1198" s="330">
        <v>0</v>
      </c>
      <c r="P1198" s="330">
        <v>0</v>
      </c>
      <c r="Q1198" s="330">
        <v>0</v>
      </c>
      <c r="R1198" s="330">
        <v>0</v>
      </c>
      <c r="S1198" s="330">
        <v>0</v>
      </c>
      <c r="T1198" s="330">
        <v>0</v>
      </c>
      <c r="U1198" s="331">
        <v>0</v>
      </c>
      <c r="V1198" s="332">
        <v>0</v>
      </c>
      <c r="W1198" s="333"/>
      <c r="X1198" s="334">
        <v>0</v>
      </c>
      <c r="Y1198" s="335">
        <v>0</v>
      </c>
    </row>
    <row r="1199" spans="1:25" collapsed="1" x14ac:dyDescent="0.3">
      <c r="A1199" s="233"/>
      <c r="B1199" s="234" t="s">
        <v>80</v>
      </c>
      <c r="D1199" s="293" t="s">
        <v>2174</v>
      </c>
      <c r="E1199" s="294"/>
      <c r="F1199" s="295" t="s">
        <v>2175</v>
      </c>
      <c r="G1199" s="296"/>
      <c r="H1199" s="297"/>
      <c r="I1199" s="298"/>
      <c r="J1199" s="299">
        <v>-1241157.362</v>
      </c>
      <c r="K1199" s="300">
        <v>-1129431.095</v>
      </c>
      <c r="L1199" s="300">
        <v>-1246981.925</v>
      </c>
      <c r="M1199" s="300">
        <v>-1203640.2949999999</v>
      </c>
      <c r="N1199" s="300">
        <v>-1258243.7590000001</v>
      </c>
      <c r="O1199" s="300">
        <v>-1236270.99</v>
      </c>
      <c r="P1199" s="300">
        <v>-1280204.0619999999</v>
      </c>
      <c r="Q1199" s="300">
        <v>-1285553.3049999999</v>
      </c>
      <c r="R1199" s="300">
        <v>-1264897.1329999999</v>
      </c>
      <c r="S1199" s="300">
        <v>-1309221.503</v>
      </c>
      <c r="T1199" s="300">
        <v>-1276774.9779999999</v>
      </c>
      <c r="U1199" s="301">
        <v>-1331828.8659999999</v>
      </c>
      <c r="V1199" s="302">
        <v>-15064205.273000002</v>
      </c>
      <c r="W1199" s="303"/>
      <c r="X1199" s="304">
        <v>-1331828.8659999999</v>
      </c>
      <c r="Y1199" s="305">
        <v>-15064205.273000002</v>
      </c>
    </row>
    <row r="1200" spans="1:25" hidden="1" outlineLevel="1" x14ac:dyDescent="0.3">
      <c r="E1200" t="s">
        <v>2176</v>
      </c>
      <c r="F1200" s="317">
        <v>9800030</v>
      </c>
      <c r="G1200" s="318"/>
      <c r="H1200" s="319"/>
      <c r="I1200" s="320"/>
      <c r="J1200" s="337">
        <v>-1241157.362</v>
      </c>
      <c r="K1200" s="321">
        <v>-1129431.095</v>
      </c>
      <c r="L1200" s="321">
        <v>-1246981.925</v>
      </c>
      <c r="M1200" s="321">
        <v>-1203640.2949999999</v>
      </c>
      <c r="N1200" s="321">
        <v>-1258243.7590000001</v>
      </c>
      <c r="O1200" s="321">
        <v>-1236270.99</v>
      </c>
      <c r="P1200" s="321">
        <v>-1280204.0619999999</v>
      </c>
      <c r="Q1200" s="321">
        <v>-1285553.3049999999</v>
      </c>
      <c r="R1200" s="321">
        <v>-1264897.1329999999</v>
      </c>
      <c r="S1200" s="321">
        <v>-1309221.503</v>
      </c>
      <c r="T1200" s="321">
        <v>-1276774.9779999999</v>
      </c>
      <c r="U1200" s="322">
        <v>-1331828.8659999999</v>
      </c>
      <c r="V1200" s="323">
        <v>-15064205.273000002</v>
      </c>
      <c r="W1200" s="303"/>
      <c r="X1200" s="324">
        <v>-1331828.8659999999</v>
      </c>
      <c r="Y1200" s="325">
        <v>-15064205.273000002</v>
      </c>
    </row>
    <row r="1201" spans="1:25" hidden="1" outlineLevel="1" x14ac:dyDescent="0.3">
      <c r="E1201" t="s">
        <v>2177</v>
      </c>
      <c r="F1201" s="317">
        <v>8990000</v>
      </c>
      <c r="G1201" s="318"/>
      <c r="H1201" s="319"/>
      <c r="I1201" s="320"/>
      <c r="J1201" s="337">
        <v>0</v>
      </c>
      <c r="K1201" s="321">
        <v>0</v>
      </c>
      <c r="L1201" s="321">
        <v>0</v>
      </c>
      <c r="M1201" s="321">
        <v>0</v>
      </c>
      <c r="N1201" s="321">
        <v>0</v>
      </c>
      <c r="O1201" s="321">
        <v>0</v>
      </c>
      <c r="P1201" s="321">
        <v>0</v>
      </c>
      <c r="Q1201" s="321">
        <v>0</v>
      </c>
      <c r="R1201" s="321">
        <v>0</v>
      </c>
      <c r="S1201" s="321">
        <v>0</v>
      </c>
      <c r="T1201" s="321">
        <v>0</v>
      </c>
      <c r="U1201" s="322">
        <v>0</v>
      </c>
      <c r="V1201" s="323">
        <v>0</v>
      </c>
      <c r="W1201" s="303"/>
      <c r="X1201" s="324">
        <v>0</v>
      </c>
      <c r="Y1201" s="325">
        <v>0</v>
      </c>
    </row>
    <row r="1202" spans="1:25" collapsed="1" x14ac:dyDescent="0.3">
      <c r="D1202" s="293" t="s">
        <v>2178</v>
      </c>
      <c r="E1202" s="294"/>
      <c r="F1202" s="295"/>
      <c r="G1202" s="296"/>
      <c r="H1202" s="297"/>
      <c r="I1202" s="298"/>
      <c r="J1202" s="299">
        <v>0</v>
      </c>
      <c r="K1202" s="300">
        <v>0</v>
      </c>
      <c r="L1202" s="300">
        <v>0</v>
      </c>
      <c r="M1202" s="300">
        <v>0</v>
      </c>
      <c r="N1202" s="300">
        <v>0</v>
      </c>
      <c r="O1202" s="300">
        <v>0</v>
      </c>
      <c r="P1202" s="300">
        <v>0</v>
      </c>
      <c r="Q1202" s="300">
        <v>0</v>
      </c>
      <c r="R1202" s="300">
        <v>0</v>
      </c>
      <c r="S1202" s="300">
        <v>0</v>
      </c>
      <c r="T1202" s="300">
        <v>0</v>
      </c>
      <c r="U1202" s="301">
        <v>0</v>
      </c>
      <c r="V1202" s="302">
        <v>0</v>
      </c>
      <c r="W1202" s="303"/>
      <c r="X1202" s="304">
        <v>0</v>
      </c>
      <c r="Y1202" s="305">
        <v>0</v>
      </c>
    </row>
    <row r="1203" spans="1:25" s="326" customFormat="1" hidden="1" outlineLevel="2" x14ac:dyDescent="0.3">
      <c r="E1203" s="326" t="s">
        <v>2179</v>
      </c>
      <c r="F1203" s="336"/>
      <c r="G1203" s="327"/>
      <c r="H1203" s="328"/>
      <c r="I1203" s="329"/>
      <c r="J1203" s="338">
        <v>0</v>
      </c>
      <c r="K1203" s="330">
        <v>0</v>
      </c>
      <c r="L1203" s="330">
        <v>0</v>
      </c>
      <c r="M1203" s="330">
        <v>0</v>
      </c>
      <c r="N1203" s="330">
        <v>0</v>
      </c>
      <c r="O1203" s="330">
        <v>0</v>
      </c>
      <c r="P1203" s="330">
        <v>0</v>
      </c>
      <c r="Q1203" s="330">
        <v>0</v>
      </c>
      <c r="R1203" s="330">
        <v>0</v>
      </c>
      <c r="S1203" s="330">
        <v>0</v>
      </c>
      <c r="T1203" s="330">
        <v>0</v>
      </c>
      <c r="U1203" s="331">
        <v>0</v>
      </c>
      <c r="V1203" s="332">
        <v>0</v>
      </c>
      <c r="W1203" s="333"/>
      <c r="X1203" s="334">
        <v>0</v>
      </c>
      <c r="Y1203" s="335">
        <v>0</v>
      </c>
    </row>
    <row r="1204" spans="1:25" s="326" customFormat="1" hidden="1" outlineLevel="2" x14ac:dyDescent="0.3">
      <c r="E1204" s="326" t="s">
        <v>2180</v>
      </c>
      <c r="F1204" s="336"/>
      <c r="G1204" s="327"/>
      <c r="H1204" s="328"/>
      <c r="I1204" s="329"/>
      <c r="J1204" s="338">
        <v>0</v>
      </c>
      <c r="K1204" s="330">
        <v>0</v>
      </c>
      <c r="L1204" s="330">
        <v>0</v>
      </c>
      <c r="M1204" s="330">
        <v>0</v>
      </c>
      <c r="N1204" s="330">
        <v>0</v>
      </c>
      <c r="O1204" s="330">
        <v>0</v>
      </c>
      <c r="P1204" s="330">
        <v>0</v>
      </c>
      <c r="Q1204" s="330">
        <v>0</v>
      </c>
      <c r="R1204" s="330">
        <v>0</v>
      </c>
      <c r="S1204" s="330">
        <v>0</v>
      </c>
      <c r="T1204" s="330">
        <v>0</v>
      </c>
      <c r="U1204" s="331">
        <v>0</v>
      </c>
      <c r="V1204" s="332">
        <v>0</v>
      </c>
      <c r="W1204" s="333"/>
      <c r="X1204" s="334">
        <v>0</v>
      </c>
      <c r="Y1204" s="335">
        <v>0</v>
      </c>
    </row>
    <row r="1205" spans="1:25" s="326" customFormat="1" hidden="1" outlineLevel="2" x14ac:dyDescent="0.3">
      <c r="E1205" s="326" t="s">
        <v>2181</v>
      </c>
      <c r="F1205" s="336"/>
      <c r="G1205" s="327"/>
      <c r="H1205" s="328"/>
      <c r="I1205" s="329"/>
      <c r="J1205" s="338">
        <v>0</v>
      </c>
      <c r="K1205" s="330">
        <v>0</v>
      </c>
      <c r="L1205" s="330">
        <v>0</v>
      </c>
      <c r="M1205" s="330">
        <v>0</v>
      </c>
      <c r="N1205" s="330">
        <v>0</v>
      </c>
      <c r="O1205" s="330">
        <v>0</v>
      </c>
      <c r="P1205" s="330">
        <v>0</v>
      </c>
      <c r="Q1205" s="330">
        <v>0</v>
      </c>
      <c r="R1205" s="330">
        <v>0</v>
      </c>
      <c r="S1205" s="330">
        <v>0</v>
      </c>
      <c r="T1205" s="330">
        <v>0</v>
      </c>
      <c r="U1205" s="331">
        <v>0</v>
      </c>
      <c r="V1205" s="332">
        <v>0</v>
      </c>
      <c r="W1205" s="333"/>
      <c r="X1205" s="334">
        <v>0</v>
      </c>
      <c r="Y1205" s="335">
        <v>0</v>
      </c>
    </row>
    <row r="1206" spans="1:25" collapsed="1" x14ac:dyDescent="0.3">
      <c r="D1206" s="293" t="s">
        <v>2182</v>
      </c>
      <c r="E1206" s="294"/>
      <c r="F1206" s="295"/>
      <c r="G1206" s="296"/>
      <c r="H1206" s="297"/>
      <c r="I1206" s="298"/>
      <c r="J1206" s="299">
        <v>0</v>
      </c>
      <c r="K1206" s="300">
        <v>0</v>
      </c>
      <c r="L1206" s="300">
        <v>0</v>
      </c>
      <c r="M1206" s="300">
        <v>0</v>
      </c>
      <c r="N1206" s="300">
        <v>0</v>
      </c>
      <c r="O1206" s="300">
        <v>0</v>
      </c>
      <c r="P1206" s="300">
        <v>0</v>
      </c>
      <c r="Q1206" s="300">
        <v>0</v>
      </c>
      <c r="R1206" s="300">
        <v>0</v>
      </c>
      <c r="S1206" s="300">
        <v>0</v>
      </c>
      <c r="T1206" s="300">
        <v>0</v>
      </c>
      <c r="U1206" s="301">
        <v>0</v>
      </c>
      <c r="V1206" s="302">
        <v>0</v>
      </c>
      <c r="W1206" s="303"/>
      <c r="X1206" s="304">
        <v>0</v>
      </c>
      <c r="Y1206" s="305">
        <v>0</v>
      </c>
    </row>
    <row r="1207" spans="1:25" s="326" customFormat="1" hidden="1" outlineLevel="2" x14ac:dyDescent="0.3">
      <c r="E1207" s="326" t="s">
        <v>2179</v>
      </c>
      <c r="F1207" s="336"/>
      <c r="G1207" s="327"/>
      <c r="H1207" s="328"/>
      <c r="I1207" s="329"/>
      <c r="J1207" s="338">
        <v>0</v>
      </c>
      <c r="K1207" s="330">
        <v>0</v>
      </c>
      <c r="L1207" s="330">
        <v>0</v>
      </c>
      <c r="M1207" s="330">
        <v>0</v>
      </c>
      <c r="N1207" s="330">
        <v>0</v>
      </c>
      <c r="O1207" s="330">
        <v>0</v>
      </c>
      <c r="P1207" s="330">
        <v>0</v>
      </c>
      <c r="Q1207" s="330">
        <v>0</v>
      </c>
      <c r="R1207" s="330">
        <v>0</v>
      </c>
      <c r="S1207" s="330">
        <v>0</v>
      </c>
      <c r="T1207" s="330">
        <v>0</v>
      </c>
      <c r="U1207" s="331">
        <v>0</v>
      </c>
      <c r="V1207" s="332">
        <v>0</v>
      </c>
      <c r="W1207" s="333"/>
      <c r="X1207" s="334">
        <v>0</v>
      </c>
      <c r="Y1207" s="335">
        <v>0</v>
      </c>
    </row>
    <row r="1208" spans="1:25" s="326" customFormat="1" hidden="1" outlineLevel="2" x14ac:dyDescent="0.3">
      <c r="E1208" s="326" t="s">
        <v>2180</v>
      </c>
      <c r="F1208" s="336"/>
      <c r="G1208" s="327"/>
      <c r="H1208" s="328"/>
      <c r="I1208" s="329"/>
      <c r="J1208" s="338">
        <v>0</v>
      </c>
      <c r="K1208" s="330">
        <v>0</v>
      </c>
      <c r="L1208" s="330">
        <v>0</v>
      </c>
      <c r="M1208" s="330">
        <v>0</v>
      </c>
      <c r="N1208" s="330">
        <v>0</v>
      </c>
      <c r="O1208" s="330">
        <v>0</v>
      </c>
      <c r="P1208" s="330">
        <v>0</v>
      </c>
      <c r="Q1208" s="330">
        <v>0</v>
      </c>
      <c r="R1208" s="330">
        <v>0</v>
      </c>
      <c r="S1208" s="330">
        <v>0</v>
      </c>
      <c r="T1208" s="330">
        <v>0</v>
      </c>
      <c r="U1208" s="331">
        <v>0</v>
      </c>
      <c r="V1208" s="332">
        <v>0</v>
      </c>
      <c r="W1208" s="333"/>
      <c r="X1208" s="334">
        <v>0</v>
      </c>
      <c r="Y1208" s="335">
        <v>0</v>
      </c>
    </row>
    <row r="1209" spans="1:25" s="326" customFormat="1" hidden="1" outlineLevel="2" x14ac:dyDescent="0.3">
      <c r="E1209" s="326" t="s">
        <v>2181</v>
      </c>
      <c r="F1209" s="336"/>
      <c r="G1209" s="327"/>
      <c r="H1209" s="328"/>
      <c r="I1209" s="329"/>
      <c r="J1209" s="338">
        <v>0</v>
      </c>
      <c r="K1209" s="330">
        <v>0</v>
      </c>
      <c r="L1209" s="330">
        <v>0</v>
      </c>
      <c r="M1209" s="330">
        <v>0</v>
      </c>
      <c r="N1209" s="330">
        <v>0</v>
      </c>
      <c r="O1209" s="330">
        <v>0</v>
      </c>
      <c r="P1209" s="330">
        <v>0</v>
      </c>
      <c r="Q1209" s="330">
        <v>0</v>
      </c>
      <c r="R1209" s="330">
        <v>0</v>
      </c>
      <c r="S1209" s="330">
        <v>0</v>
      </c>
      <c r="T1209" s="330">
        <v>0</v>
      </c>
      <c r="U1209" s="331">
        <v>0</v>
      </c>
      <c r="V1209" s="332">
        <v>0</v>
      </c>
      <c r="W1209" s="333"/>
      <c r="X1209" s="334">
        <v>0</v>
      </c>
      <c r="Y1209" s="335">
        <v>0</v>
      </c>
    </row>
    <row r="1210" spans="1:25" collapsed="1" x14ac:dyDescent="0.3">
      <c r="D1210" s="293" t="s">
        <v>2183</v>
      </c>
      <c r="E1210" s="294"/>
      <c r="F1210" s="295"/>
      <c r="G1210" s="296"/>
      <c r="H1210" s="297"/>
      <c r="I1210" s="298"/>
      <c r="J1210" s="299">
        <v>0</v>
      </c>
      <c r="K1210" s="300">
        <v>0</v>
      </c>
      <c r="L1210" s="300">
        <v>0</v>
      </c>
      <c r="M1210" s="300">
        <v>0</v>
      </c>
      <c r="N1210" s="300">
        <v>0</v>
      </c>
      <c r="O1210" s="300">
        <v>0</v>
      </c>
      <c r="P1210" s="300">
        <v>0</v>
      </c>
      <c r="Q1210" s="300">
        <v>0</v>
      </c>
      <c r="R1210" s="300">
        <v>0</v>
      </c>
      <c r="S1210" s="300">
        <v>0</v>
      </c>
      <c r="T1210" s="300">
        <v>0</v>
      </c>
      <c r="U1210" s="301">
        <v>0</v>
      </c>
      <c r="V1210" s="302">
        <v>0</v>
      </c>
      <c r="W1210" s="303"/>
      <c r="X1210" s="304">
        <v>0</v>
      </c>
      <c r="Y1210" s="305">
        <v>0</v>
      </c>
    </row>
    <row r="1211" spans="1:25" s="326" customFormat="1" hidden="1" outlineLevel="2" x14ac:dyDescent="0.3">
      <c r="E1211" s="326" t="s">
        <v>2179</v>
      </c>
      <c r="F1211" s="336"/>
      <c r="G1211" s="327"/>
      <c r="H1211" s="328"/>
      <c r="I1211" s="329"/>
      <c r="J1211" s="338">
        <v>0</v>
      </c>
      <c r="K1211" s="330">
        <v>0</v>
      </c>
      <c r="L1211" s="330">
        <v>0</v>
      </c>
      <c r="M1211" s="330">
        <v>0</v>
      </c>
      <c r="N1211" s="330">
        <v>0</v>
      </c>
      <c r="O1211" s="330">
        <v>0</v>
      </c>
      <c r="P1211" s="330">
        <v>0</v>
      </c>
      <c r="Q1211" s="330">
        <v>0</v>
      </c>
      <c r="R1211" s="330">
        <v>0</v>
      </c>
      <c r="S1211" s="330">
        <v>0</v>
      </c>
      <c r="T1211" s="330">
        <v>0</v>
      </c>
      <c r="U1211" s="331">
        <v>0</v>
      </c>
      <c r="V1211" s="332">
        <v>0</v>
      </c>
      <c r="W1211" s="333"/>
      <c r="X1211" s="334">
        <v>0</v>
      </c>
      <c r="Y1211" s="335">
        <v>0</v>
      </c>
    </row>
    <row r="1212" spans="1:25" s="326" customFormat="1" hidden="1" outlineLevel="2" x14ac:dyDescent="0.3">
      <c r="E1212" s="326" t="s">
        <v>2180</v>
      </c>
      <c r="F1212" s="336"/>
      <c r="G1212" s="327"/>
      <c r="H1212" s="328"/>
      <c r="I1212" s="329"/>
      <c r="J1212" s="338">
        <v>0</v>
      </c>
      <c r="K1212" s="330">
        <v>0</v>
      </c>
      <c r="L1212" s="330">
        <v>0</v>
      </c>
      <c r="M1212" s="330">
        <v>0</v>
      </c>
      <c r="N1212" s="330">
        <v>0</v>
      </c>
      <c r="O1212" s="330">
        <v>0</v>
      </c>
      <c r="P1212" s="330">
        <v>0</v>
      </c>
      <c r="Q1212" s="330">
        <v>0</v>
      </c>
      <c r="R1212" s="330">
        <v>0</v>
      </c>
      <c r="S1212" s="330">
        <v>0</v>
      </c>
      <c r="T1212" s="330">
        <v>0</v>
      </c>
      <c r="U1212" s="331">
        <v>0</v>
      </c>
      <c r="V1212" s="332">
        <v>0</v>
      </c>
      <c r="W1212" s="333"/>
      <c r="X1212" s="334">
        <v>0</v>
      </c>
      <c r="Y1212" s="335">
        <v>0</v>
      </c>
    </row>
    <row r="1213" spans="1:25" s="326" customFormat="1" hidden="1" outlineLevel="2" x14ac:dyDescent="0.3">
      <c r="E1213" s="326" t="s">
        <v>2181</v>
      </c>
      <c r="F1213" s="336"/>
      <c r="G1213" s="327"/>
      <c r="H1213" s="328"/>
      <c r="I1213" s="329"/>
      <c r="J1213" s="338">
        <v>0</v>
      </c>
      <c r="K1213" s="330">
        <v>0</v>
      </c>
      <c r="L1213" s="330">
        <v>0</v>
      </c>
      <c r="M1213" s="330">
        <v>0</v>
      </c>
      <c r="N1213" s="330">
        <v>0</v>
      </c>
      <c r="O1213" s="330">
        <v>0</v>
      </c>
      <c r="P1213" s="330">
        <v>0</v>
      </c>
      <c r="Q1213" s="330">
        <v>0</v>
      </c>
      <c r="R1213" s="330">
        <v>0</v>
      </c>
      <c r="S1213" s="330">
        <v>0</v>
      </c>
      <c r="T1213" s="330">
        <v>0</v>
      </c>
      <c r="U1213" s="331">
        <v>0</v>
      </c>
      <c r="V1213" s="332">
        <v>0</v>
      </c>
      <c r="W1213" s="333"/>
      <c r="X1213" s="334">
        <v>0</v>
      </c>
      <c r="Y1213" s="335">
        <v>0</v>
      </c>
    </row>
    <row r="1214" spans="1:25" ht="16.5" customHeight="1" collapsed="1" x14ac:dyDescent="0.3">
      <c r="A1214" s="930" t="s">
        <v>82</v>
      </c>
      <c r="B1214" s="248"/>
      <c r="C1214" s="280" t="s">
        <v>2184</v>
      </c>
      <c r="D1214" s="281"/>
      <c r="E1214" s="282"/>
      <c r="F1214" s="283" t="s">
        <v>2185</v>
      </c>
      <c r="G1214" s="284"/>
      <c r="H1214" s="285"/>
      <c r="I1214" s="286"/>
      <c r="J1214" s="287">
        <v>0</v>
      </c>
      <c r="K1214" s="288">
        <v>0</v>
      </c>
      <c r="L1214" s="288">
        <v>0</v>
      </c>
      <c r="M1214" s="288">
        <v>0</v>
      </c>
      <c r="N1214" s="288">
        <v>0</v>
      </c>
      <c r="O1214" s="288">
        <v>0</v>
      </c>
      <c r="P1214" s="288">
        <v>0</v>
      </c>
      <c r="Q1214" s="288">
        <v>0</v>
      </c>
      <c r="R1214" s="288">
        <v>0</v>
      </c>
      <c r="S1214" s="288">
        <v>0</v>
      </c>
      <c r="T1214" s="288">
        <v>0</v>
      </c>
      <c r="U1214" s="289">
        <v>0</v>
      </c>
      <c r="V1214" s="290">
        <v>0</v>
      </c>
      <c r="W1214" s="277"/>
      <c r="X1214" s="291">
        <v>0</v>
      </c>
      <c r="Y1214" s="292">
        <v>0</v>
      </c>
    </row>
    <row r="1215" spans="1:25" collapsed="1" x14ac:dyDescent="0.3">
      <c r="A1215" s="233"/>
      <c r="B1215" s="234" t="s">
        <v>83</v>
      </c>
      <c r="D1215" s="293" t="s">
        <v>2186</v>
      </c>
      <c r="E1215" s="294"/>
      <c r="F1215" s="295" t="s">
        <v>2187</v>
      </c>
      <c r="G1215" s="296"/>
      <c r="H1215" s="297"/>
      <c r="I1215" s="298"/>
      <c r="J1215" s="299">
        <v>0</v>
      </c>
      <c r="K1215" s="300">
        <v>0</v>
      </c>
      <c r="L1215" s="300">
        <v>0</v>
      </c>
      <c r="M1215" s="300">
        <v>0</v>
      </c>
      <c r="N1215" s="300">
        <v>0</v>
      </c>
      <c r="O1215" s="300">
        <v>0</v>
      </c>
      <c r="P1215" s="300">
        <v>0</v>
      </c>
      <c r="Q1215" s="300">
        <v>0</v>
      </c>
      <c r="R1215" s="300">
        <v>0</v>
      </c>
      <c r="S1215" s="300">
        <v>0</v>
      </c>
      <c r="T1215" s="300">
        <v>0</v>
      </c>
      <c r="U1215" s="301">
        <v>0</v>
      </c>
      <c r="V1215" s="302">
        <v>0</v>
      </c>
      <c r="W1215" s="303"/>
      <c r="X1215" s="304">
        <v>0</v>
      </c>
      <c r="Y1215" s="305">
        <v>0</v>
      </c>
    </row>
    <row r="1216" spans="1:25" hidden="1" outlineLevel="1" x14ac:dyDescent="0.3">
      <c r="E1216" t="s">
        <v>494</v>
      </c>
      <c r="F1216" s="317">
        <v>4402000</v>
      </c>
      <c r="G1216" s="318"/>
      <c r="H1216" s="319">
        <v>7901010101</v>
      </c>
      <c r="I1216" s="320"/>
      <c r="J1216" s="337">
        <v>0</v>
      </c>
      <c r="K1216" s="321">
        <v>0</v>
      </c>
      <c r="L1216" s="321">
        <v>0</v>
      </c>
      <c r="M1216" s="321">
        <v>0</v>
      </c>
      <c r="N1216" s="321">
        <v>0</v>
      </c>
      <c r="O1216" s="321">
        <v>0</v>
      </c>
      <c r="P1216" s="321">
        <v>0</v>
      </c>
      <c r="Q1216" s="321">
        <v>0</v>
      </c>
      <c r="R1216" s="321">
        <v>0</v>
      </c>
      <c r="S1216" s="321">
        <v>0</v>
      </c>
      <c r="T1216" s="321">
        <v>0</v>
      </c>
      <c r="U1216" s="322">
        <v>0</v>
      </c>
      <c r="V1216" s="323">
        <v>0</v>
      </c>
      <c r="W1216" s="303"/>
      <c r="X1216" s="324">
        <v>0</v>
      </c>
      <c r="Y1216" s="325">
        <v>0</v>
      </c>
    </row>
    <row r="1217" spans="1:25" s="326" customFormat="1" hidden="1" outlineLevel="2" x14ac:dyDescent="0.3">
      <c r="E1217" s="326" t="s">
        <v>2188</v>
      </c>
      <c r="F1217" s="336"/>
      <c r="G1217" s="327"/>
      <c r="H1217" s="328"/>
      <c r="I1217" s="329"/>
      <c r="J1217" s="338">
        <v>0</v>
      </c>
      <c r="K1217" s="330">
        <v>0</v>
      </c>
      <c r="L1217" s="330">
        <v>0</v>
      </c>
      <c r="M1217" s="330">
        <v>0</v>
      </c>
      <c r="N1217" s="330">
        <v>0</v>
      </c>
      <c r="O1217" s="330">
        <v>0</v>
      </c>
      <c r="P1217" s="330">
        <v>0</v>
      </c>
      <c r="Q1217" s="330">
        <v>0</v>
      </c>
      <c r="R1217" s="330">
        <v>0</v>
      </c>
      <c r="S1217" s="330">
        <v>0</v>
      </c>
      <c r="T1217" s="330">
        <v>0</v>
      </c>
      <c r="U1217" s="331">
        <v>0</v>
      </c>
      <c r="V1217" s="332">
        <v>0</v>
      </c>
      <c r="W1217" s="333"/>
      <c r="X1217" s="334">
        <v>0</v>
      </c>
      <c r="Y1217" s="335">
        <v>0</v>
      </c>
    </row>
    <row r="1218" spans="1:25" s="326" customFormat="1" hidden="1" outlineLevel="2" x14ac:dyDescent="0.3">
      <c r="E1218" s="326" t="s">
        <v>2189</v>
      </c>
      <c r="F1218" s="336"/>
      <c r="G1218" s="327"/>
      <c r="H1218" s="328"/>
      <c r="I1218" s="329"/>
      <c r="J1218" s="338">
        <v>0</v>
      </c>
      <c r="K1218" s="330">
        <v>0</v>
      </c>
      <c r="L1218" s="330">
        <v>0</v>
      </c>
      <c r="M1218" s="330">
        <v>0</v>
      </c>
      <c r="N1218" s="330">
        <v>0</v>
      </c>
      <c r="O1218" s="330">
        <v>0</v>
      </c>
      <c r="P1218" s="330">
        <v>0</v>
      </c>
      <c r="Q1218" s="330">
        <v>0</v>
      </c>
      <c r="R1218" s="330">
        <v>0</v>
      </c>
      <c r="S1218" s="330">
        <v>0</v>
      </c>
      <c r="T1218" s="330">
        <v>0</v>
      </c>
      <c r="U1218" s="331">
        <v>0</v>
      </c>
      <c r="V1218" s="332">
        <v>0</v>
      </c>
      <c r="W1218" s="333"/>
      <c r="X1218" s="334">
        <v>0</v>
      </c>
      <c r="Y1218" s="335">
        <v>0</v>
      </c>
    </row>
    <row r="1219" spans="1:25" s="326" customFormat="1" hidden="1" outlineLevel="2" x14ac:dyDescent="0.3">
      <c r="E1219" s="326" t="s">
        <v>2190</v>
      </c>
      <c r="F1219" s="336"/>
      <c r="G1219" s="327"/>
      <c r="H1219" s="328"/>
      <c r="I1219" s="329"/>
      <c r="J1219" s="338">
        <v>0</v>
      </c>
      <c r="K1219" s="330">
        <v>0</v>
      </c>
      <c r="L1219" s="330">
        <v>0</v>
      </c>
      <c r="M1219" s="330">
        <v>0</v>
      </c>
      <c r="N1219" s="330">
        <v>0</v>
      </c>
      <c r="O1219" s="330">
        <v>0</v>
      </c>
      <c r="P1219" s="330">
        <v>0</v>
      </c>
      <c r="Q1219" s="330">
        <v>0</v>
      </c>
      <c r="R1219" s="330">
        <v>0</v>
      </c>
      <c r="S1219" s="330">
        <v>0</v>
      </c>
      <c r="T1219" s="330">
        <v>0</v>
      </c>
      <c r="U1219" s="331">
        <v>0</v>
      </c>
      <c r="V1219" s="332">
        <v>0</v>
      </c>
      <c r="W1219" s="333"/>
      <c r="X1219" s="334">
        <v>0</v>
      </c>
      <c r="Y1219" s="335">
        <v>0</v>
      </c>
    </row>
    <row r="1220" spans="1:25" collapsed="1" x14ac:dyDescent="0.3">
      <c r="A1220" s="233"/>
      <c r="B1220" s="234" t="s">
        <v>84</v>
      </c>
      <c r="D1220" s="293" t="s">
        <v>2191</v>
      </c>
      <c r="E1220" s="294"/>
      <c r="F1220" s="295" t="s">
        <v>2192</v>
      </c>
      <c r="G1220" s="296"/>
      <c r="H1220" s="297"/>
      <c r="I1220" s="298"/>
      <c r="J1220" s="299">
        <v>0</v>
      </c>
      <c r="K1220" s="300">
        <v>0</v>
      </c>
      <c r="L1220" s="300">
        <v>0</v>
      </c>
      <c r="M1220" s="300">
        <v>0</v>
      </c>
      <c r="N1220" s="300">
        <v>0</v>
      </c>
      <c r="O1220" s="300">
        <v>0</v>
      </c>
      <c r="P1220" s="300">
        <v>0</v>
      </c>
      <c r="Q1220" s="300">
        <v>0</v>
      </c>
      <c r="R1220" s="300">
        <v>0</v>
      </c>
      <c r="S1220" s="300">
        <v>0</v>
      </c>
      <c r="T1220" s="300">
        <v>0</v>
      </c>
      <c r="U1220" s="301">
        <v>0</v>
      </c>
      <c r="V1220" s="302">
        <v>0</v>
      </c>
      <c r="W1220" s="303"/>
      <c r="X1220" s="304">
        <v>0</v>
      </c>
      <c r="Y1220" s="305">
        <v>0</v>
      </c>
    </row>
    <row r="1221" spans="1:25" hidden="1" outlineLevel="1" x14ac:dyDescent="0.3">
      <c r="E1221" t="s">
        <v>491</v>
      </c>
      <c r="F1221" s="317">
        <v>4501500</v>
      </c>
      <c r="G1221" s="318"/>
      <c r="H1221" s="319">
        <v>7901030101</v>
      </c>
      <c r="I1221" s="320"/>
      <c r="J1221" s="337">
        <v>0</v>
      </c>
      <c r="K1221" s="321">
        <v>0</v>
      </c>
      <c r="L1221" s="321">
        <v>0</v>
      </c>
      <c r="M1221" s="321">
        <v>0</v>
      </c>
      <c r="N1221" s="321">
        <v>0</v>
      </c>
      <c r="O1221" s="321">
        <v>0</v>
      </c>
      <c r="P1221" s="321">
        <v>0</v>
      </c>
      <c r="Q1221" s="321">
        <v>0</v>
      </c>
      <c r="R1221" s="321">
        <v>0</v>
      </c>
      <c r="S1221" s="321">
        <v>0</v>
      </c>
      <c r="T1221" s="321">
        <v>0</v>
      </c>
      <c r="U1221" s="322">
        <v>0</v>
      </c>
      <c r="V1221" s="323">
        <v>0</v>
      </c>
      <c r="W1221" s="303"/>
      <c r="X1221" s="324">
        <v>0</v>
      </c>
      <c r="Y1221" s="325">
        <v>0</v>
      </c>
    </row>
    <row r="1222" spans="1:25" s="326" customFormat="1" hidden="1" outlineLevel="2" x14ac:dyDescent="0.3">
      <c r="E1222" s="326" t="s">
        <v>2193</v>
      </c>
      <c r="F1222" s="336"/>
      <c r="G1222" s="327"/>
      <c r="H1222" s="328"/>
      <c r="I1222" s="329"/>
      <c r="J1222" s="338">
        <v>0</v>
      </c>
      <c r="K1222" s="330">
        <v>0</v>
      </c>
      <c r="L1222" s="330">
        <v>0</v>
      </c>
      <c r="M1222" s="330">
        <v>0</v>
      </c>
      <c r="N1222" s="330">
        <v>0</v>
      </c>
      <c r="O1222" s="330">
        <v>0</v>
      </c>
      <c r="P1222" s="330">
        <v>0</v>
      </c>
      <c r="Q1222" s="330">
        <v>0</v>
      </c>
      <c r="R1222" s="330">
        <v>0</v>
      </c>
      <c r="S1222" s="330">
        <v>0</v>
      </c>
      <c r="T1222" s="330">
        <v>0</v>
      </c>
      <c r="U1222" s="331">
        <v>0</v>
      </c>
      <c r="V1222" s="332">
        <v>0</v>
      </c>
      <c r="W1222" s="333"/>
      <c r="X1222" s="334">
        <v>0</v>
      </c>
      <c r="Y1222" s="335">
        <v>0</v>
      </c>
    </row>
    <row r="1223" spans="1:25" s="326" customFormat="1" hidden="1" outlineLevel="2" x14ac:dyDescent="0.3">
      <c r="E1223" s="326" t="s">
        <v>2194</v>
      </c>
      <c r="F1223" s="336"/>
      <c r="G1223" s="327"/>
      <c r="H1223" s="328"/>
      <c r="I1223" s="329"/>
      <c r="J1223" s="338">
        <v>0</v>
      </c>
      <c r="K1223" s="330">
        <v>0</v>
      </c>
      <c r="L1223" s="330">
        <v>0</v>
      </c>
      <c r="M1223" s="330">
        <v>0</v>
      </c>
      <c r="N1223" s="330">
        <v>0</v>
      </c>
      <c r="O1223" s="330">
        <v>0</v>
      </c>
      <c r="P1223" s="330">
        <v>0</v>
      </c>
      <c r="Q1223" s="330">
        <v>0</v>
      </c>
      <c r="R1223" s="330">
        <v>0</v>
      </c>
      <c r="S1223" s="330">
        <v>0</v>
      </c>
      <c r="T1223" s="330">
        <v>0</v>
      </c>
      <c r="U1223" s="331">
        <v>0</v>
      </c>
      <c r="V1223" s="332">
        <v>0</v>
      </c>
      <c r="W1223" s="333"/>
      <c r="X1223" s="334">
        <v>0</v>
      </c>
      <c r="Y1223" s="335">
        <v>0</v>
      </c>
    </row>
    <row r="1224" spans="1:25" s="326" customFormat="1" hidden="1" outlineLevel="2" x14ac:dyDescent="0.3">
      <c r="E1224" s="326" t="s">
        <v>2195</v>
      </c>
      <c r="F1224" s="336"/>
      <c r="G1224" s="327"/>
      <c r="H1224" s="328"/>
      <c r="I1224" s="329"/>
      <c r="J1224" s="338">
        <v>0</v>
      </c>
      <c r="K1224" s="330">
        <v>0</v>
      </c>
      <c r="L1224" s="330">
        <v>0</v>
      </c>
      <c r="M1224" s="330">
        <v>0</v>
      </c>
      <c r="N1224" s="330">
        <v>0</v>
      </c>
      <c r="O1224" s="330">
        <v>0</v>
      </c>
      <c r="P1224" s="330">
        <v>0</v>
      </c>
      <c r="Q1224" s="330">
        <v>0</v>
      </c>
      <c r="R1224" s="330">
        <v>0</v>
      </c>
      <c r="S1224" s="330">
        <v>0</v>
      </c>
      <c r="T1224" s="330">
        <v>0</v>
      </c>
      <c r="U1224" s="331">
        <v>0</v>
      </c>
      <c r="V1224" s="332">
        <v>0</v>
      </c>
      <c r="W1224" s="333"/>
      <c r="X1224" s="334">
        <v>0</v>
      </c>
      <c r="Y1224" s="335">
        <v>0</v>
      </c>
    </row>
    <row r="1225" spans="1:25" s="2" customFormat="1" ht="16.5" customHeight="1" collapsed="1" x14ac:dyDescent="0.3">
      <c r="A1225" s="930" t="s">
        <v>57</v>
      </c>
      <c r="B1225" s="248"/>
      <c r="C1225" s="267" t="s">
        <v>2196</v>
      </c>
      <c r="D1225" s="267"/>
      <c r="E1225" s="268"/>
      <c r="F1225" s="269" t="s">
        <v>2197</v>
      </c>
      <c r="G1225" s="270"/>
      <c r="H1225" s="271"/>
      <c r="I1225" s="272"/>
      <c r="J1225" s="273">
        <v>7337725.8439999856</v>
      </c>
      <c r="K1225" s="274">
        <v>6055019.7479999913</v>
      </c>
      <c r="L1225" s="274">
        <v>14259951.93999999</v>
      </c>
      <c r="M1225" s="274">
        <v>7395612.6089999909</v>
      </c>
      <c r="N1225" s="274">
        <v>11827574.998000029</v>
      </c>
      <c r="O1225" s="274">
        <v>7313457.9190000137</v>
      </c>
      <c r="P1225" s="274">
        <v>6192237.6229999568</v>
      </c>
      <c r="Q1225" s="274">
        <v>4029890.5890000043</v>
      </c>
      <c r="R1225" s="274">
        <v>4454017.9959999975</v>
      </c>
      <c r="S1225" s="274">
        <v>10339294.692000005</v>
      </c>
      <c r="T1225" s="274">
        <v>16106172.82999998</v>
      </c>
      <c r="U1225" s="275">
        <v>11392178.637000039</v>
      </c>
      <c r="V1225" s="276">
        <v>106703135.42499986</v>
      </c>
      <c r="W1225" s="277"/>
      <c r="X1225" s="278">
        <v>11392178.637000039</v>
      </c>
      <c r="Y1225" s="279">
        <v>106703135.42499986</v>
      </c>
    </row>
    <row r="1226" spans="1:25" collapsed="1" x14ac:dyDescent="0.3">
      <c r="B1226" s="233" t="s">
        <v>85</v>
      </c>
      <c r="C1226" s="280" t="s">
        <v>2198</v>
      </c>
      <c r="D1226" s="281"/>
      <c r="E1226" s="282"/>
      <c r="F1226" s="283" t="s">
        <v>2199</v>
      </c>
      <c r="G1226" s="284"/>
      <c r="H1226" s="285"/>
      <c r="I1226" s="286"/>
      <c r="J1226" s="287">
        <v>1695014.67</v>
      </c>
      <c r="K1226" s="288">
        <v>1398709.5619999999</v>
      </c>
      <c r="L1226" s="288">
        <v>3294048.898</v>
      </c>
      <c r="M1226" s="288">
        <v>1708386.513</v>
      </c>
      <c r="N1226" s="288">
        <v>2732169.824</v>
      </c>
      <c r="O1226" s="288">
        <v>1689408.7790000001</v>
      </c>
      <c r="P1226" s="288">
        <v>1430406.8910000001</v>
      </c>
      <c r="Q1226" s="288">
        <v>930904.72600000002</v>
      </c>
      <c r="R1226" s="288">
        <v>1028878.1570000001</v>
      </c>
      <c r="S1226" s="288">
        <v>2388377.074</v>
      </c>
      <c r="T1226" s="288">
        <v>3720525.9240000001</v>
      </c>
      <c r="U1226" s="289">
        <v>2631593.2650000006</v>
      </c>
      <c r="V1226" s="290">
        <v>24648424.283</v>
      </c>
      <c r="W1226" s="277"/>
      <c r="X1226" s="291">
        <v>2631593.2650000006</v>
      </c>
      <c r="Y1226" s="292">
        <v>24648424.283</v>
      </c>
    </row>
    <row r="1227" spans="1:25" collapsed="1" x14ac:dyDescent="0.3">
      <c r="D1227" s="293" t="s">
        <v>2200</v>
      </c>
      <c r="E1227" s="294"/>
      <c r="F1227" s="295" t="s">
        <v>2201</v>
      </c>
      <c r="G1227" s="296"/>
      <c r="H1227" s="297"/>
      <c r="I1227" s="298"/>
      <c r="J1227" s="299">
        <v>0</v>
      </c>
      <c r="K1227" s="300">
        <v>0</v>
      </c>
      <c r="L1227" s="300">
        <v>6387773.1299999999</v>
      </c>
      <c r="M1227" s="300">
        <v>0</v>
      </c>
      <c r="N1227" s="300">
        <v>0</v>
      </c>
      <c r="O1227" s="300">
        <v>6129965.1160000004</v>
      </c>
      <c r="P1227" s="300">
        <v>0</v>
      </c>
      <c r="Q1227" s="300">
        <v>0</v>
      </c>
      <c r="R1227" s="300">
        <v>3390189.7740000002</v>
      </c>
      <c r="S1227" s="300">
        <v>0</v>
      </c>
      <c r="T1227" s="300">
        <v>0</v>
      </c>
      <c r="U1227" s="301">
        <v>8740496.2630000003</v>
      </c>
      <c r="V1227" s="302">
        <v>24648424.283</v>
      </c>
      <c r="W1227" s="303"/>
      <c r="X1227" s="304">
        <v>8740496.2630000003</v>
      </c>
      <c r="Y1227" s="305">
        <v>24648424.283</v>
      </c>
    </row>
    <row r="1228" spans="1:25" hidden="1" outlineLevel="1" x14ac:dyDescent="0.3">
      <c r="E1228" t="s">
        <v>322</v>
      </c>
      <c r="F1228" s="317">
        <v>4800100</v>
      </c>
      <c r="G1228" s="318"/>
      <c r="H1228" s="319">
        <v>8101010101</v>
      </c>
      <c r="I1228" s="320"/>
      <c r="J1228" s="337">
        <v>0</v>
      </c>
      <c r="K1228" s="321">
        <v>0</v>
      </c>
      <c r="L1228" s="321">
        <v>6387773.1299999999</v>
      </c>
      <c r="M1228" s="321">
        <v>0</v>
      </c>
      <c r="N1228" s="321">
        <v>0</v>
      </c>
      <c r="O1228" s="321">
        <v>6129965.1160000004</v>
      </c>
      <c r="P1228" s="321">
        <v>0</v>
      </c>
      <c r="Q1228" s="321">
        <v>0</v>
      </c>
      <c r="R1228" s="321">
        <v>3390189.7740000002</v>
      </c>
      <c r="S1228" s="321">
        <v>0</v>
      </c>
      <c r="T1228" s="321">
        <v>0</v>
      </c>
      <c r="U1228" s="322">
        <v>8740496.2630000003</v>
      </c>
      <c r="V1228" s="323">
        <v>24648424.283</v>
      </c>
      <c r="W1228" s="303"/>
      <c r="X1228" s="324">
        <v>8740496.2630000003</v>
      </c>
      <c r="Y1228" s="325">
        <v>24648424.283</v>
      </c>
    </row>
    <row r="1229" spans="1:25" collapsed="1" x14ac:dyDescent="0.3">
      <c r="D1229" s="293" t="s">
        <v>2202</v>
      </c>
      <c r="E1229" s="294"/>
      <c r="F1229" s="295" t="s">
        <v>2203</v>
      </c>
      <c r="G1229" s="296"/>
      <c r="H1229" s="297"/>
      <c r="I1229" s="298"/>
      <c r="J1229" s="299">
        <v>1695014.67</v>
      </c>
      <c r="K1229" s="300">
        <v>1398709.5619999999</v>
      </c>
      <c r="L1229" s="300">
        <v>-3093724.2319999998</v>
      </c>
      <c r="M1229" s="300">
        <v>1708386.513</v>
      </c>
      <c r="N1229" s="300">
        <v>2732169.824</v>
      </c>
      <c r="O1229" s="300">
        <v>-4440556.3370000003</v>
      </c>
      <c r="P1229" s="300">
        <v>1430406.8910000001</v>
      </c>
      <c r="Q1229" s="300">
        <v>930904.72600000002</v>
      </c>
      <c r="R1229" s="300">
        <v>-2361311.6170000001</v>
      </c>
      <c r="S1229" s="300">
        <v>2388377.074</v>
      </c>
      <c r="T1229" s="300">
        <v>3720525.9240000001</v>
      </c>
      <c r="U1229" s="301">
        <v>-6108902.9979999997</v>
      </c>
      <c r="V1229" s="302">
        <v>0</v>
      </c>
      <c r="W1229" s="303"/>
      <c r="X1229" s="304">
        <v>-6108902.9979999997</v>
      </c>
      <c r="Y1229" s="305">
        <v>0</v>
      </c>
    </row>
    <row r="1230" spans="1:25" hidden="1" outlineLevel="1" x14ac:dyDescent="0.3">
      <c r="E1230" t="s">
        <v>2204</v>
      </c>
      <c r="F1230" s="317">
        <v>4800200</v>
      </c>
      <c r="G1230" s="318"/>
      <c r="H1230" s="319"/>
      <c r="I1230" s="320"/>
      <c r="J1230" s="337">
        <v>1695014.67</v>
      </c>
      <c r="K1230" s="321">
        <v>1398709.5619999999</v>
      </c>
      <c r="L1230" s="321">
        <v>-3093724.2319999998</v>
      </c>
      <c r="M1230" s="321">
        <v>1708386.513</v>
      </c>
      <c r="N1230" s="321">
        <v>2732169.824</v>
      </c>
      <c r="O1230" s="321">
        <v>-4440556.3370000003</v>
      </c>
      <c r="P1230" s="321">
        <v>1430406.8910000001</v>
      </c>
      <c r="Q1230" s="321">
        <v>930904.72600000002</v>
      </c>
      <c r="R1230" s="321">
        <v>-2361311.6170000001</v>
      </c>
      <c r="S1230" s="321">
        <v>2388377.074</v>
      </c>
      <c r="T1230" s="321">
        <v>3720525.9240000001</v>
      </c>
      <c r="U1230" s="322">
        <v>-6108902.9979999997</v>
      </c>
      <c r="V1230" s="323">
        <v>0</v>
      </c>
      <c r="W1230" s="303"/>
      <c r="X1230" s="324">
        <v>-6108902.9979999997</v>
      </c>
      <c r="Y1230" s="325">
        <v>0</v>
      </c>
    </row>
    <row r="1231" spans="1:25" collapsed="1" x14ac:dyDescent="0.3">
      <c r="D1231" s="293" t="s">
        <v>2205</v>
      </c>
      <c r="E1231" s="294"/>
      <c r="F1231" s="295" t="s">
        <v>2206</v>
      </c>
      <c r="G1231" s="296"/>
      <c r="H1231" s="297"/>
      <c r="I1231" s="298"/>
      <c r="J1231" s="299">
        <v>0</v>
      </c>
      <c r="K1231" s="300">
        <v>0</v>
      </c>
      <c r="L1231" s="300">
        <v>0</v>
      </c>
      <c r="M1231" s="300">
        <v>0</v>
      </c>
      <c r="N1231" s="300">
        <v>0</v>
      </c>
      <c r="O1231" s="300">
        <v>0</v>
      </c>
      <c r="P1231" s="300">
        <v>0</v>
      </c>
      <c r="Q1231" s="300">
        <v>0</v>
      </c>
      <c r="R1231" s="300">
        <v>0</v>
      </c>
      <c r="S1231" s="300">
        <v>0</v>
      </c>
      <c r="T1231" s="300">
        <v>0</v>
      </c>
      <c r="U1231" s="301">
        <v>0</v>
      </c>
      <c r="V1231" s="302">
        <v>0</v>
      </c>
      <c r="W1231" s="303"/>
      <c r="X1231" s="304">
        <v>0</v>
      </c>
      <c r="Y1231" s="305">
        <v>0</v>
      </c>
    </row>
    <row r="1232" spans="1:25" hidden="1" outlineLevel="1" x14ac:dyDescent="0.3">
      <c r="E1232" t="s">
        <v>2207</v>
      </c>
      <c r="F1232" s="317">
        <v>4506500</v>
      </c>
      <c r="G1232" s="318"/>
      <c r="H1232" s="319"/>
      <c r="I1232" s="320"/>
      <c r="J1232" s="337">
        <v>0</v>
      </c>
      <c r="K1232" s="321">
        <v>0</v>
      </c>
      <c r="L1232" s="321">
        <v>0</v>
      </c>
      <c r="M1232" s="321">
        <v>0</v>
      </c>
      <c r="N1232" s="321">
        <v>0</v>
      </c>
      <c r="O1232" s="321">
        <v>0</v>
      </c>
      <c r="P1232" s="321">
        <v>0</v>
      </c>
      <c r="Q1232" s="321">
        <v>0</v>
      </c>
      <c r="R1232" s="321">
        <v>0</v>
      </c>
      <c r="S1232" s="321">
        <v>0</v>
      </c>
      <c r="T1232" s="321">
        <v>0</v>
      </c>
      <c r="U1232" s="322">
        <v>0</v>
      </c>
      <c r="V1232" s="323">
        <v>0</v>
      </c>
      <c r="W1232" s="303"/>
      <c r="X1232" s="324">
        <v>0</v>
      </c>
      <c r="Y1232" s="325">
        <v>0</v>
      </c>
    </row>
    <row r="1233" spans="1:25" collapsed="1" x14ac:dyDescent="0.3">
      <c r="D1233" s="293" t="s">
        <v>2208</v>
      </c>
      <c r="E1233" s="294"/>
      <c r="F1233" s="295" t="s">
        <v>2209</v>
      </c>
      <c r="G1233" s="296"/>
      <c r="H1233" s="297"/>
      <c r="I1233" s="298"/>
      <c r="J1233" s="299">
        <v>0</v>
      </c>
      <c r="K1233" s="300">
        <v>0</v>
      </c>
      <c r="L1233" s="300">
        <v>0</v>
      </c>
      <c r="M1233" s="300">
        <v>0</v>
      </c>
      <c r="N1233" s="300">
        <v>0</v>
      </c>
      <c r="O1233" s="300">
        <v>0</v>
      </c>
      <c r="P1233" s="300">
        <v>0</v>
      </c>
      <c r="Q1233" s="300">
        <v>0</v>
      </c>
      <c r="R1233" s="300">
        <v>0</v>
      </c>
      <c r="S1233" s="300">
        <v>0</v>
      </c>
      <c r="T1233" s="300">
        <v>0</v>
      </c>
      <c r="U1233" s="301">
        <v>0</v>
      </c>
      <c r="V1233" s="302">
        <v>0</v>
      </c>
      <c r="W1233" s="303"/>
      <c r="X1233" s="304">
        <v>0</v>
      </c>
      <c r="Y1233" s="305">
        <v>0</v>
      </c>
    </row>
    <row r="1234" spans="1:25" hidden="1" outlineLevel="1" x14ac:dyDescent="0.3">
      <c r="E1234" t="s">
        <v>2210</v>
      </c>
      <c r="F1234" s="317">
        <v>4407000</v>
      </c>
      <c r="G1234" s="318"/>
      <c r="H1234" s="319"/>
      <c r="I1234" s="320"/>
      <c r="J1234" s="337">
        <v>0</v>
      </c>
      <c r="K1234" s="321">
        <v>0</v>
      </c>
      <c r="L1234" s="321">
        <v>0</v>
      </c>
      <c r="M1234" s="321">
        <v>0</v>
      </c>
      <c r="N1234" s="321">
        <v>0</v>
      </c>
      <c r="O1234" s="321">
        <v>0</v>
      </c>
      <c r="P1234" s="321">
        <v>0</v>
      </c>
      <c r="Q1234" s="321">
        <v>0</v>
      </c>
      <c r="R1234" s="321">
        <v>0</v>
      </c>
      <c r="S1234" s="321">
        <v>0</v>
      </c>
      <c r="T1234" s="321">
        <v>0</v>
      </c>
      <c r="U1234" s="322">
        <v>0</v>
      </c>
      <c r="V1234" s="323">
        <v>0</v>
      </c>
      <c r="W1234" s="303"/>
      <c r="X1234" s="324">
        <v>0</v>
      </c>
      <c r="Y1234" s="325">
        <v>0</v>
      </c>
    </row>
    <row r="1235" spans="1:25" collapsed="1" x14ac:dyDescent="0.3">
      <c r="B1235" s="233" t="s">
        <v>418</v>
      </c>
      <c r="C1235" s="280" t="s">
        <v>2211</v>
      </c>
      <c r="D1235" s="281"/>
      <c r="E1235" s="282"/>
      <c r="F1235" s="283" t="s">
        <v>2212</v>
      </c>
      <c r="G1235" s="284"/>
      <c r="H1235" s="285"/>
      <c r="I1235" s="286"/>
      <c r="J1235" s="287">
        <v>5642711.1739999857</v>
      </c>
      <c r="K1235" s="288">
        <v>4656310.1859999914</v>
      </c>
      <c r="L1235" s="288">
        <v>10965903.04199999</v>
      </c>
      <c r="M1235" s="288">
        <v>5687226.0959999906</v>
      </c>
      <c r="N1235" s="288">
        <v>9095405.1740000285</v>
      </c>
      <c r="O1235" s="288">
        <v>5624049.1400000136</v>
      </c>
      <c r="P1235" s="288">
        <v>4761830.731999957</v>
      </c>
      <c r="Q1235" s="288">
        <v>3098985.8630000046</v>
      </c>
      <c r="R1235" s="288">
        <v>3425139.8389999974</v>
      </c>
      <c r="S1235" s="288">
        <v>7950917.6180000054</v>
      </c>
      <c r="T1235" s="288">
        <v>12385646.905999979</v>
      </c>
      <c r="U1235" s="289">
        <v>8760585.3720000386</v>
      </c>
      <c r="V1235" s="290">
        <v>82054711.141999871</v>
      </c>
      <c r="W1235" s="277"/>
      <c r="X1235" s="291">
        <v>8760585.3720000386</v>
      </c>
      <c r="Y1235" s="292">
        <v>82054711.141999871</v>
      </c>
    </row>
    <row r="1236" spans="1:25" collapsed="1" x14ac:dyDescent="0.3">
      <c r="B1236" s="233" t="s">
        <v>419</v>
      </c>
      <c r="C1236" s="280" t="s">
        <v>2213</v>
      </c>
      <c r="D1236" s="281"/>
      <c r="E1236" s="282"/>
      <c r="F1236" s="283" t="s">
        <v>2214</v>
      </c>
      <c r="G1236" s="284"/>
      <c r="H1236" s="285"/>
      <c r="I1236" s="286"/>
      <c r="J1236" s="287">
        <v>0</v>
      </c>
      <c r="K1236" s="288">
        <v>0</v>
      </c>
      <c r="L1236" s="288">
        <v>0</v>
      </c>
      <c r="M1236" s="288">
        <v>0</v>
      </c>
      <c r="N1236" s="288">
        <v>0</v>
      </c>
      <c r="O1236" s="288">
        <v>0</v>
      </c>
      <c r="P1236" s="288">
        <v>0</v>
      </c>
      <c r="Q1236" s="288">
        <v>0</v>
      </c>
      <c r="R1236" s="288">
        <v>0</v>
      </c>
      <c r="S1236" s="288">
        <v>0</v>
      </c>
      <c r="T1236" s="288">
        <v>0</v>
      </c>
      <c r="U1236" s="289">
        <v>0</v>
      </c>
      <c r="V1236" s="290">
        <v>0</v>
      </c>
      <c r="W1236" s="277"/>
      <c r="X1236" s="291">
        <v>0</v>
      </c>
      <c r="Y1236" s="292">
        <v>0</v>
      </c>
    </row>
    <row r="1237" spans="1:25" collapsed="1" x14ac:dyDescent="0.3">
      <c r="D1237" s="293" t="s">
        <v>2215</v>
      </c>
      <c r="E1237" s="294"/>
      <c r="F1237" s="295" t="s">
        <v>2216</v>
      </c>
      <c r="G1237" s="296"/>
      <c r="H1237" s="297"/>
      <c r="I1237" s="298"/>
      <c r="J1237" s="299">
        <v>0</v>
      </c>
      <c r="K1237" s="300">
        <v>0</v>
      </c>
      <c r="L1237" s="300">
        <v>0</v>
      </c>
      <c r="M1237" s="300">
        <v>0</v>
      </c>
      <c r="N1237" s="300">
        <v>0</v>
      </c>
      <c r="O1237" s="300">
        <v>0</v>
      </c>
      <c r="P1237" s="300">
        <v>0</v>
      </c>
      <c r="Q1237" s="300">
        <v>0</v>
      </c>
      <c r="R1237" s="300">
        <v>0</v>
      </c>
      <c r="S1237" s="300">
        <v>0</v>
      </c>
      <c r="T1237" s="300">
        <v>0</v>
      </c>
      <c r="U1237" s="301">
        <v>0</v>
      </c>
      <c r="V1237" s="302">
        <v>0</v>
      </c>
      <c r="W1237" s="303"/>
      <c r="X1237" s="304">
        <v>0</v>
      </c>
      <c r="Y1237" s="305">
        <v>0</v>
      </c>
    </row>
    <row r="1238" spans="1:25" hidden="1" outlineLevel="1" x14ac:dyDescent="0.3">
      <c r="E1238" t="s">
        <v>2217</v>
      </c>
      <c r="F1238" s="317">
        <v>4408900</v>
      </c>
      <c r="G1238" s="318"/>
      <c r="H1238" s="319">
        <v>8501010101</v>
      </c>
      <c r="I1238" s="320"/>
      <c r="J1238" s="337">
        <v>0</v>
      </c>
      <c r="K1238" s="321">
        <v>0</v>
      </c>
      <c r="L1238" s="321">
        <v>0</v>
      </c>
      <c r="M1238" s="321">
        <v>0</v>
      </c>
      <c r="N1238" s="321">
        <v>0</v>
      </c>
      <c r="O1238" s="321">
        <v>0</v>
      </c>
      <c r="P1238" s="321">
        <v>0</v>
      </c>
      <c r="Q1238" s="321">
        <v>0</v>
      </c>
      <c r="R1238" s="321">
        <v>0</v>
      </c>
      <c r="S1238" s="321">
        <v>0</v>
      </c>
      <c r="T1238" s="321">
        <v>0</v>
      </c>
      <c r="U1238" s="322">
        <v>0</v>
      </c>
      <c r="V1238" s="323">
        <v>0</v>
      </c>
      <c r="W1238" s="303"/>
      <c r="X1238" s="324">
        <v>0</v>
      </c>
      <c r="Y1238" s="325">
        <v>0</v>
      </c>
    </row>
    <row r="1239" spans="1:25" s="2" customFormat="1" ht="16.5" customHeight="1" collapsed="1" x14ac:dyDescent="0.3">
      <c r="A1239" s="930" t="s">
        <v>211</v>
      </c>
      <c r="B1239" s="248"/>
      <c r="C1239" s="398" t="s">
        <v>2218</v>
      </c>
      <c r="D1239" s="398"/>
      <c r="E1239" s="399"/>
      <c r="F1239" s="400" t="s">
        <v>2219</v>
      </c>
      <c r="G1239" s="401"/>
      <c r="H1239" s="402"/>
      <c r="I1239" s="403"/>
      <c r="J1239" s="404">
        <v>5642711.1739999857</v>
      </c>
      <c r="K1239" s="405">
        <v>4656310.1859999914</v>
      </c>
      <c r="L1239" s="405">
        <v>10965903.04199999</v>
      </c>
      <c r="M1239" s="405">
        <v>5687226.0959999906</v>
      </c>
      <c r="N1239" s="405">
        <v>9095405.1740000285</v>
      </c>
      <c r="O1239" s="405">
        <v>5624049.1400000136</v>
      </c>
      <c r="P1239" s="405">
        <v>4761830.731999957</v>
      </c>
      <c r="Q1239" s="405">
        <v>3098985.8630000046</v>
      </c>
      <c r="R1239" s="405">
        <v>3425139.8389999974</v>
      </c>
      <c r="S1239" s="405">
        <v>7950917.6180000054</v>
      </c>
      <c r="T1239" s="405">
        <v>12385646.905999979</v>
      </c>
      <c r="U1239" s="406">
        <v>8760585.3720000386</v>
      </c>
      <c r="V1239" s="407">
        <v>82054711.141999871</v>
      </c>
      <c r="W1239" s="277"/>
      <c r="X1239" s="408">
        <v>8760585.3720000386</v>
      </c>
      <c r="Y1239" s="409">
        <v>82054711.141999871</v>
      </c>
    </row>
    <row r="1240" spans="1:25" x14ac:dyDescent="0.3">
      <c r="B1240" s="249"/>
      <c r="C1240" s="249"/>
      <c r="D1240" s="249"/>
      <c r="E1240" s="249"/>
      <c r="F1240" s="249"/>
      <c r="G1240" s="249"/>
      <c r="H1240" s="249"/>
      <c r="I1240" s="249"/>
      <c r="J1240" s="249"/>
      <c r="K1240" s="249"/>
      <c r="L1240" s="249"/>
      <c r="M1240" s="249"/>
      <c r="N1240" s="249"/>
      <c r="O1240" s="249"/>
      <c r="P1240" s="249"/>
      <c r="Q1240" s="249"/>
      <c r="R1240" s="249"/>
      <c r="S1240" s="249"/>
      <c r="T1240" s="249"/>
      <c r="U1240" s="249"/>
      <c r="V1240" s="249"/>
      <c r="W1240" s="249"/>
      <c r="X1240" s="249"/>
      <c r="Y1240" s="249"/>
    </row>
    <row r="1241" spans="1:25" x14ac:dyDescent="0.3">
      <c r="C1241" s="256" t="s">
        <v>2220</v>
      </c>
      <c r="D1241" s="256"/>
      <c r="E1241" s="257"/>
      <c r="F1241" s="258"/>
      <c r="G1241" s="259"/>
      <c r="H1241" s="260"/>
      <c r="I1241" s="261"/>
      <c r="J1241" s="410">
        <v>3</v>
      </c>
      <c r="K1241" s="411">
        <v>4</v>
      </c>
      <c r="L1241" s="411">
        <v>5</v>
      </c>
      <c r="M1241" s="411">
        <v>6</v>
      </c>
      <c r="N1241" s="411">
        <v>7</v>
      </c>
      <c r="O1241" s="411">
        <v>8</v>
      </c>
      <c r="P1241" s="411">
        <v>9</v>
      </c>
      <c r="Q1241" s="411">
        <v>10</v>
      </c>
      <c r="R1241" s="411">
        <v>11</v>
      </c>
      <c r="S1241" s="411">
        <v>12</v>
      </c>
      <c r="T1241" s="411">
        <v>13</v>
      </c>
      <c r="U1241" s="411">
        <v>14</v>
      </c>
    </row>
    <row r="1243" spans="1:25" x14ac:dyDescent="0.3">
      <c r="C1243" t="s">
        <v>2221</v>
      </c>
    </row>
    <row r="1244" spans="1:25" x14ac:dyDescent="0.3">
      <c r="C1244" s="256" t="s">
        <v>2222</v>
      </c>
      <c r="D1244" s="256"/>
      <c r="E1244" s="257"/>
      <c r="F1244" s="412" t="s">
        <v>2223</v>
      </c>
      <c r="G1244" s="259"/>
      <c r="H1244" s="260">
        <v>9100000000</v>
      </c>
      <c r="I1244" s="261"/>
      <c r="J1244" s="413">
        <v>5642711.1739999996</v>
      </c>
      <c r="K1244" s="414">
        <v>4656310.1859999998</v>
      </c>
      <c r="L1244" s="414">
        <v>10907803.868999999</v>
      </c>
      <c r="M1244" s="414">
        <v>5687226.0959999999</v>
      </c>
      <c r="N1244" s="414">
        <v>9095405.1740000006</v>
      </c>
      <c r="O1244" s="414">
        <v>5503267.1519999998</v>
      </c>
      <c r="P1244" s="414">
        <v>4761830.7319999998</v>
      </c>
      <c r="Q1244" s="414">
        <v>3098985.8629999999</v>
      </c>
      <c r="R1244" s="414">
        <v>2239827.1490000002</v>
      </c>
      <c r="S1244" s="414">
        <v>7950917.6179999998</v>
      </c>
      <c r="T1244" s="414">
        <v>12385646.905999999</v>
      </c>
      <c r="U1244" s="415">
        <v>8760585.3719999995</v>
      </c>
      <c r="V1244" s="413">
        <v>80690517.290999994</v>
      </c>
    </row>
    <row r="1245" spans="1:25" x14ac:dyDescent="0.3">
      <c r="C1245" s="416"/>
      <c r="D1245" s="416"/>
      <c r="E1245" s="417"/>
      <c r="F1245" s="418"/>
      <c r="G1245" s="419"/>
      <c r="H1245" s="420"/>
      <c r="I1245" s="421"/>
      <c r="J1245" s="422">
        <v>1.3969838619232178E-8</v>
      </c>
      <c r="K1245" s="423">
        <v>8.3819031715393066E-9</v>
      </c>
      <c r="L1245" s="423">
        <v>0</v>
      </c>
      <c r="M1245" s="423">
        <v>9.3132257461547852E-9</v>
      </c>
      <c r="N1245" s="423">
        <v>-2.7939677238464355E-8</v>
      </c>
      <c r="O1245" s="423">
        <v>-1.3969838619232178E-8</v>
      </c>
      <c r="P1245" s="423">
        <v>4.2840838432312012E-8</v>
      </c>
      <c r="Q1245" s="423">
        <v>-4.6566128730773926E-9</v>
      </c>
      <c r="R1245" s="423">
        <v>0</v>
      </c>
      <c r="S1245" s="423">
        <v>0</v>
      </c>
      <c r="T1245" s="423">
        <v>2.0489096641540527E-8</v>
      </c>
      <c r="U1245" s="424">
        <v>-3.9115548133850098E-8</v>
      </c>
      <c r="V1245" s="422">
        <v>9.3132257461547852E-9</v>
      </c>
    </row>
    <row r="1247" spans="1:25" x14ac:dyDescent="0.3">
      <c r="J1247" s="303"/>
      <c r="K1247" s="303"/>
      <c r="L1247" s="303"/>
      <c r="M1247" s="303"/>
      <c r="N1247" s="303"/>
      <c r="O1247" s="303"/>
      <c r="P1247" s="303"/>
      <c r="Q1247" s="303"/>
      <c r="R1247" s="303"/>
      <c r="S1247" s="303"/>
      <c r="T1247" s="303"/>
      <c r="U1247" s="303"/>
    </row>
    <row r="1248" spans="1:25" x14ac:dyDescent="0.3">
      <c r="J1248" s="303"/>
      <c r="K1248" s="303"/>
      <c r="L1248" s="303"/>
      <c r="M1248" s="303"/>
      <c r="N1248" s="303"/>
      <c r="O1248" s="303"/>
      <c r="P1248" s="303"/>
      <c r="Q1248" s="303"/>
      <c r="R1248" s="303"/>
      <c r="S1248" s="303"/>
      <c r="T1248" s="303"/>
      <c r="U1248" s="303"/>
    </row>
  </sheetData>
  <autoFilter ref="AB5:AD1239" xr:uid="{AC1B14DF-9AA7-46F5-BE50-FC717844FB08}"/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BFF3-242B-4858-BEEF-A50AA6926A34}">
  <sheetPr filterMode="1">
    <tabColor theme="0" tint="-0.499984740745262"/>
  </sheetPr>
  <dimension ref="A1:O3326"/>
  <sheetViews>
    <sheetView workbookViewId="0"/>
  </sheetViews>
  <sheetFormatPr defaultRowHeight="16.5" x14ac:dyDescent="0.3"/>
  <cols>
    <col min="1" max="1" width="13.875" customWidth="1"/>
    <col min="2" max="2" width="39.5" bestFit="1" customWidth="1"/>
    <col min="4" max="4" width="13" bestFit="1" customWidth="1"/>
    <col min="5" max="5" width="44.75" bestFit="1" customWidth="1"/>
    <col min="6" max="6" width="12.125" bestFit="1" customWidth="1"/>
    <col min="7" max="9" width="19.375" style="425" bestFit="1" customWidth="1"/>
    <col min="10" max="11" width="17.625" style="425" bestFit="1" customWidth="1"/>
    <col min="12" max="12" width="19.375" style="425" bestFit="1" customWidth="1"/>
    <col min="13" max="13" width="17.625" style="425" bestFit="1" customWidth="1"/>
    <col min="14" max="14" width="19.375" style="425" bestFit="1" customWidth="1"/>
    <col min="15" max="15" width="17.625" style="425" bestFit="1" customWidth="1"/>
  </cols>
  <sheetData>
    <row r="1" spans="1:15" x14ac:dyDescent="0.3">
      <c r="C1" t="s">
        <v>2224</v>
      </c>
      <c r="D1" t="s">
        <v>2225</v>
      </c>
      <c r="E1" t="s">
        <v>2226</v>
      </c>
      <c r="F1" t="s">
        <v>2227</v>
      </c>
      <c r="G1" s="425" t="s">
        <v>2228</v>
      </c>
      <c r="H1" s="425" t="s">
        <v>2229</v>
      </c>
      <c r="I1" s="425" t="s">
        <v>710</v>
      </c>
      <c r="J1" s="425" t="s">
        <v>2230</v>
      </c>
      <c r="K1" s="425" t="s">
        <v>2231</v>
      </c>
      <c r="L1" s="425" t="s">
        <v>2232</v>
      </c>
      <c r="M1" s="425" t="s">
        <v>2233</v>
      </c>
      <c r="N1" s="425" t="s">
        <v>2234</v>
      </c>
      <c r="O1" s="425" t="s">
        <v>2235</v>
      </c>
    </row>
    <row r="2" spans="1:15" hidden="1" x14ac:dyDescent="0.3">
      <c r="C2" t="s">
        <v>2236</v>
      </c>
      <c r="D2" t="s">
        <v>2237</v>
      </c>
      <c r="E2" t="s">
        <v>2238</v>
      </c>
      <c r="F2" t="s">
        <v>2239</v>
      </c>
    </row>
    <row r="3" spans="1:15" hidden="1" x14ac:dyDescent="0.3">
      <c r="C3" t="s">
        <v>2236</v>
      </c>
      <c r="D3" t="s">
        <v>2237</v>
      </c>
      <c r="E3" t="s">
        <v>2240</v>
      </c>
      <c r="F3" t="s">
        <v>8939</v>
      </c>
    </row>
    <row r="4" spans="1:15" hidden="1" x14ac:dyDescent="0.3">
      <c r="C4" t="s">
        <v>2236</v>
      </c>
      <c r="D4" t="s">
        <v>2237</v>
      </c>
      <c r="E4" t="s">
        <v>2241</v>
      </c>
      <c r="F4" t="s">
        <v>8940</v>
      </c>
    </row>
    <row r="5" spans="1:15" hidden="1" x14ac:dyDescent="0.3">
      <c r="C5" t="s">
        <v>2236</v>
      </c>
      <c r="D5" t="s">
        <v>2237</v>
      </c>
      <c r="E5" t="s">
        <v>2242</v>
      </c>
      <c r="F5" t="s">
        <v>2243</v>
      </c>
    </row>
    <row r="6" spans="1:15" hidden="1" x14ac:dyDescent="0.3">
      <c r="C6" t="s">
        <v>2236</v>
      </c>
      <c r="D6" t="s">
        <v>2237</v>
      </c>
      <c r="E6" t="s">
        <v>2244</v>
      </c>
      <c r="F6" t="s">
        <v>2245</v>
      </c>
    </row>
    <row r="7" spans="1:15" hidden="1" x14ac:dyDescent="0.3">
      <c r="C7" t="s">
        <v>2236</v>
      </c>
      <c r="D7" t="s">
        <v>2237</v>
      </c>
      <c r="E7" t="s">
        <v>2246</v>
      </c>
      <c r="F7" t="s">
        <v>2247</v>
      </c>
    </row>
    <row r="8" spans="1:15" hidden="1" x14ac:dyDescent="0.3">
      <c r="C8" t="s">
        <v>2236</v>
      </c>
      <c r="D8" t="s">
        <v>2237</v>
      </c>
      <c r="E8" t="s">
        <v>2248</v>
      </c>
      <c r="F8" t="s">
        <v>2249</v>
      </c>
    </row>
    <row r="9" spans="1:15" hidden="1" x14ac:dyDescent="0.3">
      <c r="C9" t="s">
        <v>2236</v>
      </c>
      <c r="D9" t="s">
        <v>2237</v>
      </c>
      <c r="E9" t="s">
        <v>2250</v>
      </c>
      <c r="F9" t="s">
        <v>2251</v>
      </c>
    </row>
    <row r="10" spans="1:15" hidden="1" x14ac:dyDescent="0.3">
      <c r="C10" t="s">
        <v>2236</v>
      </c>
      <c r="D10" t="s">
        <v>2237</v>
      </c>
      <c r="E10" t="s">
        <v>2237</v>
      </c>
      <c r="F10" t="s">
        <v>2237</v>
      </c>
    </row>
    <row r="11" spans="1:15" hidden="1" x14ac:dyDescent="0.3">
      <c r="C11" t="s">
        <v>2236</v>
      </c>
      <c r="D11" t="s">
        <v>2237</v>
      </c>
      <c r="E11" t="s">
        <v>2237</v>
      </c>
      <c r="F11" t="s">
        <v>2237</v>
      </c>
    </row>
    <row r="12" spans="1:15" hidden="1" x14ac:dyDescent="0.3">
      <c r="C12" t="s">
        <v>2236</v>
      </c>
      <c r="D12" t="s">
        <v>2237</v>
      </c>
      <c r="E12" t="s">
        <v>2252</v>
      </c>
      <c r="F12" t="s">
        <v>2253</v>
      </c>
      <c r="G12" s="425">
        <v>0</v>
      </c>
      <c r="H12" s="425">
        <v>0</v>
      </c>
      <c r="I12" s="425">
        <v>0</v>
      </c>
      <c r="J12" s="425">
        <v>0</v>
      </c>
      <c r="K12" s="425">
        <v>0</v>
      </c>
      <c r="L12" s="425">
        <v>0</v>
      </c>
      <c r="M12" s="425">
        <v>0</v>
      </c>
      <c r="N12" s="425">
        <v>0</v>
      </c>
      <c r="O12" s="425">
        <v>0</v>
      </c>
    </row>
    <row r="13" spans="1:15" x14ac:dyDescent="0.3">
      <c r="A13" s="153" t="s">
        <v>87</v>
      </c>
      <c r="B13" s="153"/>
      <c r="C13" t="s">
        <v>2254</v>
      </c>
      <c r="D13" t="s">
        <v>2237</v>
      </c>
      <c r="E13" t="s">
        <v>2255</v>
      </c>
      <c r="F13" t="s">
        <v>2256</v>
      </c>
      <c r="G13" s="425">
        <v>7121336855838</v>
      </c>
      <c r="H13" s="425">
        <v>2410880640624</v>
      </c>
      <c r="I13" s="425">
        <v>1199888672565</v>
      </c>
      <c r="J13" s="425">
        <v>0</v>
      </c>
      <c r="K13" s="425">
        <v>525945829483</v>
      </c>
      <c r="L13" s="425">
        <v>563789756818</v>
      </c>
      <c r="M13" s="425">
        <v>800619184287</v>
      </c>
      <c r="N13" s="425">
        <v>1620172182061</v>
      </c>
      <c r="O13" s="425">
        <v>40590000</v>
      </c>
    </row>
    <row r="14" spans="1:15" x14ac:dyDescent="0.3">
      <c r="A14" s="153" t="s">
        <v>88</v>
      </c>
      <c r="B14" s="153"/>
      <c r="C14" t="s">
        <v>2257</v>
      </c>
      <c r="D14" t="s">
        <v>2237</v>
      </c>
      <c r="E14" t="s">
        <v>2258</v>
      </c>
      <c r="F14" t="s">
        <v>2259</v>
      </c>
      <c r="G14" s="425">
        <v>1670298975069</v>
      </c>
      <c r="H14" s="425">
        <v>712318563306</v>
      </c>
      <c r="I14" s="425">
        <v>126642733757</v>
      </c>
      <c r="J14" s="425">
        <v>0</v>
      </c>
      <c r="K14" s="425">
        <v>277025020189</v>
      </c>
      <c r="L14" s="425">
        <v>103870259245</v>
      </c>
      <c r="M14" s="425">
        <v>74227797750</v>
      </c>
      <c r="N14" s="425">
        <v>376174010822</v>
      </c>
      <c r="O14" s="425">
        <v>40590000</v>
      </c>
    </row>
    <row r="15" spans="1:15" hidden="1" x14ac:dyDescent="0.3">
      <c r="A15" s="236"/>
      <c r="B15" s="237" t="s">
        <v>89</v>
      </c>
      <c r="C15" t="s">
        <v>2260</v>
      </c>
      <c r="D15" t="s">
        <v>2237</v>
      </c>
      <c r="E15" t="s">
        <v>2261</v>
      </c>
      <c r="F15" t="s">
        <v>2262</v>
      </c>
      <c r="G15" s="425">
        <v>244366301520</v>
      </c>
      <c r="H15" s="425">
        <v>6678297983</v>
      </c>
      <c r="I15" s="425">
        <v>886270977</v>
      </c>
      <c r="J15" s="425">
        <v>0</v>
      </c>
      <c r="K15" s="425">
        <v>528899281</v>
      </c>
      <c r="L15" s="425">
        <v>7362920114</v>
      </c>
      <c r="M15" s="425">
        <v>986514031</v>
      </c>
      <c r="N15" s="425">
        <v>227923399134</v>
      </c>
      <c r="O15" s="425">
        <v>0</v>
      </c>
    </row>
    <row r="16" spans="1:15" hidden="1" x14ac:dyDescent="0.3">
      <c r="C16" t="s">
        <v>2263</v>
      </c>
      <c r="D16" t="s">
        <v>2237</v>
      </c>
      <c r="E16" t="s">
        <v>2264</v>
      </c>
      <c r="F16" t="s">
        <v>2265</v>
      </c>
      <c r="G16" s="425">
        <v>1368429525</v>
      </c>
      <c r="H16" s="425">
        <v>1000399338</v>
      </c>
      <c r="I16" s="425">
        <v>346269995</v>
      </c>
      <c r="J16" s="425">
        <v>0</v>
      </c>
      <c r="K16" s="425">
        <v>0</v>
      </c>
      <c r="L16" s="425">
        <v>3007351</v>
      </c>
      <c r="M16" s="425">
        <v>0</v>
      </c>
      <c r="N16" s="425">
        <v>18752841</v>
      </c>
      <c r="O16" s="425">
        <v>0</v>
      </c>
    </row>
    <row r="17" spans="3:15" hidden="1" x14ac:dyDescent="0.3">
      <c r="C17" t="s">
        <v>2266</v>
      </c>
      <c r="D17" t="s">
        <v>2267</v>
      </c>
      <c r="E17" t="s">
        <v>2268</v>
      </c>
      <c r="F17" t="s">
        <v>2269</v>
      </c>
      <c r="G17" s="425">
        <v>1080404508</v>
      </c>
      <c r="H17" s="425">
        <v>941320738</v>
      </c>
      <c r="I17" s="425">
        <v>139083770</v>
      </c>
      <c r="J17" s="425">
        <v>0</v>
      </c>
      <c r="K17" s="425">
        <v>0</v>
      </c>
      <c r="L17" s="425">
        <v>0</v>
      </c>
      <c r="M17" s="425">
        <v>0</v>
      </c>
      <c r="N17" s="425">
        <v>0</v>
      </c>
      <c r="O17" s="425">
        <v>0</v>
      </c>
    </row>
    <row r="18" spans="3:15" hidden="1" x14ac:dyDescent="0.3">
      <c r="C18" t="s">
        <v>2266</v>
      </c>
      <c r="D18" t="s">
        <v>2267</v>
      </c>
      <c r="E18" t="s">
        <v>2270</v>
      </c>
      <c r="F18" t="s">
        <v>2271</v>
      </c>
      <c r="G18" s="425">
        <v>281619017</v>
      </c>
      <c r="H18" s="425">
        <v>59078600</v>
      </c>
      <c r="I18" s="425">
        <v>200780225</v>
      </c>
      <c r="J18" s="425">
        <v>0</v>
      </c>
      <c r="K18" s="425">
        <v>0</v>
      </c>
      <c r="L18" s="425">
        <v>3007351</v>
      </c>
      <c r="M18" s="425">
        <v>0</v>
      </c>
      <c r="N18" s="425">
        <v>18752841</v>
      </c>
      <c r="O18" s="425">
        <v>0</v>
      </c>
    </row>
    <row r="19" spans="3:15" hidden="1" x14ac:dyDescent="0.3">
      <c r="C19" t="s">
        <v>2266</v>
      </c>
      <c r="D19" t="s">
        <v>2267</v>
      </c>
      <c r="E19" t="s">
        <v>2272</v>
      </c>
      <c r="F19" t="s">
        <v>2273</v>
      </c>
      <c r="G19" s="425">
        <v>6406000</v>
      </c>
      <c r="H19" s="425">
        <v>0</v>
      </c>
      <c r="I19" s="425">
        <v>6406000</v>
      </c>
      <c r="J19" s="425">
        <v>0</v>
      </c>
      <c r="K19" s="425">
        <v>0</v>
      </c>
      <c r="L19" s="425">
        <v>0</v>
      </c>
      <c r="M19" s="425">
        <v>0</v>
      </c>
      <c r="N19" s="425">
        <v>0</v>
      </c>
      <c r="O19" s="425">
        <v>0</v>
      </c>
    </row>
    <row r="20" spans="3:15" hidden="1" x14ac:dyDescent="0.3">
      <c r="C20" t="s">
        <v>2263</v>
      </c>
      <c r="D20" t="s">
        <v>2237</v>
      </c>
      <c r="E20" t="s">
        <v>2274</v>
      </c>
      <c r="F20" t="s">
        <v>2275</v>
      </c>
      <c r="G20" s="425">
        <v>494731728</v>
      </c>
      <c r="H20" s="425">
        <v>0</v>
      </c>
      <c r="I20" s="425">
        <v>0</v>
      </c>
      <c r="J20" s="425">
        <v>0</v>
      </c>
      <c r="K20" s="425">
        <v>0</v>
      </c>
      <c r="L20" s="425">
        <v>0</v>
      </c>
      <c r="M20" s="425">
        <v>0</v>
      </c>
      <c r="N20" s="425">
        <v>494731728</v>
      </c>
      <c r="O20" s="425">
        <v>0</v>
      </c>
    </row>
    <row r="21" spans="3:15" hidden="1" x14ac:dyDescent="0.3">
      <c r="C21" t="s">
        <v>2266</v>
      </c>
      <c r="D21" t="s">
        <v>2267</v>
      </c>
      <c r="E21" t="s">
        <v>2276</v>
      </c>
      <c r="F21" t="s">
        <v>2277</v>
      </c>
      <c r="G21" s="425">
        <v>10519861</v>
      </c>
      <c r="H21" s="425">
        <v>0</v>
      </c>
      <c r="I21" s="425">
        <v>0</v>
      </c>
      <c r="J21" s="425">
        <v>0</v>
      </c>
      <c r="K21" s="425">
        <v>0</v>
      </c>
      <c r="L21" s="425">
        <v>0</v>
      </c>
      <c r="M21" s="425">
        <v>0</v>
      </c>
      <c r="N21" s="425">
        <v>10519861</v>
      </c>
      <c r="O21" s="425">
        <v>0</v>
      </c>
    </row>
    <row r="22" spans="3:15" hidden="1" x14ac:dyDescent="0.3">
      <c r="C22" t="s">
        <v>2266</v>
      </c>
      <c r="D22" t="s">
        <v>2267</v>
      </c>
      <c r="E22" t="s">
        <v>2278</v>
      </c>
      <c r="F22" t="s">
        <v>2279</v>
      </c>
      <c r="G22" s="425">
        <v>132744143</v>
      </c>
      <c r="H22" s="425">
        <v>0</v>
      </c>
      <c r="I22" s="425">
        <v>0</v>
      </c>
      <c r="J22" s="425">
        <v>0</v>
      </c>
      <c r="K22" s="425">
        <v>0</v>
      </c>
      <c r="L22" s="425">
        <v>0</v>
      </c>
      <c r="M22" s="425">
        <v>0</v>
      </c>
      <c r="N22" s="425">
        <v>132744143</v>
      </c>
      <c r="O22" s="425">
        <v>0</v>
      </c>
    </row>
    <row r="23" spans="3:15" hidden="1" x14ac:dyDescent="0.3">
      <c r="C23" t="s">
        <v>2266</v>
      </c>
      <c r="D23" t="s">
        <v>2267</v>
      </c>
      <c r="E23" t="s">
        <v>2280</v>
      </c>
      <c r="F23" t="s">
        <v>2281</v>
      </c>
      <c r="G23" s="425">
        <v>55142852</v>
      </c>
      <c r="H23" s="425">
        <v>0</v>
      </c>
      <c r="I23" s="425">
        <v>0</v>
      </c>
      <c r="J23" s="425">
        <v>0</v>
      </c>
      <c r="K23" s="425">
        <v>0</v>
      </c>
      <c r="L23" s="425">
        <v>0</v>
      </c>
      <c r="M23" s="425">
        <v>0</v>
      </c>
      <c r="N23" s="425">
        <v>55142852</v>
      </c>
      <c r="O23" s="425">
        <v>0</v>
      </c>
    </row>
    <row r="24" spans="3:15" hidden="1" x14ac:dyDescent="0.3">
      <c r="C24" t="s">
        <v>2266</v>
      </c>
      <c r="D24" t="s">
        <v>2267</v>
      </c>
      <c r="E24" t="s">
        <v>2282</v>
      </c>
      <c r="F24" t="s">
        <v>2283</v>
      </c>
      <c r="G24" s="425">
        <v>0</v>
      </c>
      <c r="H24" s="425">
        <v>0</v>
      </c>
      <c r="I24" s="425">
        <v>0</v>
      </c>
      <c r="J24" s="425">
        <v>0</v>
      </c>
      <c r="K24" s="425">
        <v>0</v>
      </c>
      <c r="L24" s="425">
        <v>0</v>
      </c>
      <c r="M24" s="425">
        <v>0</v>
      </c>
      <c r="N24" s="425">
        <v>0</v>
      </c>
      <c r="O24" s="425">
        <v>0</v>
      </c>
    </row>
    <row r="25" spans="3:15" hidden="1" x14ac:dyDescent="0.3">
      <c r="C25" t="s">
        <v>2266</v>
      </c>
      <c r="D25" t="s">
        <v>2267</v>
      </c>
      <c r="E25" t="s">
        <v>2284</v>
      </c>
      <c r="F25" t="s">
        <v>2285</v>
      </c>
      <c r="G25" s="425">
        <v>0</v>
      </c>
      <c r="H25" s="425">
        <v>0</v>
      </c>
      <c r="I25" s="425">
        <v>0</v>
      </c>
      <c r="J25" s="425">
        <v>0</v>
      </c>
      <c r="K25" s="425">
        <v>0</v>
      </c>
      <c r="L25" s="425">
        <v>0</v>
      </c>
      <c r="M25" s="425">
        <v>0</v>
      </c>
      <c r="N25" s="425">
        <v>0</v>
      </c>
      <c r="O25" s="425">
        <v>0</v>
      </c>
    </row>
    <row r="26" spans="3:15" hidden="1" x14ac:dyDescent="0.3">
      <c r="C26" t="s">
        <v>2266</v>
      </c>
      <c r="D26" t="s">
        <v>2267</v>
      </c>
      <c r="E26" t="s">
        <v>2286</v>
      </c>
      <c r="F26" t="s">
        <v>2287</v>
      </c>
      <c r="G26" s="425">
        <v>296324872</v>
      </c>
      <c r="H26" s="425">
        <v>0</v>
      </c>
      <c r="I26" s="425">
        <v>0</v>
      </c>
      <c r="J26" s="425">
        <v>0</v>
      </c>
      <c r="K26" s="425">
        <v>0</v>
      </c>
      <c r="L26" s="425">
        <v>0</v>
      </c>
      <c r="M26" s="425">
        <v>0</v>
      </c>
      <c r="N26" s="425">
        <v>296324872</v>
      </c>
      <c r="O26" s="425">
        <v>0</v>
      </c>
    </row>
    <row r="27" spans="3:15" hidden="1" x14ac:dyDescent="0.3">
      <c r="C27" t="s">
        <v>2263</v>
      </c>
      <c r="D27" t="s">
        <v>2237</v>
      </c>
      <c r="E27" t="s">
        <v>2288</v>
      </c>
      <c r="F27" t="s">
        <v>2289</v>
      </c>
      <c r="G27" s="425">
        <v>27961606424</v>
      </c>
      <c r="H27" s="425">
        <v>5677898645</v>
      </c>
      <c r="I27" s="425">
        <v>540000982</v>
      </c>
      <c r="J27" s="425">
        <v>0</v>
      </c>
      <c r="K27" s="425">
        <v>528899281</v>
      </c>
      <c r="L27" s="425">
        <v>7359912763</v>
      </c>
      <c r="M27" s="425">
        <v>986514031</v>
      </c>
      <c r="N27" s="425">
        <v>12868380722</v>
      </c>
      <c r="O27" s="425">
        <v>0</v>
      </c>
    </row>
    <row r="28" spans="3:15" hidden="1" x14ac:dyDescent="0.3">
      <c r="C28" t="s">
        <v>2266</v>
      </c>
      <c r="D28" t="s">
        <v>2237</v>
      </c>
      <c r="E28" t="s">
        <v>2290</v>
      </c>
      <c r="F28" t="s">
        <v>2291</v>
      </c>
      <c r="G28" s="425">
        <v>5677898645</v>
      </c>
      <c r="H28" s="425">
        <v>5677898645</v>
      </c>
      <c r="I28" s="425">
        <v>0</v>
      </c>
      <c r="J28" s="425">
        <v>0</v>
      </c>
      <c r="K28" s="425">
        <v>0</v>
      </c>
      <c r="L28" s="425">
        <v>0</v>
      </c>
      <c r="M28" s="425">
        <v>0</v>
      </c>
      <c r="N28" s="425">
        <v>0</v>
      </c>
      <c r="O28" s="425">
        <v>0</v>
      </c>
    </row>
    <row r="29" spans="3:15" hidden="1" x14ac:dyDescent="0.3">
      <c r="C29" t="s">
        <v>2292</v>
      </c>
      <c r="D29" t="s">
        <v>2237</v>
      </c>
      <c r="E29" t="s">
        <v>2293</v>
      </c>
      <c r="F29" t="s">
        <v>2294</v>
      </c>
      <c r="G29" s="425">
        <v>589701086</v>
      </c>
      <c r="H29" s="425">
        <v>589701086</v>
      </c>
      <c r="I29" s="425">
        <v>0</v>
      </c>
      <c r="J29" s="425">
        <v>0</v>
      </c>
      <c r="K29" s="425">
        <v>0</v>
      </c>
      <c r="L29" s="425">
        <v>0</v>
      </c>
      <c r="M29" s="425">
        <v>0</v>
      </c>
      <c r="N29" s="425">
        <v>0</v>
      </c>
      <c r="O29" s="425">
        <v>0</v>
      </c>
    </row>
    <row r="30" spans="3:15" hidden="1" x14ac:dyDescent="0.3">
      <c r="C30" t="s">
        <v>2295</v>
      </c>
      <c r="D30" t="s">
        <v>2267</v>
      </c>
      <c r="E30" t="s">
        <v>2296</v>
      </c>
      <c r="F30" t="s">
        <v>2297</v>
      </c>
      <c r="G30" s="425">
        <v>0</v>
      </c>
      <c r="H30" s="425">
        <v>0</v>
      </c>
      <c r="I30" s="425">
        <v>0</v>
      </c>
      <c r="J30" s="425">
        <v>0</v>
      </c>
      <c r="K30" s="425">
        <v>0</v>
      </c>
      <c r="L30" s="425">
        <v>0</v>
      </c>
      <c r="M30" s="425">
        <v>0</v>
      </c>
      <c r="N30" s="425">
        <v>0</v>
      </c>
      <c r="O30" s="425">
        <v>0</v>
      </c>
    </row>
    <row r="31" spans="3:15" hidden="1" x14ac:dyDescent="0.3">
      <c r="C31" t="s">
        <v>2295</v>
      </c>
      <c r="D31" t="s">
        <v>2267</v>
      </c>
      <c r="E31" t="s">
        <v>2298</v>
      </c>
      <c r="F31" t="s">
        <v>2299</v>
      </c>
      <c r="G31" s="425">
        <v>0</v>
      </c>
      <c r="H31" s="425">
        <v>0</v>
      </c>
      <c r="I31" s="425">
        <v>0</v>
      </c>
      <c r="J31" s="425">
        <v>0</v>
      </c>
      <c r="K31" s="425">
        <v>0</v>
      </c>
      <c r="L31" s="425">
        <v>0</v>
      </c>
      <c r="M31" s="425">
        <v>0</v>
      </c>
      <c r="N31" s="425">
        <v>0</v>
      </c>
      <c r="O31" s="425">
        <v>0</v>
      </c>
    </row>
    <row r="32" spans="3:15" hidden="1" x14ac:dyDescent="0.3">
      <c r="C32" t="s">
        <v>2295</v>
      </c>
      <c r="D32" t="s">
        <v>2267</v>
      </c>
      <c r="E32" t="s">
        <v>2300</v>
      </c>
      <c r="F32" t="s">
        <v>2301</v>
      </c>
      <c r="G32" s="425">
        <v>0</v>
      </c>
      <c r="H32" s="425">
        <v>0</v>
      </c>
      <c r="I32" s="425">
        <v>0</v>
      </c>
      <c r="J32" s="425">
        <v>0</v>
      </c>
      <c r="K32" s="425">
        <v>0</v>
      </c>
      <c r="L32" s="425">
        <v>0</v>
      </c>
      <c r="M32" s="425">
        <v>0</v>
      </c>
      <c r="N32" s="425">
        <v>0</v>
      </c>
      <c r="O32" s="425">
        <v>0</v>
      </c>
    </row>
    <row r="33" spans="3:15" hidden="1" x14ac:dyDescent="0.3">
      <c r="C33" t="s">
        <v>2295</v>
      </c>
      <c r="D33" t="s">
        <v>2267</v>
      </c>
      <c r="E33" t="s">
        <v>2302</v>
      </c>
      <c r="F33" t="s">
        <v>2303</v>
      </c>
      <c r="G33" s="425">
        <v>0</v>
      </c>
      <c r="H33" s="425">
        <v>0</v>
      </c>
      <c r="I33" s="425">
        <v>0</v>
      </c>
      <c r="J33" s="425">
        <v>0</v>
      </c>
      <c r="K33" s="425">
        <v>0</v>
      </c>
      <c r="L33" s="425">
        <v>0</v>
      </c>
      <c r="M33" s="425">
        <v>0</v>
      </c>
      <c r="N33" s="425">
        <v>0</v>
      </c>
      <c r="O33" s="425">
        <v>0</v>
      </c>
    </row>
    <row r="34" spans="3:15" hidden="1" x14ac:dyDescent="0.3">
      <c r="C34" t="s">
        <v>2295</v>
      </c>
      <c r="D34" t="s">
        <v>2267</v>
      </c>
      <c r="E34" t="s">
        <v>2304</v>
      </c>
      <c r="F34" t="s">
        <v>2305</v>
      </c>
      <c r="G34" s="425">
        <v>0</v>
      </c>
      <c r="H34" s="425">
        <v>0</v>
      </c>
      <c r="I34" s="425">
        <v>0</v>
      </c>
      <c r="J34" s="425">
        <v>0</v>
      </c>
      <c r="K34" s="425">
        <v>0</v>
      </c>
      <c r="L34" s="425">
        <v>0</v>
      </c>
      <c r="M34" s="425">
        <v>0</v>
      </c>
      <c r="N34" s="425">
        <v>0</v>
      </c>
      <c r="O34" s="425">
        <v>0</v>
      </c>
    </row>
    <row r="35" spans="3:15" hidden="1" x14ac:dyDescent="0.3">
      <c r="C35" t="s">
        <v>2295</v>
      </c>
      <c r="D35" t="s">
        <v>2267</v>
      </c>
      <c r="E35" t="s">
        <v>2306</v>
      </c>
      <c r="F35" t="s">
        <v>2307</v>
      </c>
      <c r="G35" s="425">
        <v>0</v>
      </c>
      <c r="H35" s="425">
        <v>0</v>
      </c>
      <c r="I35" s="425">
        <v>0</v>
      </c>
      <c r="J35" s="425">
        <v>0</v>
      </c>
      <c r="K35" s="425">
        <v>0</v>
      </c>
      <c r="L35" s="425">
        <v>0</v>
      </c>
      <c r="M35" s="425">
        <v>0</v>
      </c>
      <c r="N35" s="425">
        <v>0</v>
      </c>
      <c r="O35" s="425">
        <v>0</v>
      </c>
    </row>
    <row r="36" spans="3:15" hidden="1" x14ac:dyDescent="0.3">
      <c r="C36" t="s">
        <v>2295</v>
      </c>
      <c r="D36" t="s">
        <v>2267</v>
      </c>
      <c r="E36" t="s">
        <v>2308</v>
      </c>
      <c r="F36" t="s">
        <v>2309</v>
      </c>
      <c r="G36" s="425">
        <v>80000000</v>
      </c>
      <c r="H36" s="425">
        <v>80000000</v>
      </c>
      <c r="I36" s="425">
        <v>0</v>
      </c>
      <c r="J36" s="425">
        <v>0</v>
      </c>
      <c r="K36" s="425">
        <v>0</v>
      </c>
      <c r="L36" s="425">
        <v>0</v>
      </c>
      <c r="M36" s="425">
        <v>0</v>
      </c>
      <c r="N36" s="425">
        <v>0</v>
      </c>
      <c r="O36" s="425">
        <v>0</v>
      </c>
    </row>
    <row r="37" spans="3:15" hidden="1" x14ac:dyDescent="0.3">
      <c r="C37" t="s">
        <v>2295</v>
      </c>
      <c r="D37" t="s">
        <v>2267</v>
      </c>
      <c r="E37" t="s">
        <v>2310</v>
      </c>
      <c r="F37" t="s">
        <v>2311</v>
      </c>
      <c r="G37" s="425">
        <v>0</v>
      </c>
      <c r="H37" s="425">
        <v>0</v>
      </c>
      <c r="I37" s="425">
        <v>0</v>
      </c>
      <c r="J37" s="425">
        <v>0</v>
      </c>
      <c r="K37" s="425">
        <v>0</v>
      </c>
      <c r="L37" s="425">
        <v>0</v>
      </c>
      <c r="M37" s="425">
        <v>0</v>
      </c>
      <c r="N37" s="425">
        <v>0</v>
      </c>
      <c r="O37" s="425">
        <v>0</v>
      </c>
    </row>
    <row r="38" spans="3:15" hidden="1" x14ac:dyDescent="0.3">
      <c r="C38" t="s">
        <v>2295</v>
      </c>
      <c r="D38" t="s">
        <v>2267</v>
      </c>
      <c r="E38" t="s">
        <v>2312</v>
      </c>
      <c r="F38" t="s">
        <v>2313</v>
      </c>
      <c r="G38" s="425">
        <v>0</v>
      </c>
      <c r="H38" s="425">
        <v>0</v>
      </c>
      <c r="I38" s="425">
        <v>0</v>
      </c>
      <c r="J38" s="425">
        <v>0</v>
      </c>
      <c r="K38" s="425">
        <v>0</v>
      </c>
      <c r="L38" s="425">
        <v>0</v>
      </c>
      <c r="M38" s="425">
        <v>0</v>
      </c>
      <c r="N38" s="425">
        <v>0</v>
      </c>
      <c r="O38" s="425">
        <v>0</v>
      </c>
    </row>
    <row r="39" spans="3:15" hidden="1" x14ac:dyDescent="0.3">
      <c r="C39" t="s">
        <v>2295</v>
      </c>
      <c r="D39" t="s">
        <v>2267</v>
      </c>
      <c r="E39" t="s">
        <v>2314</v>
      </c>
      <c r="F39" t="s">
        <v>2315</v>
      </c>
      <c r="G39" s="425">
        <v>0</v>
      </c>
      <c r="H39" s="425">
        <v>0</v>
      </c>
      <c r="I39" s="425">
        <v>0</v>
      </c>
      <c r="J39" s="425">
        <v>0</v>
      </c>
      <c r="K39" s="425">
        <v>0</v>
      </c>
      <c r="L39" s="425">
        <v>0</v>
      </c>
      <c r="M39" s="425">
        <v>0</v>
      </c>
      <c r="N39" s="425">
        <v>0</v>
      </c>
      <c r="O39" s="425">
        <v>0</v>
      </c>
    </row>
    <row r="40" spans="3:15" hidden="1" x14ac:dyDescent="0.3">
      <c r="C40" t="s">
        <v>2295</v>
      </c>
      <c r="D40" t="s">
        <v>2267</v>
      </c>
      <c r="E40" t="s">
        <v>2316</v>
      </c>
      <c r="F40" t="s">
        <v>2317</v>
      </c>
      <c r="G40" s="425">
        <v>11765000</v>
      </c>
      <c r="H40" s="425">
        <v>11765000</v>
      </c>
      <c r="I40" s="425">
        <v>0</v>
      </c>
      <c r="J40" s="425">
        <v>0</v>
      </c>
      <c r="K40" s="425">
        <v>0</v>
      </c>
      <c r="L40" s="425">
        <v>0</v>
      </c>
      <c r="M40" s="425">
        <v>0</v>
      </c>
      <c r="N40" s="425">
        <v>0</v>
      </c>
      <c r="O40" s="425">
        <v>0</v>
      </c>
    </row>
    <row r="41" spans="3:15" hidden="1" x14ac:dyDescent="0.3">
      <c r="C41" t="s">
        <v>2295</v>
      </c>
      <c r="D41" t="s">
        <v>2267</v>
      </c>
      <c r="E41" t="s">
        <v>2318</v>
      </c>
      <c r="F41" t="s">
        <v>2319</v>
      </c>
      <c r="G41" s="425">
        <v>84469743</v>
      </c>
      <c r="H41" s="425">
        <v>84469743</v>
      </c>
      <c r="I41" s="425">
        <v>0</v>
      </c>
      <c r="J41" s="425">
        <v>0</v>
      </c>
      <c r="K41" s="425">
        <v>0</v>
      </c>
      <c r="L41" s="425">
        <v>0</v>
      </c>
      <c r="M41" s="425">
        <v>0</v>
      </c>
      <c r="N41" s="425">
        <v>0</v>
      </c>
      <c r="O41" s="425">
        <v>0</v>
      </c>
    </row>
    <row r="42" spans="3:15" hidden="1" x14ac:dyDescent="0.3">
      <c r="C42" t="s">
        <v>2295</v>
      </c>
      <c r="D42" t="s">
        <v>2267</v>
      </c>
      <c r="E42" t="s">
        <v>2320</v>
      </c>
      <c r="F42" t="s">
        <v>2321</v>
      </c>
      <c r="G42" s="425">
        <v>2213107</v>
      </c>
      <c r="H42" s="425">
        <v>2213107</v>
      </c>
      <c r="I42" s="425">
        <v>0</v>
      </c>
      <c r="J42" s="425">
        <v>0</v>
      </c>
      <c r="K42" s="425">
        <v>0</v>
      </c>
      <c r="L42" s="425">
        <v>0</v>
      </c>
      <c r="M42" s="425">
        <v>0</v>
      </c>
      <c r="N42" s="425">
        <v>0</v>
      </c>
      <c r="O42" s="425">
        <v>0</v>
      </c>
    </row>
    <row r="43" spans="3:15" hidden="1" x14ac:dyDescent="0.3">
      <c r="C43" t="s">
        <v>2295</v>
      </c>
      <c r="D43" t="s">
        <v>2267</v>
      </c>
      <c r="E43" t="s">
        <v>2322</v>
      </c>
      <c r="F43" t="s">
        <v>2323</v>
      </c>
      <c r="G43" s="425">
        <v>118280000</v>
      </c>
      <c r="H43" s="425">
        <v>118280000</v>
      </c>
      <c r="I43" s="425">
        <v>0</v>
      </c>
      <c r="J43" s="425">
        <v>0</v>
      </c>
      <c r="K43" s="425">
        <v>0</v>
      </c>
      <c r="L43" s="425">
        <v>0</v>
      </c>
      <c r="M43" s="425">
        <v>0</v>
      </c>
      <c r="N43" s="425">
        <v>0</v>
      </c>
      <c r="O43" s="425">
        <v>0</v>
      </c>
    </row>
    <row r="44" spans="3:15" hidden="1" x14ac:dyDescent="0.3">
      <c r="C44" t="s">
        <v>2295</v>
      </c>
      <c r="D44" t="s">
        <v>2267</v>
      </c>
      <c r="E44" t="s">
        <v>2324</v>
      </c>
      <c r="F44" t="s">
        <v>2325</v>
      </c>
      <c r="G44" s="425">
        <v>0</v>
      </c>
      <c r="H44" s="425">
        <v>0</v>
      </c>
      <c r="I44" s="425">
        <v>0</v>
      </c>
      <c r="J44" s="425">
        <v>0</v>
      </c>
      <c r="K44" s="425">
        <v>0</v>
      </c>
      <c r="L44" s="425">
        <v>0</v>
      </c>
      <c r="M44" s="425">
        <v>0</v>
      </c>
      <c r="N44" s="425">
        <v>0</v>
      </c>
      <c r="O44" s="425">
        <v>0</v>
      </c>
    </row>
    <row r="45" spans="3:15" hidden="1" x14ac:dyDescent="0.3">
      <c r="C45" t="s">
        <v>2295</v>
      </c>
      <c r="D45" t="s">
        <v>2267</v>
      </c>
      <c r="E45" t="s">
        <v>2326</v>
      </c>
      <c r="F45" t="s">
        <v>2327</v>
      </c>
      <c r="G45" s="425">
        <v>9816129</v>
      </c>
      <c r="H45" s="425">
        <v>9816129</v>
      </c>
      <c r="I45" s="425">
        <v>0</v>
      </c>
      <c r="J45" s="425">
        <v>0</v>
      </c>
      <c r="K45" s="425">
        <v>0</v>
      </c>
      <c r="L45" s="425">
        <v>0</v>
      </c>
      <c r="M45" s="425">
        <v>0</v>
      </c>
      <c r="N45" s="425">
        <v>0</v>
      </c>
      <c r="O45" s="425">
        <v>0</v>
      </c>
    </row>
    <row r="46" spans="3:15" hidden="1" x14ac:dyDescent="0.3">
      <c r="C46" t="s">
        <v>2295</v>
      </c>
      <c r="D46" t="s">
        <v>2267</v>
      </c>
      <c r="E46" t="s">
        <v>2328</v>
      </c>
      <c r="F46" t="s">
        <v>2329</v>
      </c>
      <c r="G46" s="425">
        <v>0</v>
      </c>
      <c r="H46" s="425">
        <v>0</v>
      </c>
      <c r="I46" s="425">
        <v>0</v>
      </c>
      <c r="J46" s="425">
        <v>0</v>
      </c>
      <c r="K46" s="425">
        <v>0</v>
      </c>
      <c r="L46" s="425">
        <v>0</v>
      </c>
      <c r="M46" s="425">
        <v>0</v>
      </c>
      <c r="N46" s="425">
        <v>0</v>
      </c>
      <c r="O46" s="425">
        <v>0</v>
      </c>
    </row>
    <row r="47" spans="3:15" hidden="1" x14ac:dyDescent="0.3">
      <c r="C47" t="s">
        <v>2295</v>
      </c>
      <c r="D47" t="s">
        <v>2267</v>
      </c>
      <c r="E47" t="s">
        <v>2330</v>
      </c>
      <c r="F47" t="s">
        <v>2331</v>
      </c>
      <c r="G47" s="425">
        <v>0</v>
      </c>
      <c r="H47" s="425">
        <v>0</v>
      </c>
      <c r="I47" s="425">
        <v>0</v>
      </c>
      <c r="J47" s="425">
        <v>0</v>
      </c>
      <c r="K47" s="425">
        <v>0</v>
      </c>
      <c r="L47" s="425">
        <v>0</v>
      </c>
      <c r="M47" s="425">
        <v>0</v>
      </c>
      <c r="N47" s="425">
        <v>0</v>
      </c>
      <c r="O47" s="425">
        <v>0</v>
      </c>
    </row>
    <row r="48" spans="3:15" hidden="1" x14ac:dyDescent="0.3">
      <c r="C48" t="s">
        <v>2295</v>
      </c>
      <c r="D48" t="s">
        <v>2267</v>
      </c>
      <c r="E48" t="s">
        <v>2332</v>
      </c>
      <c r="F48" t="s">
        <v>2333</v>
      </c>
      <c r="G48" s="425">
        <v>0</v>
      </c>
      <c r="H48" s="425">
        <v>0</v>
      </c>
      <c r="I48" s="425">
        <v>0</v>
      </c>
      <c r="J48" s="425">
        <v>0</v>
      </c>
      <c r="K48" s="425">
        <v>0</v>
      </c>
      <c r="L48" s="425">
        <v>0</v>
      </c>
      <c r="M48" s="425">
        <v>0</v>
      </c>
      <c r="N48" s="425">
        <v>0</v>
      </c>
      <c r="O48" s="425">
        <v>0</v>
      </c>
    </row>
    <row r="49" spans="3:15" hidden="1" x14ac:dyDescent="0.3">
      <c r="C49" t="s">
        <v>2295</v>
      </c>
      <c r="D49" t="s">
        <v>2267</v>
      </c>
      <c r="E49" t="s">
        <v>2334</v>
      </c>
      <c r="F49" t="s">
        <v>2335</v>
      </c>
      <c r="G49" s="425">
        <v>0</v>
      </c>
      <c r="H49" s="425">
        <v>0</v>
      </c>
      <c r="I49" s="425">
        <v>0</v>
      </c>
      <c r="J49" s="425">
        <v>0</v>
      </c>
      <c r="K49" s="425">
        <v>0</v>
      </c>
      <c r="L49" s="425">
        <v>0</v>
      </c>
      <c r="M49" s="425">
        <v>0</v>
      </c>
      <c r="N49" s="425">
        <v>0</v>
      </c>
      <c r="O49" s="425">
        <v>0</v>
      </c>
    </row>
    <row r="50" spans="3:15" hidden="1" x14ac:dyDescent="0.3">
      <c r="C50" t="s">
        <v>2295</v>
      </c>
      <c r="D50" t="s">
        <v>2267</v>
      </c>
      <c r="E50" t="s">
        <v>2336</v>
      </c>
      <c r="F50" t="s">
        <v>2337</v>
      </c>
      <c r="G50" s="425">
        <v>0</v>
      </c>
      <c r="H50" s="425">
        <v>0</v>
      </c>
      <c r="I50" s="425">
        <v>0</v>
      </c>
      <c r="J50" s="425">
        <v>0</v>
      </c>
      <c r="K50" s="425">
        <v>0</v>
      </c>
      <c r="L50" s="425">
        <v>0</v>
      </c>
      <c r="M50" s="425">
        <v>0</v>
      </c>
      <c r="N50" s="425">
        <v>0</v>
      </c>
      <c r="O50" s="425">
        <v>0</v>
      </c>
    </row>
    <row r="51" spans="3:15" hidden="1" x14ac:dyDescent="0.3">
      <c r="C51" t="s">
        <v>2295</v>
      </c>
      <c r="D51" t="s">
        <v>2267</v>
      </c>
      <c r="E51" t="s">
        <v>2338</v>
      </c>
      <c r="F51" t="s">
        <v>2339</v>
      </c>
      <c r="G51" s="425">
        <v>0</v>
      </c>
      <c r="H51" s="425">
        <v>0</v>
      </c>
      <c r="I51" s="425">
        <v>0</v>
      </c>
      <c r="J51" s="425">
        <v>0</v>
      </c>
      <c r="K51" s="425">
        <v>0</v>
      </c>
      <c r="L51" s="425">
        <v>0</v>
      </c>
      <c r="M51" s="425">
        <v>0</v>
      </c>
      <c r="N51" s="425">
        <v>0</v>
      </c>
      <c r="O51" s="425">
        <v>0</v>
      </c>
    </row>
    <row r="52" spans="3:15" hidden="1" x14ac:dyDescent="0.3">
      <c r="C52" t="s">
        <v>2295</v>
      </c>
      <c r="D52" t="s">
        <v>2267</v>
      </c>
      <c r="E52" t="s">
        <v>2340</v>
      </c>
      <c r="F52" t="s">
        <v>2341</v>
      </c>
      <c r="G52" s="425">
        <v>0</v>
      </c>
      <c r="H52" s="425">
        <v>0</v>
      </c>
      <c r="I52" s="425">
        <v>0</v>
      </c>
      <c r="J52" s="425">
        <v>0</v>
      </c>
      <c r="K52" s="425">
        <v>0</v>
      </c>
      <c r="L52" s="425">
        <v>0</v>
      </c>
      <c r="M52" s="425">
        <v>0</v>
      </c>
      <c r="N52" s="425">
        <v>0</v>
      </c>
      <c r="O52" s="425">
        <v>0</v>
      </c>
    </row>
    <row r="53" spans="3:15" hidden="1" x14ac:dyDescent="0.3">
      <c r="C53" t="s">
        <v>2295</v>
      </c>
      <c r="D53" t="s">
        <v>2267</v>
      </c>
      <c r="E53" t="s">
        <v>2342</v>
      </c>
      <c r="F53" t="s">
        <v>2343</v>
      </c>
      <c r="G53" s="425">
        <v>0</v>
      </c>
      <c r="H53" s="425">
        <v>0</v>
      </c>
      <c r="I53" s="425">
        <v>0</v>
      </c>
      <c r="J53" s="425">
        <v>0</v>
      </c>
      <c r="K53" s="425">
        <v>0</v>
      </c>
      <c r="L53" s="425">
        <v>0</v>
      </c>
      <c r="M53" s="425">
        <v>0</v>
      </c>
      <c r="N53" s="425">
        <v>0</v>
      </c>
      <c r="O53" s="425">
        <v>0</v>
      </c>
    </row>
    <row r="54" spans="3:15" hidden="1" x14ac:dyDescent="0.3">
      <c r="C54" t="s">
        <v>2295</v>
      </c>
      <c r="D54" t="s">
        <v>2267</v>
      </c>
      <c r="E54" t="s">
        <v>2344</v>
      </c>
      <c r="F54" t="s">
        <v>2345</v>
      </c>
      <c r="G54" s="425">
        <v>0</v>
      </c>
      <c r="H54" s="425">
        <v>0</v>
      </c>
      <c r="I54" s="425">
        <v>0</v>
      </c>
      <c r="J54" s="425">
        <v>0</v>
      </c>
      <c r="K54" s="425">
        <v>0</v>
      </c>
      <c r="L54" s="425">
        <v>0</v>
      </c>
      <c r="M54" s="425">
        <v>0</v>
      </c>
      <c r="N54" s="425">
        <v>0</v>
      </c>
      <c r="O54" s="425">
        <v>0</v>
      </c>
    </row>
    <row r="55" spans="3:15" hidden="1" x14ac:dyDescent="0.3">
      <c r="C55" t="s">
        <v>2295</v>
      </c>
      <c r="D55" t="s">
        <v>2267</v>
      </c>
      <c r="E55" t="s">
        <v>2346</v>
      </c>
      <c r="F55" t="s">
        <v>2347</v>
      </c>
      <c r="G55" s="425">
        <v>0</v>
      </c>
      <c r="H55" s="425">
        <v>0</v>
      </c>
      <c r="I55" s="425">
        <v>0</v>
      </c>
      <c r="J55" s="425">
        <v>0</v>
      </c>
      <c r="K55" s="425">
        <v>0</v>
      </c>
      <c r="L55" s="425">
        <v>0</v>
      </c>
      <c r="M55" s="425">
        <v>0</v>
      </c>
      <c r="N55" s="425">
        <v>0</v>
      </c>
      <c r="O55" s="425">
        <v>0</v>
      </c>
    </row>
    <row r="56" spans="3:15" hidden="1" x14ac:dyDescent="0.3">
      <c r="C56" t="s">
        <v>2295</v>
      </c>
      <c r="D56" t="s">
        <v>2267</v>
      </c>
      <c r="E56" t="s">
        <v>2348</v>
      </c>
      <c r="F56" t="s">
        <v>2349</v>
      </c>
      <c r="G56" s="425">
        <v>0</v>
      </c>
      <c r="H56" s="425">
        <v>0</v>
      </c>
      <c r="I56" s="425">
        <v>0</v>
      </c>
      <c r="J56" s="425">
        <v>0</v>
      </c>
      <c r="K56" s="425">
        <v>0</v>
      </c>
      <c r="L56" s="425">
        <v>0</v>
      </c>
      <c r="M56" s="425">
        <v>0</v>
      </c>
      <c r="N56" s="425">
        <v>0</v>
      </c>
      <c r="O56" s="425">
        <v>0</v>
      </c>
    </row>
    <row r="57" spans="3:15" hidden="1" x14ac:dyDescent="0.3">
      <c r="C57" t="s">
        <v>2295</v>
      </c>
      <c r="D57" t="s">
        <v>2267</v>
      </c>
      <c r="E57" t="s">
        <v>2350</v>
      </c>
      <c r="F57" t="s">
        <v>2351</v>
      </c>
      <c r="G57" s="425">
        <v>0</v>
      </c>
      <c r="H57" s="425">
        <v>0</v>
      </c>
      <c r="I57" s="425">
        <v>0</v>
      </c>
      <c r="J57" s="425">
        <v>0</v>
      </c>
      <c r="K57" s="425">
        <v>0</v>
      </c>
      <c r="L57" s="425">
        <v>0</v>
      </c>
      <c r="M57" s="425">
        <v>0</v>
      </c>
      <c r="N57" s="425">
        <v>0</v>
      </c>
      <c r="O57" s="425">
        <v>0</v>
      </c>
    </row>
    <row r="58" spans="3:15" hidden="1" x14ac:dyDescent="0.3">
      <c r="C58" t="s">
        <v>2295</v>
      </c>
      <c r="D58" t="s">
        <v>2267</v>
      </c>
      <c r="E58" t="s">
        <v>2352</v>
      </c>
      <c r="F58" t="s">
        <v>2353</v>
      </c>
      <c r="G58" s="425">
        <v>0</v>
      </c>
      <c r="H58" s="425">
        <v>0</v>
      </c>
      <c r="I58" s="425">
        <v>0</v>
      </c>
      <c r="J58" s="425">
        <v>0</v>
      </c>
      <c r="K58" s="425">
        <v>0</v>
      </c>
      <c r="L58" s="425">
        <v>0</v>
      </c>
      <c r="M58" s="425">
        <v>0</v>
      </c>
      <c r="N58" s="425">
        <v>0</v>
      </c>
      <c r="O58" s="425">
        <v>0</v>
      </c>
    </row>
    <row r="59" spans="3:15" hidden="1" x14ac:dyDescent="0.3">
      <c r="C59" t="s">
        <v>2295</v>
      </c>
      <c r="D59" t="s">
        <v>2267</v>
      </c>
      <c r="E59" t="s">
        <v>2354</v>
      </c>
      <c r="F59" t="s">
        <v>2355</v>
      </c>
      <c r="G59" s="425">
        <v>0</v>
      </c>
      <c r="H59" s="425">
        <v>0</v>
      </c>
      <c r="I59" s="425">
        <v>0</v>
      </c>
      <c r="J59" s="425">
        <v>0</v>
      </c>
      <c r="K59" s="425">
        <v>0</v>
      </c>
      <c r="L59" s="425">
        <v>0</v>
      </c>
      <c r="M59" s="425">
        <v>0</v>
      </c>
      <c r="N59" s="425">
        <v>0</v>
      </c>
      <c r="O59" s="425">
        <v>0</v>
      </c>
    </row>
    <row r="60" spans="3:15" hidden="1" x14ac:dyDescent="0.3">
      <c r="C60" t="s">
        <v>2295</v>
      </c>
      <c r="D60" t="s">
        <v>2267</v>
      </c>
      <c r="E60" t="s">
        <v>2356</v>
      </c>
      <c r="F60" t="s">
        <v>2357</v>
      </c>
      <c r="G60" s="425">
        <v>0</v>
      </c>
      <c r="H60" s="425">
        <v>0</v>
      </c>
      <c r="I60" s="425">
        <v>0</v>
      </c>
      <c r="J60" s="425">
        <v>0</v>
      </c>
      <c r="K60" s="425">
        <v>0</v>
      </c>
      <c r="L60" s="425">
        <v>0</v>
      </c>
      <c r="M60" s="425">
        <v>0</v>
      </c>
      <c r="N60" s="425">
        <v>0</v>
      </c>
      <c r="O60" s="425">
        <v>0</v>
      </c>
    </row>
    <row r="61" spans="3:15" hidden="1" x14ac:dyDescent="0.3">
      <c r="C61" t="s">
        <v>2295</v>
      </c>
      <c r="D61" t="s">
        <v>2267</v>
      </c>
      <c r="E61" t="s">
        <v>2358</v>
      </c>
      <c r="F61" t="s">
        <v>2359</v>
      </c>
      <c r="G61" s="425">
        <v>32010436</v>
      </c>
      <c r="H61" s="425">
        <v>32010436</v>
      </c>
      <c r="I61" s="425">
        <v>0</v>
      </c>
      <c r="J61" s="425">
        <v>0</v>
      </c>
      <c r="K61" s="425">
        <v>0</v>
      </c>
      <c r="L61" s="425">
        <v>0</v>
      </c>
      <c r="M61" s="425">
        <v>0</v>
      </c>
      <c r="N61" s="425">
        <v>0</v>
      </c>
      <c r="O61" s="425">
        <v>0</v>
      </c>
    </row>
    <row r="62" spans="3:15" hidden="1" x14ac:dyDescent="0.3">
      <c r="C62" t="s">
        <v>2295</v>
      </c>
      <c r="D62" t="s">
        <v>2267</v>
      </c>
      <c r="E62" t="s">
        <v>2360</v>
      </c>
      <c r="F62" t="s">
        <v>2361</v>
      </c>
      <c r="G62" s="425">
        <v>50000000</v>
      </c>
      <c r="H62" s="425">
        <v>50000000</v>
      </c>
      <c r="I62" s="425">
        <v>0</v>
      </c>
      <c r="J62" s="425">
        <v>0</v>
      </c>
      <c r="K62" s="425">
        <v>0</v>
      </c>
      <c r="L62" s="425">
        <v>0</v>
      </c>
      <c r="M62" s="425">
        <v>0</v>
      </c>
      <c r="N62" s="425">
        <v>0</v>
      </c>
      <c r="O62" s="425">
        <v>0</v>
      </c>
    </row>
    <row r="63" spans="3:15" hidden="1" x14ac:dyDescent="0.3">
      <c r="C63" t="s">
        <v>2295</v>
      </c>
      <c r="D63" t="s">
        <v>2267</v>
      </c>
      <c r="E63" t="s">
        <v>2362</v>
      </c>
      <c r="F63" t="s">
        <v>2363</v>
      </c>
      <c r="G63" s="425">
        <v>0</v>
      </c>
      <c r="H63" s="425">
        <v>0</v>
      </c>
      <c r="I63" s="425">
        <v>0</v>
      </c>
      <c r="J63" s="425">
        <v>0</v>
      </c>
      <c r="K63" s="425">
        <v>0</v>
      </c>
      <c r="L63" s="425">
        <v>0</v>
      </c>
      <c r="M63" s="425">
        <v>0</v>
      </c>
      <c r="N63" s="425">
        <v>0</v>
      </c>
      <c r="O63" s="425">
        <v>0</v>
      </c>
    </row>
    <row r="64" spans="3:15" hidden="1" x14ac:dyDescent="0.3">
      <c r="C64" t="s">
        <v>2295</v>
      </c>
      <c r="D64" t="s">
        <v>2267</v>
      </c>
      <c r="E64" t="s">
        <v>2364</v>
      </c>
      <c r="F64" t="s">
        <v>2365</v>
      </c>
      <c r="G64" s="425">
        <v>0</v>
      </c>
      <c r="H64" s="425">
        <v>0</v>
      </c>
      <c r="I64" s="425">
        <v>0</v>
      </c>
      <c r="J64" s="425">
        <v>0</v>
      </c>
      <c r="K64" s="425">
        <v>0</v>
      </c>
      <c r="L64" s="425">
        <v>0</v>
      </c>
      <c r="M64" s="425">
        <v>0</v>
      </c>
      <c r="N64" s="425">
        <v>0</v>
      </c>
      <c r="O64" s="425">
        <v>0</v>
      </c>
    </row>
    <row r="65" spans="3:15" hidden="1" x14ac:dyDescent="0.3">
      <c r="C65" t="s">
        <v>2295</v>
      </c>
      <c r="D65" t="s">
        <v>2267</v>
      </c>
      <c r="E65" t="s">
        <v>2366</v>
      </c>
      <c r="F65" t="s">
        <v>2367</v>
      </c>
      <c r="G65" s="425">
        <v>0</v>
      </c>
      <c r="H65" s="425">
        <v>0</v>
      </c>
      <c r="I65" s="425">
        <v>0</v>
      </c>
      <c r="J65" s="425">
        <v>0</v>
      </c>
      <c r="K65" s="425">
        <v>0</v>
      </c>
      <c r="L65" s="425">
        <v>0</v>
      </c>
      <c r="M65" s="425">
        <v>0</v>
      </c>
      <c r="N65" s="425">
        <v>0</v>
      </c>
      <c r="O65" s="425">
        <v>0</v>
      </c>
    </row>
    <row r="66" spans="3:15" hidden="1" x14ac:dyDescent="0.3">
      <c r="C66" t="s">
        <v>2295</v>
      </c>
      <c r="D66" t="s">
        <v>2267</v>
      </c>
      <c r="E66" t="s">
        <v>2368</v>
      </c>
      <c r="F66" t="s">
        <v>2369</v>
      </c>
      <c r="G66" s="425">
        <v>0</v>
      </c>
      <c r="H66" s="425">
        <v>0</v>
      </c>
      <c r="I66" s="425">
        <v>0</v>
      </c>
      <c r="J66" s="425">
        <v>0</v>
      </c>
      <c r="K66" s="425">
        <v>0</v>
      </c>
      <c r="L66" s="425">
        <v>0</v>
      </c>
      <c r="M66" s="425">
        <v>0</v>
      </c>
      <c r="N66" s="425">
        <v>0</v>
      </c>
      <c r="O66" s="425">
        <v>0</v>
      </c>
    </row>
    <row r="67" spans="3:15" hidden="1" x14ac:dyDescent="0.3">
      <c r="C67" t="s">
        <v>2295</v>
      </c>
      <c r="D67" t="s">
        <v>2267</v>
      </c>
      <c r="E67" t="s">
        <v>2370</v>
      </c>
      <c r="F67" t="s">
        <v>2371</v>
      </c>
      <c r="G67" s="425">
        <v>0</v>
      </c>
      <c r="H67" s="425">
        <v>0</v>
      </c>
      <c r="I67" s="425">
        <v>0</v>
      </c>
      <c r="J67" s="425">
        <v>0</v>
      </c>
      <c r="K67" s="425">
        <v>0</v>
      </c>
      <c r="L67" s="425">
        <v>0</v>
      </c>
      <c r="M67" s="425">
        <v>0</v>
      </c>
      <c r="N67" s="425">
        <v>0</v>
      </c>
      <c r="O67" s="425">
        <v>0</v>
      </c>
    </row>
    <row r="68" spans="3:15" hidden="1" x14ac:dyDescent="0.3">
      <c r="C68" t="s">
        <v>2295</v>
      </c>
      <c r="D68" t="s">
        <v>2267</v>
      </c>
      <c r="E68" t="s">
        <v>2372</v>
      </c>
      <c r="F68" t="s">
        <v>2373</v>
      </c>
      <c r="G68" s="425">
        <v>50021101</v>
      </c>
      <c r="H68" s="425">
        <v>50021101</v>
      </c>
      <c r="I68" s="425">
        <v>0</v>
      </c>
      <c r="J68" s="425">
        <v>0</v>
      </c>
      <c r="K68" s="425">
        <v>0</v>
      </c>
      <c r="L68" s="425">
        <v>0</v>
      </c>
      <c r="M68" s="425">
        <v>0</v>
      </c>
      <c r="N68" s="425">
        <v>0</v>
      </c>
      <c r="O68" s="425">
        <v>0</v>
      </c>
    </row>
    <row r="69" spans="3:15" hidden="1" x14ac:dyDescent="0.3">
      <c r="C69" t="s">
        <v>2295</v>
      </c>
      <c r="D69" t="s">
        <v>2267</v>
      </c>
      <c r="E69" t="s">
        <v>2374</v>
      </c>
      <c r="F69" t="s">
        <v>2375</v>
      </c>
      <c r="G69" s="425">
        <v>37600000</v>
      </c>
      <c r="H69" s="425">
        <v>37600000</v>
      </c>
      <c r="I69" s="425">
        <v>0</v>
      </c>
      <c r="J69" s="425">
        <v>0</v>
      </c>
      <c r="K69" s="425">
        <v>0</v>
      </c>
      <c r="L69" s="425">
        <v>0</v>
      </c>
      <c r="M69" s="425">
        <v>0</v>
      </c>
      <c r="N69" s="425">
        <v>0</v>
      </c>
      <c r="O69" s="425">
        <v>0</v>
      </c>
    </row>
    <row r="70" spans="3:15" hidden="1" x14ac:dyDescent="0.3">
      <c r="C70" t="s">
        <v>2295</v>
      </c>
      <c r="D70" t="s">
        <v>2267</v>
      </c>
      <c r="E70" t="s">
        <v>2376</v>
      </c>
      <c r="F70" t="s">
        <v>2377</v>
      </c>
      <c r="G70" s="425">
        <v>50000000</v>
      </c>
      <c r="H70" s="425">
        <v>50000000</v>
      </c>
      <c r="I70" s="425">
        <v>0</v>
      </c>
      <c r="J70" s="425">
        <v>0</v>
      </c>
      <c r="K70" s="425">
        <v>0</v>
      </c>
      <c r="L70" s="425">
        <v>0</v>
      </c>
      <c r="M70" s="425">
        <v>0</v>
      </c>
      <c r="N70" s="425">
        <v>0</v>
      </c>
      <c r="O70" s="425">
        <v>0</v>
      </c>
    </row>
    <row r="71" spans="3:15" hidden="1" x14ac:dyDescent="0.3">
      <c r="C71" t="s">
        <v>2295</v>
      </c>
      <c r="D71" t="s">
        <v>2267</v>
      </c>
      <c r="E71" t="s">
        <v>2378</v>
      </c>
      <c r="F71" t="s">
        <v>2379</v>
      </c>
      <c r="G71" s="425">
        <v>570</v>
      </c>
      <c r="H71" s="425">
        <v>570</v>
      </c>
      <c r="I71" s="425">
        <v>0</v>
      </c>
      <c r="J71" s="425">
        <v>0</v>
      </c>
      <c r="K71" s="425">
        <v>0</v>
      </c>
      <c r="L71" s="425">
        <v>0</v>
      </c>
      <c r="M71" s="425">
        <v>0</v>
      </c>
      <c r="N71" s="425">
        <v>0</v>
      </c>
      <c r="O71" s="425">
        <v>0</v>
      </c>
    </row>
    <row r="72" spans="3:15" hidden="1" x14ac:dyDescent="0.3">
      <c r="C72" t="s">
        <v>2295</v>
      </c>
      <c r="D72" t="s">
        <v>2267</v>
      </c>
      <c r="E72" t="s">
        <v>2380</v>
      </c>
      <c r="F72" t="s">
        <v>2381</v>
      </c>
      <c r="G72" s="425">
        <v>0</v>
      </c>
      <c r="H72" s="425">
        <v>0</v>
      </c>
      <c r="I72" s="425">
        <v>0</v>
      </c>
      <c r="J72" s="425">
        <v>0</v>
      </c>
      <c r="K72" s="425">
        <v>0</v>
      </c>
      <c r="L72" s="425">
        <v>0</v>
      </c>
      <c r="M72" s="425">
        <v>0</v>
      </c>
      <c r="N72" s="425">
        <v>0</v>
      </c>
      <c r="O72" s="425">
        <v>0</v>
      </c>
    </row>
    <row r="73" spans="3:15" hidden="1" x14ac:dyDescent="0.3">
      <c r="C73" t="s">
        <v>2295</v>
      </c>
      <c r="D73" t="s">
        <v>2267</v>
      </c>
      <c r="E73" t="s">
        <v>2382</v>
      </c>
      <c r="F73" t="s">
        <v>2383</v>
      </c>
      <c r="G73" s="425">
        <v>0</v>
      </c>
      <c r="H73" s="425">
        <v>0</v>
      </c>
      <c r="I73" s="425">
        <v>0</v>
      </c>
      <c r="J73" s="425">
        <v>0</v>
      </c>
      <c r="K73" s="425">
        <v>0</v>
      </c>
      <c r="L73" s="425">
        <v>0</v>
      </c>
      <c r="M73" s="425">
        <v>0</v>
      </c>
      <c r="N73" s="425">
        <v>0</v>
      </c>
      <c r="O73" s="425">
        <v>0</v>
      </c>
    </row>
    <row r="74" spans="3:15" hidden="1" x14ac:dyDescent="0.3">
      <c r="C74" t="s">
        <v>2295</v>
      </c>
      <c r="D74" t="s">
        <v>2267</v>
      </c>
      <c r="E74" t="s">
        <v>2384</v>
      </c>
      <c r="F74" t="s">
        <v>2385</v>
      </c>
      <c r="G74" s="425">
        <v>0</v>
      </c>
      <c r="H74" s="425">
        <v>0</v>
      </c>
      <c r="I74" s="425">
        <v>0</v>
      </c>
      <c r="J74" s="425">
        <v>0</v>
      </c>
      <c r="K74" s="425">
        <v>0</v>
      </c>
      <c r="L74" s="425">
        <v>0</v>
      </c>
      <c r="M74" s="425">
        <v>0</v>
      </c>
      <c r="N74" s="425">
        <v>0</v>
      </c>
      <c r="O74" s="425">
        <v>0</v>
      </c>
    </row>
    <row r="75" spans="3:15" hidden="1" x14ac:dyDescent="0.3">
      <c r="C75" t="s">
        <v>2295</v>
      </c>
      <c r="D75" t="s">
        <v>2267</v>
      </c>
      <c r="E75" t="s">
        <v>2386</v>
      </c>
      <c r="F75" t="s">
        <v>2387</v>
      </c>
      <c r="G75" s="425">
        <v>0</v>
      </c>
      <c r="H75" s="425">
        <v>0</v>
      </c>
      <c r="I75" s="425">
        <v>0</v>
      </c>
      <c r="J75" s="425">
        <v>0</v>
      </c>
      <c r="K75" s="425">
        <v>0</v>
      </c>
      <c r="L75" s="425">
        <v>0</v>
      </c>
      <c r="M75" s="425">
        <v>0</v>
      </c>
      <c r="N75" s="425">
        <v>0</v>
      </c>
      <c r="O75" s="425">
        <v>0</v>
      </c>
    </row>
    <row r="76" spans="3:15" hidden="1" x14ac:dyDescent="0.3">
      <c r="C76" t="s">
        <v>2295</v>
      </c>
      <c r="D76" t="s">
        <v>2267</v>
      </c>
      <c r="E76" t="s">
        <v>2388</v>
      </c>
      <c r="F76" t="s">
        <v>2389</v>
      </c>
      <c r="G76" s="425">
        <v>0</v>
      </c>
      <c r="H76" s="425">
        <v>0</v>
      </c>
      <c r="I76" s="425">
        <v>0</v>
      </c>
      <c r="J76" s="425">
        <v>0</v>
      </c>
      <c r="K76" s="425">
        <v>0</v>
      </c>
      <c r="L76" s="425">
        <v>0</v>
      </c>
      <c r="M76" s="425">
        <v>0</v>
      </c>
      <c r="N76" s="425">
        <v>0</v>
      </c>
      <c r="O76" s="425">
        <v>0</v>
      </c>
    </row>
    <row r="77" spans="3:15" hidden="1" x14ac:dyDescent="0.3">
      <c r="C77" t="s">
        <v>2295</v>
      </c>
      <c r="D77" t="s">
        <v>2267</v>
      </c>
      <c r="E77" t="s">
        <v>2390</v>
      </c>
      <c r="F77" t="s">
        <v>2391</v>
      </c>
      <c r="G77" s="425">
        <v>0</v>
      </c>
      <c r="H77" s="425">
        <v>0</v>
      </c>
      <c r="I77" s="425">
        <v>0</v>
      </c>
      <c r="J77" s="425">
        <v>0</v>
      </c>
      <c r="K77" s="425">
        <v>0</v>
      </c>
      <c r="L77" s="425">
        <v>0</v>
      </c>
      <c r="M77" s="425">
        <v>0</v>
      </c>
      <c r="N77" s="425">
        <v>0</v>
      </c>
      <c r="O77" s="425">
        <v>0</v>
      </c>
    </row>
    <row r="78" spans="3:15" hidden="1" x14ac:dyDescent="0.3">
      <c r="C78" t="s">
        <v>2295</v>
      </c>
      <c r="D78" t="s">
        <v>2267</v>
      </c>
      <c r="E78" t="s">
        <v>2392</v>
      </c>
      <c r="F78" t="s">
        <v>2393</v>
      </c>
      <c r="G78" s="425">
        <v>0</v>
      </c>
      <c r="H78" s="425">
        <v>0</v>
      </c>
      <c r="I78" s="425">
        <v>0</v>
      </c>
      <c r="J78" s="425">
        <v>0</v>
      </c>
      <c r="K78" s="425">
        <v>0</v>
      </c>
      <c r="L78" s="425">
        <v>0</v>
      </c>
      <c r="M78" s="425">
        <v>0</v>
      </c>
      <c r="N78" s="425">
        <v>0</v>
      </c>
      <c r="O78" s="425">
        <v>0</v>
      </c>
    </row>
    <row r="79" spans="3:15" hidden="1" x14ac:dyDescent="0.3">
      <c r="C79" t="s">
        <v>2295</v>
      </c>
      <c r="D79" t="s">
        <v>2267</v>
      </c>
      <c r="E79" t="s">
        <v>2394</v>
      </c>
      <c r="F79" t="s">
        <v>2395</v>
      </c>
      <c r="G79" s="425">
        <v>0</v>
      </c>
      <c r="H79" s="425">
        <v>0</v>
      </c>
      <c r="I79" s="425">
        <v>0</v>
      </c>
      <c r="J79" s="425">
        <v>0</v>
      </c>
      <c r="K79" s="425">
        <v>0</v>
      </c>
      <c r="L79" s="425">
        <v>0</v>
      </c>
      <c r="M79" s="425">
        <v>0</v>
      </c>
      <c r="N79" s="425">
        <v>0</v>
      </c>
      <c r="O79" s="425">
        <v>0</v>
      </c>
    </row>
    <row r="80" spans="3:15" hidden="1" x14ac:dyDescent="0.3">
      <c r="C80" t="s">
        <v>2295</v>
      </c>
      <c r="D80" t="s">
        <v>2267</v>
      </c>
      <c r="E80" t="s">
        <v>2396</v>
      </c>
      <c r="F80" t="s">
        <v>2397</v>
      </c>
      <c r="G80" s="425">
        <v>0</v>
      </c>
      <c r="H80" s="425">
        <v>0</v>
      </c>
      <c r="I80" s="425">
        <v>0</v>
      </c>
      <c r="J80" s="425">
        <v>0</v>
      </c>
      <c r="K80" s="425">
        <v>0</v>
      </c>
      <c r="L80" s="425">
        <v>0</v>
      </c>
      <c r="M80" s="425">
        <v>0</v>
      </c>
      <c r="N80" s="425">
        <v>0</v>
      </c>
      <c r="O80" s="425">
        <v>0</v>
      </c>
    </row>
    <row r="81" spans="3:15" hidden="1" x14ac:dyDescent="0.3">
      <c r="C81" t="s">
        <v>2295</v>
      </c>
      <c r="D81" t="s">
        <v>2267</v>
      </c>
      <c r="E81" t="s">
        <v>2398</v>
      </c>
      <c r="F81" t="s">
        <v>2399</v>
      </c>
      <c r="G81" s="425">
        <v>0</v>
      </c>
      <c r="H81" s="425">
        <v>0</v>
      </c>
      <c r="I81" s="425">
        <v>0</v>
      </c>
      <c r="J81" s="425">
        <v>0</v>
      </c>
      <c r="K81" s="425">
        <v>0</v>
      </c>
      <c r="L81" s="425">
        <v>0</v>
      </c>
      <c r="M81" s="425">
        <v>0</v>
      </c>
      <c r="N81" s="425">
        <v>0</v>
      </c>
      <c r="O81" s="425">
        <v>0</v>
      </c>
    </row>
    <row r="82" spans="3:15" hidden="1" x14ac:dyDescent="0.3">
      <c r="C82" t="s">
        <v>2295</v>
      </c>
      <c r="D82" t="s">
        <v>2267</v>
      </c>
      <c r="E82" t="s">
        <v>2400</v>
      </c>
      <c r="F82" t="s">
        <v>2401</v>
      </c>
      <c r="G82" s="425">
        <v>0</v>
      </c>
      <c r="H82" s="425">
        <v>0</v>
      </c>
      <c r="I82" s="425">
        <v>0</v>
      </c>
      <c r="J82" s="425">
        <v>0</v>
      </c>
      <c r="K82" s="425">
        <v>0</v>
      </c>
      <c r="L82" s="425">
        <v>0</v>
      </c>
      <c r="M82" s="425">
        <v>0</v>
      </c>
      <c r="N82" s="425">
        <v>0</v>
      </c>
      <c r="O82" s="425">
        <v>0</v>
      </c>
    </row>
    <row r="83" spans="3:15" hidden="1" x14ac:dyDescent="0.3">
      <c r="C83" t="s">
        <v>2295</v>
      </c>
      <c r="D83" t="s">
        <v>2267</v>
      </c>
      <c r="E83" t="s">
        <v>2402</v>
      </c>
      <c r="F83" t="s">
        <v>2403</v>
      </c>
      <c r="G83" s="425">
        <v>0</v>
      </c>
      <c r="H83" s="425">
        <v>0</v>
      </c>
      <c r="I83" s="425">
        <v>0</v>
      </c>
      <c r="J83" s="425">
        <v>0</v>
      </c>
      <c r="K83" s="425">
        <v>0</v>
      </c>
      <c r="L83" s="425">
        <v>0</v>
      </c>
      <c r="M83" s="425">
        <v>0</v>
      </c>
      <c r="N83" s="425">
        <v>0</v>
      </c>
      <c r="O83" s="425">
        <v>0</v>
      </c>
    </row>
    <row r="84" spans="3:15" hidden="1" x14ac:dyDescent="0.3">
      <c r="C84" t="s">
        <v>2295</v>
      </c>
      <c r="D84" t="s">
        <v>2267</v>
      </c>
      <c r="E84" t="s">
        <v>2404</v>
      </c>
      <c r="F84" t="s">
        <v>2405</v>
      </c>
      <c r="G84" s="425">
        <v>0</v>
      </c>
      <c r="H84" s="425">
        <v>0</v>
      </c>
      <c r="I84" s="425">
        <v>0</v>
      </c>
      <c r="J84" s="425">
        <v>0</v>
      </c>
      <c r="K84" s="425">
        <v>0</v>
      </c>
      <c r="L84" s="425">
        <v>0</v>
      </c>
      <c r="M84" s="425">
        <v>0</v>
      </c>
      <c r="N84" s="425">
        <v>0</v>
      </c>
      <c r="O84" s="425">
        <v>0</v>
      </c>
    </row>
    <row r="85" spans="3:15" hidden="1" x14ac:dyDescent="0.3">
      <c r="C85" t="s">
        <v>2295</v>
      </c>
      <c r="D85" t="s">
        <v>2267</v>
      </c>
      <c r="E85" t="s">
        <v>2406</v>
      </c>
      <c r="F85" t="s">
        <v>2407</v>
      </c>
      <c r="G85" s="425">
        <v>0</v>
      </c>
      <c r="H85" s="425">
        <v>0</v>
      </c>
      <c r="I85" s="425">
        <v>0</v>
      </c>
      <c r="J85" s="425">
        <v>0</v>
      </c>
      <c r="K85" s="425">
        <v>0</v>
      </c>
      <c r="L85" s="425">
        <v>0</v>
      </c>
      <c r="M85" s="425">
        <v>0</v>
      </c>
      <c r="N85" s="425">
        <v>0</v>
      </c>
      <c r="O85" s="425">
        <v>0</v>
      </c>
    </row>
    <row r="86" spans="3:15" hidden="1" x14ac:dyDescent="0.3">
      <c r="C86" t="s">
        <v>2295</v>
      </c>
      <c r="D86" t="s">
        <v>2267</v>
      </c>
      <c r="E86" t="s">
        <v>2408</v>
      </c>
      <c r="F86" t="s">
        <v>2409</v>
      </c>
      <c r="G86" s="425">
        <v>0</v>
      </c>
      <c r="H86" s="425">
        <v>0</v>
      </c>
      <c r="I86" s="425">
        <v>0</v>
      </c>
      <c r="J86" s="425">
        <v>0</v>
      </c>
      <c r="K86" s="425">
        <v>0</v>
      </c>
      <c r="L86" s="425">
        <v>0</v>
      </c>
      <c r="M86" s="425">
        <v>0</v>
      </c>
      <c r="N86" s="425">
        <v>0</v>
      </c>
      <c r="O86" s="425">
        <v>0</v>
      </c>
    </row>
    <row r="87" spans="3:15" hidden="1" x14ac:dyDescent="0.3">
      <c r="C87" t="s">
        <v>2295</v>
      </c>
      <c r="D87" t="s">
        <v>2267</v>
      </c>
      <c r="E87" t="s">
        <v>2410</v>
      </c>
      <c r="F87" t="s">
        <v>2411</v>
      </c>
      <c r="G87" s="425">
        <v>0</v>
      </c>
      <c r="H87" s="425">
        <v>0</v>
      </c>
      <c r="I87" s="425">
        <v>0</v>
      </c>
      <c r="J87" s="425">
        <v>0</v>
      </c>
      <c r="K87" s="425">
        <v>0</v>
      </c>
      <c r="L87" s="425">
        <v>0</v>
      </c>
      <c r="M87" s="425">
        <v>0</v>
      </c>
      <c r="N87" s="425">
        <v>0</v>
      </c>
      <c r="O87" s="425">
        <v>0</v>
      </c>
    </row>
    <row r="88" spans="3:15" hidden="1" x14ac:dyDescent="0.3">
      <c r="C88" t="s">
        <v>2295</v>
      </c>
      <c r="D88" t="s">
        <v>2267</v>
      </c>
      <c r="E88" t="s">
        <v>2412</v>
      </c>
      <c r="F88" t="s">
        <v>2413</v>
      </c>
      <c r="G88" s="425">
        <v>63525000</v>
      </c>
      <c r="H88" s="425">
        <v>63525000</v>
      </c>
      <c r="I88" s="425">
        <v>0</v>
      </c>
      <c r="J88" s="425">
        <v>0</v>
      </c>
      <c r="K88" s="425">
        <v>0</v>
      </c>
      <c r="L88" s="425">
        <v>0</v>
      </c>
      <c r="M88" s="425">
        <v>0</v>
      </c>
      <c r="N88" s="425">
        <v>0</v>
      </c>
      <c r="O88" s="425">
        <v>0</v>
      </c>
    </row>
    <row r="89" spans="3:15" hidden="1" x14ac:dyDescent="0.3">
      <c r="C89" t="s">
        <v>2295</v>
      </c>
      <c r="D89" t="s">
        <v>2267</v>
      </c>
      <c r="E89" t="s">
        <v>2414</v>
      </c>
      <c r="F89" t="s">
        <v>2415</v>
      </c>
      <c r="G89" s="425">
        <v>0</v>
      </c>
      <c r="H89" s="425">
        <v>0</v>
      </c>
      <c r="I89" s="425">
        <v>0</v>
      </c>
      <c r="J89" s="425">
        <v>0</v>
      </c>
      <c r="K89" s="425">
        <v>0</v>
      </c>
      <c r="L89" s="425">
        <v>0</v>
      </c>
      <c r="M89" s="425">
        <v>0</v>
      </c>
      <c r="N89" s="425">
        <v>0</v>
      </c>
      <c r="O89" s="425">
        <v>0</v>
      </c>
    </row>
    <row r="90" spans="3:15" hidden="1" x14ac:dyDescent="0.3">
      <c r="C90" t="s">
        <v>2295</v>
      </c>
      <c r="D90" t="s">
        <v>2267</v>
      </c>
      <c r="E90" t="s">
        <v>2416</v>
      </c>
      <c r="F90" t="s">
        <v>2417</v>
      </c>
      <c r="G90" s="425">
        <v>0</v>
      </c>
      <c r="H90" s="425">
        <v>0</v>
      </c>
      <c r="I90" s="425">
        <v>0</v>
      </c>
      <c r="J90" s="425">
        <v>0</v>
      </c>
      <c r="K90" s="425">
        <v>0</v>
      </c>
      <c r="L90" s="425">
        <v>0</v>
      </c>
      <c r="M90" s="425">
        <v>0</v>
      </c>
      <c r="N90" s="425">
        <v>0</v>
      </c>
      <c r="O90" s="425">
        <v>0</v>
      </c>
    </row>
    <row r="91" spans="3:15" hidden="1" x14ac:dyDescent="0.3">
      <c r="C91" t="s">
        <v>2295</v>
      </c>
      <c r="D91" t="s">
        <v>2267</v>
      </c>
      <c r="E91" t="s">
        <v>2418</v>
      </c>
      <c r="F91" t="s">
        <v>2419</v>
      </c>
      <c r="G91" s="425">
        <v>0</v>
      </c>
      <c r="H91" s="425">
        <v>0</v>
      </c>
      <c r="I91" s="425">
        <v>0</v>
      </c>
      <c r="J91" s="425">
        <v>0</v>
      </c>
      <c r="K91" s="425">
        <v>0</v>
      </c>
      <c r="L91" s="425">
        <v>0</v>
      </c>
      <c r="M91" s="425">
        <v>0</v>
      </c>
      <c r="N91" s="425">
        <v>0</v>
      </c>
      <c r="O91" s="425">
        <v>0</v>
      </c>
    </row>
    <row r="92" spans="3:15" hidden="1" x14ac:dyDescent="0.3">
      <c r="C92" t="s">
        <v>2295</v>
      </c>
      <c r="D92" t="s">
        <v>2267</v>
      </c>
      <c r="E92" t="s">
        <v>2420</v>
      </c>
      <c r="F92" t="s">
        <v>2421</v>
      </c>
      <c r="G92" s="425">
        <v>0</v>
      </c>
      <c r="H92" s="425">
        <v>0</v>
      </c>
      <c r="I92" s="425">
        <v>0</v>
      </c>
      <c r="J92" s="425">
        <v>0</v>
      </c>
      <c r="K92" s="425">
        <v>0</v>
      </c>
      <c r="L92" s="425">
        <v>0</v>
      </c>
      <c r="M92" s="425">
        <v>0</v>
      </c>
      <c r="N92" s="425">
        <v>0</v>
      </c>
      <c r="O92" s="425">
        <v>0</v>
      </c>
    </row>
    <row r="93" spans="3:15" hidden="1" x14ac:dyDescent="0.3">
      <c r="C93" t="s">
        <v>2295</v>
      </c>
      <c r="D93" t="s">
        <v>2267</v>
      </c>
      <c r="E93" t="s">
        <v>2422</v>
      </c>
      <c r="F93" t="s">
        <v>2423</v>
      </c>
      <c r="G93" s="425">
        <v>0</v>
      </c>
      <c r="H93" s="425">
        <v>0</v>
      </c>
      <c r="I93" s="425">
        <v>0</v>
      </c>
      <c r="J93" s="425">
        <v>0</v>
      </c>
      <c r="K93" s="425">
        <v>0</v>
      </c>
      <c r="L93" s="425">
        <v>0</v>
      </c>
      <c r="M93" s="425">
        <v>0</v>
      </c>
      <c r="N93" s="425">
        <v>0</v>
      </c>
      <c r="O93" s="425">
        <v>0</v>
      </c>
    </row>
    <row r="94" spans="3:15" hidden="1" x14ac:dyDescent="0.3">
      <c r="C94" t="s">
        <v>2295</v>
      </c>
      <c r="D94" t="s">
        <v>2267</v>
      </c>
      <c r="E94" t="s">
        <v>2424</v>
      </c>
      <c r="F94" t="s">
        <v>2425</v>
      </c>
      <c r="G94" s="425">
        <v>0</v>
      </c>
      <c r="H94" s="425">
        <v>0</v>
      </c>
      <c r="I94" s="425">
        <v>0</v>
      </c>
      <c r="J94" s="425">
        <v>0</v>
      </c>
      <c r="K94" s="425">
        <v>0</v>
      </c>
      <c r="L94" s="425">
        <v>0</v>
      </c>
      <c r="M94" s="425">
        <v>0</v>
      </c>
      <c r="N94" s="425">
        <v>0</v>
      </c>
      <c r="O94" s="425">
        <v>0</v>
      </c>
    </row>
    <row r="95" spans="3:15" hidden="1" x14ac:dyDescent="0.3">
      <c r="C95" t="s">
        <v>2295</v>
      </c>
      <c r="D95" t="s">
        <v>2267</v>
      </c>
      <c r="E95" t="s">
        <v>2426</v>
      </c>
      <c r="F95" t="s">
        <v>2427</v>
      </c>
      <c r="G95" s="425">
        <v>0</v>
      </c>
      <c r="H95" s="425">
        <v>0</v>
      </c>
      <c r="I95" s="425">
        <v>0</v>
      </c>
      <c r="J95" s="425">
        <v>0</v>
      </c>
      <c r="K95" s="425">
        <v>0</v>
      </c>
      <c r="L95" s="425">
        <v>0</v>
      </c>
      <c r="M95" s="425">
        <v>0</v>
      </c>
      <c r="N95" s="425">
        <v>0</v>
      </c>
      <c r="O95" s="425">
        <v>0</v>
      </c>
    </row>
    <row r="96" spans="3:15" hidden="1" x14ac:dyDescent="0.3">
      <c r="C96" t="s">
        <v>2295</v>
      </c>
      <c r="D96" t="s">
        <v>2267</v>
      </c>
      <c r="E96" t="s">
        <v>2428</v>
      </c>
      <c r="F96" t="s">
        <v>2429</v>
      </c>
      <c r="G96" s="425">
        <v>0</v>
      </c>
      <c r="H96" s="425">
        <v>0</v>
      </c>
      <c r="I96" s="425">
        <v>0</v>
      </c>
      <c r="J96" s="425">
        <v>0</v>
      </c>
      <c r="K96" s="425">
        <v>0</v>
      </c>
      <c r="L96" s="425">
        <v>0</v>
      </c>
      <c r="M96" s="425">
        <v>0</v>
      </c>
      <c r="N96" s="425">
        <v>0</v>
      </c>
      <c r="O96" s="425">
        <v>0</v>
      </c>
    </row>
    <row r="97" spans="3:15" hidden="1" x14ac:dyDescent="0.3">
      <c r="C97" t="s">
        <v>2295</v>
      </c>
      <c r="D97" t="s">
        <v>2267</v>
      </c>
      <c r="E97" t="s">
        <v>2430</v>
      </c>
      <c r="F97" t="s">
        <v>2431</v>
      </c>
      <c r="G97" s="425">
        <v>0</v>
      </c>
      <c r="H97" s="425">
        <v>0</v>
      </c>
      <c r="I97" s="425">
        <v>0</v>
      </c>
      <c r="J97" s="425">
        <v>0</v>
      </c>
      <c r="K97" s="425">
        <v>0</v>
      </c>
      <c r="L97" s="425">
        <v>0</v>
      </c>
      <c r="M97" s="425">
        <v>0</v>
      </c>
      <c r="N97" s="425">
        <v>0</v>
      </c>
      <c r="O97" s="425">
        <v>0</v>
      </c>
    </row>
    <row r="98" spans="3:15" hidden="1" x14ac:dyDescent="0.3">
      <c r="C98" t="s">
        <v>2295</v>
      </c>
      <c r="D98" t="s">
        <v>2267</v>
      </c>
      <c r="E98" t="s">
        <v>2432</v>
      </c>
      <c r="F98" t="s">
        <v>2433</v>
      </c>
      <c r="G98" s="425">
        <v>0</v>
      </c>
      <c r="H98" s="425">
        <v>0</v>
      </c>
      <c r="I98" s="425">
        <v>0</v>
      </c>
      <c r="J98" s="425">
        <v>0</v>
      </c>
      <c r="K98" s="425">
        <v>0</v>
      </c>
      <c r="L98" s="425">
        <v>0</v>
      </c>
      <c r="M98" s="425">
        <v>0</v>
      </c>
      <c r="N98" s="425">
        <v>0</v>
      </c>
      <c r="O98" s="425">
        <v>0</v>
      </c>
    </row>
    <row r="99" spans="3:15" hidden="1" x14ac:dyDescent="0.3">
      <c r="C99" t="s">
        <v>2295</v>
      </c>
      <c r="D99" t="s">
        <v>2267</v>
      </c>
      <c r="E99" t="s">
        <v>2434</v>
      </c>
      <c r="F99" t="s">
        <v>2435</v>
      </c>
      <c r="G99" s="425">
        <v>0</v>
      </c>
      <c r="H99" s="425">
        <v>0</v>
      </c>
      <c r="I99" s="425">
        <v>0</v>
      </c>
      <c r="J99" s="425">
        <v>0</v>
      </c>
      <c r="K99" s="425">
        <v>0</v>
      </c>
      <c r="L99" s="425">
        <v>0</v>
      </c>
      <c r="M99" s="425">
        <v>0</v>
      </c>
      <c r="N99" s="425">
        <v>0</v>
      </c>
      <c r="O99" s="425">
        <v>0</v>
      </c>
    </row>
    <row r="100" spans="3:15" hidden="1" x14ac:dyDescent="0.3">
      <c r="C100" t="s">
        <v>2295</v>
      </c>
      <c r="D100" t="s">
        <v>2267</v>
      </c>
      <c r="E100" t="s">
        <v>2436</v>
      </c>
      <c r="F100" t="s">
        <v>2437</v>
      </c>
      <c r="G100" s="425">
        <v>0</v>
      </c>
      <c r="H100" s="425">
        <v>0</v>
      </c>
      <c r="I100" s="425">
        <v>0</v>
      </c>
      <c r="J100" s="425">
        <v>0</v>
      </c>
      <c r="K100" s="425">
        <v>0</v>
      </c>
      <c r="L100" s="425">
        <v>0</v>
      </c>
      <c r="M100" s="425">
        <v>0</v>
      </c>
      <c r="N100" s="425">
        <v>0</v>
      </c>
      <c r="O100" s="425">
        <v>0</v>
      </c>
    </row>
    <row r="101" spans="3:15" hidden="1" x14ac:dyDescent="0.3">
      <c r="C101" t="s">
        <v>2295</v>
      </c>
      <c r="D101" t="s">
        <v>2267</v>
      </c>
      <c r="E101" t="s">
        <v>2438</v>
      </c>
      <c r="F101" t="s">
        <v>2439</v>
      </c>
      <c r="G101" s="425">
        <v>0</v>
      </c>
      <c r="H101" s="425">
        <v>0</v>
      </c>
      <c r="I101" s="425">
        <v>0</v>
      </c>
      <c r="J101" s="425">
        <v>0</v>
      </c>
      <c r="K101" s="425">
        <v>0</v>
      </c>
      <c r="L101" s="425">
        <v>0</v>
      </c>
      <c r="M101" s="425">
        <v>0</v>
      </c>
      <c r="N101" s="425">
        <v>0</v>
      </c>
      <c r="O101" s="425">
        <v>0</v>
      </c>
    </row>
    <row r="102" spans="3:15" hidden="1" x14ac:dyDescent="0.3">
      <c r="C102" t="s">
        <v>2295</v>
      </c>
      <c r="D102" t="s">
        <v>2267</v>
      </c>
      <c r="E102" t="s">
        <v>2440</v>
      </c>
      <c r="F102" t="s">
        <v>2441</v>
      </c>
      <c r="G102" s="425">
        <v>0</v>
      </c>
      <c r="H102" s="425">
        <v>0</v>
      </c>
      <c r="I102" s="425">
        <v>0</v>
      </c>
      <c r="J102" s="425">
        <v>0</v>
      </c>
      <c r="K102" s="425">
        <v>0</v>
      </c>
      <c r="L102" s="425">
        <v>0</v>
      </c>
      <c r="M102" s="425">
        <v>0</v>
      </c>
      <c r="N102" s="425">
        <v>0</v>
      </c>
      <c r="O102" s="425">
        <v>0</v>
      </c>
    </row>
    <row r="103" spans="3:15" hidden="1" x14ac:dyDescent="0.3">
      <c r="C103" t="s">
        <v>2295</v>
      </c>
      <c r="D103" t="s">
        <v>2267</v>
      </c>
      <c r="E103" t="s">
        <v>2442</v>
      </c>
      <c r="F103" t="s">
        <v>2443</v>
      </c>
      <c r="G103" s="425">
        <v>0</v>
      </c>
      <c r="H103" s="425">
        <v>0</v>
      </c>
      <c r="I103" s="425">
        <v>0</v>
      </c>
      <c r="J103" s="425">
        <v>0</v>
      </c>
      <c r="K103" s="425">
        <v>0</v>
      </c>
      <c r="L103" s="425">
        <v>0</v>
      </c>
      <c r="M103" s="425">
        <v>0</v>
      </c>
      <c r="N103" s="425">
        <v>0</v>
      </c>
      <c r="O103" s="425">
        <v>0</v>
      </c>
    </row>
    <row r="104" spans="3:15" hidden="1" x14ac:dyDescent="0.3">
      <c r="C104" t="s">
        <v>2295</v>
      </c>
      <c r="D104" t="s">
        <v>2267</v>
      </c>
      <c r="E104" t="s">
        <v>2444</v>
      </c>
      <c r="F104" t="s">
        <v>2445</v>
      </c>
      <c r="G104" s="425">
        <v>0</v>
      </c>
      <c r="H104" s="425">
        <v>0</v>
      </c>
      <c r="I104" s="425">
        <v>0</v>
      </c>
      <c r="J104" s="425">
        <v>0</v>
      </c>
      <c r="K104" s="425">
        <v>0</v>
      </c>
      <c r="L104" s="425">
        <v>0</v>
      </c>
      <c r="M104" s="425">
        <v>0</v>
      </c>
      <c r="N104" s="425">
        <v>0</v>
      </c>
      <c r="O104" s="425">
        <v>0</v>
      </c>
    </row>
    <row r="105" spans="3:15" hidden="1" x14ac:dyDescent="0.3">
      <c r="C105" t="s">
        <v>2295</v>
      </c>
      <c r="D105" t="s">
        <v>2267</v>
      </c>
      <c r="E105" t="s">
        <v>2446</v>
      </c>
      <c r="F105" t="s">
        <v>2447</v>
      </c>
      <c r="G105" s="425">
        <v>0</v>
      </c>
      <c r="H105" s="425">
        <v>0</v>
      </c>
      <c r="I105" s="425">
        <v>0</v>
      </c>
      <c r="J105" s="425">
        <v>0</v>
      </c>
      <c r="K105" s="425">
        <v>0</v>
      </c>
      <c r="L105" s="425">
        <v>0</v>
      </c>
      <c r="M105" s="425">
        <v>0</v>
      </c>
      <c r="N105" s="425">
        <v>0</v>
      </c>
      <c r="O105" s="425">
        <v>0</v>
      </c>
    </row>
    <row r="106" spans="3:15" hidden="1" x14ac:dyDescent="0.3">
      <c r="C106" t="s">
        <v>2295</v>
      </c>
      <c r="D106" t="s">
        <v>2267</v>
      </c>
      <c r="E106" t="s">
        <v>2448</v>
      </c>
      <c r="F106" t="s">
        <v>2449</v>
      </c>
      <c r="G106" s="425">
        <v>0</v>
      </c>
      <c r="H106" s="425">
        <v>0</v>
      </c>
      <c r="I106" s="425">
        <v>0</v>
      </c>
      <c r="J106" s="425">
        <v>0</v>
      </c>
      <c r="K106" s="425">
        <v>0</v>
      </c>
      <c r="L106" s="425">
        <v>0</v>
      </c>
      <c r="M106" s="425">
        <v>0</v>
      </c>
      <c r="N106" s="425">
        <v>0</v>
      </c>
      <c r="O106" s="425">
        <v>0</v>
      </c>
    </row>
    <row r="107" spans="3:15" hidden="1" x14ac:dyDescent="0.3">
      <c r="C107" t="s">
        <v>2295</v>
      </c>
      <c r="D107" t="s">
        <v>2267</v>
      </c>
      <c r="E107" t="s">
        <v>2450</v>
      </c>
      <c r="F107" t="s">
        <v>2451</v>
      </c>
      <c r="G107" s="425">
        <v>0</v>
      </c>
      <c r="H107" s="425">
        <v>0</v>
      </c>
      <c r="I107" s="425">
        <v>0</v>
      </c>
      <c r="J107" s="425">
        <v>0</v>
      </c>
      <c r="K107" s="425">
        <v>0</v>
      </c>
      <c r="L107" s="425">
        <v>0</v>
      </c>
      <c r="M107" s="425">
        <v>0</v>
      </c>
      <c r="N107" s="425">
        <v>0</v>
      </c>
      <c r="O107" s="425">
        <v>0</v>
      </c>
    </row>
    <row r="108" spans="3:15" hidden="1" x14ac:dyDescent="0.3">
      <c r="C108" t="s">
        <v>2295</v>
      </c>
      <c r="D108" t="s">
        <v>2267</v>
      </c>
      <c r="E108" t="s">
        <v>2452</v>
      </c>
      <c r="F108" t="s">
        <v>2453</v>
      </c>
      <c r="G108" s="425">
        <v>0</v>
      </c>
      <c r="H108" s="425">
        <v>0</v>
      </c>
      <c r="I108" s="425">
        <v>0</v>
      </c>
      <c r="J108" s="425">
        <v>0</v>
      </c>
      <c r="K108" s="425">
        <v>0</v>
      </c>
      <c r="L108" s="425">
        <v>0</v>
      </c>
      <c r="M108" s="425">
        <v>0</v>
      </c>
      <c r="N108" s="425">
        <v>0</v>
      </c>
      <c r="O108" s="425">
        <v>0</v>
      </c>
    </row>
    <row r="109" spans="3:15" hidden="1" x14ac:dyDescent="0.3">
      <c r="C109" t="s">
        <v>2295</v>
      </c>
      <c r="D109" t="s">
        <v>2267</v>
      </c>
      <c r="E109" t="s">
        <v>2454</v>
      </c>
      <c r="F109" t="s">
        <v>2455</v>
      </c>
      <c r="G109" s="425">
        <v>0</v>
      </c>
      <c r="H109" s="425">
        <v>0</v>
      </c>
      <c r="I109" s="425">
        <v>0</v>
      </c>
      <c r="J109" s="425">
        <v>0</v>
      </c>
      <c r="K109" s="425">
        <v>0</v>
      </c>
      <c r="L109" s="425">
        <v>0</v>
      </c>
      <c r="M109" s="425">
        <v>0</v>
      </c>
      <c r="N109" s="425">
        <v>0</v>
      </c>
      <c r="O109" s="425">
        <v>0</v>
      </c>
    </row>
    <row r="110" spans="3:15" hidden="1" x14ac:dyDescent="0.3">
      <c r="C110" t="s">
        <v>2295</v>
      </c>
      <c r="D110" t="s">
        <v>2267</v>
      </c>
      <c r="E110" t="s">
        <v>2456</v>
      </c>
      <c r="F110" t="s">
        <v>2457</v>
      </c>
      <c r="G110" s="425">
        <v>0</v>
      </c>
      <c r="H110" s="425">
        <v>0</v>
      </c>
      <c r="I110" s="425">
        <v>0</v>
      </c>
      <c r="J110" s="425">
        <v>0</v>
      </c>
      <c r="K110" s="425">
        <v>0</v>
      </c>
      <c r="L110" s="425">
        <v>0</v>
      </c>
      <c r="M110" s="425">
        <v>0</v>
      </c>
      <c r="N110" s="425">
        <v>0</v>
      </c>
      <c r="O110" s="425">
        <v>0</v>
      </c>
    </row>
    <row r="111" spans="3:15" hidden="1" x14ac:dyDescent="0.3">
      <c r="C111" t="s">
        <v>2295</v>
      </c>
      <c r="D111" t="s">
        <v>2267</v>
      </c>
      <c r="E111" t="s">
        <v>2458</v>
      </c>
      <c r="F111" t="s">
        <v>2459</v>
      </c>
      <c r="G111" s="425">
        <v>0</v>
      </c>
      <c r="H111" s="425">
        <v>0</v>
      </c>
      <c r="I111" s="425">
        <v>0</v>
      </c>
      <c r="J111" s="425">
        <v>0</v>
      </c>
      <c r="K111" s="425">
        <v>0</v>
      </c>
      <c r="L111" s="425">
        <v>0</v>
      </c>
      <c r="M111" s="425">
        <v>0</v>
      </c>
      <c r="N111" s="425">
        <v>0</v>
      </c>
      <c r="O111" s="425">
        <v>0</v>
      </c>
    </row>
    <row r="112" spans="3:15" hidden="1" x14ac:dyDescent="0.3">
      <c r="C112" t="s">
        <v>2295</v>
      </c>
      <c r="D112" t="s">
        <v>2267</v>
      </c>
      <c r="E112" t="s">
        <v>2460</v>
      </c>
      <c r="F112" t="s">
        <v>2461</v>
      </c>
      <c r="G112" s="425">
        <v>0</v>
      </c>
      <c r="H112" s="425">
        <v>0</v>
      </c>
      <c r="I112" s="425">
        <v>0</v>
      </c>
      <c r="J112" s="425">
        <v>0</v>
      </c>
      <c r="K112" s="425">
        <v>0</v>
      </c>
      <c r="L112" s="425">
        <v>0</v>
      </c>
      <c r="M112" s="425">
        <v>0</v>
      </c>
      <c r="N112" s="425">
        <v>0</v>
      </c>
      <c r="O112" s="425">
        <v>0</v>
      </c>
    </row>
    <row r="113" spans="3:15" hidden="1" x14ac:dyDescent="0.3">
      <c r="C113" t="s">
        <v>2295</v>
      </c>
      <c r="D113" t="s">
        <v>2267</v>
      </c>
      <c r="E113" t="s">
        <v>2462</v>
      </c>
      <c r="F113" t="s">
        <v>2463</v>
      </c>
      <c r="G113" s="425">
        <v>0</v>
      </c>
      <c r="H113" s="425">
        <v>0</v>
      </c>
      <c r="I113" s="425">
        <v>0</v>
      </c>
      <c r="J113" s="425">
        <v>0</v>
      </c>
      <c r="K113" s="425">
        <v>0</v>
      </c>
      <c r="L113" s="425">
        <v>0</v>
      </c>
      <c r="M113" s="425">
        <v>0</v>
      </c>
      <c r="N113" s="425">
        <v>0</v>
      </c>
      <c r="O113" s="425">
        <v>0</v>
      </c>
    </row>
    <row r="114" spans="3:15" hidden="1" x14ac:dyDescent="0.3">
      <c r="C114" t="s">
        <v>2295</v>
      </c>
      <c r="D114" t="s">
        <v>2267</v>
      </c>
      <c r="E114" t="s">
        <v>2464</v>
      </c>
      <c r="F114" t="s">
        <v>2465</v>
      </c>
      <c r="G114" s="425">
        <v>0</v>
      </c>
      <c r="H114" s="425">
        <v>0</v>
      </c>
      <c r="I114" s="425">
        <v>0</v>
      </c>
      <c r="J114" s="425">
        <v>0</v>
      </c>
      <c r="K114" s="425">
        <v>0</v>
      </c>
      <c r="L114" s="425">
        <v>0</v>
      </c>
      <c r="M114" s="425">
        <v>0</v>
      </c>
      <c r="N114" s="425">
        <v>0</v>
      </c>
      <c r="O114" s="425">
        <v>0</v>
      </c>
    </row>
    <row r="115" spans="3:15" hidden="1" x14ac:dyDescent="0.3">
      <c r="C115" t="s">
        <v>2295</v>
      </c>
      <c r="D115" t="s">
        <v>2267</v>
      </c>
      <c r="E115" t="s">
        <v>2466</v>
      </c>
      <c r="F115" t="s">
        <v>2467</v>
      </c>
      <c r="G115" s="425">
        <v>0</v>
      </c>
      <c r="H115" s="425">
        <v>0</v>
      </c>
      <c r="I115" s="425">
        <v>0</v>
      </c>
      <c r="J115" s="425">
        <v>0</v>
      </c>
      <c r="K115" s="425">
        <v>0</v>
      </c>
      <c r="L115" s="425">
        <v>0</v>
      </c>
      <c r="M115" s="425">
        <v>0</v>
      </c>
      <c r="N115" s="425">
        <v>0</v>
      </c>
      <c r="O115" s="425">
        <v>0</v>
      </c>
    </row>
    <row r="116" spans="3:15" hidden="1" x14ac:dyDescent="0.3">
      <c r="C116" t="s">
        <v>2295</v>
      </c>
      <c r="D116" t="s">
        <v>2267</v>
      </c>
      <c r="E116" t="s">
        <v>2468</v>
      </c>
      <c r="F116" t="s">
        <v>2469</v>
      </c>
      <c r="G116" s="425">
        <v>0</v>
      </c>
      <c r="H116" s="425">
        <v>0</v>
      </c>
      <c r="I116" s="425">
        <v>0</v>
      </c>
      <c r="J116" s="425">
        <v>0</v>
      </c>
      <c r="K116" s="425">
        <v>0</v>
      </c>
      <c r="L116" s="425">
        <v>0</v>
      </c>
      <c r="M116" s="425">
        <v>0</v>
      </c>
      <c r="N116" s="425">
        <v>0</v>
      </c>
      <c r="O116" s="425">
        <v>0</v>
      </c>
    </row>
    <row r="117" spans="3:15" hidden="1" x14ac:dyDescent="0.3">
      <c r="C117" t="s">
        <v>2295</v>
      </c>
      <c r="D117" t="s">
        <v>2267</v>
      </c>
      <c r="E117" t="s">
        <v>2470</v>
      </c>
      <c r="F117" t="s">
        <v>2471</v>
      </c>
      <c r="G117" s="425">
        <v>0</v>
      </c>
      <c r="H117" s="425">
        <v>0</v>
      </c>
      <c r="I117" s="425">
        <v>0</v>
      </c>
      <c r="J117" s="425">
        <v>0</v>
      </c>
      <c r="K117" s="425">
        <v>0</v>
      </c>
      <c r="L117" s="425">
        <v>0</v>
      </c>
      <c r="M117" s="425">
        <v>0</v>
      </c>
      <c r="N117" s="425">
        <v>0</v>
      </c>
      <c r="O117" s="425">
        <v>0</v>
      </c>
    </row>
    <row r="118" spans="3:15" hidden="1" x14ac:dyDescent="0.3">
      <c r="C118" t="s">
        <v>2295</v>
      </c>
      <c r="D118" t="s">
        <v>2267</v>
      </c>
      <c r="E118" t="s">
        <v>2472</v>
      </c>
      <c r="F118" t="s">
        <v>2473</v>
      </c>
      <c r="G118" s="425">
        <v>0</v>
      </c>
      <c r="H118" s="425">
        <v>0</v>
      </c>
      <c r="I118" s="425">
        <v>0</v>
      </c>
      <c r="J118" s="425">
        <v>0</v>
      </c>
      <c r="K118" s="425">
        <v>0</v>
      </c>
      <c r="L118" s="425">
        <v>0</v>
      </c>
      <c r="M118" s="425">
        <v>0</v>
      </c>
      <c r="N118" s="425">
        <v>0</v>
      </c>
      <c r="O118" s="425">
        <v>0</v>
      </c>
    </row>
    <row r="119" spans="3:15" hidden="1" x14ac:dyDescent="0.3">
      <c r="C119" t="s">
        <v>2295</v>
      </c>
      <c r="D119" t="s">
        <v>2267</v>
      </c>
      <c r="E119" t="s">
        <v>2474</v>
      </c>
      <c r="F119" t="s">
        <v>2475</v>
      </c>
      <c r="G119" s="425">
        <v>0</v>
      </c>
      <c r="H119" s="425">
        <v>0</v>
      </c>
      <c r="I119" s="425">
        <v>0</v>
      </c>
      <c r="J119" s="425">
        <v>0</v>
      </c>
      <c r="K119" s="425">
        <v>0</v>
      </c>
      <c r="L119" s="425">
        <v>0</v>
      </c>
      <c r="M119" s="425">
        <v>0</v>
      </c>
      <c r="N119" s="425">
        <v>0</v>
      </c>
      <c r="O119" s="425">
        <v>0</v>
      </c>
    </row>
    <row r="120" spans="3:15" hidden="1" x14ac:dyDescent="0.3">
      <c r="C120" t="s">
        <v>2295</v>
      </c>
      <c r="D120" t="s">
        <v>2267</v>
      </c>
      <c r="E120" t="s">
        <v>2476</v>
      </c>
      <c r="F120" t="s">
        <v>2477</v>
      </c>
      <c r="G120" s="425">
        <v>0</v>
      </c>
      <c r="H120" s="425">
        <v>0</v>
      </c>
      <c r="I120" s="425">
        <v>0</v>
      </c>
      <c r="J120" s="425">
        <v>0</v>
      </c>
      <c r="K120" s="425">
        <v>0</v>
      </c>
      <c r="L120" s="425">
        <v>0</v>
      </c>
      <c r="M120" s="425">
        <v>0</v>
      </c>
      <c r="N120" s="425">
        <v>0</v>
      </c>
      <c r="O120" s="425">
        <v>0</v>
      </c>
    </row>
    <row r="121" spans="3:15" hidden="1" x14ac:dyDescent="0.3">
      <c r="C121" t="s">
        <v>2295</v>
      </c>
      <c r="D121" t="s">
        <v>2267</v>
      </c>
      <c r="E121" t="s">
        <v>2478</v>
      </c>
      <c r="F121" t="s">
        <v>2479</v>
      </c>
      <c r="G121" s="425">
        <v>0</v>
      </c>
      <c r="H121" s="425">
        <v>0</v>
      </c>
      <c r="I121" s="425">
        <v>0</v>
      </c>
      <c r="J121" s="425">
        <v>0</v>
      </c>
      <c r="K121" s="425">
        <v>0</v>
      </c>
      <c r="L121" s="425">
        <v>0</v>
      </c>
      <c r="M121" s="425">
        <v>0</v>
      </c>
      <c r="N121" s="425">
        <v>0</v>
      </c>
      <c r="O121" s="425">
        <v>0</v>
      </c>
    </row>
    <row r="122" spans="3:15" hidden="1" x14ac:dyDescent="0.3">
      <c r="C122" t="s">
        <v>2295</v>
      </c>
      <c r="D122" t="s">
        <v>2267</v>
      </c>
      <c r="E122" t="s">
        <v>2480</v>
      </c>
      <c r="F122" t="s">
        <v>2481</v>
      </c>
      <c r="G122" s="425">
        <v>0</v>
      </c>
      <c r="H122" s="425">
        <v>0</v>
      </c>
      <c r="I122" s="425">
        <v>0</v>
      </c>
      <c r="J122" s="425">
        <v>0</v>
      </c>
      <c r="K122" s="425">
        <v>0</v>
      </c>
      <c r="L122" s="425">
        <v>0</v>
      </c>
      <c r="M122" s="425">
        <v>0</v>
      </c>
      <c r="N122" s="425">
        <v>0</v>
      </c>
      <c r="O122" s="425">
        <v>0</v>
      </c>
    </row>
    <row r="123" spans="3:15" hidden="1" x14ac:dyDescent="0.3">
      <c r="C123" t="s">
        <v>2295</v>
      </c>
      <c r="D123" t="s">
        <v>2267</v>
      </c>
      <c r="E123" t="s">
        <v>2482</v>
      </c>
      <c r="F123" t="s">
        <v>2483</v>
      </c>
      <c r="G123" s="425">
        <v>0</v>
      </c>
      <c r="H123" s="425">
        <v>0</v>
      </c>
      <c r="I123" s="425">
        <v>0</v>
      </c>
      <c r="J123" s="425">
        <v>0</v>
      </c>
      <c r="K123" s="425">
        <v>0</v>
      </c>
      <c r="L123" s="425">
        <v>0</v>
      </c>
      <c r="M123" s="425">
        <v>0</v>
      </c>
      <c r="N123" s="425">
        <v>0</v>
      </c>
      <c r="O123" s="425">
        <v>0</v>
      </c>
    </row>
    <row r="124" spans="3:15" hidden="1" x14ac:dyDescent="0.3">
      <c r="C124" t="s">
        <v>2295</v>
      </c>
      <c r="D124" t="s">
        <v>2267</v>
      </c>
      <c r="E124" t="s">
        <v>2484</v>
      </c>
      <c r="F124" t="s">
        <v>2485</v>
      </c>
      <c r="G124" s="425">
        <v>0</v>
      </c>
      <c r="H124" s="425">
        <v>0</v>
      </c>
      <c r="I124" s="425">
        <v>0</v>
      </c>
      <c r="J124" s="425">
        <v>0</v>
      </c>
      <c r="K124" s="425">
        <v>0</v>
      </c>
      <c r="L124" s="425">
        <v>0</v>
      </c>
      <c r="M124" s="425">
        <v>0</v>
      </c>
      <c r="N124" s="425">
        <v>0</v>
      </c>
      <c r="O124" s="425">
        <v>0</v>
      </c>
    </row>
    <row r="125" spans="3:15" hidden="1" x14ac:dyDescent="0.3">
      <c r="C125" t="s">
        <v>2295</v>
      </c>
      <c r="D125" t="s">
        <v>2267</v>
      </c>
      <c r="E125" t="s">
        <v>2486</v>
      </c>
      <c r="F125" t="s">
        <v>2487</v>
      </c>
      <c r="G125" s="425">
        <v>0</v>
      </c>
      <c r="H125" s="425">
        <v>0</v>
      </c>
      <c r="I125" s="425">
        <v>0</v>
      </c>
      <c r="J125" s="425">
        <v>0</v>
      </c>
      <c r="K125" s="425">
        <v>0</v>
      </c>
      <c r="L125" s="425">
        <v>0</v>
      </c>
      <c r="M125" s="425">
        <v>0</v>
      </c>
      <c r="N125" s="425">
        <v>0</v>
      </c>
      <c r="O125" s="425">
        <v>0</v>
      </c>
    </row>
    <row r="126" spans="3:15" hidden="1" x14ac:dyDescent="0.3">
      <c r="C126" t="s">
        <v>2295</v>
      </c>
      <c r="D126" t="s">
        <v>2267</v>
      </c>
      <c r="E126" t="s">
        <v>2488</v>
      </c>
      <c r="F126" t="s">
        <v>2489</v>
      </c>
      <c r="G126" s="425">
        <v>0</v>
      </c>
      <c r="H126" s="425">
        <v>0</v>
      </c>
      <c r="I126" s="425">
        <v>0</v>
      </c>
      <c r="J126" s="425">
        <v>0</v>
      </c>
      <c r="K126" s="425">
        <v>0</v>
      </c>
      <c r="L126" s="425">
        <v>0</v>
      </c>
      <c r="M126" s="425">
        <v>0</v>
      </c>
      <c r="N126" s="425">
        <v>0</v>
      </c>
      <c r="O126" s="425">
        <v>0</v>
      </c>
    </row>
    <row r="127" spans="3:15" hidden="1" x14ac:dyDescent="0.3">
      <c r="C127" t="s">
        <v>2295</v>
      </c>
      <c r="D127" t="s">
        <v>2267</v>
      </c>
      <c r="E127" t="s">
        <v>2490</v>
      </c>
      <c r="F127" t="s">
        <v>2491</v>
      </c>
      <c r="G127" s="425">
        <v>0</v>
      </c>
      <c r="H127" s="425">
        <v>0</v>
      </c>
      <c r="I127" s="425">
        <v>0</v>
      </c>
      <c r="J127" s="425">
        <v>0</v>
      </c>
      <c r="K127" s="425">
        <v>0</v>
      </c>
      <c r="L127" s="425">
        <v>0</v>
      </c>
      <c r="M127" s="425">
        <v>0</v>
      </c>
      <c r="N127" s="425">
        <v>0</v>
      </c>
      <c r="O127" s="425">
        <v>0</v>
      </c>
    </row>
    <row r="128" spans="3:15" hidden="1" x14ac:dyDescent="0.3">
      <c r="C128" t="s">
        <v>2295</v>
      </c>
      <c r="D128" t="s">
        <v>2267</v>
      </c>
      <c r="E128" t="s">
        <v>2492</v>
      </c>
      <c r="F128" t="s">
        <v>2493</v>
      </c>
      <c r="G128" s="425">
        <v>0</v>
      </c>
      <c r="H128" s="425">
        <v>0</v>
      </c>
      <c r="I128" s="425">
        <v>0</v>
      </c>
      <c r="J128" s="425">
        <v>0</v>
      </c>
      <c r="K128" s="425">
        <v>0</v>
      </c>
      <c r="L128" s="425">
        <v>0</v>
      </c>
      <c r="M128" s="425">
        <v>0</v>
      </c>
      <c r="N128" s="425">
        <v>0</v>
      </c>
      <c r="O128" s="425">
        <v>0</v>
      </c>
    </row>
    <row r="129" spans="3:15" hidden="1" x14ac:dyDescent="0.3">
      <c r="C129" t="s">
        <v>2295</v>
      </c>
      <c r="D129" t="s">
        <v>2267</v>
      </c>
      <c r="E129" t="s">
        <v>2494</v>
      </c>
      <c r="F129" t="s">
        <v>2495</v>
      </c>
      <c r="G129" s="425">
        <v>0</v>
      </c>
      <c r="H129" s="425">
        <v>0</v>
      </c>
      <c r="I129" s="425">
        <v>0</v>
      </c>
      <c r="J129" s="425">
        <v>0</v>
      </c>
      <c r="K129" s="425">
        <v>0</v>
      </c>
      <c r="L129" s="425">
        <v>0</v>
      </c>
      <c r="M129" s="425">
        <v>0</v>
      </c>
      <c r="N129" s="425">
        <v>0</v>
      </c>
      <c r="O129" s="425">
        <v>0</v>
      </c>
    </row>
    <row r="130" spans="3:15" hidden="1" x14ac:dyDescent="0.3">
      <c r="C130" t="s">
        <v>2295</v>
      </c>
      <c r="D130" t="s">
        <v>2267</v>
      </c>
      <c r="E130" t="s">
        <v>2496</v>
      </c>
      <c r="F130" t="s">
        <v>2497</v>
      </c>
      <c r="G130" s="425">
        <v>0</v>
      </c>
      <c r="H130" s="425">
        <v>0</v>
      </c>
      <c r="I130" s="425">
        <v>0</v>
      </c>
      <c r="J130" s="425">
        <v>0</v>
      </c>
      <c r="K130" s="425">
        <v>0</v>
      </c>
      <c r="L130" s="425">
        <v>0</v>
      </c>
      <c r="M130" s="425">
        <v>0</v>
      </c>
      <c r="N130" s="425">
        <v>0</v>
      </c>
      <c r="O130" s="425">
        <v>0</v>
      </c>
    </row>
    <row r="131" spans="3:15" hidden="1" x14ac:dyDescent="0.3">
      <c r="C131" t="s">
        <v>2295</v>
      </c>
      <c r="D131" t="s">
        <v>2267</v>
      </c>
      <c r="E131" t="s">
        <v>2498</v>
      </c>
      <c r="F131" t="s">
        <v>2499</v>
      </c>
      <c r="G131" s="425">
        <v>0</v>
      </c>
      <c r="H131" s="425">
        <v>0</v>
      </c>
      <c r="I131" s="425">
        <v>0</v>
      </c>
      <c r="J131" s="425">
        <v>0</v>
      </c>
      <c r="K131" s="425">
        <v>0</v>
      </c>
      <c r="L131" s="425">
        <v>0</v>
      </c>
      <c r="M131" s="425">
        <v>0</v>
      </c>
      <c r="N131" s="425">
        <v>0</v>
      </c>
      <c r="O131" s="425">
        <v>0</v>
      </c>
    </row>
    <row r="132" spans="3:15" hidden="1" x14ac:dyDescent="0.3">
      <c r="C132" t="s">
        <v>2295</v>
      </c>
      <c r="D132" t="s">
        <v>2267</v>
      </c>
      <c r="E132" t="s">
        <v>2500</v>
      </c>
      <c r="F132" t="s">
        <v>2501</v>
      </c>
      <c r="G132" s="425">
        <v>0</v>
      </c>
      <c r="H132" s="425">
        <v>0</v>
      </c>
      <c r="I132" s="425">
        <v>0</v>
      </c>
      <c r="J132" s="425">
        <v>0</v>
      </c>
      <c r="K132" s="425">
        <v>0</v>
      </c>
      <c r="L132" s="425">
        <v>0</v>
      </c>
      <c r="M132" s="425">
        <v>0</v>
      </c>
      <c r="N132" s="425">
        <v>0</v>
      </c>
      <c r="O132" s="425">
        <v>0</v>
      </c>
    </row>
    <row r="133" spans="3:15" hidden="1" x14ac:dyDescent="0.3">
      <c r="C133" t="s">
        <v>2295</v>
      </c>
      <c r="D133" t="s">
        <v>2267</v>
      </c>
      <c r="E133" t="s">
        <v>2502</v>
      </c>
      <c r="F133" t="s">
        <v>2503</v>
      </c>
      <c r="G133" s="425">
        <v>0</v>
      </c>
      <c r="H133" s="425">
        <v>0</v>
      </c>
      <c r="I133" s="425">
        <v>0</v>
      </c>
      <c r="J133" s="425">
        <v>0</v>
      </c>
      <c r="K133" s="425">
        <v>0</v>
      </c>
      <c r="L133" s="425">
        <v>0</v>
      </c>
      <c r="M133" s="425">
        <v>0</v>
      </c>
      <c r="N133" s="425">
        <v>0</v>
      </c>
      <c r="O133" s="425">
        <v>0</v>
      </c>
    </row>
    <row r="134" spans="3:15" hidden="1" x14ac:dyDescent="0.3">
      <c r="C134" t="s">
        <v>2295</v>
      </c>
      <c r="D134" t="s">
        <v>2267</v>
      </c>
      <c r="E134" t="s">
        <v>2504</v>
      </c>
      <c r="F134" t="s">
        <v>2505</v>
      </c>
      <c r="G134" s="425">
        <v>0</v>
      </c>
      <c r="H134" s="425">
        <v>0</v>
      </c>
      <c r="I134" s="425">
        <v>0</v>
      </c>
      <c r="J134" s="425">
        <v>0</v>
      </c>
      <c r="K134" s="425">
        <v>0</v>
      </c>
      <c r="L134" s="425">
        <v>0</v>
      </c>
      <c r="M134" s="425">
        <v>0</v>
      </c>
      <c r="N134" s="425">
        <v>0</v>
      </c>
      <c r="O134" s="425">
        <v>0</v>
      </c>
    </row>
    <row r="135" spans="3:15" hidden="1" x14ac:dyDescent="0.3">
      <c r="C135" t="s">
        <v>2295</v>
      </c>
      <c r="D135" t="s">
        <v>2267</v>
      </c>
      <c r="E135" t="s">
        <v>2506</v>
      </c>
      <c r="F135" t="s">
        <v>2507</v>
      </c>
      <c r="G135" s="425">
        <v>0</v>
      </c>
      <c r="H135" s="425">
        <v>0</v>
      </c>
      <c r="I135" s="425">
        <v>0</v>
      </c>
      <c r="J135" s="425">
        <v>0</v>
      </c>
      <c r="K135" s="425">
        <v>0</v>
      </c>
      <c r="L135" s="425">
        <v>0</v>
      </c>
      <c r="M135" s="425">
        <v>0</v>
      </c>
      <c r="N135" s="425">
        <v>0</v>
      </c>
      <c r="O135" s="425">
        <v>0</v>
      </c>
    </row>
    <row r="136" spans="3:15" hidden="1" x14ac:dyDescent="0.3">
      <c r="C136" t="s">
        <v>2295</v>
      </c>
      <c r="D136" t="s">
        <v>2267</v>
      </c>
      <c r="E136" t="s">
        <v>2508</v>
      </c>
      <c r="F136" t="s">
        <v>2509</v>
      </c>
      <c r="G136" s="425">
        <v>0</v>
      </c>
      <c r="H136" s="425">
        <v>0</v>
      </c>
      <c r="I136" s="425">
        <v>0</v>
      </c>
      <c r="J136" s="425">
        <v>0</v>
      </c>
      <c r="K136" s="425">
        <v>0</v>
      </c>
      <c r="L136" s="425">
        <v>0</v>
      </c>
      <c r="M136" s="425">
        <v>0</v>
      </c>
      <c r="N136" s="425">
        <v>0</v>
      </c>
      <c r="O136" s="425">
        <v>0</v>
      </c>
    </row>
    <row r="137" spans="3:15" hidden="1" x14ac:dyDescent="0.3">
      <c r="C137" t="s">
        <v>2295</v>
      </c>
      <c r="D137" t="s">
        <v>2267</v>
      </c>
      <c r="E137" t="s">
        <v>2510</v>
      </c>
      <c r="F137" t="s">
        <v>2511</v>
      </c>
      <c r="G137" s="425">
        <v>0</v>
      </c>
      <c r="H137" s="425">
        <v>0</v>
      </c>
      <c r="I137" s="425">
        <v>0</v>
      </c>
      <c r="J137" s="425">
        <v>0</v>
      </c>
      <c r="K137" s="425">
        <v>0</v>
      </c>
      <c r="L137" s="425">
        <v>0</v>
      </c>
      <c r="M137" s="425">
        <v>0</v>
      </c>
      <c r="N137" s="425">
        <v>0</v>
      </c>
      <c r="O137" s="425">
        <v>0</v>
      </c>
    </row>
    <row r="138" spans="3:15" hidden="1" x14ac:dyDescent="0.3">
      <c r="C138" t="s">
        <v>2295</v>
      </c>
      <c r="D138" t="s">
        <v>2267</v>
      </c>
      <c r="E138" t="s">
        <v>2512</v>
      </c>
      <c r="F138" t="s">
        <v>2513</v>
      </c>
      <c r="G138" s="425">
        <v>0</v>
      </c>
      <c r="H138" s="425">
        <v>0</v>
      </c>
      <c r="I138" s="425">
        <v>0</v>
      </c>
      <c r="J138" s="425">
        <v>0</v>
      </c>
      <c r="K138" s="425">
        <v>0</v>
      </c>
      <c r="L138" s="425">
        <v>0</v>
      </c>
      <c r="M138" s="425">
        <v>0</v>
      </c>
      <c r="N138" s="425">
        <v>0</v>
      </c>
      <c r="O138" s="425">
        <v>0</v>
      </c>
    </row>
    <row r="139" spans="3:15" hidden="1" x14ac:dyDescent="0.3">
      <c r="C139" t="s">
        <v>2295</v>
      </c>
      <c r="D139" t="s">
        <v>2267</v>
      </c>
      <c r="E139" t="s">
        <v>2514</v>
      </c>
      <c r="F139" t="s">
        <v>2515</v>
      </c>
      <c r="G139" s="425">
        <v>0</v>
      </c>
      <c r="H139" s="425">
        <v>0</v>
      </c>
      <c r="I139" s="425">
        <v>0</v>
      </c>
      <c r="J139" s="425">
        <v>0</v>
      </c>
      <c r="K139" s="425">
        <v>0</v>
      </c>
      <c r="L139" s="425">
        <v>0</v>
      </c>
      <c r="M139" s="425">
        <v>0</v>
      </c>
      <c r="N139" s="425">
        <v>0</v>
      </c>
      <c r="O139" s="425">
        <v>0</v>
      </c>
    </row>
    <row r="140" spans="3:15" hidden="1" x14ac:dyDescent="0.3">
      <c r="C140" t="s">
        <v>2295</v>
      </c>
      <c r="D140" t="s">
        <v>2267</v>
      </c>
      <c r="E140" t="s">
        <v>2516</v>
      </c>
      <c r="F140" t="s">
        <v>2517</v>
      </c>
      <c r="G140" s="425">
        <v>0</v>
      </c>
      <c r="H140" s="425">
        <v>0</v>
      </c>
      <c r="I140" s="425">
        <v>0</v>
      </c>
      <c r="J140" s="425">
        <v>0</v>
      </c>
      <c r="K140" s="425">
        <v>0</v>
      </c>
      <c r="L140" s="425">
        <v>0</v>
      </c>
      <c r="M140" s="425">
        <v>0</v>
      </c>
      <c r="N140" s="425">
        <v>0</v>
      </c>
      <c r="O140" s="425">
        <v>0</v>
      </c>
    </row>
    <row r="141" spans="3:15" hidden="1" x14ac:dyDescent="0.3">
      <c r="C141" t="s">
        <v>2295</v>
      </c>
      <c r="D141" t="s">
        <v>2267</v>
      </c>
      <c r="E141" t="s">
        <v>2518</v>
      </c>
      <c r="F141" t="s">
        <v>2519</v>
      </c>
      <c r="G141" s="425">
        <v>0</v>
      </c>
      <c r="H141" s="425">
        <v>0</v>
      </c>
      <c r="I141" s="425">
        <v>0</v>
      </c>
      <c r="J141" s="425">
        <v>0</v>
      </c>
      <c r="K141" s="425">
        <v>0</v>
      </c>
      <c r="L141" s="425">
        <v>0</v>
      </c>
      <c r="M141" s="425">
        <v>0</v>
      </c>
      <c r="N141" s="425">
        <v>0</v>
      </c>
      <c r="O141" s="425">
        <v>0</v>
      </c>
    </row>
    <row r="142" spans="3:15" hidden="1" x14ac:dyDescent="0.3">
      <c r="C142" t="s">
        <v>2295</v>
      </c>
      <c r="D142" t="s">
        <v>2267</v>
      </c>
      <c r="E142" t="s">
        <v>2520</v>
      </c>
      <c r="F142" t="s">
        <v>2521</v>
      </c>
      <c r="G142" s="425">
        <v>0</v>
      </c>
      <c r="H142" s="425">
        <v>0</v>
      </c>
      <c r="I142" s="425">
        <v>0</v>
      </c>
      <c r="J142" s="425">
        <v>0</v>
      </c>
      <c r="K142" s="425">
        <v>0</v>
      </c>
      <c r="L142" s="425">
        <v>0</v>
      </c>
      <c r="M142" s="425">
        <v>0</v>
      </c>
      <c r="N142" s="425">
        <v>0</v>
      </c>
      <c r="O142" s="425">
        <v>0</v>
      </c>
    </row>
    <row r="143" spans="3:15" hidden="1" x14ac:dyDescent="0.3">
      <c r="C143" t="s">
        <v>2295</v>
      </c>
      <c r="D143" t="s">
        <v>2267</v>
      </c>
      <c r="E143" t="s">
        <v>2522</v>
      </c>
      <c r="F143" t="s">
        <v>2523</v>
      </c>
      <c r="G143" s="425">
        <v>0</v>
      </c>
      <c r="H143" s="425">
        <v>0</v>
      </c>
      <c r="I143" s="425">
        <v>0</v>
      </c>
      <c r="J143" s="425">
        <v>0</v>
      </c>
      <c r="K143" s="425">
        <v>0</v>
      </c>
      <c r="L143" s="425">
        <v>0</v>
      </c>
      <c r="M143" s="425">
        <v>0</v>
      </c>
      <c r="N143" s="425">
        <v>0</v>
      </c>
      <c r="O143" s="425">
        <v>0</v>
      </c>
    </row>
    <row r="144" spans="3:15" hidden="1" x14ac:dyDescent="0.3">
      <c r="C144" t="s">
        <v>2295</v>
      </c>
      <c r="D144" t="s">
        <v>2267</v>
      </c>
      <c r="E144" t="s">
        <v>2524</v>
      </c>
      <c r="F144" t="s">
        <v>2525</v>
      </c>
      <c r="G144" s="425">
        <v>0</v>
      </c>
      <c r="H144" s="425">
        <v>0</v>
      </c>
      <c r="I144" s="425">
        <v>0</v>
      </c>
      <c r="J144" s="425">
        <v>0</v>
      </c>
      <c r="K144" s="425">
        <v>0</v>
      </c>
      <c r="L144" s="425">
        <v>0</v>
      </c>
      <c r="M144" s="425">
        <v>0</v>
      </c>
      <c r="N144" s="425">
        <v>0</v>
      </c>
      <c r="O144" s="425">
        <v>0</v>
      </c>
    </row>
    <row r="145" spans="3:15" hidden="1" x14ac:dyDescent="0.3">
      <c r="C145" t="s">
        <v>2295</v>
      </c>
      <c r="D145" t="s">
        <v>2267</v>
      </c>
      <c r="E145" t="s">
        <v>2526</v>
      </c>
      <c r="F145" t="s">
        <v>2527</v>
      </c>
      <c r="G145" s="425">
        <v>0</v>
      </c>
      <c r="H145" s="425">
        <v>0</v>
      </c>
      <c r="I145" s="425">
        <v>0</v>
      </c>
      <c r="J145" s="425">
        <v>0</v>
      </c>
      <c r="K145" s="425">
        <v>0</v>
      </c>
      <c r="L145" s="425">
        <v>0</v>
      </c>
      <c r="M145" s="425">
        <v>0</v>
      </c>
      <c r="N145" s="425">
        <v>0</v>
      </c>
      <c r="O145" s="425">
        <v>0</v>
      </c>
    </row>
    <row r="146" spans="3:15" hidden="1" x14ac:dyDescent="0.3">
      <c r="C146" t="s">
        <v>2295</v>
      </c>
      <c r="D146" t="s">
        <v>2267</v>
      </c>
      <c r="E146" t="s">
        <v>2528</v>
      </c>
      <c r="F146" t="s">
        <v>2529</v>
      </c>
      <c r="G146" s="425">
        <v>0</v>
      </c>
      <c r="H146" s="425">
        <v>0</v>
      </c>
      <c r="I146" s="425">
        <v>0</v>
      </c>
      <c r="J146" s="425">
        <v>0</v>
      </c>
      <c r="K146" s="425">
        <v>0</v>
      </c>
      <c r="L146" s="425">
        <v>0</v>
      </c>
      <c r="M146" s="425">
        <v>0</v>
      </c>
      <c r="N146" s="425">
        <v>0</v>
      </c>
      <c r="O146" s="425">
        <v>0</v>
      </c>
    </row>
    <row r="147" spans="3:15" hidden="1" x14ac:dyDescent="0.3">
      <c r="C147" t="s">
        <v>2295</v>
      </c>
      <c r="D147" t="s">
        <v>2267</v>
      </c>
      <c r="E147" t="s">
        <v>2530</v>
      </c>
      <c r="F147" t="s">
        <v>2531</v>
      </c>
      <c r="G147" s="425">
        <v>0</v>
      </c>
      <c r="H147" s="425">
        <v>0</v>
      </c>
      <c r="I147" s="425">
        <v>0</v>
      </c>
      <c r="J147" s="425">
        <v>0</v>
      </c>
      <c r="K147" s="425">
        <v>0</v>
      </c>
      <c r="L147" s="425">
        <v>0</v>
      </c>
      <c r="M147" s="425">
        <v>0</v>
      </c>
      <c r="N147" s="425">
        <v>0</v>
      </c>
      <c r="O147" s="425">
        <v>0</v>
      </c>
    </row>
    <row r="148" spans="3:15" hidden="1" x14ac:dyDescent="0.3">
      <c r="C148" t="s">
        <v>2295</v>
      </c>
      <c r="D148" t="s">
        <v>2267</v>
      </c>
      <c r="E148" t="s">
        <v>2532</v>
      </c>
      <c r="F148" t="s">
        <v>2533</v>
      </c>
      <c r="G148" s="425">
        <v>0</v>
      </c>
      <c r="H148" s="425">
        <v>0</v>
      </c>
      <c r="I148" s="425">
        <v>0</v>
      </c>
      <c r="J148" s="425">
        <v>0</v>
      </c>
      <c r="K148" s="425">
        <v>0</v>
      </c>
      <c r="L148" s="425">
        <v>0</v>
      </c>
      <c r="M148" s="425">
        <v>0</v>
      </c>
      <c r="N148" s="425">
        <v>0</v>
      </c>
      <c r="O148" s="425">
        <v>0</v>
      </c>
    </row>
    <row r="149" spans="3:15" hidden="1" x14ac:dyDescent="0.3">
      <c r="C149" t="s">
        <v>2295</v>
      </c>
      <c r="D149" t="s">
        <v>2267</v>
      </c>
      <c r="E149" t="s">
        <v>2534</v>
      </c>
      <c r="F149" t="s">
        <v>2535</v>
      </c>
      <c r="G149" s="425">
        <v>0</v>
      </c>
      <c r="H149" s="425">
        <v>0</v>
      </c>
      <c r="I149" s="425">
        <v>0</v>
      </c>
      <c r="J149" s="425">
        <v>0</v>
      </c>
      <c r="K149" s="425">
        <v>0</v>
      </c>
      <c r="L149" s="425">
        <v>0</v>
      </c>
      <c r="M149" s="425">
        <v>0</v>
      </c>
      <c r="N149" s="425">
        <v>0</v>
      </c>
      <c r="O149" s="425">
        <v>0</v>
      </c>
    </row>
    <row r="150" spans="3:15" hidden="1" x14ac:dyDescent="0.3">
      <c r="C150" t="s">
        <v>2295</v>
      </c>
      <c r="D150" t="s">
        <v>2267</v>
      </c>
      <c r="E150" t="s">
        <v>2536</v>
      </c>
      <c r="F150" t="s">
        <v>2537</v>
      </c>
      <c r="G150" s="425">
        <v>0</v>
      </c>
      <c r="H150" s="425">
        <v>0</v>
      </c>
      <c r="I150" s="425">
        <v>0</v>
      </c>
      <c r="J150" s="425">
        <v>0</v>
      </c>
      <c r="K150" s="425">
        <v>0</v>
      </c>
      <c r="L150" s="425">
        <v>0</v>
      </c>
      <c r="M150" s="425">
        <v>0</v>
      </c>
      <c r="N150" s="425">
        <v>0</v>
      </c>
      <c r="O150" s="425">
        <v>0</v>
      </c>
    </row>
    <row r="151" spans="3:15" hidden="1" x14ac:dyDescent="0.3">
      <c r="C151" t="s">
        <v>2295</v>
      </c>
      <c r="D151" t="s">
        <v>2267</v>
      </c>
      <c r="E151" t="s">
        <v>2538</v>
      </c>
      <c r="F151" t="s">
        <v>2539</v>
      </c>
      <c r="G151" s="425">
        <v>0</v>
      </c>
      <c r="H151" s="425">
        <v>0</v>
      </c>
      <c r="I151" s="425">
        <v>0</v>
      </c>
      <c r="J151" s="425">
        <v>0</v>
      </c>
      <c r="K151" s="425">
        <v>0</v>
      </c>
      <c r="L151" s="425">
        <v>0</v>
      </c>
      <c r="M151" s="425">
        <v>0</v>
      </c>
      <c r="N151" s="425">
        <v>0</v>
      </c>
      <c r="O151" s="425">
        <v>0</v>
      </c>
    </row>
    <row r="152" spans="3:15" hidden="1" x14ac:dyDescent="0.3">
      <c r="C152" t="s">
        <v>2295</v>
      </c>
      <c r="D152" t="s">
        <v>2267</v>
      </c>
      <c r="E152" t="s">
        <v>2540</v>
      </c>
      <c r="F152" t="s">
        <v>2541</v>
      </c>
      <c r="G152" s="425">
        <v>0</v>
      </c>
      <c r="H152" s="425">
        <v>0</v>
      </c>
      <c r="I152" s="425">
        <v>0</v>
      </c>
      <c r="J152" s="425">
        <v>0</v>
      </c>
      <c r="K152" s="425">
        <v>0</v>
      </c>
      <c r="L152" s="425">
        <v>0</v>
      </c>
      <c r="M152" s="425">
        <v>0</v>
      </c>
      <c r="N152" s="425">
        <v>0</v>
      </c>
      <c r="O152" s="425">
        <v>0</v>
      </c>
    </row>
    <row r="153" spans="3:15" hidden="1" x14ac:dyDescent="0.3">
      <c r="C153" t="s">
        <v>2295</v>
      </c>
      <c r="D153" t="s">
        <v>2267</v>
      </c>
      <c r="E153" t="s">
        <v>2542</v>
      </c>
      <c r="F153" t="s">
        <v>2543</v>
      </c>
      <c r="G153" s="425">
        <v>0</v>
      </c>
      <c r="H153" s="425">
        <v>0</v>
      </c>
      <c r="I153" s="425">
        <v>0</v>
      </c>
      <c r="J153" s="425">
        <v>0</v>
      </c>
      <c r="K153" s="425">
        <v>0</v>
      </c>
      <c r="L153" s="425">
        <v>0</v>
      </c>
      <c r="M153" s="425">
        <v>0</v>
      </c>
      <c r="N153" s="425">
        <v>0</v>
      </c>
      <c r="O153" s="425">
        <v>0</v>
      </c>
    </row>
    <row r="154" spans="3:15" hidden="1" x14ac:dyDescent="0.3">
      <c r="C154" t="s">
        <v>2295</v>
      </c>
      <c r="D154" t="s">
        <v>2267</v>
      </c>
      <c r="E154" t="s">
        <v>2544</v>
      </c>
      <c r="F154" t="s">
        <v>2545</v>
      </c>
      <c r="G154" s="425">
        <v>0</v>
      </c>
      <c r="H154" s="425">
        <v>0</v>
      </c>
      <c r="I154" s="425">
        <v>0</v>
      </c>
      <c r="J154" s="425">
        <v>0</v>
      </c>
      <c r="K154" s="425">
        <v>0</v>
      </c>
      <c r="L154" s="425">
        <v>0</v>
      </c>
      <c r="M154" s="425">
        <v>0</v>
      </c>
      <c r="N154" s="425">
        <v>0</v>
      </c>
      <c r="O154" s="425">
        <v>0</v>
      </c>
    </row>
    <row r="155" spans="3:15" hidden="1" x14ac:dyDescent="0.3">
      <c r="C155" t="s">
        <v>2295</v>
      </c>
      <c r="D155" t="s">
        <v>2267</v>
      </c>
      <c r="E155" t="s">
        <v>2546</v>
      </c>
      <c r="F155" t="s">
        <v>2547</v>
      </c>
      <c r="G155" s="425">
        <v>0</v>
      </c>
      <c r="H155" s="425">
        <v>0</v>
      </c>
      <c r="I155" s="425">
        <v>0</v>
      </c>
      <c r="J155" s="425">
        <v>0</v>
      </c>
      <c r="K155" s="425">
        <v>0</v>
      </c>
      <c r="L155" s="425">
        <v>0</v>
      </c>
      <c r="M155" s="425">
        <v>0</v>
      </c>
      <c r="N155" s="425">
        <v>0</v>
      </c>
      <c r="O155" s="425">
        <v>0</v>
      </c>
    </row>
    <row r="156" spans="3:15" hidden="1" x14ac:dyDescent="0.3">
      <c r="C156" t="s">
        <v>2295</v>
      </c>
      <c r="D156" t="s">
        <v>2267</v>
      </c>
      <c r="E156" t="s">
        <v>2548</v>
      </c>
      <c r="F156" t="s">
        <v>2549</v>
      </c>
      <c r="G156" s="425">
        <v>0</v>
      </c>
      <c r="H156" s="425">
        <v>0</v>
      </c>
      <c r="I156" s="425">
        <v>0</v>
      </c>
      <c r="J156" s="425">
        <v>0</v>
      </c>
      <c r="K156" s="425">
        <v>0</v>
      </c>
      <c r="L156" s="425">
        <v>0</v>
      </c>
      <c r="M156" s="425">
        <v>0</v>
      </c>
      <c r="N156" s="425">
        <v>0</v>
      </c>
      <c r="O156" s="425">
        <v>0</v>
      </c>
    </row>
    <row r="157" spans="3:15" hidden="1" x14ac:dyDescent="0.3">
      <c r="C157" t="s">
        <v>2292</v>
      </c>
      <c r="D157" t="s">
        <v>2237</v>
      </c>
      <c r="E157" t="s">
        <v>2550</v>
      </c>
      <c r="F157" t="s">
        <v>2551</v>
      </c>
      <c r="G157" s="425">
        <v>130</v>
      </c>
      <c r="H157" s="425">
        <v>130</v>
      </c>
      <c r="I157" s="425">
        <v>0</v>
      </c>
      <c r="J157" s="425">
        <v>0</v>
      </c>
      <c r="K157" s="425">
        <v>0</v>
      </c>
      <c r="L157" s="425">
        <v>0</v>
      </c>
      <c r="M157" s="425">
        <v>0</v>
      </c>
      <c r="N157" s="425">
        <v>0</v>
      </c>
      <c r="O157" s="425">
        <v>0</v>
      </c>
    </row>
    <row r="158" spans="3:15" hidden="1" x14ac:dyDescent="0.3">
      <c r="C158" t="s">
        <v>2295</v>
      </c>
      <c r="D158" t="s">
        <v>2267</v>
      </c>
      <c r="E158" t="s">
        <v>2552</v>
      </c>
      <c r="F158" t="s">
        <v>2553</v>
      </c>
      <c r="G158" s="425">
        <v>0</v>
      </c>
      <c r="H158" s="425">
        <v>0</v>
      </c>
      <c r="I158" s="425">
        <v>0</v>
      </c>
      <c r="J158" s="425">
        <v>0</v>
      </c>
      <c r="K158" s="425">
        <v>0</v>
      </c>
      <c r="L158" s="425">
        <v>0</v>
      </c>
      <c r="M158" s="425">
        <v>0</v>
      </c>
      <c r="N158" s="425">
        <v>0</v>
      </c>
      <c r="O158" s="425">
        <v>0</v>
      </c>
    </row>
    <row r="159" spans="3:15" hidden="1" x14ac:dyDescent="0.3">
      <c r="C159" t="s">
        <v>2295</v>
      </c>
      <c r="D159" t="s">
        <v>2267</v>
      </c>
      <c r="E159" t="s">
        <v>8941</v>
      </c>
      <c r="F159" t="s">
        <v>8942</v>
      </c>
      <c r="G159" s="425">
        <v>0</v>
      </c>
      <c r="H159" s="425">
        <v>0</v>
      </c>
      <c r="I159" s="425">
        <v>0</v>
      </c>
      <c r="J159" s="425">
        <v>0</v>
      </c>
      <c r="K159" s="425">
        <v>0</v>
      </c>
      <c r="L159" s="425">
        <v>0</v>
      </c>
      <c r="M159" s="425">
        <v>0</v>
      </c>
      <c r="N159" s="425">
        <v>0</v>
      </c>
      <c r="O159" s="425">
        <v>0</v>
      </c>
    </row>
    <row r="160" spans="3:15" hidden="1" x14ac:dyDescent="0.3">
      <c r="C160" t="s">
        <v>2295</v>
      </c>
      <c r="D160" t="s">
        <v>2267</v>
      </c>
      <c r="E160" t="s">
        <v>2554</v>
      </c>
      <c r="F160" t="s">
        <v>2555</v>
      </c>
      <c r="G160" s="425">
        <v>0</v>
      </c>
      <c r="H160" s="425">
        <v>0</v>
      </c>
      <c r="I160" s="425">
        <v>0</v>
      </c>
      <c r="J160" s="425">
        <v>0</v>
      </c>
      <c r="K160" s="425">
        <v>0</v>
      </c>
      <c r="L160" s="425">
        <v>0</v>
      </c>
      <c r="M160" s="425">
        <v>0</v>
      </c>
      <c r="N160" s="425">
        <v>0</v>
      </c>
      <c r="O160" s="425">
        <v>0</v>
      </c>
    </row>
    <row r="161" spans="3:15" hidden="1" x14ac:dyDescent="0.3">
      <c r="C161" t="s">
        <v>2295</v>
      </c>
      <c r="D161" t="s">
        <v>2267</v>
      </c>
      <c r="E161" t="s">
        <v>2556</v>
      </c>
      <c r="F161" t="s">
        <v>2557</v>
      </c>
      <c r="G161" s="425">
        <v>0</v>
      </c>
      <c r="H161" s="425">
        <v>0</v>
      </c>
      <c r="I161" s="425">
        <v>0</v>
      </c>
      <c r="J161" s="425">
        <v>0</v>
      </c>
      <c r="K161" s="425">
        <v>0</v>
      </c>
      <c r="L161" s="425">
        <v>0</v>
      </c>
      <c r="M161" s="425">
        <v>0</v>
      </c>
      <c r="N161" s="425">
        <v>0</v>
      </c>
      <c r="O161" s="425">
        <v>0</v>
      </c>
    </row>
    <row r="162" spans="3:15" hidden="1" x14ac:dyDescent="0.3">
      <c r="C162" t="s">
        <v>2295</v>
      </c>
      <c r="D162" t="s">
        <v>2267</v>
      </c>
      <c r="E162" t="s">
        <v>2558</v>
      </c>
      <c r="F162" t="s">
        <v>2559</v>
      </c>
      <c r="G162" s="425">
        <v>0</v>
      </c>
      <c r="H162" s="425">
        <v>0</v>
      </c>
      <c r="I162" s="425">
        <v>0</v>
      </c>
      <c r="J162" s="425">
        <v>0</v>
      </c>
      <c r="K162" s="425">
        <v>0</v>
      </c>
      <c r="L162" s="425">
        <v>0</v>
      </c>
      <c r="M162" s="425">
        <v>0</v>
      </c>
      <c r="N162" s="425">
        <v>0</v>
      </c>
      <c r="O162" s="425">
        <v>0</v>
      </c>
    </row>
    <row r="163" spans="3:15" hidden="1" x14ac:dyDescent="0.3">
      <c r="C163" t="s">
        <v>2295</v>
      </c>
      <c r="D163" t="s">
        <v>2267</v>
      </c>
      <c r="E163" t="s">
        <v>2560</v>
      </c>
      <c r="F163" t="s">
        <v>2561</v>
      </c>
      <c r="G163" s="425">
        <v>0</v>
      </c>
      <c r="H163" s="425">
        <v>0</v>
      </c>
      <c r="I163" s="425">
        <v>0</v>
      </c>
      <c r="J163" s="425">
        <v>0</v>
      </c>
      <c r="K163" s="425">
        <v>0</v>
      </c>
      <c r="L163" s="425">
        <v>0</v>
      </c>
      <c r="M163" s="425">
        <v>0</v>
      </c>
      <c r="N163" s="425">
        <v>0</v>
      </c>
      <c r="O163" s="425">
        <v>0</v>
      </c>
    </row>
    <row r="164" spans="3:15" hidden="1" x14ac:dyDescent="0.3">
      <c r="C164" t="s">
        <v>2295</v>
      </c>
      <c r="D164" t="s">
        <v>2267</v>
      </c>
      <c r="E164" t="s">
        <v>2562</v>
      </c>
      <c r="F164" t="s">
        <v>2563</v>
      </c>
      <c r="G164" s="425">
        <v>0</v>
      </c>
      <c r="H164" s="425">
        <v>0</v>
      </c>
      <c r="I164" s="425">
        <v>0</v>
      </c>
      <c r="J164" s="425">
        <v>0</v>
      </c>
      <c r="K164" s="425">
        <v>0</v>
      </c>
      <c r="L164" s="425">
        <v>0</v>
      </c>
      <c r="M164" s="425">
        <v>0</v>
      </c>
      <c r="N164" s="425">
        <v>0</v>
      </c>
      <c r="O164" s="425">
        <v>0</v>
      </c>
    </row>
    <row r="165" spans="3:15" hidden="1" x14ac:dyDescent="0.3">
      <c r="C165" t="s">
        <v>2295</v>
      </c>
      <c r="D165" t="s">
        <v>2267</v>
      </c>
      <c r="E165" t="s">
        <v>2564</v>
      </c>
      <c r="F165" t="s">
        <v>2565</v>
      </c>
      <c r="G165" s="425">
        <v>0</v>
      </c>
      <c r="H165" s="425">
        <v>0</v>
      </c>
      <c r="I165" s="425">
        <v>0</v>
      </c>
      <c r="J165" s="425">
        <v>0</v>
      </c>
      <c r="K165" s="425">
        <v>0</v>
      </c>
      <c r="L165" s="425">
        <v>0</v>
      </c>
      <c r="M165" s="425">
        <v>0</v>
      </c>
      <c r="N165" s="425">
        <v>0</v>
      </c>
      <c r="O165" s="425">
        <v>0</v>
      </c>
    </row>
    <row r="166" spans="3:15" hidden="1" x14ac:dyDescent="0.3">
      <c r="C166" t="s">
        <v>2295</v>
      </c>
      <c r="D166" t="s">
        <v>2267</v>
      </c>
      <c r="E166" t="s">
        <v>2566</v>
      </c>
      <c r="F166" t="s">
        <v>2567</v>
      </c>
      <c r="G166" s="425">
        <v>0</v>
      </c>
      <c r="H166" s="425">
        <v>0</v>
      </c>
      <c r="I166" s="425">
        <v>0</v>
      </c>
      <c r="J166" s="425">
        <v>0</v>
      </c>
      <c r="K166" s="425">
        <v>0</v>
      </c>
      <c r="L166" s="425">
        <v>0</v>
      </c>
      <c r="M166" s="425">
        <v>0</v>
      </c>
      <c r="N166" s="425">
        <v>0</v>
      </c>
      <c r="O166" s="425">
        <v>0</v>
      </c>
    </row>
    <row r="167" spans="3:15" hidden="1" x14ac:dyDescent="0.3">
      <c r="C167" t="s">
        <v>2295</v>
      </c>
      <c r="D167" t="s">
        <v>2267</v>
      </c>
      <c r="E167" t="s">
        <v>2568</v>
      </c>
      <c r="F167" t="s">
        <v>2569</v>
      </c>
      <c r="G167" s="425">
        <v>0</v>
      </c>
      <c r="H167" s="425">
        <v>0</v>
      </c>
      <c r="I167" s="425">
        <v>0</v>
      </c>
      <c r="J167" s="425">
        <v>0</v>
      </c>
      <c r="K167" s="425">
        <v>0</v>
      </c>
      <c r="L167" s="425">
        <v>0</v>
      </c>
      <c r="M167" s="425">
        <v>0</v>
      </c>
      <c r="N167" s="425">
        <v>0</v>
      </c>
      <c r="O167" s="425">
        <v>0</v>
      </c>
    </row>
    <row r="168" spans="3:15" hidden="1" x14ac:dyDescent="0.3">
      <c r="C168" t="s">
        <v>2295</v>
      </c>
      <c r="D168" t="s">
        <v>2267</v>
      </c>
      <c r="E168" t="s">
        <v>2570</v>
      </c>
      <c r="F168" t="s">
        <v>2571</v>
      </c>
      <c r="G168" s="425">
        <v>0</v>
      </c>
      <c r="H168" s="425">
        <v>0</v>
      </c>
      <c r="I168" s="425">
        <v>0</v>
      </c>
      <c r="J168" s="425">
        <v>0</v>
      </c>
      <c r="K168" s="425">
        <v>0</v>
      </c>
      <c r="L168" s="425">
        <v>0</v>
      </c>
      <c r="M168" s="425">
        <v>0</v>
      </c>
      <c r="N168" s="425">
        <v>0</v>
      </c>
      <c r="O168" s="425">
        <v>0</v>
      </c>
    </row>
    <row r="169" spans="3:15" hidden="1" x14ac:dyDescent="0.3">
      <c r="C169" t="s">
        <v>2295</v>
      </c>
      <c r="D169" t="s">
        <v>2267</v>
      </c>
      <c r="E169" t="s">
        <v>2572</v>
      </c>
      <c r="F169" t="s">
        <v>2573</v>
      </c>
      <c r="G169" s="425">
        <v>0</v>
      </c>
      <c r="H169" s="425">
        <v>0</v>
      </c>
      <c r="I169" s="425">
        <v>0</v>
      </c>
      <c r="J169" s="425">
        <v>0</v>
      </c>
      <c r="K169" s="425">
        <v>0</v>
      </c>
      <c r="L169" s="425">
        <v>0</v>
      </c>
      <c r="M169" s="425">
        <v>0</v>
      </c>
      <c r="N169" s="425">
        <v>0</v>
      </c>
      <c r="O169" s="425">
        <v>0</v>
      </c>
    </row>
    <row r="170" spans="3:15" hidden="1" x14ac:dyDescent="0.3">
      <c r="C170" t="s">
        <v>2295</v>
      </c>
      <c r="D170" t="s">
        <v>2267</v>
      </c>
      <c r="E170" t="s">
        <v>2574</v>
      </c>
      <c r="F170" t="s">
        <v>2575</v>
      </c>
      <c r="G170" s="425">
        <v>0</v>
      </c>
      <c r="H170" s="425">
        <v>0</v>
      </c>
      <c r="I170" s="425">
        <v>0</v>
      </c>
      <c r="J170" s="425">
        <v>0</v>
      </c>
      <c r="K170" s="425">
        <v>0</v>
      </c>
      <c r="L170" s="425">
        <v>0</v>
      </c>
      <c r="M170" s="425">
        <v>0</v>
      </c>
      <c r="N170" s="425">
        <v>0</v>
      </c>
      <c r="O170" s="425">
        <v>0</v>
      </c>
    </row>
    <row r="171" spans="3:15" hidden="1" x14ac:dyDescent="0.3">
      <c r="C171" t="s">
        <v>2295</v>
      </c>
      <c r="D171" t="s">
        <v>2267</v>
      </c>
      <c r="E171" t="s">
        <v>2576</v>
      </c>
      <c r="F171" t="s">
        <v>2577</v>
      </c>
      <c r="G171" s="425">
        <v>0</v>
      </c>
      <c r="H171" s="425">
        <v>0</v>
      </c>
      <c r="I171" s="425">
        <v>0</v>
      </c>
      <c r="J171" s="425">
        <v>0</v>
      </c>
      <c r="K171" s="425">
        <v>0</v>
      </c>
      <c r="L171" s="425">
        <v>0</v>
      </c>
      <c r="M171" s="425">
        <v>0</v>
      </c>
      <c r="N171" s="425">
        <v>0</v>
      </c>
      <c r="O171" s="425">
        <v>0</v>
      </c>
    </row>
    <row r="172" spans="3:15" hidden="1" x14ac:dyDescent="0.3">
      <c r="C172" t="s">
        <v>2295</v>
      </c>
      <c r="D172" t="s">
        <v>2267</v>
      </c>
      <c r="E172" t="s">
        <v>2578</v>
      </c>
      <c r="F172" t="s">
        <v>2579</v>
      </c>
      <c r="G172" s="425">
        <v>0</v>
      </c>
      <c r="H172" s="425">
        <v>0</v>
      </c>
      <c r="I172" s="425">
        <v>0</v>
      </c>
      <c r="J172" s="425">
        <v>0</v>
      </c>
      <c r="K172" s="425">
        <v>0</v>
      </c>
      <c r="L172" s="425">
        <v>0</v>
      </c>
      <c r="M172" s="425">
        <v>0</v>
      </c>
      <c r="N172" s="425">
        <v>0</v>
      </c>
      <c r="O172" s="425">
        <v>0</v>
      </c>
    </row>
    <row r="173" spans="3:15" hidden="1" x14ac:dyDescent="0.3">
      <c r="C173" t="s">
        <v>2295</v>
      </c>
      <c r="D173" t="s">
        <v>2267</v>
      </c>
      <c r="E173" t="s">
        <v>2580</v>
      </c>
      <c r="F173" t="s">
        <v>2581</v>
      </c>
      <c r="G173" s="425">
        <v>0</v>
      </c>
      <c r="H173" s="425">
        <v>0</v>
      </c>
      <c r="I173" s="425">
        <v>0</v>
      </c>
      <c r="J173" s="425">
        <v>0</v>
      </c>
      <c r="K173" s="425">
        <v>0</v>
      </c>
      <c r="L173" s="425">
        <v>0</v>
      </c>
      <c r="M173" s="425">
        <v>0</v>
      </c>
      <c r="N173" s="425">
        <v>0</v>
      </c>
      <c r="O173" s="425">
        <v>0</v>
      </c>
    </row>
    <row r="174" spans="3:15" hidden="1" x14ac:dyDescent="0.3">
      <c r="C174" t="s">
        <v>2295</v>
      </c>
      <c r="D174" t="s">
        <v>2267</v>
      </c>
      <c r="E174" t="s">
        <v>2582</v>
      </c>
      <c r="F174" t="s">
        <v>2583</v>
      </c>
      <c r="G174" s="425">
        <v>0</v>
      </c>
      <c r="H174" s="425">
        <v>0</v>
      </c>
      <c r="I174" s="425">
        <v>0</v>
      </c>
      <c r="J174" s="425">
        <v>0</v>
      </c>
      <c r="K174" s="425">
        <v>0</v>
      </c>
      <c r="L174" s="425">
        <v>0</v>
      </c>
      <c r="M174" s="425">
        <v>0</v>
      </c>
      <c r="N174" s="425">
        <v>0</v>
      </c>
      <c r="O174" s="425">
        <v>0</v>
      </c>
    </row>
    <row r="175" spans="3:15" hidden="1" x14ac:dyDescent="0.3">
      <c r="C175" t="s">
        <v>2295</v>
      </c>
      <c r="D175" t="s">
        <v>2267</v>
      </c>
      <c r="E175" t="s">
        <v>2584</v>
      </c>
      <c r="F175" t="s">
        <v>2585</v>
      </c>
      <c r="G175" s="425">
        <v>0</v>
      </c>
      <c r="H175" s="425">
        <v>0</v>
      </c>
      <c r="I175" s="425">
        <v>0</v>
      </c>
      <c r="J175" s="425">
        <v>0</v>
      </c>
      <c r="K175" s="425">
        <v>0</v>
      </c>
      <c r="L175" s="425">
        <v>0</v>
      </c>
      <c r="M175" s="425">
        <v>0</v>
      </c>
      <c r="N175" s="425">
        <v>0</v>
      </c>
      <c r="O175" s="425">
        <v>0</v>
      </c>
    </row>
    <row r="176" spans="3:15" hidden="1" x14ac:dyDescent="0.3">
      <c r="C176" t="s">
        <v>2295</v>
      </c>
      <c r="D176" t="s">
        <v>2267</v>
      </c>
      <c r="E176" t="s">
        <v>2586</v>
      </c>
      <c r="F176" t="s">
        <v>2587</v>
      </c>
      <c r="G176" s="425">
        <v>0</v>
      </c>
      <c r="H176" s="425">
        <v>0</v>
      </c>
      <c r="I176" s="425">
        <v>0</v>
      </c>
      <c r="J176" s="425">
        <v>0</v>
      </c>
      <c r="K176" s="425">
        <v>0</v>
      </c>
      <c r="L176" s="425">
        <v>0</v>
      </c>
      <c r="M176" s="425">
        <v>0</v>
      </c>
      <c r="N176" s="425">
        <v>0</v>
      </c>
      <c r="O176" s="425">
        <v>0</v>
      </c>
    </row>
    <row r="177" spans="3:15" hidden="1" x14ac:dyDescent="0.3">
      <c r="C177" t="s">
        <v>2295</v>
      </c>
      <c r="D177" t="s">
        <v>2267</v>
      </c>
      <c r="E177" t="s">
        <v>2588</v>
      </c>
      <c r="F177" t="s">
        <v>2589</v>
      </c>
      <c r="G177" s="425">
        <v>0</v>
      </c>
      <c r="H177" s="425">
        <v>0</v>
      </c>
      <c r="I177" s="425">
        <v>0</v>
      </c>
      <c r="J177" s="425">
        <v>0</v>
      </c>
      <c r="K177" s="425">
        <v>0</v>
      </c>
      <c r="L177" s="425">
        <v>0</v>
      </c>
      <c r="M177" s="425">
        <v>0</v>
      </c>
      <c r="N177" s="425">
        <v>0</v>
      </c>
      <c r="O177" s="425">
        <v>0</v>
      </c>
    </row>
    <row r="178" spans="3:15" hidden="1" x14ac:dyDescent="0.3">
      <c r="C178" t="s">
        <v>2295</v>
      </c>
      <c r="D178" t="s">
        <v>2267</v>
      </c>
      <c r="E178" t="s">
        <v>2590</v>
      </c>
      <c r="F178" t="s">
        <v>2591</v>
      </c>
      <c r="G178" s="425">
        <v>0</v>
      </c>
      <c r="H178" s="425">
        <v>0</v>
      </c>
      <c r="I178" s="425">
        <v>0</v>
      </c>
      <c r="J178" s="425">
        <v>0</v>
      </c>
      <c r="K178" s="425">
        <v>0</v>
      </c>
      <c r="L178" s="425">
        <v>0</v>
      </c>
      <c r="M178" s="425">
        <v>0</v>
      </c>
      <c r="N178" s="425">
        <v>0</v>
      </c>
      <c r="O178" s="425">
        <v>0</v>
      </c>
    </row>
    <row r="179" spans="3:15" hidden="1" x14ac:dyDescent="0.3">
      <c r="C179" t="s">
        <v>2295</v>
      </c>
      <c r="D179" t="s">
        <v>2267</v>
      </c>
      <c r="E179" t="s">
        <v>2592</v>
      </c>
      <c r="F179" t="s">
        <v>2593</v>
      </c>
      <c r="G179" s="425">
        <v>0</v>
      </c>
      <c r="H179" s="425">
        <v>0</v>
      </c>
      <c r="I179" s="425">
        <v>0</v>
      </c>
      <c r="J179" s="425">
        <v>0</v>
      </c>
      <c r="K179" s="425">
        <v>0</v>
      </c>
      <c r="L179" s="425">
        <v>0</v>
      </c>
      <c r="M179" s="425">
        <v>0</v>
      </c>
      <c r="N179" s="425">
        <v>0</v>
      </c>
      <c r="O179" s="425">
        <v>0</v>
      </c>
    </row>
    <row r="180" spans="3:15" hidden="1" x14ac:dyDescent="0.3">
      <c r="C180" t="s">
        <v>2295</v>
      </c>
      <c r="D180" t="s">
        <v>2267</v>
      </c>
      <c r="E180" t="s">
        <v>2594</v>
      </c>
      <c r="F180" t="s">
        <v>2595</v>
      </c>
      <c r="G180" s="425">
        <v>0</v>
      </c>
      <c r="H180" s="425">
        <v>0</v>
      </c>
      <c r="I180" s="425">
        <v>0</v>
      </c>
      <c r="J180" s="425">
        <v>0</v>
      </c>
      <c r="K180" s="425">
        <v>0</v>
      </c>
      <c r="L180" s="425">
        <v>0</v>
      </c>
      <c r="M180" s="425">
        <v>0</v>
      </c>
      <c r="N180" s="425">
        <v>0</v>
      </c>
      <c r="O180" s="425">
        <v>0</v>
      </c>
    </row>
    <row r="181" spans="3:15" hidden="1" x14ac:dyDescent="0.3">
      <c r="C181" t="s">
        <v>2295</v>
      </c>
      <c r="D181" t="s">
        <v>2267</v>
      </c>
      <c r="E181" t="s">
        <v>2596</v>
      </c>
      <c r="F181" t="s">
        <v>2597</v>
      </c>
      <c r="G181" s="425">
        <v>0</v>
      </c>
      <c r="H181" s="425">
        <v>0</v>
      </c>
      <c r="I181" s="425">
        <v>0</v>
      </c>
      <c r="J181" s="425">
        <v>0</v>
      </c>
      <c r="K181" s="425">
        <v>0</v>
      </c>
      <c r="L181" s="425">
        <v>0</v>
      </c>
      <c r="M181" s="425">
        <v>0</v>
      </c>
      <c r="N181" s="425">
        <v>0</v>
      </c>
      <c r="O181" s="425">
        <v>0</v>
      </c>
    </row>
    <row r="182" spans="3:15" hidden="1" x14ac:dyDescent="0.3">
      <c r="C182" t="s">
        <v>2295</v>
      </c>
      <c r="D182" t="s">
        <v>2267</v>
      </c>
      <c r="E182" t="s">
        <v>2598</v>
      </c>
      <c r="F182" t="s">
        <v>2599</v>
      </c>
      <c r="G182" s="425">
        <v>0</v>
      </c>
      <c r="H182" s="425">
        <v>0</v>
      </c>
      <c r="I182" s="425">
        <v>0</v>
      </c>
      <c r="J182" s="425">
        <v>0</v>
      </c>
      <c r="K182" s="425">
        <v>0</v>
      </c>
      <c r="L182" s="425">
        <v>0</v>
      </c>
      <c r="M182" s="425">
        <v>0</v>
      </c>
      <c r="N182" s="425">
        <v>0</v>
      </c>
      <c r="O182" s="425">
        <v>0</v>
      </c>
    </row>
    <row r="183" spans="3:15" hidden="1" x14ac:dyDescent="0.3">
      <c r="C183" t="s">
        <v>2295</v>
      </c>
      <c r="D183" t="s">
        <v>2267</v>
      </c>
      <c r="E183" t="s">
        <v>2600</v>
      </c>
      <c r="F183" t="s">
        <v>2601</v>
      </c>
      <c r="G183" s="425">
        <v>0</v>
      </c>
      <c r="H183" s="425">
        <v>0</v>
      </c>
      <c r="I183" s="425">
        <v>0</v>
      </c>
      <c r="J183" s="425">
        <v>0</v>
      </c>
      <c r="K183" s="425">
        <v>0</v>
      </c>
      <c r="L183" s="425">
        <v>0</v>
      </c>
      <c r="M183" s="425">
        <v>0</v>
      </c>
      <c r="N183" s="425">
        <v>0</v>
      </c>
      <c r="O183" s="425">
        <v>0</v>
      </c>
    </row>
    <row r="184" spans="3:15" hidden="1" x14ac:dyDescent="0.3">
      <c r="C184" t="s">
        <v>2295</v>
      </c>
      <c r="D184" t="s">
        <v>2267</v>
      </c>
      <c r="E184" t="s">
        <v>2602</v>
      </c>
      <c r="F184" t="s">
        <v>2603</v>
      </c>
      <c r="G184" s="425">
        <v>0</v>
      </c>
      <c r="H184" s="425">
        <v>0</v>
      </c>
      <c r="I184" s="425">
        <v>0</v>
      </c>
      <c r="J184" s="425">
        <v>0</v>
      </c>
      <c r="K184" s="425">
        <v>0</v>
      </c>
      <c r="L184" s="425">
        <v>0</v>
      </c>
      <c r="M184" s="425">
        <v>0</v>
      </c>
      <c r="N184" s="425">
        <v>0</v>
      </c>
      <c r="O184" s="425">
        <v>0</v>
      </c>
    </row>
    <row r="185" spans="3:15" hidden="1" x14ac:dyDescent="0.3">
      <c r="C185" t="s">
        <v>2295</v>
      </c>
      <c r="D185" t="s">
        <v>2267</v>
      </c>
      <c r="E185" t="s">
        <v>2604</v>
      </c>
      <c r="F185" t="s">
        <v>2605</v>
      </c>
      <c r="G185" s="425">
        <v>0</v>
      </c>
      <c r="H185" s="425">
        <v>0</v>
      </c>
      <c r="I185" s="425">
        <v>0</v>
      </c>
      <c r="J185" s="425">
        <v>0</v>
      </c>
      <c r="K185" s="425">
        <v>0</v>
      </c>
      <c r="L185" s="425">
        <v>0</v>
      </c>
      <c r="M185" s="425">
        <v>0</v>
      </c>
      <c r="N185" s="425">
        <v>0</v>
      </c>
      <c r="O185" s="425">
        <v>0</v>
      </c>
    </row>
    <row r="186" spans="3:15" hidden="1" x14ac:dyDescent="0.3">
      <c r="C186" t="s">
        <v>2295</v>
      </c>
      <c r="D186" t="s">
        <v>2267</v>
      </c>
      <c r="E186" t="s">
        <v>2606</v>
      </c>
      <c r="F186" t="s">
        <v>2607</v>
      </c>
      <c r="G186" s="425">
        <v>0</v>
      </c>
      <c r="H186" s="425">
        <v>0</v>
      </c>
      <c r="I186" s="425">
        <v>0</v>
      </c>
      <c r="J186" s="425">
        <v>0</v>
      </c>
      <c r="K186" s="425">
        <v>0</v>
      </c>
      <c r="L186" s="425">
        <v>0</v>
      </c>
      <c r="M186" s="425">
        <v>0</v>
      </c>
      <c r="N186" s="425">
        <v>0</v>
      </c>
      <c r="O186" s="425">
        <v>0</v>
      </c>
    </row>
    <row r="187" spans="3:15" hidden="1" x14ac:dyDescent="0.3">
      <c r="C187" t="s">
        <v>2295</v>
      </c>
      <c r="D187" t="s">
        <v>2267</v>
      </c>
      <c r="E187" t="s">
        <v>2608</v>
      </c>
      <c r="F187" t="s">
        <v>2609</v>
      </c>
      <c r="G187" s="425">
        <v>0</v>
      </c>
      <c r="H187" s="425">
        <v>0</v>
      </c>
      <c r="I187" s="425">
        <v>0</v>
      </c>
      <c r="J187" s="425">
        <v>0</v>
      </c>
      <c r="K187" s="425">
        <v>0</v>
      </c>
      <c r="L187" s="425">
        <v>0</v>
      </c>
      <c r="M187" s="425">
        <v>0</v>
      </c>
      <c r="N187" s="425">
        <v>0</v>
      </c>
      <c r="O187" s="425">
        <v>0</v>
      </c>
    </row>
    <row r="188" spans="3:15" hidden="1" x14ac:dyDescent="0.3">
      <c r="C188" t="s">
        <v>2295</v>
      </c>
      <c r="D188" t="s">
        <v>2267</v>
      </c>
      <c r="E188" t="s">
        <v>2610</v>
      </c>
      <c r="F188" t="s">
        <v>2611</v>
      </c>
      <c r="G188" s="425">
        <v>0</v>
      </c>
      <c r="H188" s="425">
        <v>0</v>
      </c>
      <c r="I188" s="425">
        <v>0</v>
      </c>
      <c r="J188" s="425">
        <v>0</v>
      </c>
      <c r="K188" s="425">
        <v>0</v>
      </c>
      <c r="L188" s="425">
        <v>0</v>
      </c>
      <c r="M188" s="425">
        <v>0</v>
      </c>
      <c r="N188" s="425">
        <v>0</v>
      </c>
      <c r="O188" s="425">
        <v>0</v>
      </c>
    </row>
    <row r="189" spans="3:15" hidden="1" x14ac:dyDescent="0.3">
      <c r="C189" t="s">
        <v>2295</v>
      </c>
      <c r="D189" t="s">
        <v>2267</v>
      </c>
      <c r="E189" t="s">
        <v>2612</v>
      </c>
      <c r="F189" t="s">
        <v>2613</v>
      </c>
      <c r="G189" s="425">
        <v>0</v>
      </c>
      <c r="H189" s="425">
        <v>0</v>
      </c>
      <c r="I189" s="425">
        <v>0</v>
      </c>
      <c r="J189" s="425">
        <v>0</v>
      </c>
      <c r="K189" s="425">
        <v>0</v>
      </c>
      <c r="L189" s="425">
        <v>0</v>
      </c>
      <c r="M189" s="425">
        <v>0</v>
      </c>
      <c r="N189" s="425">
        <v>0</v>
      </c>
      <c r="O189" s="425">
        <v>0</v>
      </c>
    </row>
    <row r="190" spans="3:15" hidden="1" x14ac:dyDescent="0.3">
      <c r="C190" t="s">
        <v>2295</v>
      </c>
      <c r="D190" t="s">
        <v>2267</v>
      </c>
      <c r="E190" t="s">
        <v>2614</v>
      </c>
      <c r="F190" t="s">
        <v>2615</v>
      </c>
      <c r="G190" s="425">
        <v>0</v>
      </c>
      <c r="H190" s="425">
        <v>0</v>
      </c>
      <c r="I190" s="425">
        <v>0</v>
      </c>
      <c r="J190" s="425">
        <v>0</v>
      </c>
      <c r="K190" s="425">
        <v>0</v>
      </c>
      <c r="L190" s="425">
        <v>0</v>
      </c>
      <c r="M190" s="425">
        <v>0</v>
      </c>
      <c r="N190" s="425">
        <v>0</v>
      </c>
      <c r="O190" s="425">
        <v>0</v>
      </c>
    </row>
    <row r="191" spans="3:15" hidden="1" x14ac:dyDescent="0.3">
      <c r="C191" t="s">
        <v>2295</v>
      </c>
      <c r="D191" t="s">
        <v>2267</v>
      </c>
      <c r="E191" t="s">
        <v>2616</v>
      </c>
      <c r="F191" t="s">
        <v>2617</v>
      </c>
      <c r="G191" s="425">
        <v>0</v>
      </c>
      <c r="H191" s="425">
        <v>0</v>
      </c>
      <c r="I191" s="425">
        <v>0</v>
      </c>
      <c r="J191" s="425">
        <v>0</v>
      </c>
      <c r="K191" s="425">
        <v>0</v>
      </c>
      <c r="L191" s="425">
        <v>0</v>
      </c>
      <c r="M191" s="425">
        <v>0</v>
      </c>
      <c r="N191" s="425">
        <v>0</v>
      </c>
      <c r="O191" s="425">
        <v>0</v>
      </c>
    </row>
    <row r="192" spans="3:15" hidden="1" x14ac:dyDescent="0.3">
      <c r="C192" t="s">
        <v>2295</v>
      </c>
      <c r="D192" t="s">
        <v>2267</v>
      </c>
      <c r="E192" t="s">
        <v>2618</v>
      </c>
      <c r="F192" t="s">
        <v>2619</v>
      </c>
      <c r="G192" s="425">
        <v>0</v>
      </c>
      <c r="H192" s="425">
        <v>0</v>
      </c>
      <c r="I192" s="425">
        <v>0</v>
      </c>
      <c r="J192" s="425">
        <v>0</v>
      </c>
      <c r="K192" s="425">
        <v>0</v>
      </c>
      <c r="L192" s="425">
        <v>0</v>
      </c>
      <c r="M192" s="425">
        <v>0</v>
      </c>
      <c r="N192" s="425">
        <v>0</v>
      </c>
      <c r="O192" s="425">
        <v>0</v>
      </c>
    </row>
    <row r="193" spans="3:15" hidden="1" x14ac:dyDescent="0.3">
      <c r="C193" t="s">
        <v>2295</v>
      </c>
      <c r="D193" t="s">
        <v>2267</v>
      </c>
      <c r="E193" t="s">
        <v>2620</v>
      </c>
      <c r="F193" t="s">
        <v>2621</v>
      </c>
      <c r="G193" s="425">
        <v>0</v>
      </c>
      <c r="H193" s="425">
        <v>0</v>
      </c>
      <c r="I193" s="425">
        <v>0</v>
      </c>
      <c r="J193" s="425">
        <v>0</v>
      </c>
      <c r="K193" s="425">
        <v>0</v>
      </c>
      <c r="L193" s="425">
        <v>0</v>
      </c>
      <c r="M193" s="425">
        <v>0</v>
      </c>
      <c r="N193" s="425">
        <v>0</v>
      </c>
      <c r="O193" s="425">
        <v>0</v>
      </c>
    </row>
    <row r="194" spans="3:15" hidden="1" x14ac:dyDescent="0.3">
      <c r="C194" t="s">
        <v>2295</v>
      </c>
      <c r="D194" t="s">
        <v>2267</v>
      </c>
      <c r="E194" t="s">
        <v>2622</v>
      </c>
      <c r="F194" t="s">
        <v>2623</v>
      </c>
      <c r="G194" s="425">
        <v>0</v>
      </c>
      <c r="H194" s="425">
        <v>0</v>
      </c>
      <c r="I194" s="425">
        <v>0</v>
      </c>
      <c r="J194" s="425">
        <v>0</v>
      </c>
      <c r="K194" s="425">
        <v>0</v>
      </c>
      <c r="L194" s="425">
        <v>0</v>
      </c>
      <c r="M194" s="425">
        <v>0</v>
      </c>
      <c r="N194" s="425">
        <v>0</v>
      </c>
      <c r="O194" s="425">
        <v>0</v>
      </c>
    </row>
    <row r="195" spans="3:15" hidden="1" x14ac:dyDescent="0.3">
      <c r="C195" t="s">
        <v>2295</v>
      </c>
      <c r="D195" t="s">
        <v>2267</v>
      </c>
      <c r="E195" t="s">
        <v>2624</v>
      </c>
      <c r="F195" t="s">
        <v>2625</v>
      </c>
      <c r="G195" s="425">
        <v>0</v>
      </c>
      <c r="H195" s="425">
        <v>0</v>
      </c>
      <c r="I195" s="425">
        <v>0</v>
      </c>
      <c r="J195" s="425">
        <v>0</v>
      </c>
      <c r="K195" s="425">
        <v>0</v>
      </c>
      <c r="L195" s="425">
        <v>0</v>
      </c>
      <c r="M195" s="425">
        <v>0</v>
      </c>
      <c r="N195" s="425">
        <v>0</v>
      </c>
      <c r="O195" s="425">
        <v>0</v>
      </c>
    </row>
    <row r="196" spans="3:15" hidden="1" x14ac:dyDescent="0.3">
      <c r="C196" t="s">
        <v>2295</v>
      </c>
      <c r="D196" t="s">
        <v>2267</v>
      </c>
      <c r="E196" t="s">
        <v>2626</v>
      </c>
      <c r="F196" t="s">
        <v>2627</v>
      </c>
      <c r="G196" s="425">
        <v>0</v>
      </c>
      <c r="H196" s="425">
        <v>0</v>
      </c>
      <c r="I196" s="425">
        <v>0</v>
      </c>
      <c r="J196" s="425">
        <v>0</v>
      </c>
      <c r="K196" s="425">
        <v>0</v>
      </c>
      <c r="L196" s="425">
        <v>0</v>
      </c>
      <c r="M196" s="425">
        <v>0</v>
      </c>
      <c r="N196" s="425">
        <v>0</v>
      </c>
      <c r="O196" s="425">
        <v>0</v>
      </c>
    </row>
    <row r="197" spans="3:15" hidden="1" x14ac:dyDescent="0.3">
      <c r="C197" t="s">
        <v>2295</v>
      </c>
      <c r="D197" t="s">
        <v>2267</v>
      </c>
      <c r="E197" t="s">
        <v>2628</v>
      </c>
      <c r="F197" t="s">
        <v>2629</v>
      </c>
      <c r="G197" s="425">
        <v>0</v>
      </c>
      <c r="H197" s="425">
        <v>0</v>
      </c>
      <c r="I197" s="425">
        <v>0</v>
      </c>
      <c r="J197" s="425">
        <v>0</v>
      </c>
      <c r="K197" s="425">
        <v>0</v>
      </c>
      <c r="L197" s="425">
        <v>0</v>
      </c>
      <c r="M197" s="425">
        <v>0</v>
      </c>
      <c r="N197" s="425">
        <v>0</v>
      </c>
      <c r="O197" s="425">
        <v>0</v>
      </c>
    </row>
    <row r="198" spans="3:15" hidden="1" x14ac:dyDescent="0.3">
      <c r="C198" t="s">
        <v>2295</v>
      </c>
      <c r="D198" t="s">
        <v>2267</v>
      </c>
      <c r="E198" t="s">
        <v>2630</v>
      </c>
      <c r="F198" t="s">
        <v>2631</v>
      </c>
      <c r="G198" s="425">
        <v>0</v>
      </c>
      <c r="H198" s="425">
        <v>0</v>
      </c>
      <c r="I198" s="425">
        <v>0</v>
      </c>
      <c r="J198" s="425">
        <v>0</v>
      </c>
      <c r="K198" s="425">
        <v>0</v>
      </c>
      <c r="L198" s="425">
        <v>0</v>
      </c>
      <c r="M198" s="425">
        <v>0</v>
      </c>
      <c r="N198" s="425">
        <v>0</v>
      </c>
      <c r="O198" s="425">
        <v>0</v>
      </c>
    </row>
    <row r="199" spans="3:15" hidden="1" x14ac:dyDescent="0.3">
      <c r="C199" t="s">
        <v>2295</v>
      </c>
      <c r="D199" t="s">
        <v>2267</v>
      </c>
      <c r="E199" t="s">
        <v>2632</v>
      </c>
      <c r="F199" t="s">
        <v>2633</v>
      </c>
      <c r="G199" s="425">
        <v>0</v>
      </c>
      <c r="H199" s="425">
        <v>0</v>
      </c>
      <c r="I199" s="425">
        <v>0</v>
      </c>
      <c r="J199" s="425">
        <v>0</v>
      </c>
      <c r="K199" s="425">
        <v>0</v>
      </c>
      <c r="L199" s="425">
        <v>0</v>
      </c>
      <c r="M199" s="425">
        <v>0</v>
      </c>
      <c r="N199" s="425">
        <v>0</v>
      </c>
      <c r="O199" s="425">
        <v>0</v>
      </c>
    </row>
    <row r="200" spans="3:15" hidden="1" x14ac:dyDescent="0.3">
      <c r="C200" t="s">
        <v>2295</v>
      </c>
      <c r="D200" t="s">
        <v>2267</v>
      </c>
      <c r="E200" t="s">
        <v>2634</v>
      </c>
      <c r="F200" t="s">
        <v>2635</v>
      </c>
      <c r="G200" s="425">
        <v>0</v>
      </c>
      <c r="H200" s="425">
        <v>0</v>
      </c>
      <c r="I200" s="425">
        <v>0</v>
      </c>
      <c r="J200" s="425">
        <v>0</v>
      </c>
      <c r="K200" s="425">
        <v>0</v>
      </c>
      <c r="L200" s="425">
        <v>0</v>
      </c>
      <c r="M200" s="425">
        <v>0</v>
      </c>
      <c r="N200" s="425">
        <v>0</v>
      </c>
      <c r="O200" s="425">
        <v>0</v>
      </c>
    </row>
    <row r="201" spans="3:15" hidden="1" x14ac:dyDescent="0.3">
      <c r="C201" t="s">
        <v>2295</v>
      </c>
      <c r="D201" t="s">
        <v>2267</v>
      </c>
      <c r="E201" t="s">
        <v>2636</v>
      </c>
      <c r="F201" t="s">
        <v>2637</v>
      </c>
      <c r="G201" s="425">
        <v>0</v>
      </c>
      <c r="H201" s="425">
        <v>0</v>
      </c>
      <c r="I201" s="425">
        <v>0</v>
      </c>
      <c r="J201" s="425">
        <v>0</v>
      </c>
      <c r="K201" s="425">
        <v>0</v>
      </c>
      <c r="L201" s="425">
        <v>0</v>
      </c>
      <c r="M201" s="425">
        <v>0</v>
      </c>
      <c r="N201" s="425">
        <v>0</v>
      </c>
      <c r="O201" s="425">
        <v>0</v>
      </c>
    </row>
    <row r="202" spans="3:15" hidden="1" x14ac:dyDescent="0.3">
      <c r="C202" t="s">
        <v>2295</v>
      </c>
      <c r="D202" t="s">
        <v>2267</v>
      </c>
      <c r="E202" t="s">
        <v>2638</v>
      </c>
      <c r="F202" t="s">
        <v>2639</v>
      </c>
      <c r="G202" s="425">
        <v>0</v>
      </c>
      <c r="H202" s="425">
        <v>0</v>
      </c>
      <c r="I202" s="425">
        <v>0</v>
      </c>
      <c r="J202" s="425">
        <v>0</v>
      </c>
      <c r="K202" s="425">
        <v>0</v>
      </c>
      <c r="L202" s="425">
        <v>0</v>
      </c>
      <c r="M202" s="425">
        <v>0</v>
      </c>
      <c r="N202" s="425">
        <v>0</v>
      </c>
      <c r="O202" s="425">
        <v>0</v>
      </c>
    </row>
    <row r="203" spans="3:15" hidden="1" x14ac:dyDescent="0.3">
      <c r="C203" t="s">
        <v>2295</v>
      </c>
      <c r="D203" t="s">
        <v>2267</v>
      </c>
      <c r="E203" t="s">
        <v>2640</v>
      </c>
      <c r="F203" t="s">
        <v>2641</v>
      </c>
      <c r="G203" s="425">
        <v>0</v>
      </c>
      <c r="H203" s="425">
        <v>0</v>
      </c>
      <c r="I203" s="425">
        <v>0</v>
      </c>
      <c r="J203" s="425">
        <v>0</v>
      </c>
      <c r="K203" s="425">
        <v>0</v>
      </c>
      <c r="L203" s="425">
        <v>0</v>
      </c>
      <c r="M203" s="425">
        <v>0</v>
      </c>
      <c r="N203" s="425">
        <v>0</v>
      </c>
      <c r="O203" s="425">
        <v>0</v>
      </c>
    </row>
    <row r="204" spans="3:15" hidden="1" x14ac:dyDescent="0.3">
      <c r="C204" t="s">
        <v>2295</v>
      </c>
      <c r="D204" t="s">
        <v>2267</v>
      </c>
      <c r="E204" t="s">
        <v>2642</v>
      </c>
      <c r="F204" t="s">
        <v>2643</v>
      </c>
      <c r="G204" s="425">
        <v>0</v>
      </c>
      <c r="H204" s="425">
        <v>0</v>
      </c>
      <c r="I204" s="425">
        <v>0</v>
      </c>
      <c r="J204" s="425">
        <v>0</v>
      </c>
      <c r="K204" s="425">
        <v>0</v>
      </c>
      <c r="L204" s="425">
        <v>0</v>
      </c>
      <c r="M204" s="425">
        <v>0</v>
      </c>
      <c r="N204" s="425">
        <v>0</v>
      </c>
      <c r="O204" s="425">
        <v>0</v>
      </c>
    </row>
    <row r="205" spans="3:15" hidden="1" x14ac:dyDescent="0.3">
      <c r="C205" t="s">
        <v>2295</v>
      </c>
      <c r="D205" t="s">
        <v>2267</v>
      </c>
      <c r="E205" t="s">
        <v>2644</v>
      </c>
      <c r="F205" t="s">
        <v>2645</v>
      </c>
      <c r="G205" s="425">
        <v>0</v>
      </c>
      <c r="H205" s="425">
        <v>0</v>
      </c>
      <c r="I205" s="425">
        <v>0</v>
      </c>
      <c r="J205" s="425">
        <v>0</v>
      </c>
      <c r="K205" s="425">
        <v>0</v>
      </c>
      <c r="L205" s="425">
        <v>0</v>
      </c>
      <c r="M205" s="425">
        <v>0</v>
      </c>
      <c r="N205" s="425">
        <v>0</v>
      </c>
      <c r="O205" s="425">
        <v>0</v>
      </c>
    </row>
    <row r="206" spans="3:15" hidden="1" x14ac:dyDescent="0.3">
      <c r="C206" t="s">
        <v>2295</v>
      </c>
      <c r="D206" t="s">
        <v>2267</v>
      </c>
      <c r="E206" t="s">
        <v>2646</v>
      </c>
      <c r="F206" t="s">
        <v>2647</v>
      </c>
      <c r="G206" s="425">
        <v>0</v>
      </c>
      <c r="H206" s="425">
        <v>0</v>
      </c>
      <c r="I206" s="425">
        <v>0</v>
      </c>
      <c r="J206" s="425">
        <v>0</v>
      </c>
      <c r="K206" s="425">
        <v>0</v>
      </c>
      <c r="L206" s="425">
        <v>0</v>
      </c>
      <c r="M206" s="425">
        <v>0</v>
      </c>
      <c r="N206" s="425">
        <v>0</v>
      </c>
      <c r="O206" s="425">
        <v>0</v>
      </c>
    </row>
    <row r="207" spans="3:15" hidden="1" x14ac:dyDescent="0.3">
      <c r="C207" t="s">
        <v>2295</v>
      </c>
      <c r="D207" t="s">
        <v>2267</v>
      </c>
      <c r="E207" t="s">
        <v>2648</v>
      </c>
      <c r="F207" t="s">
        <v>2649</v>
      </c>
      <c r="G207" s="425">
        <v>0</v>
      </c>
      <c r="H207" s="425">
        <v>0</v>
      </c>
      <c r="I207" s="425">
        <v>0</v>
      </c>
      <c r="J207" s="425">
        <v>0</v>
      </c>
      <c r="K207" s="425">
        <v>0</v>
      </c>
      <c r="L207" s="425">
        <v>0</v>
      </c>
      <c r="M207" s="425">
        <v>0</v>
      </c>
      <c r="N207" s="425">
        <v>0</v>
      </c>
      <c r="O207" s="425">
        <v>0</v>
      </c>
    </row>
    <row r="208" spans="3:15" hidden="1" x14ac:dyDescent="0.3">
      <c r="C208" t="s">
        <v>2295</v>
      </c>
      <c r="D208" t="s">
        <v>2267</v>
      </c>
      <c r="E208" t="s">
        <v>2650</v>
      </c>
      <c r="F208" t="s">
        <v>2651</v>
      </c>
      <c r="G208" s="425">
        <v>0</v>
      </c>
      <c r="H208" s="425">
        <v>0</v>
      </c>
      <c r="I208" s="425">
        <v>0</v>
      </c>
      <c r="J208" s="425">
        <v>0</v>
      </c>
      <c r="K208" s="425">
        <v>0</v>
      </c>
      <c r="L208" s="425">
        <v>0</v>
      </c>
      <c r="M208" s="425">
        <v>0</v>
      </c>
      <c r="N208" s="425">
        <v>0</v>
      </c>
      <c r="O208" s="425">
        <v>0</v>
      </c>
    </row>
    <row r="209" spans="3:15" hidden="1" x14ac:dyDescent="0.3">
      <c r="C209" t="s">
        <v>2295</v>
      </c>
      <c r="D209" t="s">
        <v>2267</v>
      </c>
      <c r="E209" t="s">
        <v>2652</v>
      </c>
      <c r="F209" t="s">
        <v>2653</v>
      </c>
      <c r="G209" s="425">
        <v>0</v>
      </c>
      <c r="H209" s="425">
        <v>0</v>
      </c>
      <c r="I209" s="425">
        <v>0</v>
      </c>
      <c r="J209" s="425">
        <v>0</v>
      </c>
      <c r="K209" s="425">
        <v>0</v>
      </c>
      <c r="L209" s="425">
        <v>0</v>
      </c>
      <c r="M209" s="425">
        <v>0</v>
      </c>
      <c r="N209" s="425">
        <v>0</v>
      </c>
      <c r="O209" s="425">
        <v>0</v>
      </c>
    </row>
    <row r="210" spans="3:15" hidden="1" x14ac:dyDescent="0.3">
      <c r="C210" t="s">
        <v>2295</v>
      </c>
      <c r="D210" t="s">
        <v>2267</v>
      </c>
      <c r="E210" t="s">
        <v>2654</v>
      </c>
      <c r="F210" t="s">
        <v>2655</v>
      </c>
      <c r="G210" s="425">
        <v>0</v>
      </c>
      <c r="H210" s="425">
        <v>0</v>
      </c>
      <c r="I210" s="425">
        <v>0</v>
      </c>
      <c r="J210" s="425">
        <v>0</v>
      </c>
      <c r="K210" s="425">
        <v>0</v>
      </c>
      <c r="L210" s="425">
        <v>0</v>
      </c>
      <c r="M210" s="425">
        <v>0</v>
      </c>
      <c r="N210" s="425">
        <v>0</v>
      </c>
      <c r="O210" s="425">
        <v>0</v>
      </c>
    </row>
    <row r="211" spans="3:15" hidden="1" x14ac:dyDescent="0.3">
      <c r="C211" t="s">
        <v>2295</v>
      </c>
      <c r="D211" t="s">
        <v>2267</v>
      </c>
      <c r="E211" t="s">
        <v>2656</v>
      </c>
      <c r="F211" t="s">
        <v>2657</v>
      </c>
      <c r="G211" s="425">
        <v>0</v>
      </c>
      <c r="H211" s="425">
        <v>0</v>
      </c>
      <c r="I211" s="425">
        <v>0</v>
      </c>
      <c r="J211" s="425">
        <v>0</v>
      </c>
      <c r="K211" s="425">
        <v>0</v>
      </c>
      <c r="L211" s="425">
        <v>0</v>
      </c>
      <c r="M211" s="425">
        <v>0</v>
      </c>
      <c r="N211" s="425">
        <v>0</v>
      </c>
      <c r="O211" s="425">
        <v>0</v>
      </c>
    </row>
    <row r="212" spans="3:15" hidden="1" x14ac:dyDescent="0.3">
      <c r="C212" t="s">
        <v>2295</v>
      </c>
      <c r="D212" t="s">
        <v>2267</v>
      </c>
      <c r="E212" t="s">
        <v>2658</v>
      </c>
      <c r="F212" t="s">
        <v>2659</v>
      </c>
      <c r="G212" s="425">
        <v>0</v>
      </c>
      <c r="H212" s="425">
        <v>0</v>
      </c>
      <c r="I212" s="425">
        <v>0</v>
      </c>
      <c r="J212" s="425">
        <v>0</v>
      </c>
      <c r="K212" s="425">
        <v>0</v>
      </c>
      <c r="L212" s="425">
        <v>0</v>
      </c>
      <c r="M212" s="425">
        <v>0</v>
      </c>
      <c r="N212" s="425">
        <v>0</v>
      </c>
      <c r="O212" s="425">
        <v>0</v>
      </c>
    </row>
    <row r="213" spans="3:15" hidden="1" x14ac:dyDescent="0.3">
      <c r="C213" t="s">
        <v>2295</v>
      </c>
      <c r="D213" t="s">
        <v>2267</v>
      </c>
      <c r="E213" t="s">
        <v>2660</v>
      </c>
      <c r="F213" t="s">
        <v>2661</v>
      </c>
      <c r="G213" s="425">
        <v>0</v>
      </c>
      <c r="H213" s="425">
        <v>0</v>
      </c>
      <c r="I213" s="425">
        <v>0</v>
      </c>
      <c r="J213" s="425">
        <v>0</v>
      </c>
      <c r="K213" s="425">
        <v>0</v>
      </c>
      <c r="L213" s="425">
        <v>0</v>
      </c>
      <c r="M213" s="425">
        <v>0</v>
      </c>
      <c r="N213" s="425">
        <v>0</v>
      </c>
      <c r="O213" s="425">
        <v>0</v>
      </c>
    </row>
    <row r="214" spans="3:15" hidden="1" x14ac:dyDescent="0.3">
      <c r="C214" t="s">
        <v>2295</v>
      </c>
      <c r="D214" t="s">
        <v>2267</v>
      </c>
      <c r="E214" t="s">
        <v>2662</v>
      </c>
      <c r="F214" t="s">
        <v>2663</v>
      </c>
      <c r="G214" s="425">
        <v>130</v>
      </c>
      <c r="H214" s="425">
        <v>130</v>
      </c>
      <c r="I214" s="425">
        <v>0</v>
      </c>
      <c r="J214" s="425">
        <v>0</v>
      </c>
      <c r="K214" s="425">
        <v>0</v>
      </c>
      <c r="L214" s="425">
        <v>0</v>
      </c>
      <c r="M214" s="425">
        <v>0</v>
      </c>
      <c r="N214" s="425">
        <v>0</v>
      </c>
      <c r="O214" s="425">
        <v>0</v>
      </c>
    </row>
    <row r="215" spans="3:15" hidden="1" x14ac:dyDescent="0.3">
      <c r="C215" t="s">
        <v>2295</v>
      </c>
      <c r="D215" t="s">
        <v>2267</v>
      </c>
      <c r="E215" t="s">
        <v>2664</v>
      </c>
      <c r="F215" t="s">
        <v>2665</v>
      </c>
      <c r="G215" s="425">
        <v>0</v>
      </c>
      <c r="H215" s="425">
        <v>0</v>
      </c>
      <c r="I215" s="425">
        <v>0</v>
      </c>
      <c r="J215" s="425">
        <v>0</v>
      </c>
      <c r="K215" s="425">
        <v>0</v>
      </c>
      <c r="L215" s="425">
        <v>0</v>
      </c>
      <c r="M215" s="425">
        <v>0</v>
      </c>
      <c r="N215" s="425">
        <v>0</v>
      </c>
      <c r="O215" s="425">
        <v>0</v>
      </c>
    </row>
    <row r="216" spans="3:15" hidden="1" x14ac:dyDescent="0.3">
      <c r="C216" t="s">
        <v>2295</v>
      </c>
      <c r="D216" t="s">
        <v>2267</v>
      </c>
      <c r="E216" t="s">
        <v>2666</v>
      </c>
      <c r="F216" t="s">
        <v>2667</v>
      </c>
      <c r="G216" s="425">
        <v>0</v>
      </c>
      <c r="H216" s="425">
        <v>0</v>
      </c>
      <c r="I216" s="425">
        <v>0</v>
      </c>
      <c r="J216" s="425">
        <v>0</v>
      </c>
      <c r="K216" s="425">
        <v>0</v>
      </c>
      <c r="L216" s="425">
        <v>0</v>
      </c>
      <c r="M216" s="425">
        <v>0</v>
      </c>
      <c r="N216" s="425">
        <v>0</v>
      </c>
      <c r="O216" s="425">
        <v>0</v>
      </c>
    </row>
    <row r="217" spans="3:15" hidden="1" x14ac:dyDescent="0.3">
      <c r="C217" t="s">
        <v>2295</v>
      </c>
      <c r="D217" t="s">
        <v>2267</v>
      </c>
      <c r="E217" t="s">
        <v>2668</v>
      </c>
      <c r="F217" t="s">
        <v>2669</v>
      </c>
      <c r="G217" s="425">
        <v>0</v>
      </c>
      <c r="H217" s="425">
        <v>0</v>
      </c>
      <c r="I217" s="425">
        <v>0</v>
      </c>
      <c r="J217" s="425">
        <v>0</v>
      </c>
      <c r="K217" s="425">
        <v>0</v>
      </c>
      <c r="L217" s="425">
        <v>0</v>
      </c>
      <c r="M217" s="425">
        <v>0</v>
      </c>
      <c r="N217" s="425">
        <v>0</v>
      </c>
      <c r="O217" s="425">
        <v>0</v>
      </c>
    </row>
    <row r="218" spans="3:15" hidden="1" x14ac:dyDescent="0.3">
      <c r="C218" t="s">
        <v>2295</v>
      </c>
      <c r="D218" t="s">
        <v>2267</v>
      </c>
      <c r="E218" t="s">
        <v>2670</v>
      </c>
      <c r="F218" t="s">
        <v>2671</v>
      </c>
      <c r="G218" s="425">
        <v>0</v>
      </c>
      <c r="H218" s="425">
        <v>0</v>
      </c>
      <c r="I218" s="425">
        <v>0</v>
      </c>
      <c r="J218" s="425">
        <v>0</v>
      </c>
      <c r="K218" s="425">
        <v>0</v>
      </c>
      <c r="L218" s="425">
        <v>0</v>
      </c>
      <c r="M218" s="425">
        <v>0</v>
      </c>
      <c r="N218" s="425">
        <v>0</v>
      </c>
      <c r="O218" s="425">
        <v>0</v>
      </c>
    </row>
    <row r="219" spans="3:15" hidden="1" x14ac:dyDescent="0.3">
      <c r="C219" t="s">
        <v>2295</v>
      </c>
      <c r="D219" t="s">
        <v>2267</v>
      </c>
      <c r="E219" t="s">
        <v>2672</v>
      </c>
      <c r="F219" t="s">
        <v>2673</v>
      </c>
      <c r="G219" s="425">
        <v>0</v>
      </c>
      <c r="H219" s="425">
        <v>0</v>
      </c>
      <c r="I219" s="425">
        <v>0</v>
      </c>
      <c r="J219" s="425">
        <v>0</v>
      </c>
      <c r="K219" s="425">
        <v>0</v>
      </c>
      <c r="L219" s="425">
        <v>0</v>
      </c>
      <c r="M219" s="425">
        <v>0</v>
      </c>
      <c r="N219" s="425">
        <v>0</v>
      </c>
      <c r="O219" s="425">
        <v>0</v>
      </c>
    </row>
    <row r="220" spans="3:15" hidden="1" x14ac:dyDescent="0.3">
      <c r="C220" t="s">
        <v>2295</v>
      </c>
      <c r="D220" t="s">
        <v>2267</v>
      </c>
      <c r="E220" t="s">
        <v>2674</v>
      </c>
      <c r="F220" t="s">
        <v>2675</v>
      </c>
      <c r="G220" s="425">
        <v>0</v>
      </c>
      <c r="H220" s="425">
        <v>0</v>
      </c>
      <c r="I220" s="425">
        <v>0</v>
      </c>
      <c r="J220" s="425">
        <v>0</v>
      </c>
      <c r="K220" s="425">
        <v>0</v>
      </c>
      <c r="L220" s="425">
        <v>0</v>
      </c>
      <c r="M220" s="425">
        <v>0</v>
      </c>
      <c r="N220" s="425">
        <v>0</v>
      </c>
      <c r="O220" s="425">
        <v>0</v>
      </c>
    </row>
    <row r="221" spans="3:15" hidden="1" x14ac:dyDescent="0.3">
      <c r="C221" t="s">
        <v>2295</v>
      </c>
      <c r="D221" t="s">
        <v>2267</v>
      </c>
      <c r="E221" t="s">
        <v>2676</v>
      </c>
      <c r="F221" t="s">
        <v>2677</v>
      </c>
      <c r="G221" s="425">
        <v>0</v>
      </c>
      <c r="H221" s="425">
        <v>0</v>
      </c>
      <c r="I221" s="425">
        <v>0</v>
      </c>
      <c r="J221" s="425">
        <v>0</v>
      </c>
      <c r="K221" s="425">
        <v>0</v>
      </c>
      <c r="L221" s="425">
        <v>0</v>
      </c>
      <c r="M221" s="425">
        <v>0</v>
      </c>
      <c r="N221" s="425">
        <v>0</v>
      </c>
      <c r="O221" s="425">
        <v>0</v>
      </c>
    </row>
    <row r="222" spans="3:15" hidden="1" x14ac:dyDescent="0.3">
      <c r="C222" t="s">
        <v>2295</v>
      </c>
      <c r="D222" t="s">
        <v>2267</v>
      </c>
      <c r="E222" t="s">
        <v>2678</v>
      </c>
      <c r="F222" t="s">
        <v>2679</v>
      </c>
      <c r="G222" s="425">
        <v>0</v>
      </c>
      <c r="H222" s="425">
        <v>0</v>
      </c>
      <c r="I222" s="425">
        <v>0</v>
      </c>
      <c r="J222" s="425">
        <v>0</v>
      </c>
      <c r="K222" s="425">
        <v>0</v>
      </c>
      <c r="L222" s="425">
        <v>0</v>
      </c>
      <c r="M222" s="425">
        <v>0</v>
      </c>
      <c r="N222" s="425">
        <v>0</v>
      </c>
      <c r="O222" s="425">
        <v>0</v>
      </c>
    </row>
    <row r="223" spans="3:15" hidden="1" x14ac:dyDescent="0.3">
      <c r="C223" t="s">
        <v>2295</v>
      </c>
      <c r="D223" t="s">
        <v>2267</v>
      </c>
      <c r="E223" t="s">
        <v>2680</v>
      </c>
      <c r="F223" t="s">
        <v>2681</v>
      </c>
      <c r="G223" s="425">
        <v>0</v>
      </c>
      <c r="H223" s="425">
        <v>0</v>
      </c>
      <c r="I223" s="425">
        <v>0</v>
      </c>
      <c r="J223" s="425">
        <v>0</v>
      </c>
      <c r="K223" s="425">
        <v>0</v>
      </c>
      <c r="L223" s="425">
        <v>0</v>
      </c>
      <c r="M223" s="425">
        <v>0</v>
      </c>
      <c r="N223" s="425">
        <v>0</v>
      </c>
      <c r="O223" s="425">
        <v>0</v>
      </c>
    </row>
    <row r="224" spans="3:15" hidden="1" x14ac:dyDescent="0.3">
      <c r="C224" t="s">
        <v>2295</v>
      </c>
      <c r="D224" t="s">
        <v>2267</v>
      </c>
      <c r="E224" t="s">
        <v>2682</v>
      </c>
      <c r="F224" t="s">
        <v>2683</v>
      </c>
      <c r="G224" s="425">
        <v>0</v>
      </c>
      <c r="H224" s="425">
        <v>0</v>
      </c>
      <c r="I224" s="425">
        <v>0</v>
      </c>
      <c r="J224" s="425">
        <v>0</v>
      </c>
      <c r="K224" s="425">
        <v>0</v>
      </c>
      <c r="L224" s="425">
        <v>0</v>
      </c>
      <c r="M224" s="425">
        <v>0</v>
      </c>
      <c r="N224" s="425">
        <v>0</v>
      </c>
      <c r="O224" s="425">
        <v>0</v>
      </c>
    </row>
    <row r="225" spans="3:15" hidden="1" x14ac:dyDescent="0.3">
      <c r="C225" t="s">
        <v>2295</v>
      </c>
      <c r="D225" t="s">
        <v>2267</v>
      </c>
      <c r="E225" t="s">
        <v>2684</v>
      </c>
      <c r="F225" t="s">
        <v>2685</v>
      </c>
      <c r="G225" s="425">
        <v>0</v>
      </c>
      <c r="H225" s="425">
        <v>0</v>
      </c>
      <c r="I225" s="425">
        <v>0</v>
      </c>
      <c r="J225" s="425">
        <v>0</v>
      </c>
      <c r="K225" s="425">
        <v>0</v>
      </c>
      <c r="L225" s="425">
        <v>0</v>
      </c>
      <c r="M225" s="425">
        <v>0</v>
      </c>
      <c r="N225" s="425">
        <v>0</v>
      </c>
      <c r="O225" s="425">
        <v>0</v>
      </c>
    </row>
    <row r="226" spans="3:15" hidden="1" x14ac:dyDescent="0.3">
      <c r="C226" t="s">
        <v>2295</v>
      </c>
      <c r="D226" t="s">
        <v>2267</v>
      </c>
      <c r="E226" t="s">
        <v>2686</v>
      </c>
      <c r="F226" t="s">
        <v>2687</v>
      </c>
      <c r="G226" s="425">
        <v>0</v>
      </c>
      <c r="H226" s="425">
        <v>0</v>
      </c>
      <c r="I226" s="425">
        <v>0</v>
      </c>
      <c r="J226" s="425">
        <v>0</v>
      </c>
      <c r="K226" s="425">
        <v>0</v>
      </c>
      <c r="L226" s="425">
        <v>0</v>
      </c>
      <c r="M226" s="425">
        <v>0</v>
      </c>
      <c r="N226" s="425">
        <v>0</v>
      </c>
      <c r="O226" s="425">
        <v>0</v>
      </c>
    </row>
    <row r="227" spans="3:15" hidden="1" x14ac:dyDescent="0.3">
      <c r="C227" t="s">
        <v>2295</v>
      </c>
      <c r="D227" t="s">
        <v>2267</v>
      </c>
      <c r="E227" t="s">
        <v>2688</v>
      </c>
      <c r="F227" t="s">
        <v>2689</v>
      </c>
      <c r="G227" s="425">
        <v>0</v>
      </c>
      <c r="H227" s="425">
        <v>0</v>
      </c>
      <c r="I227" s="425">
        <v>0</v>
      </c>
      <c r="J227" s="425">
        <v>0</v>
      </c>
      <c r="K227" s="425">
        <v>0</v>
      </c>
      <c r="L227" s="425">
        <v>0</v>
      </c>
      <c r="M227" s="425">
        <v>0</v>
      </c>
      <c r="N227" s="425">
        <v>0</v>
      </c>
      <c r="O227" s="425">
        <v>0</v>
      </c>
    </row>
    <row r="228" spans="3:15" hidden="1" x14ac:dyDescent="0.3">
      <c r="C228" t="s">
        <v>2295</v>
      </c>
      <c r="D228" t="s">
        <v>2267</v>
      </c>
      <c r="E228" t="s">
        <v>2690</v>
      </c>
      <c r="F228" t="s">
        <v>2691</v>
      </c>
      <c r="G228" s="425">
        <v>0</v>
      </c>
      <c r="H228" s="425">
        <v>0</v>
      </c>
      <c r="I228" s="425">
        <v>0</v>
      </c>
      <c r="J228" s="425">
        <v>0</v>
      </c>
      <c r="K228" s="425">
        <v>0</v>
      </c>
      <c r="L228" s="425">
        <v>0</v>
      </c>
      <c r="M228" s="425">
        <v>0</v>
      </c>
      <c r="N228" s="425">
        <v>0</v>
      </c>
      <c r="O228" s="425">
        <v>0</v>
      </c>
    </row>
    <row r="229" spans="3:15" hidden="1" x14ac:dyDescent="0.3">
      <c r="C229" t="s">
        <v>2295</v>
      </c>
      <c r="D229" t="s">
        <v>2267</v>
      </c>
      <c r="E229" t="s">
        <v>2692</v>
      </c>
      <c r="F229" t="s">
        <v>2693</v>
      </c>
      <c r="G229" s="425">
        <v>0</v>
      </c>
      <c r="H229" s="425">
        <v>0</v>
      </c>
      <c r="I229" s="425">
        <v>0</v>
      </c>
      <c r="J229" s="425">
        <v>0</v>
      </c>
      <c r="K229" s="425">
        <v>0</v>
      </c>
      <c r="L229" s="425">
        <v>0</v>
      </c>
      <c r="M229" s="425">
        <v>0</v>
      </c>
      <c r="N229" s="425">
        <v>0</v>
      </c>
      <c r="O229" s="425">
        <v>0</v>
      </c>
    </row>
    <row r="230" spans="3:15" hidden="1" x14ac:dyDescent="0.3">
      <c r="C230" t="s">
        <v>2295</v>
      </c>
      <c r="D230" t="s">
        <v>2267</v>
      </c>
      <c r="E230" t="s">
        <v>2694</v>
      </c>
      <c r="F230" t="s">
        <v>2695</v>
      </c>
      <c r="G230" s="425">
        <v>0</v>
      </c>
      <c r="H230" s="425">
        <v>0</v>
      </c>
      <c r="I230" s="425">
        <v>0</v>
      </c>
      <c r="J230" s="425">
        <v>0</v>
      </c>
      <c r="K230" s="425">
        <v>0</v>
      </c>
      <c r="L230" s="425">
        <v>0</v>
      </c>
      <c r="M230" s="425">
        <v>0</v>
      </c>
      <c r="N230" s="425">
        <v>0</v>
      </c>
      <c r="O230" s="425">
        <v>0</v>
      </c>
    </row>
    <row r="231" spans="3:15" hidden="1" x14ac:dyDescent="0.3">
      <c r="C231" t="s">
        <v>2295</v>
      </c>
      <c r="D231" t="s">
        <v>2267</v>
      </c>
      <c r="E231" t="s">
        <v>2696</v>
      </c>
      <c r="F231" t="s">
        <v>2697</v>
      </c>
      <c r="G231" s="425">
        <v>0</v>
      </c>
      <c r="H231" s="425">
        <v>0</v>
      </c>
      <c r="I231" s="425">
        <v>0</v>
      </c>
      <c r="J231" s="425">
        <v>0</v>
      </c>
      <c r="K231" s="425">
        <v>0</v>
      </c>
      <c r="L231" s="425">
        <v>0</v>
      </c>
      <c r="M231" s="425">
        <v>0</v>
      </c>
      <c r="N231" s="425">
        <v>0</v>
      </c>
      <c r="O231" s="425">
        <v>0</v>
      </c>
    </row>
    <row r="232" spans="3:15" hidden="1" x14ac:dyDescent="0.3">
      <c r="C232" t="s">
        <v>2295</v>
      </c>
      <c r="D232" t="s">
        <v>2267</v>
      </c>
      <c r="E232" t="s">
        <v>2698</v>
      </c>
      <c r="F232" t="s">
        <v>2699</v>
      </c>
      <c r="G232" s="425">
        <v>0</v>
      </c>
      <c r="H232" s="425">
        <v>0</v>
      </c>
      <c r="I232" s="425">
        <v>0</v>
      </c>
      <c r="J232" s="425">
        <v>0</v>
      </c>
      <c r="K232" s="425">
        <v>0</v>
      </c>
      <c r="L232" s="425">
        <v>0</v>
      </c>
      <c r="M232" s="425">
        <v>0</v>
      </c>
      <c r="N232" s="425">
        <v>0</v>
      </c>
      <c r="O232" s="425">
        <v>0</v>
      </c>
    </row>
    <row r="233" spans="3:15" hidden="1" x14ac:dyDescent="0.3">
      <c r="C233" t="s">
        <v>2295</v>
      </c>
      <c r="D233" t="s">
        <v>2267</v>
      </c>
      <c r="E233" t="s">
        <v>2700</v>
      </c>
      <c r="F233" t="s">
        <v>2701</v>
      </c>
      <c r="G233" s="425">
        <v>0</v>
      </c>
      <c r="H233" s="425">
        <v>0</v>
      </c>
      <c r="I233" s="425">
        <v>0</v>
      </c>
      <c r="J233" s="425">
        <v>0</v>
      </c>
      <c r="K233" s="425">
        <v>0</v>
      </c>
      <c r="L233" s="425">
        <v>0</v>
      </c>
      <c r="M233" s="425">
        <v>0</v>
      </c>
      <c r="N233" s="425">
        <v>0</v>
      </c>
      <c r="O233" s="425">
        <v>0</v>
      </c>
    </row>
    <row r="234" spans="3:15" hidden="1" x14ac:dyDescent="0.3">
      <c r="C234" t="s">
        <v>2295</v>
      </c>
      <c r="D234" t="s">
        <v>2267</v>
      </c>
      <c r="E234" t="s">
        <v>2702</v>
      </c>
      <c r="F234" t="s">
        <v>2703</v>
      </c>
      <c r="G234" s="425">
        <v>0</v>
      </c>
      <c r="H234" s="425">
        <v>0</v>
      </c>
      <c r="I234" s="425">
        <v>0</v>
      </c>
      <c r="J234" s="425">
        <v>0</v>
      </c>
      <c r="K234" s="425">
        <v>0</v>
      </c>
      <c r="L234" s="425">
        <v>0</v>
      </c>
      <c r="M234" s="425">
        <v>0</v>
      </c>
      <c r="N234" s="425">
        <v>0</v>
      </c>
      <c r="O234" s="425">
        <v>0</v>
      </c>
    </row>
    <row r="235" spans="3:15" hidden="1" x14ac:dyDescent="0.3">
      <c r="C235" t="s">
        <v>2295</v>
      </c>
      <c r="D235" t="s">
        <v>2267</v>
      </c>
      <c r="E235" t="s">
        <v>2704</v>
      </c>
      <c r="F235" t="s">
        <v>2705</v>
      </c>
      <c r="G235" s="425">
        <v>0</v>
      </c>
      <c r="H235" s="425">
        <v>0</v>
      </c>
      <c r="I235" s="425">
        <v>0</v>
      </c>
      <c r="J235" s="425">
        <v>0</v>
      </c>
      <c r="K235" s="425">
        <v>0</v>
      </c>
      <c r="L235" s="425">
        <v>0</v>
      </c>
      <c r="M235" s="425">
        <v>0</v>
      </c>
      <c r="N235" s="425">
        <v>0</v>
      </c>
      <c r="O235" s="425">
        <v>0</v>
      </c>
    </row>
    <row r="236" spans="3:15" hidden="1" x14ac:dyDescent="0.3">
      <c r="C236" t="s">
        <v>2295</v>
      </c>
      <c r="D236" t="s">
        <v>2267</v>
      </c>
      <c r="E236" t="s">
        <v>2706</v>
      </c>
      <c r="F236" t="s">
        <v>2707</v>
      </c>
      <c r="G236" s="425">
        <v>0</v>
      </c>
      <c r="H236" s="425">
        <v>0</v>
      </c>
      <c r="I236" s="425">
        <v>0</v>
      </c>
      <c r="J236" s="425">
        <v>0</v>
      </c>
      <c r="K236" s="425">
        <v>0</v>
      </c>
      <c r="L236" s="425">
        <v>0</v>
      </c>
      <c r="M236" s="425">
        <v>0</v>
      </c>
      <c r="N236" s="425">
        <v>0</v>
      </c>
      <c r="O236" s="425">
        <v>0</v>
      </c>
    </row>
    <row r="237" spans="3:15" hidden="1" x14ac:dyDescent="0.3">
      <c r="C237" t="s">
        <v>2295</v>
      </c>
      <c r="D237" t="s">
        <v>2267</v>
      </c>
      <c r="E237" t="s">
        <v>2708</v>
      </c>
      <c r="F237" t="s">
        <v>2709</v>
      </c>
      <c r="G237" s="425">
        <v>0</v>
      </c>
      <c r="H237" s="425">
        <v>0</v>
      </c>
      <c r="I237" s="425">
        <v>0</v>
      </c>
      <c r="J237" s="425">
        <v>0</v>
      </c>
      <c r="K237" s="425">
        <v>0</v>
      </c>
      <c r="L237" s="425">
        <v>0</v>
      </c>
      <c r="M237" s="425">
        <v>0</v>
      </c>
      <c r="N237" s="425">
        <v>0</v>
      </c>
      <c r="O237" s="425">
        <v>0</v>
      </c>
    </row>
    <row r="238" spans="3:15" hidden="1" x14ac:dyDescent="0.3">
      <c r="C238" t="s">
        <v>2295</v>
      </c>
      <c r="D238" t="s">
        <v>2267</v>
      </c>
      <c r="E238" t="s">
        <v>2710</v>
      </c>
      <c r="F238" t="s">
        <v>2711</v>
      </c>
      <c r="G238" s="425">
        <v>0</v>
      </c>
      <c r="H238" s="425">
        <v>0</v>
      </c>
      <c r="I238" s="425">
        <v>0</v>
      </c>
      <c r="J238" s="425">
        <v>0</v>
      </c>
      <c r="K238" s="425">
        <v>0</v>
      </c>
      <c r="L238" s="425">
        <v>0</v>
      </c>
      <c r="M238" s="425">
        <v>0</v>
      </c>
      <c r="N238" s="425">
        <v>0</v>
      </c>
      <c r="O238" s="425">
        <v>0</v>
      </c>
    </row>
    <row r="239" spans="3:15" hidden="1" x14ac:dyDescent="0.3">
      <c r="C239" t="s">
        <v>2295</v>
      </c>
      <c r="D239" t="s">
        <v>2267</v>
      </c>
      <c r="E239" t="s">
        <v>2712</v>
      </c>
      <c r="F239" t="s">
        <v>2713</v>
      </c>
      <c r="G239" s="425">
        <v>0</v>
      </c>
      <c r="H239" s="425">
        <v>0</v>
      </c>
      <c r="I239" s="425">
        <v>0</v>
      </c>
      <c r="J239" s="425">
        <v>0</v>
      </c>
      <c r="K239" s="425">
        <v>0</v>
      </c>
      <c r="L239" s="425">
        <v>0</v>
      </c>
      <c r="M239" s="425">
        <v>0</v>
      </c>
      <c r="N239" s="425">
        <v>0</v>
      </c>
      <c r="O239" s="425">
        <v>0</v>
      </c>
    </row>
    <row r="240" spans="3:15" hidden="1" x14ac:dyDescent="0.3">
      <c r="C240" t="s">
        <v>2295</v>
      </c>
      <c r="D240" t="s">
        <v>2267</v>
      </c>
      <c r="E240" t="s">
        <v>2714</v>
      </c>
      <c r="F240" t="s">
        <v>2715</v>
      </c>
      <c r="G240" s="425">
        <v>0</v>
      </c>
      <c r="H240" s="425">
        <v>0</v>
      </c>
      <c r="I240" s="425">
        <v>0</v>
      </c>
      <c r="J240" s="425">
        <v>0</v>
      </c>
      <c r="K240" s="425">
        <v>0</v>
      </c>
      <c r="L240" s="425">
        <v>0</v>
      </c>
      <c r="M240" s="425">
        <v>0</v>
      </c>
      <c r="N240" s="425">
        <v>0</v>
      </c>
      <c r="O240" s="425">
        <v>0</v>
      </c>
    </row>
    <row r="241" spans="3:15" hidden="1" x14ac:dyDescent="0.3">
      <c r="C241" t="s">
        <v>2295</v>
      </c>
      <c r="D241" t="s">
        <v>2267</v>
      </c>
      <c r="E241" t="s">
        <v>2716</v>
      </c>
      <c r="F241" t="s">
        <v>2717</v>
      </c>
      <c r="G241" s="425">
        <v>0</v>
      </c>
      <c r="H241" s="425">
        <v>0</v>
      </c>
      <c r="I241" s="425">
        <v>0</v>
      </c>
      <c r="J241" s="425">
        <v>0</v>
      </c>
      <c r="K241" s="425">
        <v>0</v>
      </c>
      <c r="L241" s="425">
        <v>0</v>
      </c>
      <c r="M241" s="425">
        <v>0</v>
      </c>
      <c r="N241" s="425">
        <v>0</v>
      </c>
      <c r="O241" s="425">
        <v>0</v>
      </c>
    </row>
    <row r="242" spans="3:15" hidden="1" x14ac:dyDescent="0.3">
      <c r="C242" t="s">
        <v>2295</v>
      </c>
      <c r="D242" t="s">
        <v>2267</v>
      </c>
      <c r="E242" t="s">
        <v>2718</v>
      </c>
      <c r="F242" t="s">
        <v>2719</v>
      </c>
      <c r="G242" s="425">
        <v>0</v>
      </c>
      <c r="H242" s="425">
        <v>0</v>
      </c>
      <c r="I242" s="425">
        <v>0</v>
      </c>
      <c r="J242" s="425">
        <v>0</v>
      </c>
      <c r="K242" s="425">
        <v>0</v>
      </c>
      <c r="L242" s="425">
        <v>0</v>
      </c>
      <c r="M242" s="425">
        <v>0</v>
      </c>
      <c r="N242" s="425">
        <v>0</v>
      </c>
      <c r="O242" s="425">
        <v>0</v>
      </c>
    </row>
    <row r="243" spans="3:15" hidden="1" x14ac:dyDescent="0.3">
      <c r="C243" t="s">
        <v>2295</v>
      </c>
      <c r="D243" t="s">
        <v>2267</v>
      </c>
      <c r="E243" t="s">
        <v>2720</v>
      </c>
      <c r="F243" t="s">
        <v>2721</v>
      </c>
      <c r="G243" s="425">
        <v>0</v>
      </c>
      <c r="H243" s="425">
        <v>0</v>
      </c>
      <c r="I243" s="425">
        <v>0</v>
      </c>
      <c r="J243" s="425">
        <v>0</v>
      </c>
      <c r="K243" s="425">
        <v>0</v>
      </c>
      <c r="L243" s="425">
        <v>0</v>
      </c>
      <c r="M243" s="425">
        <v>0</v>
      </c>
      <c r="N243" s="425">
        <v>0</v>
      </c>
      <c r="O243" s="425">
        <v>0</v>
      </c>
    </row>
    <row r="244" spans="3:15" hidden="1" x14ac:dyDescent="0.3">
      <c r="C244" t="s">
        <v>2295</v>
      </c>
      <c r="D244" t="s">
        <v>2267</v>
      </c>
      <c r="E244" t="s">
        <v>2722</v>
      </c>
      <c r="F244" t="s">
        <v>2723</v>
      </c>
      <c r="G244" s="425">
        <v>0</v>
      </c>
      <c r="H244" s="425">
        <v>0</v>
      </c>
      <c r="I244" s="425">
        <v>0</v>
      </c>
      <c r="J244" s="425">
        <v>0</v>
      </c>
      <c r="K244" s="425">
        <v>0</v>
      </c>
      <c r="L244" s="425">
        <v>0</v>
      </c>
      <c r="M244" s="425">
        <v>0</v>
      </c>
      <c r="N244" s="425">
        <v>0</v>
      </c>
      <c r="O244" s="425">
        <v>0</v>
      </c>
    </row>
    <row r="245" spans="3:15" hidden="1" x14ac:dyDescent="0.3">
      <c r="C245" t="s">
        <v>2295</v>
      </c>
      <c r="D245" t="s">
        <v>2267</v>
      </c>
      <c r="E245" t="s">
        <v>2724</v>
      </c>
      <c r="F245" t="s">
        <v>2725</v>
      </c>
      <c r="G245" s="425">
        <v>0</v>
      </c>
      <c r="H245" s="425">
        <v>0</v>
      </c>
      <c r="I245" s="425">
        <v>0</v>
      </c>
      <c r="J245" s="425">
        <v>0</v>
      </c>
      <c r="K245" s="425">
        <v>0</v>
      </c>
      <c r="L245" s="425">
        <v>0</v>
      </c>
      <c r="M245" s="425">
        <v>0</v>
      </c>
      <c r="N245" s="425">
        <v>0</v>
      </c>
      <c r="O245" s="425">
        <v>0</v>
      </c>
    </row>
    <row r="246" spans="3:15" hidden="1" x14ac:dyDescent="0.3">
      <c r="C246" t="s">
        <v>2295</v>
      </c>
      <c r="D246" t="s">
        <v>2267</v>
      </c>
      <c r="E246" t="s">
        <v>2726</v>
      </c>
      <c r="F246" t="s">
        <v>2727</v>
      </c>
      <c r="G246" s="425">
        <v>0</v>
      </c>
      <c r="H246" s="425">
        <v>0</v>
      </c>
      <c r="I246" s="425">
        <v>0</v>
      </c>
      <c r="J246" s="425">
        <v>0</v>
      </c>
      <c r="K246" s="425">
        <v>0</v>
      </c>
      <c r="L246" s="425">
        <v>0</v>
      </c>
      <c r="M246" s="425">
        <v>0</v>
      </c>
      <c r="N246" s="425">
        <v>0</v>
      </c>
      <c r="O246" s="425">
        <v>0</v>
      </c>
    </row>
    <row r="247" spans="3:15" hidden="1" x14ac:dyDescent="0.3">
      <c r="C247" t="s">
        <v>2295</v>
      </c>
      <c r="D247" t="s">
        <v>2267</v>
      </c>
      <c r="E247" t="s">
        <v>2728</v>
      </c>
      <c r="F247" t="s">
        <v>2729</v>
      </c>
      <c r="G247" s="425">
        <v>0</v>
      </c>
      <c r="H247" s="425">
        <v>0</v>
      </c>
      <c r="I247" s="425">
        <v>0</v>
      </c>
      <c r="J247" s="425">
        <v>0</v>
      </c>
      <c r="K247" s="425">
        <v>0</v>
      </c>
      <c r="L247" s="425">
        <v>0</v>
      </c>
      <c r="M247" s="425">
        <v>0</v>
      </c>
      <c r="N247" s="425">
        <v>0</v>
      </c>
      <c r="O247" s="425">
        <v>0</v>
      </c>
    </row>
    <row r="248" spans="3:15" hidden="1" x14ac:dyDescent="0.3">
      <c r="C248" t="s">
        <v>2295</v>
      </c>
      <c r="D248" t="s">
        <v>2267</v>
      </c>
      <c r="E248" t="s">
        <v>2730</v>
      </c>
      <c r="F248" t="s">
        <v>2731</v>
      </c>
      <c r="G248" s="425">
        <v>0</v>
      </c>
      <c r="H248" s="425">
        <v>0</v>
      </c>
      <c r="I248" s="425">
        <v>0</v>
      </c>
      <c r="J248" s="425">
        <v>0</v>
      </c>
      <c r="K248" s="425">
        <v>0</v>
      </c>
      <c r="L248" s="425">
        <v>0</v>
      </c>
      <c r="M248" s="425">
        <v>0</v>
      </c>
      <c r="N248" s="425">
        <v>0</v>
      </c>
      <c r="O248" s="425">
        <v>0</v>
      </c>
    </row>
    <row r="249" spans="3:15" hidden="1" x14ac:dyDescent="0.3">
      <c r="C249" t="s">
        <v>2295</v>
      </c>
      <c r="D249" t="s">
        <v>2267</v>
      </c>
      <c r="E249" t="s">
        <v>2732</v>
      </c>
      <c r="F249" t="s">
        <v>2733</v>
      </c>
      <c r="G249" s="425">
        <v>0</v>
      </c>
      <c r="H249" s="425">
        <v>0</v>
      </c>
      <c r="I249" s="425">
        <v>0</v>
      </c>
      <c r="J249" s="425">
        <v>0</v>
      </c>
      <c r="K249" s="425">
        <v>0</v>
      </c>
      <c r="L249" s="425">
        <v>0</v>
      </c>
      <c r="M249" s="425">
        <v>0</v>
      </c>
      <c r="N249" s="425">
        <v>0</v>
      </c>
      <c r="O249" s="425">
        <v>0</v>
      </c>
    </row>
    <row r="250" spans="3:15" hidden="1" x14ac:dyDescent="0.3">
      <c r="C250" t="s">
        <v>2295</v>
      </c>
      <c r="D250" t="s">
        <v>2267</v>
      </c>
      <c r="E250" t="s">
        <v>2734</v>
      </c>
      <c r="F250" t="s">
        <v>2735</v>
      </c>
      <c r="G250" s="425">
        <v>0</v>
      </c>
      <c r="H250" s="425">
        <v>0</v>
      </c>
      <c r="I250" s="425">
        <v>0</v>
      </c>
      <c r="J250" s="425">
        <v>0</v>
      </c>
      <c r="K250" s="425">
        <v>0</v>
      </c>
      <c r="L250" s="425">
        <v>0</v>
      </c>
      <c r="M250" s="425">
        <v>0</v>
      </c>
      <c r="N250" s="425">
        <v>0</v>
      </c>
      <c r="O250" s="425">
        <v>0</v>
      </c>
    </row>
    <row r="251" spans="3:15" hidden="1" x14ac:dyDescent="0.3">
      <c r="C251" t="s">
        <v>2292</v>
      </c>
      <c r="D251" t="s">
        <v>2237</v>
      </c>
      <c r="E251" t="s">
        <v>2736</v>
      </c>
      <c r="F251" t="s">
        <v>2737</v>
      </c>
      <c r="G251" s="425">
        <v>1470045739</v>
      </c>
      <c r="H251" s="425">
        <v>1470045739</v>
      </c>
      <c r="I251" s="425">
        <v>0</v>
      </c>
      <c r="J251" s="425">
        <v>0</v>
      </c>
      <c r="K251" s="425">
        <v>0</v>
      </c>
      <c r="L251" s="425">
        <v>0</v>
      </c>
      <c r="M251" s="425">
        <v>0</v>
      </c>
      <c r="N251" s="425">
        <v>0</v>
      </c>
      <c r="O251" s="425">
        <v>0</v>
      </c>
    </row>
    <row r="252" spans="3:15" hidden="1" x14ac:dyDescent="0.3">
      <c r="C252" t="s">
        <v>2295</v>
      </c>
      <c r="D252" t="s">
        <v>2267</v>
      </c>
      <c r="E252" t="s">
        <v>2738</v>
      </c>
      <c r="F252" t="s">
        <v>2739</v>
      </c>
      <c r="G252" s="425">
        <v>317</v>
      </c>
      <c r="H252" s="425">
        <v>317</v>
      </c>
      <c r="I252" s="425">
        <v>0</v>
      </c>
      <c r="J252" s="425">
        <v>0</v>
      </c>
      <c r="K252" s="425">
        <v>0</v>
      </c>
      <c r="L252" s="425">
        <v>0</v>
      </c>
      <c r="M252" s="425">
        <v>0</v>
      </c>
      <c r="N252" s="425">
        <v>0</v>
      </c>
      <c r="O252" s="425">
        <v>0</v>
      </c>
    </row>
    <row r="253" spans="3:15" hidden="1" x14ac:dyDescent="0.3">
      <c r="C253" t="s">
        <v>2295</v>
      </c>
      <c r="D253" t="s">
        <v>2267</v>
      </c>
      <c r="E253" t="s">
        <v>2740</v>
      </c>
      <c r="F253" t="s">
        <v>2741</v>
      </c>
      <c r="G253" s="425">
        <v>0</v>
      </c>
      <c r="H253" s="425">
        <v>0</v>
      </c>
      <c r="I253" s="425">
        <v>0</v>
      </c>
      <c r="J253" s="425">
        <v>0</v>
      </c>
      <c r="K253" s="425">
        <v>0</v>
      </c>
      <c r="L253" s="425">
        <v>0</v>
      </c>
      <c r="M253" s="425">
        <v>0</v>
      </c>
      <c r="N253" s="425">
        <v>0</v>
      </c>
      <c r="O253" s="425">
        <v>0</v>
      </c>
    </row>
    <row r="254" spans="3:15" hidden="1" x14ac:dyDescent="0.3">
      <c r="C254" t="s">
        <v>2295</v>
      </c>
      <c r="D254" t="s">
        <v>2267</v>
      </c>
      <c r="E254" t="s">
        <v>2742</v>
      </c>
      <c r="F254" t="s">
        <v>2743</v>
      </c>
      <c r="G254" s="425">
        <v>0</v>
      </c>
      <c r="H254" s="425">
        <v>0</v>
      </c>
      <c r="I254" s="425">
        <v>0</v>
      </c>
      <c r="J254" s="425">
        <v>0</v>
      </c>
      <c r="K254" s="425">
        <v>0</v>
      </c>
      <c r="L254" s="425">
        <v>0</v>
      </c>
      <c r="M254" s="425">
        <v>0</v>
      </c>
      <c r="N254" s="425">
        <v>0</v>
      </c>
      <c r="O254" s="425">
        <v>0</v>
      </c>
    </row>
    <row r="255" spans="3:15" hidden="1" x14ac:dyDescent="0.3">
      <c r="C255" t="s">
        <v>2295</v>
      </c>
      <c r="D255" t="s">
        <v>2267</v>
      </c>
      <c r="E255" t="s">
        <v>2744</v>
      </c>
      <c r="F255" t="s">
        <v>2745</v>
      </c>
      <c r="G255" s="425">
        <v>0</v>
      </c>
      <c r="H255" s="425">
        <v>0</v>
      </c>
      <c r="I255" s="425">
        <v>0</v>
      </c>
      <c r="J255" s="425">
        <v>0</v>
      </c>
      <c r="K255" s="425">
        <v>0</v>
      </c>
      <c r="L255" s="425">
        <v>0</v>
      </c>
      <c r="M255" s="425">
        <v>0</v>
      </c>
      <c r="N255" s="425">
        <v>0</v>
      </c>
      <c r="O255" s="425">
        <v>0</v>
      </c>
    </row>
    <row r="256" spans="3:15" hidden="1" x14ac:dyDescent="0.3">
      <c r="C256" t="s">
        <v>2295</v>
      </c>
      <c r="D256" t="s">
        <v>2267</v>
      </c>
      <c r="E256" t="s">
        <v>2746</v>
      </c>
      <c r="F256" t="s">
        <v>2747</v>
      </c>
      <c r="G256" s="425">
        <v>28678445</v>
      </c>
      <c r="H256" s="425">
        <v>28678445</v>
      </c>
      <c r="I256" s="425">
        <v>0</v>
      </c>
      <c r="J256" s="425">
        <v>0</v>
      </c>
      <c r="K256" s="425">
        <v>0</v>
      </c>
      <c r="L256" s="425">
        <v>0</v>
      </c>
      <c r="M256" s="425">
        <v>0</v>
      </c>
      <c r="N256" s="425">
        <v>0</v>
      </c>
      <c r="O256" s="425">
        <v>0</v>
      </c>
    </row>
    <row r="257" spans="3:15" hidden="1" x14ac:dyDescent="0.3">
      <c r="C257" t="s">
        <v>2295</v>
      </c>
      <c r="D257" t="s">
        <v>2267</v>
      </c>
      <c r="E257" t="s">
        <v>2748</v>
      </c>
      <c r="F257" t="s">
        <v>2749</v>
      </c>
      <c r="G257" s="425">
        <v>0</v>
      </c>
      <c r="H257" s="425">
        <v>0</v>
      </c>
      <c r="I257" s="425">
        <v>0</v>
      </c>
      <c r="J257" s="425">
        <v>0</v>
      </c>
      <c r="K257" s="425">
        <v>0</v>
      </c>
      <c r="L257" s="425">
        <v>0</v>
      </c>
      <c r="M257" s="425">
        <v>0</v>
      </c>
      <c r="N257" s="425">
        <v>0</v>
      </c>
      <c r="O257" s="425">
        <v>0</v>
      </c>
    </row>
    <row r="258" spans="3:15" hidden="1" x14ac:dyDescent="0.3">
      <c r="C258" t="s">
        <v>2295</v>
      </c>
      <c r="D258" t="s">
        <v>2267</v>
      </c>
      <c r="E258" t="s">
        <v>2750</v>
      </c>
      <c r="F258" t="s">
        <v>2751</v>
      </c>
      <c r="G258" s="425">
        <v>461055</v>
      </c>
      <c r="H258" s="425">
        <v>461055</v>
      </c>
      <c r="I258" s="425">
        <v>0</v>
      </c>
      <c r="J258" s="425">
        <v>0</v>
      </c>
      <c r="K258" s="425">
        <v>0</v>
      </c>
      <c r="L258" s="425">
        <v>0</v>
      </c>
      <c r="M258" s="425">
        <v>0</v>
      </c>
      <c r="N258" s="425">
        <v>0</v>
      </c>
      <c r="O258" s="425">
        <v>0</v>
      </c>
    </row>
    <row r="259" spans="3:15" hidden="1" x14ac:dyDescent="0.3">
      <c r="C259" t="s">
        <v>2295</v>
      </c>
      <c r="D259" t="s">
        <v>2267</v>
      </c>
      <c r="E259" t="s">
        <v>2752</v>
      </c>
      <c r="F259" t="s">
        <v>2753</v>
      </c>
      <c r="G259" s="425">
        <v>120470</v>
      </c>
      <c r="H259" s="425">
        <v>120470</v>
      </c>
      <c r="I259" s="425">
        <v>0</v>
      </c>
      <c r="J259" s="425">
        <v>0</v>
      </c>
      <c r="K259" s="425">
        <v>0</v>
      </c>
      <c r="L259" s="425">
        <v>0</v>
      </c>
      <c r="M259" s="425">
        <v>0</v>
      </c>
      <c r="N259" s="425">
        <v>0</v>
      </c>
      <c r="O259" s="425">
        <v>0</v>
      </c>
    </row>
    <row r="260" spans="3:15" hidden="1" x14ac:dyDescent="0.3">
      <c r="C260" t="s">
        <v>2295</v>
      </c>
      <c r="D260" t="s">
        <v>2267</v>
      </c>
      <c r="E260" t="s">
        <v>2754</v>
      </c>
      <c r="F260" t="s">
        <v>2755</v>
      </c>
      <c r="G260" s="425">
        <v>3771207</v>
      </c>
      <c r="H260" s="425">
        <v>3771207</v>
      </c>
      <c r="I260" s="425">
        <v>0</v>
      </c>
      <c r="J260" s="425">
        <v>0</v>
      </c>
      <c r="K260" s="425">
        <v>0</v>
      </c>
      <c r="L260" s="425">
        <v>0</v>
      </c>
      <c r="M260" s="425">
        <v>0</v>
      </c>
      <c r="N260" s="425">
        <v>0</v>
      </c>
      <c r="O260" s="425">
        <v>0</v>
      </c>
    </row>
    <row r="261" spans="3:15" hidden="1" x14ac:dyDescent="0.3">
      <c r="C261" t="s">
        <v>2295</v>
      </c>
      <c r="D261" t="s">
        <v>2267</v>
      </c>
      <c r="E261" t="s">
        <v>2756</v>
      </c>
      <c r="F261" t="s">
        <v>2757</v>
      </c>
      <c r="G261" s="425">
        <v>19143</v>
      </c>
      <c r="H261" s="425">
        <v>19143</v>
      </c>
      <c r="I261" s="425">
        <v>0</v>
      </c>
      <c r="J261" s="425">
        <v>0</v>
      </c>
      <c r="K261" s="425">
        <v>0</v>
      </c>
      <c r="L261" s="425">
        <v>0</v>
      </c>
      <c r="M261" s="425">
        <v>0</v>
      </c>
      <c r="N261" s="425">
        <v>0</v>
      </c>
      <c r="O261" s="425">
        <v>0</v>
      </c>
    </row>
    <row r="262" spans="3:15" hidden="1" x14ac:dyDescent="0.3">
      <c r="C262" t="s">
        <v>2295</v>
      </c>
      <c r="D262" t="s">
        <v>2267</v>
      </c>
      <c r="E262" t="s">
        <v>2758</v>
      </c>
      <c r="F262" t="s">
        <v>2759</v>
      </c>
      <c r="G262" s="425">
        <v>102054</v>
      </c>
      <c r="H262" s="425">
        <v>102054</v>
      </c>
      <c r="I262" s="425">
        <v>0</v>
      </c>
      <c r="J262" s="425">
        <v>0</v>
      </c>
      <c r="K262" s="425">
        <v>0</v>
      </c>
      <c r="L262" s="425">
        <v>0</v>
      </c>
      <c r="M262" s="425">
        <v>0</v>
      </c>
      <c r="N262" s="425">
        <v>0</v>
      </c>
      <c r="O262" s="425">
        <v>0</v>
      </c>
    </row>
    <row r="263" spans="3:15" hidden="1" x14ac:dyDescent="0.3">
      <c r="C263" t="s">
        <v>2295</v>
      </c>
      <c r="D263" t="s">
        <v>2267</v>
      </c>
      <c r="E263" t="s">
        <v>2760</v>
      </c>
      <c r="F263" t="s">
        <v>2761</v>
      </c>
      <c r="G263" s="425">
        <v>0</v>
      </c>
      <c r="H263" s="425">
        <v>0</v>
      </c>
      <c r="I263" s="425">
        <v>0</v>
      </c>
      <c r="J263" s="425">
        <v>0</v>
      </c>
      <c r="K263" s="425">
        <v>0</v>
      </c>
      <c r="L263" s="425">
        <v>0</v>
      </c>
      <c r="M263" s="425">
        <v>0</v>
      </c>
      <c r="N263" s="425">
        <v>0</v>
      </c>
      <c r="O263" s="425">
        <v>0</v>
      </c>
    </row>
    <row r="264" spans="3:15" hidden="1" x14ac:dyDescent="0.3">
      <c r="C264" t="s">
        <v>2295</v>
      </c>
      <c r="D264" t="s">
        <v>2267</v>
      </c>
      <c r="E264" t="s">
        <v>2762</v>
      </c>
      <c r="F264" t="s">
        <v>2763</v>
      </c>
      <c r="G264" s="425">
        <v>8665951</v>
      </c>
      <c r="H264" s="425">
        <v>8665951</v>
      </c>
      <c r="I264" s="425">
        <v>0</v>
      </c>
      <c r="J264" s="425">
        <v>0</v>
      </c>
      <c r="K264" s="425">
        <v>0</v>
      </c>
      <c r="L264" s="425">
        <v>0</v>
      </c>
      <c r="M264" s="425">
        <v>0</v>
      </c>
      <c r="N264" s="425">
        <v>0</v>
      </c>
      <c r="O264" s="425">
        <v>0</v>
      </c>
    </row>
    <row r="265" spans="3:15" hidden="1" x14ac:dyDescent="0.3">
      <c r="C265" t="s">
        <v>2295</v>
      </c>
      <c r="D265" t="s">
        <v>2267</v>
      </c>
      <c r="E265" t="s">
        <v>2764</v>
      </c>
      <c r="F265" t="s">
        <v>2765</v>
      </c>
      <c r="G265" s="425">
        <v>0</v>
      </c>
      <c r="H265" s="425">
        <v>0</v>
      </c>
      <c r="I265" s="425">
        <v>0</v>
      </c>
      <c r="J265" s="425">
        <v>0</v>
      </c>
      <c r="K265" s="425">
        <v>0</v>
      </c>
      <c r="L265" s="425">
        <v>0</v>
      </c>
      <c r="M265" s="425">
        <v>0</v>
      </c>
      <c r="N265" s="425">
        <v>0</v>
      </c>
      <c r="O265" s="425">
        <v>0</v>
      </c>
    </row>
    <row r="266" spans="3:15" hidden="1" x14ac:dyDescent="0.3">
      <c r="C266" t="s">
        <v>2295</v>
      </c>
      <c r="D266" t="s">
        <v>2267</v>
      </c>
      <c r="E266" t="s">
        <v>2766</v>
      </c>
      <c r="F266" t="s">
        <v>2767</v>
      </c>
      <c r="G266" s="425">
        <v>808588</v>
      </c>
      <c r="H266" s="425">
        <v>808588</v>
      </c>
      <c r="I266" s="425">
        <v>0</v>
      </c>
      <c r="J266" s="425">
        <v>0</v>
      </c>
      <c r="K266" s="425">
        <v>0</v>
      </c>
      <c r="L266" s="425">
        <v>0</v>
      </c>
      <c r="M266" s="425">
        <v>0</v>
      </c>
      <c r="N266" s="425">
        <v>0</v>
      </c>
      <c r="O266" s="425">
        <v>0</v>
      </c>
    </row>
    <row r="267" spans="3:15" hidden="1" x14ac:dyDescent="0.3">
      <c r="C267" t="s">
        <v>2295</v>
      </c>
      <c r="D267" t="s">
        <v>2267</v>
      </c>
      <c r="E267" t="s">
        <v>2768</v>
      </c>
      <c r="F267" t="s">
        <v>2769</v>
      </c>
      <c r="G267" s="425">
        <v>0</v>
      </c>
      <c r="H267" s="425">
        <v>0</v>
      </c>
      <c r="I267" s="425">
        <v>0</v>
      </c>
      <c r="J267" s="425">
        <v>0</v>
      </c>
      <c r="K267" s="425">
        <v>0</v>
      </c>
      <c r="L267" s="425">
        <v>0</v>
      </c>
      <c r="M267" s="425">
        <v>0</v>
      </c>
      <c r="N267" s="425">
        <v>0</v>
      </c>
      <c r="O267" s="425">
        <v>0</v>
      </c>
    </row>
    <row r="268" spans="3:15" hidden="1" x14ac:dyDescent="0.3">
      <c r="C268" t="s">
        <v>2295</v>
      </c>
      <c r="D268" t="s">
        <v>2267</v>
      </c>
      <c r="E268" t="s">
        <v>2770</v>
      </c>
      <c r="F268" t="s">
        <v>2771</v>
      </c>
      <c r="G268" s="425">
        <v>56861</v>
      </c>
      <c r="H268" s="425">
        <v>56861</v>
      </c>
      <c r="I268" s="425">
        <v>0</v>
      </c>
      <c r="J268" s="425">
        <v>0</v>
      </c>
      <c r="K268" s="425">
        <v>0</v>
      </c>
      <c r="L268" s="425">
        <v>0</v>
      </c>
      <c r="M268" s="425">
        <v>0</v>
      </c>
      <c r="N268" s="425">
        <v>0</v>
      </c>
      <c r="O268" s="425">
        <v>0</v>
      </c>
    </row>
    <row r="269" spans="3:15" hidden="1" x14ac:dyDescent="0.3">
      <c r="C269" t="s">
        <v>2295</v>
      </c>
      <c r="D269" t="s">
        <v>2267</v>
      </c>
      <c r="E269" t="s">
        <v>2772</v>
      </c>
      <c r="F269" t="s">
        <v>2773</v>
      </c>
      <c r="G269" s="425">
        <v>174688</v>
      </c>
      <c r="H269" s="425">
        <v>174688</v>
      </c>
      <c r="I269" s="425">
        <v>0</v>
      </c>
      <c r="J269" s="425">
        <v>0</v>
      </c>
      <c r="K269" s="425">
        <v>0</v>
      </c>
      <c r="L269" s="425">
        <v>0</v>
      </c>
      <c r="M269" s="425">
        <v>0</v>
      </c>
      <c r="N269" s="425">
        <v>0</v>
      </c>
      <c r="O269" s="425">
        <v>0</v>
      </c>
    </row>
    <row r="270" spans="3:15" hidden="1" x14ac:dyDescent="0.3">
      <c r="C270" t="s">
        <v>2295</v>
      </c>
      <c r="D270" t="s">
        <v>2267</v>
      </c>
      <c r="E270" t="s">
        <v>2772</v>
      </c>
      <c r="F270" t="s">
        <v>2774</v>
      </c>
      <c r="G270" s="425">
        <v>393986</v>
      </c>
      <c r="H270" s="425">
        <v>393986</v>
      </c>
      <c r="I270" s="425">
        <v>0</v>
      </c>
      <c r="J270" s="425">
        <v>0</v>
      </c>
      <c r="K270" s="425">
        <v>0</v>
      </c>
      <c r="L270" s="425">
        <v>0</v>
      </c>
      <c r="M270" s="425">
        <v>0</v>
      </c>
      <c r="N270" s="425">
        <v>0</v>
      </c>
      <c r="O270" s="425">
        <v>0</v>
      </c>
    </row>
    <row r="271" spans="3:15" hidden="1" x14ac:dyDescent="0.3">
      <c r="C271" t="s">
        <v>2295</v>
      </c>
      <c r="D271" t="s">
        <v>2267</v>
      </c>
      <c r="E271" t="s">
        <v>2775</v>
      </c>
      <c r="F271" t="s">
        <v>2776</v>
      </c>
      <c r="G271" s="425">
        <v>19142</v>
      </c>
      <c r="H271" s="425">
        <v>19142</v>
      </c>
      <c r="I271" s="425">
        <v>0</v>
      </c>
      <c r="J271" s="425">
        <v>0</v>
      </c>
      <c r="K271" s="425">
        <v>0</v>
      </c>
      <c r="L271" s="425">
        <v>0</v>
      </c>
      <c r="M271" s="425">
        <v>0</v>
      </c>
      <c r="N271" s="425">
        <v>0</v>
      </c>
      <c r="O271" s="425">
        <v>0</v>
      </c>
    </row>
    <row r="272" spans="3:15" hidden="1" x14ac:dyDescent="0.3">
      <c r="C272" t="s">
        <v>2295</v>
      </c>
      <c r="D272" t="s">
        <v>2267</v>
      </c>
      <c r="E272" t="s">
        <v>2777</v>
      </c>
      <c r="F272" t="s">
        <v>2778</v>
      </c>
      <c r="G272" s="425">
        <v>211890</v>
      </c>
      <c r="H272" s="425">
        <v>211890</v>
      </c>
      <c r="I272" s="425">
        <v>0</v>
      </c>
      <c r="J272" s="425">
        <v>0</v>
      </c>
      <c r="K272" s="425">
        <v>0</v>
      </c>
      <c r="L272" s="425">
        <v>0</v>
      </c>
      <c r="M272" s="425">
        <v>0</v>
      </c>
      <c r="N272" s="425">
        <v>0</v>
      </c>
      <c r="O272" s="425">
        <v>0</v>
      </c>
    </row>
    <row r="273" spans="3:15" hidden="1" x14ac:dyDescent="0.3">
      <c r="C273" t="s">
        <v>2295</v>
      </c>
      <c r="D273" t="s">
        <v>2267</v>
      </c>
      <c r="E273" t="s">
        <v>2779</v>
      </c>
      <c r="F273" t="s">
        <v>2780</v>
      </c>
      <c r="G273" s="425">
        <v>10164118</v>
      </c>
      <c r="H273" s="425">
        <v>10164118</v>
      </c>
      <c r="I273" s="425">
        <v>0</v>
      </c>
      <c r="J273" s="425">
        <v>0</v>
      </c>
      <c r="K273" s="425">
        <v>0</v>
      </c>
      <c r="L273" s="425">
        <v>0</v>
      </c>
      <c r="M273" s="425">
        <v>0</v>
      </c>
      <c r="N273" s="425">
        <v>0</v>
      </c>
      <c r="O273" s="425">
        <v>0</v>
      </c>
    </row>
    <row r="274" spans="3:15" hidden="1" x14ac:dyDescent="0.3">
      <c r="C274" t="s">
        <v>2295</v>
      </c>
      <c r="D274" t="s">
        <v>2267</v>
      </c>
      <c r="E274" t="s">
        <v>2781</v>
      </c>
      <c r="F274" t="s">
        <v>2782</v>
      </c>
      <c r="G274" s="425">
        <v>2847456</v>
      </c>
      <c r="H274" s="425">
        <v>2847456</v>
      </c>
      <c r="I274" s="425">
        <v>0</v>
      </c>
      <c r="J274" s="425">
        <v>0</v>
      </c>
      <c r="K274" s="425">
        <v>0</v>
      </c>
      <c r="L274" s="425">
        <v>0</v>
      </c>
      <c r="M274" s="425">
        <v>0</v>
      </c>
      <c r="N274" s="425">
        <v>0</v>
      </c>
      <c r="O274" s="425">
        <v>0</v>
      </c>
    </row>
    <row r="275" spans="3:15" hidden="1" x14ac:dyDescent="0.3">
      <c r="C275" t="s">
        <v>2295</v>
      </c>
      <c r="D275" t="s">
        <v>2267</v>
      </c>
      <c r="E275" t="s">
        <v>2783</v>
      </c>
      <c r="F275" t="s">
        <v>2784</v>
      </c>
      <c r="G275" s="425">
        <v>1748590</v>
      </c>
      <c r="H275" s="425">
        <v>1748590</v>
      </c>
      <c r="I275" s="425">
        <v>0</v>
      </c>
      <c r="J275" s="425">
        <v>0</v>
      </c>
      <c r="K275" s="425">
        <v>0</v>
      </c>
      <c r="L275" s="425">
        <v>0</v>
      </c>
      <c r="M275" s="425">
        <v>0</v>
      </c>
      <c r="N275" s="425">
        <v>0</v>
      </c>
      <c r="O275" s="425">
        <v>0</v>
      </c>
    </row>
    <row r="276" spans="3:15" hidden="1" x14ac:dyDescent="0.3">
      <c r="C276" t="s">
        <v>2295</v>
      </c>
      <c r="D276" t="s">
        <v>2267</v>
      </c>
      <c r="E276" t="s">
        <v>2785</v>
      </c>
      <c r="F276" t="s">
        <v>2786</v>
      </c>
      <c r="G276" s="425">
        <v>177284</v>
      </c>
      <c r="H276" s="425">
        <v>177284</v>
      </c>
      <c r="I276" s="425">
        <v>0</v>
      </c>
      <c r="J276" s="425">
        <v>0</v>
      </c>
      <c r="K276" s="425">
        <v>0</v>
      </c>
      <c r="L276" s="425">
        <v>0</v>
      </c>
      <c r="M276" s="425">
        <v>0</v>
      </c>
      <c r="N276" s="425">
        <v>0</v>
      </c>
      <c r="O276" s="425">
        <v>0</v>
      </c>
    </row>
    <row r="277" spans="3:15" hidden="1" x14ac:dyDescent="0.3">
      <c r="C277" t="s">
        <v>2295</v>
      </c>
      <c r="D277" t="s">
        <v>2267</v>
      </c>
      <c r="E277" t="s">
        <v>2787</v>
      </c>
      <c r="F277" t="s">
        <v>2788</v>
      </c>
      <c r="G277" s="425">
        <v>66</v>
      </c>
      <c r="H277" s="425">
        <v>66</v>
      </c>
      <c r="I277" s="425">
        <v>0</v>
      </c>
      <c r="J277" s="425">
        <v>0</v>
      </c>
      <c r="K277" s="425">
        <v>0</v>
      </c>
      <c r="L277" s="425">
        <v>0</v>
      </c>
      <c r="M277" s="425">
        <v>0</v>
      </c>
      <c r="N277" s="425">
        <v>0</v>
      </c>
      <c r="O277" s="425">
        <v>0</v>
      </c>
    </row>
    <row r="278" spans="3:15" hidden="1" x14ac:dyDescent="0.3">
      <c r="C278" t="s">
        <v>2295</v>
      </c>
      <c r="D278" t="s">
        <v>2267</v>
      </c>
      <c r="E278" t="s">
        <v>2789</v>
      </c>
      <c r="F278" t="s">
        <v>2790</v>
      </c>
      <c r="G278" s="425">
        <v>0</v>
      </c>
      <c r="H278" s="425">
        <v>0</v>
      </c>
      <c r="I278" s="425">
        <v>0</v>
      </c>
      <c r="J278" s="425">
        <v>0</v>
      </c>
      <c r="K278" s="425">
        <v>0</v>
      </c>
      <c r="L278" s="425">
        <v>0</v>
      </c>
      <c r="M278" s="425">
        <v>0</v>
      </c>
      <c r="N278" s="425">
        <v>0</v>
      </c>
      <c r="O278" s="425">
        <v>0</v>
      </c>
    </row>
    <row r="279" spans="3:15" hidden="1" x14ac:dyDescent="0.3">
      <c r="C279" t="s">
        <v>2295</v>
      </c>
      <c r="D279" t="s">
        <v>2267</v>
      </c>
      <c r="E279" t="s">
        <v>2791</v>
      </c>
      <c r="F279" t="s">
        <v>2792</v>
      </c>
      <c r="G279" s="425">
        <v>0</v>
      </c>
      <c r="H279" s="425">
        <v>0</v>
      </c>
      <c r="I279" s="425">
        <v>0</v>
      </c>
      <c r="J279" s="425">
        <v>0</v>
      </c>
      <c r="K279" s="425">
        <v>0</v>
      </c>
      <c r="L279" s="425">
        <v>0</v>
      </c>
      <c r="M279" s="425">
        <v>0</v>
      </c>
      <c r="N279" s="425">
        <v>0</v>
      </c>
      <c r="O279" s="425">
        <v>0</v>
      </c>
    </row>
    <row r="280" spans="3:15" hidden="1" x14ac:dyDescent="0.3">
      <c r="C280" t="s">
        <v>2295</v>
      </c>
      <c r="D280" t="s">
        <v>2267</v>
      </c>
      <c r="E280" t="s">
        <v>2793</v>
      </c>
      <c r="F280" t="s">
        <v>2794</v>
      </c>
      <c r="G280" s="425">
        <v>1705894</v>
      </c>
      <c r="H280" s="425">
        <v>1705894</v>
      </c>
      <c r="I280" s="425">
        <v>0</v>
      </c>
      <c r="J280" s="425">
        <v>0</v>
      </c>
      <c r="K280" s="425">
        <v>0</v>
      </c>
      <c r="L280" s="425">
        <v>0</v>
      </c>
      <c r="M280" s="425">
        <v>0</v>
      </c>
      <c r="N280" s="425">
        <v>0</v>
      </c>
      <c r="O280" s="425">
        <v>0</v>
      </c>
    </row>
    <row r="281" spans="3:15" hidden="1" x14ac:dyDescent="0.3">
      <c r="C281" t="s">
        <v>2295</v>
      </c>
      <c r="D281" t="s">
        <v>2267</v>
      </c>
      <c r="E281" t="s">
        <v>2795</v>
      </c>
      <c r="F281" t="s">
        <v>2796</v>
      </c>
      <c r="G281" s="425">
        <v>3427147</v>
      </c>
      <c r="H281" s="425">
        <v>3427147</v>
      </c>
      <c r="I281" s="425">
        <v>0</v>
      </c>
      <c r="J281" s="425">
        <v>0</v>
      </c>
      <c r="K281" s="425">
        <v>0</v>
      </c>
      <c r="L281" s="425">
        <v>0</v>
      </c>
      <c r="M281" s="425">
        <v>0</v>
      </c>
      <c r="N281" s="425">
        <v>0</v>
      </c>
      <c r="O281" s="425">
        <v>0</v>
      </c>
    </row>
    <row r="282" spans="3:15" hidden="1" x14ac:dyDescent="0.3">
      <c r="C282" t="s">
        <v>2295</v>
      </c>
      <c r="D282" t="s">
        <v>2267</v>
      </c>
      <c r="E282" t="s">
        <v>2797</v>
      </c>
      <c r="F282" t="s">
        <v>2798</v>
      </c>
      <c r="G282" s="425">
        <v>22114245</v>
      </c>
      <c r="H282" s="425">
        <v>22114245</v>
      </c>
      <c r="I282" s="425">
        <v>0</v>
      </c>
      <c r="J282" s="425">
        <v>0</v>
      </c>
      <c r="K282" s="425">
        <v>0</v>
      </c>
      <c r="L282" s="425">
        <v>0</v>
      </c>
      <c r="M282" s="425">
        <v>0</v>
      </c>
      <c r="N282" s="425">
        <v>0</v>
      </c>
      <c r="O282" s="425">
        <v>0</v>
      </c>
    </row>
    <row r="283" spans="3:15" hidden="1" x14ac:dyDescent="0.3">
      <c r="C283" t="s">
        <v>2295</v>
      </c>
      <c r="D283" t="s">
        <v>2267</v>
      </c>
      <c r="E283" t="s">
        <v>2799</v>
      </c>
      <c r="F283" t="s">
        <v>2800</v>
      </c>
      <c r="G283" s="425">
        <v>15011105</v>
      </c>
      <c r="H283" s="425">
        <v>15011105</v>
      </c>
      <c r="I283" s="425">
        <v>0</v>
      </c>
      <c r="J283" s="425">
        <v>0</v>
      </c>
      <c r="K283" s="425">
        <v>0</v>
      </c>
      <c r="L283" s="425">
        <v>0</v>
      </c>
      <c r="M283" s="425">
        <v>0</v>
      </c>
      <c r="N283" s="425">
        <v>0</v>
      </c>
      <c r="O283" s="425">
        <v>0</v>
      </c>
    </row>
    <row r="284" spans="3:15" hidden="1" x14ac:dyDescent="0.3">
      <c r="C284" t="s">
        <v>2295</v>
      </c>
      <c r="D284" t="s">
        <v>2267</v>
      </c>
      <c r="E284" t="s">
        <v>2801</v>
      </c>
      <c r="F284" t="s">
        <v>2802</v>
      </c>
      <c r="G284" s="425">
        <v>1211805</v>
      </c>
      <c r="H284" s="425">
        <v>1211805</v>
      </c>
      <c r="I284" s="425">
        <v>0</v>
      </c>
      <c r="J284" s="425">
        <v>0</v>
      </c>
      <c r="K284" s="425">
        <v>0</v>
      </c>
      <c r="L284" s="425">
        <v>0</v>
      </c>
      <c r="M284" s="425">
        <v>0</v>
      </c>
      <c r="N284" s="425">
        <v>0</v>
      </c>
      <c r="O284" s="425">
        <v>0</v>
      </c>
    </row>
    <row r="285" spans="3:15" hidden="1" x14ac:dyDescent="0.3">
      <c r="C285" t="s">
        <v>2295</v>
      </c>
      <c r="D285" t="s">
        <v>2267</v>
      </c>
      <c r="E285" t="s">
        <v>2803</v>
      </c>
      <c r="F285" t="s">
        <v>2804</v>
      </c>
      <c r="G285" s="425">
        <v>0</v>
      </c>
      <c r="H285" s="425">
        <v>0</v>
      </c>
      <c r="I285" s="425">
        <v>0</v>
      </c>
      <c r="J285" s="425">
        <v>0</v>
      </c>
      <c r="K285" s="425">
        <v>0</v>
      </c>
      <c r="L285" s="425">
        <v>0</v>
      </c>
      <c r="M285" s="425">
        <v>0</v>
      </c>
      <c r="N285" s="425">
        <v>0</v>
      </c>
      <c r="O285" s="425">
        <v>0</v>
      </c>
    </row>
    <row r="286" spans="3:15" hidden="1" x14ac:dyDescent="0.3">
      <c r="C286" t="s">
        <v>2295</v>
      </c>
      <c r="D286" t="s">
        <v>2267</v>
      </c>
      <c r="E286" t="s">
        <v>2805</v>
      </c>
      <c r="F286" t="s">
        <v>2806</v>
      </c>
      <c r="G286" s="425">
        <v>170657</v>
      </c>
      <c r="H286" s="425">
        <v>170657</v>
      </c>
      <c r="I286" s="425">
        <v>0</v>
      </c>
      <c r="J286" s="425">
        <v>0</v>
      </c>
      <c r="K286" s="425">
        <v>0</v>
      </c>
      <c r="L286" s="425">
        <v>0</v>
      </c>
      <c r="M286" s="425">
        <v>0</v>
      </c>
      <c r="N286" s="425">
        <v>0</v>
      </c>
      <c r="O286" s="425">
        <v>0</v>
      </c>
    </row>
    <row r="287" spans="3:15" hidden="1" x14ac:dyDescent="0.3">
      <c r="C287" t="s">
        <v>2295</v>
      </c>
      <c r="D287" t="s">
        <v>2267</v>
      </c>
      <c r="E287" t="s">
        <v>2807</v>
      </c>
      <c r="F287" t="s">
        <v>2808</v>
      </c>
      <c r="G287" s="425">
        <v>148</v>
      </c>
      <c r="H287" s="425">
        <v>148</v>
      </c>
      <c r="I287" s="425">
        <v>0</v>
      </c>
      <c r="J287" s="425">
        <v>0</v>
      </c>
      <c r="K287" s="425">
        <v>0</v>
      </c>
      <c r="L287" s="425">
        <v>0</v>
      </c>
      <c r="M287" s="425">
        <v>0</v>
      </c>
      <c r="N287" s="425">
        <v>0</v>
      </c>
      <c r="O287" s="425">
        <v>0</v>
      </c>
    </row>
    <row r="288" spans="3:15" hidden="1" x14ac:dyDescent="0.3">
      <c r="C288" t="s">
        <v>2295</v>
      </c>
      <c r="D288" t="s">
        <v>2267</v>
      </c>
      <c r="E288" t="s">
        <v>2809</v>
      </c>
      <c r="F288" t="s">
        <v>2810</v>
      </c>
      <c r="G288" s="425">
        <v>2</v>
      </c>
      <c r="H288" s="425">
        <v>2</v>
      </c>
      <c r="I288" s="425">
        <v>0</v>
      </c>
      <c r="J288" s="425">
        <v>0</v>
      </c>
      <c r="K288" s="425">
        <v>0</v>
      </c>
      <c r="L288" s="425">
        <v>0</v>
      </c>
      <c r="M288" s="425">
        <v>0</v>
      </c>
      <c r="N288" s="425">
        <v>0</v>
      </c>
      <c r="O288" s="425">
        <v>0</v>
      </c>
    </row>
    <row r="289" spans="3:15" hidden="1" x14ac:dyDescent="0.3">
      <c r="C289" t="s">
        <v>2295</v>
      </c>
      <c r="D289" t="s">
        <v>2267</v>
      </c>
      <c r="E289" t="s">
        <v>2811</v>
      </c>
      <c r="F289" t="s">
        <v>2812</v>
      </c>
      <c r="G289" s="425">
        <v>383450</v>
      </c>
      <c r="H289" s="425">
        <v>383450</v>
      </c>
      <c r="I289" s="425">
        <v>0</v>
      </c>
      <c r="J289" s="425">
        <v>0</v>
      </c>
      <c r="K289" s="425">
        <v>0</v>
      </c>
      <c r="L289" s="425">
        <v>0</v>
      </c>
      <c r="M289" s="425">
        <v>0</v>
      </c>
      <c r="N289" s="425">
        <v>0</v>
      </c>
      <c r="O289" s="425">
        <v>0</v>
      </c>
    </row>
    <row r="290" spans="3:15" hidden="1" x14ac:dyDescent="0.3">
      <c r="C290" t="s">
        <v>2295</v>
      </c>
      <c r="D290" t="s">
        <v>2267</v>
      </c>
      <c r="E290" t="s">
        <v>2813</v>
      </c>
      <c r="F290" t="s">
        <v>2814</v>
      </c>
      <c r="G290" s="425">
        <v>102525</v>
      </c>
      <c r="H290" s="425">
        <v>102525</v>
      </c>
      <c r="I290" s="425">
        <v>0</v>
      </c>
      <c r="J290" s="425">
        <v>0</v>
      </c>
      <c r="K290" s="425">
        <v>0</v>
      </c>
      <c r="L290" s="425">
        <v>0</v>
      </c>
      <c r="M290" s="425">
        <v>0</v>
      </c>
      <c r="N290" s="425">
        <v>0</v>
      </c>
      <c r="O290" s="425">
        <v>0</v>
      </c>
    </row>
    <row r="291" spans="3:15" hidden="1" x14ac:dyDescent="0.3">
      <c r="C291" t="s">
        <v>2295</v>
      </c>
      <c r="D291" t="s">
        <v>2267</v>
      </c>
      <c r="E291" t="s">
        <v>2815</v>
      </c>
      <c r="F291" t="s">
        <v>2816</v>
      </c>
      <c r="G291" s="425">
        <v>130476</v>
      </c>
      <c r="H291" s="425">
        <v>130476</v>
      </c>
      <c r="I291" s="425">
        <v>0</v>
      </c>
      <c r="J291" s="425">
        <v>0</v>
      </c>
      <c r="K291" s="425">
        <v>0</v>
      </c>
      <c r="L291" s="425">
        <v>0</v>
      </c>
      <c r="M291" s="425">
        <v>0</v>
      </c>
      <c r="N291" s="425">
        <v>0</v>
      </c>
      <c r="O291" s="425">
        <v>0</v>
      </c>
    </row>
    <row r="292" spans="3:15" hidden="1" x14ac:dyDescent="0.3">
      <c r="C292" t="s">
        <v>2295</v>
      </c>
      <c r="D292" t="s">
        <v>2267</v>
      </c>
      <c r="E292" t="s">
        <v>2817</v>
      </c>
      <c r="F292" t="s">
        <v>2818</v>
      </c>
      <c r="G292" s="425">
        <v>10601</v>
      </c>
      <c r="H292" s="425">
        <v>10601</v>
      </c>
      <c r="I292" s="425">
        <v>0</v>
      </c>
      <c r="J292" s="425">
        <v>0</v>
      </c>
      <c r="K292" s="425">
        <v>0</v>
      </c>
      <c r="L292" s="425">
        <v>0</v>
      </c>
      <c r="M292" s="425">
        <v>0</v>
      </c>
      <c r="N292" s="425">
        <v>0</v>
      </c>
      <c r="O292" s="425">
        <v>0</v>
      </c>
    </row>
    <row r="293" spans="3:15" hidden="1" x14ac:dyDescent="0.3">
      <c r="C293" t="s">
        <v>2295</v>
      </c>
      <c r="D293" t="s">
        <v>2267</v>
      </c>
      <c r="E293" t="s">
        <v>2819</v>
      </c>
      <c r="F293" t="s">
        <v>2820</v>
      </c>
      <c r="G293" s="425">
        <v>14237</v>
      </c>
      <c r="H293" s="425">
        <v>14237</v>
      </c>
      <c r="I293" s="425">
        <v>0</v>
      </c>
      <c r="J293" s="425">
        <v>0</v>
      </c>
      <c r="K293" s="425">
        <v>0</v>
      </c>
      <c r="L293" s="425">
        <v>0</v>
      </c>
      <c r="M293" s="425">
        <v>0</v>
      </c>
      <c r="N293" s="425">
        <v>0</v>
      </c>
      <c r="O293" s="425">
        <v>0</v>
      </c>
    </row>
    <row r="294" spans="3:15" hidden="1" x14ac:dyDescent="0.3">
      <c r="C294" t="s">
        <v>2295</v>
      </c>
      <c r="D294" t="s">
        <v>2267</v>
      </c>
      <c r="E294" t="s">
        <v>2821</v>
      </c>
      <c r="F294" t="s">
        <v>2822</v>
      </c>
      <c r="G294" s="425">
        <v>471</v>
      </c>
      <c r="H294" s="425">
        <v>471</v>
      </c>
      <c r="I294" s="425">
        <v>0</v>
      </c>
      <c r="J294" s="425">
        <v>0</v>
      </c>
      <c r="K294" s="425">
        <v>0</v>
      </c>
      <c r="L294" s="425">
        <v>0</v>
      </c>
      <c r="M294" s="425">
        <v>0</v>
      </c>
      <c r="N294" s="425">
        <v>0</v>
      </c>
      <c r="O294" s="425">
        <v>0</v>
      </c>
    </row>
    <row r="295" spans="3:15" hidden="1" x14ac:dyDescent="0.3">
      <c r="C295" t="s">
        <v>2295</v>
      </c>
      <c r="D295" t="s">
        <v>2267</v>
      </c>
      <c r="E295" t="s">
        <v>2823</v>
      </c>
      <c r="F295" t="s">
        <v>2824</v>
      </c>
      <c r="G295" s="425">
        <v>6105922</v>
      </c>
      <c r="H295" s="425">
        <v>6105922</v>
      </c>
      <c r="I295" s="425">
        <v>0</v>
      </c>
      <c r="J295" s="425">
        <v>0</v>
      </c>
      <c r="K295" s="425">
        <v>0</v>
      </c>
      <c r="L295" s="425">
        <v>0</v>
      </c>
      <c r="M295" s="425">
        <v>0</v>
      </c>
      <c r="N295" s="425">
        <v>0</v>
      </c>
      <c r="O295" s="425">
        <v>0</v>
      </c>
    </row>
    <row r="296" spans="3:15" hidden="1" x14ac:dyDescent="0.3">
      <c r="C296" t="s">
        <v>2295</v>
      </c>
      <c r="D296" t="s">
        <v>2267</v>
      </c>
      <c r="E296" t="s">
        <v>2825</v>
      </c>
      <c r="F296" t="s">
        <v>2826</v>
      </c>
      <c r="G296" s="425">
        <v>0</v>
      </c>
      <c r="H296" s="425">
        <v>0</v>
      </c>
      <c r="I296" s="425">
        <v>0</v>
      </c>
      <c r="J296" s="425">
        <v>0</v>
      </c>
      <c r="K296" s="425">
        <v>0</v>
      </c>
      <c r="L296" s="425">
        <v>0</v>
      </c>
      <c r="M296" s="425">
        <v>0</v>
      </c>
      <c r="N296" s="425">
        <v>0</v>
      </c>
      <c r="O296" s="425">
        <v>0</v>
      </c>
    </row>
    <row r="297" spans="3:15" hidden="1" x14ac:dyDescent="0.3">
      <c r="C297" t="s">
        <v>2295</v>
      </c>
      <c r="D297" t="s">
        <v>2267</v>
      </c>
      <c r="E297" t="s">
        <v>2827</v>
      </c>
      <c r="F297" t="s">
        <v>2828</v>
      </c>
      <c r="G297" s="425">
        <v>2</v>
      </c>
      <c r="H297" s="425">
        <v>2</v>
      </c>
      <c r="I297" s="425">
        <v>0</v>
      </c>
      <c r="J297" s="425">
        <v>0</v>
      </c>
      <c r="K297" s="425">
        <v>0</v>
      </c>
      <c r="L297" s="425">
        <v>0</v>
      </c>
      <c r="M297" s="425">
        <v>0</v>
      </c>
      <c r="N297" s="425">
        <v>0</v>
      </c>
      <c r="O297" s="425">
        <v>0</v>
      </c>
    </row>
    <row r="298" spans="3:15" hidden="1" x14ac:dyDescent="0.3">
      <c r="C298" t="s">
        <v>2295</v>
      </c>
      <c r="D298" t="s">
        <v>2267</v>
      </c>
      <c r="E298" t="s">
        <v>2829</v>
      </c>
      <c r="F298" t="s">
        <v>2830</v>
      </c>
      <c r="G298" s="425">
        <v>8437</v>
      </c>
      <c r="H298" s="425">
        <v>8437</v>
      </c>
      <c r="I298" s="425">
        <v>0</v>
      </c>
      <c r="J298" s="425">
        <v>0</v>
      </c>
      <c r="K298" s="425">
        <v>0</v>
      </c>
      <c r="L298" s="425">
        <v>0</v>
      </c>
      <c r="M298" s="425">
        <v>0</v>
      </c>
      <c r="N298" s="425">
        <v>0</v>
      </c>
      <c r="O298" s="425">
        <v>0</v>
      </c>
    </row>
    <row r="299" spans="3:15" hidden="1" x14ac:dyDescent="0.3">
      <c r="C299" t="s">
        <v>2295</v>
      </c>
      <c r="D299" t="s">
        <v>2267</v>
      </c>
      <c r="E299" t="s">
        <v>2831</v>
      </c>
      <c r="F299" t="s">
        <v>2832</v>
      </c>
      <c r="G299" s="425">
        <v>1282</v>
      </c>
      <c r="H299" s="425">
        <v>1282</v>
      </c>
      <c r="I299" s="425">
        <v>0</v>
      </c>
      <c r="J299" s="425">
        <v>0</v>
      </c>
      <c r="K299" s="425">
        <v>0</v>
      </c>
      <c r="L299" s="425">
        <v>0</v>
      </c>
      <c r="M299" s="425">
        <v>0</v>
      </c>
      <c r="N299" s="425">
        <v>0</v>
      </c>
      <c r="O299" s="425">
        <v>0</v>
      </c>
    </row>
    <row r="300" spans="3:15" hidden="1" x14ac:dyDescent="0.3">
      <c r="C300" t="s">
        <v>2295</v>
      </c>
      <c r="D300" t="s">
        <v>2267</v>
      </c>
      <c r="E300" t="s">
        <v>2815</v>
      </c>
      <c r="F300" t="s">
        <v>2833</v>
      </c>
      <c r="G300" s="425">
        <v>15288239</v>
      </c>
      <c r="H300" s="425">
        <v>15288239</v>
      </c>
      <c r="I300" s="425">
        <v>0</v>
      </c>
      <c r="J300" s="425">
        <v>0</v>
      </c>
      <c r="K300" s="425">
        <v>0</v>
      </c>
      <c r="L300" s="425">
        <v>0</v>
      </c>
      <c r="M300" s="425">
        <v>0</v>
      </c>
      <c r="N300" s="425">
        <v>0</v>
      </c>
      <c r="O300" s="425">
        <v>0</v>
      </c>
    </row>
    <row r="301" spans="3:15" hidden="1" x14ac:dyDescent="0.3">
      <c r="C301" t="s">
        <v>2295</v>
      </c>
      <c r="D301" t="s">
        <v>2267</v>
      </c>
      <c r="E301" t="s">
        <v>2817</v>
      </c>
      <c r="F301" t="s">
        <v>2834</v>
      </c>
      <c r="G301" s="425">
        <v>7057328</v>
      </c>
      <c r="H301" s="425">
        <v>7057328</v>
      </c>
      <c r="I301" s="425">
        <v>0</v>
      </c>
      <c r="J301" s="425">
        <v>0</v>
      </c>
      <c r="K301" s="425">
        <v>0</v>
      </c>
      <c r="L301" s="425">
        <v>0</v>
      </c>
      <c r="M301" s="425">
        <v>0</v>
      </c>
      <c r="N301" s="425">
        <v>0</v>
      </c>
      <c r="O301" s="425">
        <v>0</v>
      </c>
    </row>
    <row r="302" spans="3:15" hidden="1" x14ac:dyDescent="0.3">
      <c r="C302" t="s">
        <v>2295</v>
      </c>
      <c r="D302" t="s">
        <v>2267</v>
      </c>
      <c r="E302" t="s">
        <v>2819</v>
      </c>
      <c r="F302" t="s">
        <v>2835</v>
      </c>
      <c r="G302" s="425">
        <v>26709</v>
      </c>
      <c r="H302" s="425">
        <v>26709</v>
      </c>
      <c r="I302" s="425">
        <v>0</v>
      </c>
      <c r="J302" s="425">
        <v>0</v>
      </c>
      <c r="K302" s="425">
        <v>0</v>
      </c>
      <c r="L302" s="425">
        <v>0</v>
      </c>
      <c r="M302" s="425">
        <v>0</v>
      </c>
      <c r="N302" s="425">
        <v>0</v>
      </c>
      <c r="O302" s="425">
        <v>0</v>
      </c>
    </row>
    <row r="303" spans="3:15" hidden="1" x14ac:dyDescent="0.3">
      <c r="C303" t="s">
        <v>2295</v>
      </c>
      <c r="D303" t="s">
        <v>2267</v>
      </c>
      <c r="E303" t="s">
        <v>2836</v>
      </c>
      <c r="F303" t="s">
        <v>2837</v>
      </c>
      <c r="G303" s="425">
        <v>0</v>
      </c>
      <c r="H303" s="425">
        <v>0</v>
      </c>
      <c r="I303" s="425">
        <v>0</v>
      </c>
      <c r="J303" s="425">
        <v>0</v>
      </c>
      <c r="K303" s="425">
        <v>0</v>
      </c>
      <c r="L303" s="425">
        <v>0</v>
      </c>
      <c r="M303" s="425">
        <v>0</v>
      </c>
      <c r="N303" s="425">
        <v>0</v>
      </c>
      <c r="O303" s="425">
        <v>0</v>
      </c>
    </row>
    <row r="304" spans="3:15" hidden="1" x14ac:dyDescent="0.3">
      <c r="C304" t="s">
        <v>2295</v>
      </c>
      <c r="D304" t="s">
        <v>2267</v>
      </c>
      <c r="E304" t="s">
        <v>2838</v>
      </c>
      <c r="F304" t="s">
        <v>2839</v>
      </c>
      <c r="G304" s="425">
        <v>323</v>
      </c>
      <c r="H304" s="425">
        <v>323</v>
      </c>
      <c r="I304" s="425">
        <v>0</v>
      </c>
      <c r="J304" s="425">
        <v>0</v>
      </c>
      <c r="K304" s="425">
        <v>0</v>
      </c>
      <c r="L304" s="425">
        <v>0</v>
      </c>
      <c r="M304" s="425">
        <v>0</v>
      </c>
      <c r="N304" s="425">
        <v>0</v>
      </c>
      <c r="O304" s="425">
        <v>0</v>
      </c>
    </row>
    <row r="305" spans="3:15" hidden="1" x14ac:dyDescent="0.3">
      <c r="C305" t="s">
        <v>2295</v>
      </c>
      <c r="D305" t="s">
        <v>2267</v>
      </c>
      <c r="E305" t="s">
        <v>2840</v>
      </c>
      <c r="F305" t="s">
        <v>2841</v>
      </c>
      <c r="G305" s="425">
        <v>9332</v>
      </c>
      <c r="H305" s="425">
        <v>9332</v>
      </c>
      <c r="I305" s="425">
        <v>0</v>
      </c>
      <c r="J305" s="425">
        <v>0</v>
      </c>
      <c r="K305" s="425">
        <v>0</v>
      </c>
      <c r="L305" s="425">
        <v>0</v>
      </c>
      <c r="M305" s="425">
        <v>0</v>
      </c>
      <c r="N305" s="425">
        <v>0</v>
      </c>
      <c r="O305" s="425">
        <v>0</v>
      </c>
    </row>
    <row r="306" spans="3:15" hidden="1" x14ac:dyDescent="0.3">
      <c r="C306" t="s">
        <v>2295</v>
      </c>
      <c r="D306" t="s">
        <v>2267</v>
      </c>
      <c r="E306" t="s">
        <v>2842</v>
      </c>
      <c r="F306" t="s">
        <v>2843</v>
      </c>
      <c r="G306" s="425">
        <v>10</v>
      </c>
      <c r="H306" s="425">
        <v>10</v>
      </c>
      <c r="I306" s="425">
        <v>0</v>
      </c>
      <c r="J306" s="425">
        <v>0</v>
      </c>
      <c r="K306" s="425">
        <v>0</v>
      </c>
      <c r="L306" s="425">
        <v>0</v>
      </c>
      <c r="M306" s="425">
        <v>0</v>
      </c>
      <c r="N306" s="425">
        <v>0</v>
      </c>
      <c r="O306" s="425">
        <v>0</v>
      </c>
    </row>
    <row r="307" spans="3:15" hidden="1" x14ac:dyDescent="0.3">
      <c r="C307" t="s">
        <v>2295</v>
      </c>
      <c r="D307" t="s">
        <v>2267</v>
      </c>
      <c r="E307" t="s">
        <v>2844</v>
      </c>
      <c r="F307" t="s">
        <v>2845</v>
      </c>
      <c r="G307" s="425">
        <v>1489</v>
      </c>
      <c r="H307" s="425">
        <v>1489</v>
      </c>
      <c r="I307" s="425">
        <v>0</v>
      </c>
      <c r="J307" s="425">
        <v>0</v>
      </c>
      <c r="K307" s="425">
        <v>0</v>
      </c>
      <c r="L307" s="425">
        <v>0</v>
      </c>
      <c r="M307" s="425">
        <v>0</v>
      </c>
      <c r="N307" s="425">
        <v>0</v>
      </c>
      <c r="O307" s="425">
        <v>0</v>
      </c>
    </row>
    <row r="308" spans="3:15" hidden="1" x14ac:dyDescent="0.3">
      <c r="C308" t="s">
        <v>2295</v>
      </c>
      <c r="D308" t="s">
        <v>2267</v>
      </c>
      <c r="E308" t="s">
        <v>2846</v>
      </c>
      <c r="F308" t="s">
        <v>2847</v>
      </c>
      <c r="G308" s="425">
        <v>4320297</v>
      </c>
      <c r="H308" s="425">
        <v>4320297</v>
      </c>
      <c r="I308" s="425">
        <v>0</v>
      </c>
      <c r="J308" s="425">
        <v>0</v>
      </c>
      <c r="K308" s="425">
        <v>0</v>
      </c>
      <c r="L308" s="425">
        <v>0</v>
      </c>
      <c r="M308" s="425">
        <v>0</v>
      </c>
      <c r="N308" s="425">
        <v>0</v>
      </c>
      <c r="O308" s="425">
        <v>0</v>
      </c>
    </row>
    <row r="309" spans="3:15" hidden="1" x14ac:dyDescent="0.3">
      <c r="C309" t="s">
        <v>2295</v>
      </c>
      <c r="D309" t="s">
        <v>2267</v>
      </c>
      <c r="E309" t="s">
        <v>2848</v>
      </c>
      <c r="F309" t="s">
        <v>2849</v>
      </c>
      <c r="G309" s="425">
        <v>16305</v>
      </c>
      <c r="H309" s="425">
        <v>16305</v>
      </c>
      <c r="I309" s="425">
        <v>0</v>
      </c>
      <c r="J309" s="425">
        <v>0</v>
      </c>
      <c r="K309" s="425">
        <v>0</v>
      </c>
      <c r="L309" s="425">
        <v>0</v>
      </c>
      <c r="M309" s="425">
        <v>0</v>
      </c>
      <c r="N309" s="425">
        <v>0</v>
      </c>
      <c r="O309" s="425">
        <v>0</v>
      </c>
    </row>
    <row r="310" spans="3:15" hidden="1" x14ac:dyDescent="0.3">
      <c r="C310" t="s">
        <v>2295</v>
      </c>
      <c r="D310" t="s">
        <v>2267</v>
      </c>
      <c r="E310" t="s">
        <v>2850</v>
      </c>
      <c r="F310" t="s">
        <v>2851</v>
      </c>
      <c r="G310" s="425">
        <v>3458</v>
      </c>
      <c r="H310" s="425">
        <v>3458</v>
      </c>
      <c r="I310" s="425">
        <v>0</v>
      </c>
      <c r="J310" s="425">
        <v>0</v>
      </c>
      <c r="K310" s="425">
        <v>0</v>
      </c>
      <c r="L310" s="425">
        <v>0</v>
      </c>
      <c r="M310" s="425">
        <v>0</v>
      </c>
      <c r="N310" s="425">
        <v>0</v>
      </c>
      <c r="O310" s="425">
        <v>0</v>
      </c>
    </row>
    <row r="311" spans="3:15" hidden="1" x14ac:dyDescent="0.3">
      <c r="C311" t="s">
        <v>2295</v>
      </c>
      <c r="D311" t="s">
        <v>2267</v>
      </c>
      <c r="E311" t="s">
        <v>2852</v>
      </c>
      <c r="F311" t="s">
        <v>2853</v>
      </c>
      <c r="G311" s="425">
        <v>0</v>
      </c>
      <c r="H311" s="425">
        <v>0</v>
      </c>
      <c r="I311" s="425">
        <v>0</v>
      </c>
      <c r="J311" s="425">
        <v>0</v>
      </c>
      <c r="K311" s="425">
        <v>0</v>
      </c>
      <c r="L311" s="425">
        <v>0</v>
      </c>
      <c r="M311" s="425">
        <v>0</v>
      </c>
      <c r="N311" s="425">
        <v>0</v>
      </c>
      <c r="O311" s="425">
        <v>0</v>
      </c>
    </row>
    <row r="312" spans="3:15" hidden="1" x14ac:dyDescent="0.3">
      <c r="C312" t="s">
        <v>2295</v>
      </c>
      <c r="D312" t="s">
        <v>2267</v>
      </c>
      <c r="E312" t="s">
        <v>2854</v>
      </c>
      <c r="F312" t="s">
        <v>2855</v>
      </c>
      <c r="G312" s="425">
        <v>423524</v>
      </c>
      <c r="H312" s="425">
        <v>423524</v>
      </c>
      <c r="I312" s="425">
        <v>0</v>
      </c>
      <c r="J312" s="425">
        <v>0</v>
      </c>
      <c r="K312" s="425">
        <v>0</v>
      </c>
      <c r="L312" s="425">
        <v>0</v>
      </c>
      <c r="M312" s="425">
        <v>0</v>
      </c>
      <c r="N312" s="425">
        <v>0</v>
      </c>
      <c r="O312" s="425">
        <v>0</v>
      </c>
    </row>
    <row r="313" spans="3:15" hidden="1" x14ac:dyDescent="0.3">
      <c r="C313" t="s">
        <v>2295</v>
      </c>
      <c r="D313" t="s">
        <v>2267</v>
      </c>
      <c r="E313" t="s">
        <v>2856</v>
      </c>
      <c r="F313" t="s">
        <v>2857</v>
      </c>
      <c r="G313" s="425">
        <v>54012</v>
      </c>
      <c r="H313" s="425">
        <v>54012</v>
      </c>
      <c r="I313" s="425">
        <v>0</v>
      </c>
      <c r="J313" s="425">
        <v>0</v>
      </c>
      <c r="K313" s="425">
        <v>0</v>
      </c>
      <c r="L313" s="425">
        <v>0</v>
      </c>
      <c r="M313" s="425">
        <v>0</v>
      </c>
      <c r="N313" s="425">
        <v>0</v>
      </c>
      <c r="O313" s="425">
        <v>0</v>
      </c>
    </row>
    <row r="314" spans="3:15" hidden="1" x14ac:dyDescent="0.3">
      <c r="C314" t="s">
        <v>2295</v>
      </c>
      <c r="D314" t="s">
        <v>2267</v>
      </c>
      <c r="E314" t="s">
        <v>2858</v>
      </c>
      <c r="F314" t="s">
        <v>2859</v>
      </c>
      <c r="G314" s="425">
        <v>1</v>
      </c>
      <c r="H314" s="425">
        <v>1</v>
      </c>
      <c r="I314" s="425">
        <v>0</v>
      </c>
      <c r="J314" s="425">
        <v>0</v>
      </c>
      <c r="K314" s="425">
        <v>0</v>
      </c>
      <c r="L314" s="425">
        <v>0</v>
      </c>
      <c r="M314" s="425">
        <v>0</v>
      </c>
      <c r="N314" s="425">
        <v>0</v>
      </c>
      <c r="O314" s="425">
        <v>0</v>
      </c>
    </row>
    <row r="315" spans="3:15" hidden="1" x14ac:dyDescent="0.3">
      <c r="C315" t="s">
        <v>2295</v>
      </c>
      <c r="D315" t="s">
        <v>2267</v>
      </c>
      <c r="E315" t="s">
        <v>2860</v>
      </c>
      <c r="F315" t="s">
        <v>2861</v>
      </c>
      <c r="G315" s="425">
        <v>3465668</v>
      </c>
      <c r="H315" s="425">
        <v>3465668</v>
      </c>
      <c r="I315" s="425">
        <v>0</v>
      </c>
      <c r="J315" s="425">
        <v>0</v>
      </c>
      <c r="K315" s="425">
        <v>0</v>
      </c>
      <c r="L315" s="425">
        <v>0</v>
      </c>
      <c r="M315" s="425">
        <v>0</v>
      </c>
      <c r="N315" s="425">
        <v>0</v>
      </c>
      <c r="O315" s="425">
        <v>0</v>
      </c>
    </row>
    <row r="316" spans="3:15" hidden="1" x14ac:dyDescent="0.3">
      <c r="C316" t="s">
        <v>2295</v>
      </c>
      <c r="D316" t="s">
        <v>2267</v>
      </c>
      <c r="E316" t="s">
        <v>2862</v>
      </c>
      <c r="F316" t="s">
        <v>2863</v>
      </c>
      <c r="G316" s="425">
        <v>21541302</v>
      </c>
      <c r="H316" s="425">
        <v>21541302</v>
      </c>
      <c r="I316" s="425">
        <v>0</v>
      </c>
      <c r="J316" s="425">
        <v>0</v>
      </c>
      <c r="K316" s="425">
        <v>0</v>
      </c>
      <c r="L316" s="425">
        <v>0</v>
      </c>
      <c r="M316" s="425">
        <v>0</v>
      </c>
      <c r="N316" s="425">
        <v>0</v>
      </c>
      <c r="O316" s="425">
        <v>0</v>
      </c>
    </row>
    <row r="317" spans="3:15" hidden="1" x14ac:dyDescent="0.3">
      <c r="C317" t="s">
        <v>2295</v>
      </c>
      <c r="D317" t="s">
        <v>2267</v>
      </c>
      <c r="E317" t="s">
        <v>2864</v>
      </c>
      <c r="F317" t="s">
        <v>2865</v>
      </c>
      <c r="G317" s="425">
        <v>43264685</v>
      </c>
      <c r="H317" s="425">
        <v>43264685</v>
      </c>
      <c r="I317" s="425">
        <v>0</v>
      </c>
      <c r="J317" s="425">
        <v>0</v>
      </c>
      <c r="K317" s="425">
        <v>0</v>
      </c>
      <c r="L317" s="425">
        <v>0</v>
      </c>
      <c r="M317" s="425">
        <v>0</v>
      </c>
      <c r="N317" s="425">
        <v>0</v>
      </c>
      <c r="O317" s="425">
        <v>0</v>
      </c>
    </row>
    <row r="318" spans="3:15" hidden="1" x14ac:dyDescent="0.3">
      <c r="C318" t="s">
        <v>2295</v>
      </c>
      <c r="D318" t="s">
        <v>2267</v>
      </c>
      <c r="E318" t="s">
        <v>2866</v>
      </c>
      <c r="F318" t="s">
        <v>2867</v>
      </c>
      <c r="G318" s="425">
        <v>4045668</v>
      </c>
      <c r="H318" s="425">
        <v>4045668</v>
      </c>
      <c r="I318" s="425">
        <v>0</v>
      </c>
      <c r="J318" s="425">
        <v>0</v>
      </c>
      <c r="K318" s="425">
        <v>0</v>
      </c>
      <c r="L318" s="425">
        <v>0</v>
      </c>
      <c r="M318" s="425">
        <v>0</v>
      </c>
      <c r="N318" s="425">
        <v>0</v>
      </c>
      <c r="O318" s="425">
        <v>0</v>
      </c>
    </row>
    <row r="319" spans="3:15" hidden="1" x14ac:dyDescent="0.3">
      <c r="C319" t="s">
        <v>2295</v>
      </c>
      <c r="D319" t="s">
        <v>2267</v>
      </c>
      <c r="E319" t="s">
        <v>2868</v>
      </c>
      <c r="F319" t="s">
        <v>2869</v>
      </c>
      <c r="G319" s="425">
        <v>0</v>
      </c>
      <c r="H319" s="425">
        <v>0</v>
      </c>
      <c r="I319" s="425">
        <v>0</v>
      </c>
      <c r="J319" s="425">
        <v>0</v>
      </c>
      <c r="K319" s="425">
        <v>0</v>
      </c>
      <c r="L319" s="425">
        <v>0</v>
      </c>
      <c r="M319" s="425">
        <v>0</v>
      </c>
      <c r="N319" s="425">
        <v>0</v>
      </c>
      <c r="O319" s="425">
        <v>0</v>
      </c>
    </row>
    <row r="320" spans="3:15" hidden="1" x14ac:dyDescent="0.3">
      <c r="C320" t="s">
        <v>2295</v>
      </c>
      <c r="D320" t="s">
        <v>2267</v>
      </c>
      <c r="E320" t="s">
        <v>2870</v>
      </c>
      <c r="F320" t="s">
        <v>2871</v>
      </c>
      <c r="G320" s="425">
        <v>2268076</v>
      </c>
      <c r="H320" s="425">
        <v>2268076</v>
      </c>
      <c r="I320" s="425">
        <v>0</v>
      </c>
      <c r="J320" s="425">
        <v>0</v>
      </c>
      <c r="K320" s="425">
        <v>0</v>
      </c>
      <c r="L320" s="425">
        <v>0</v>
      </c>
      <c r="M320" s="425">
        <v>0</v>
      </c>
      <c r="N320" s="425">
        <v>0</v>
      </c>
      <c r="O320" s="425">
        <v>0</v>
      </c>
    </row>
    <row r="321" spans="3:15" hidden="1" x14ac:dyDescent="0.3">
      <c r="C321" t="s">
        <v>2295</v>
      </c>
      <c r="D321" t="s">
        <v>2267</v>
      </c>
      <c r="E321" t="s">
        <v>2872</v>
      </c>
      <c r="F321" t="s">
        <v>2873</v>
      </c>
      <c r="G321" s="425">
        <v>108582</v>
      </c>
      <c r="H321" s="425">
        <v>108582</v>
      </c>
      <c r="I321" s="425">
        <v>0</v>
      </c>
      <c r="J321" s="425">
        <v>0</v>
      </c>
      <c r="K321" s="425">
        <v>0</v>
      </c>
      <c r="L321" s="425">
        <v>0</v>
      </c>
      <c r="M321" s="425">
        <v>0</v>
      </c>
      <c r="N321" s="425">
        <v>0</v>
      </c>
      <c r="O321" s="425">
        <v>0</v>
      </c>
    </row>
    <row r="322" spans="3:15" hidden="1" x14ac:dyDescent="0.3">
      <c r="C322" t="s">
        <v>2295</v>
      </c>
      <c r="D322" t="s">
        <v>2267</v>
      </c>
      <c r="E322" t="s">
        <v>2874</v>
      </c>
      <c r="F322" t="s">
        <v>2875</v>
      </c>
      <c r="G322" s="425">
        <v>14</v>
      </c>
      <c r="H322" s="425">
        <v>14</v>
      </c>
      <c r="I322" s="425">
        <v>0</v>
      </c>
      <c r="J322" s="425">
        <v>0</v>
      </c>
      <c r="K322" s="425">
        <v>0</v>
      </c>
      <c r="L322" s="425">
        <v>0</v>
      </c>
      <c r="M322" s="425">
        <v>0</v>
      </c>
      <c r="N322" s="425">
        <v>0</v>
      </c>
      <c r="O322" s="425">
        <v>0</v>
      </c>
    </row>
    <row r="323" spans="3:15" hidden="1" x14ac:dyDescent="0.3">
      <c r="C323" t="s">
        <v>2295</v>
      </c>
      <c r="D323" t="s">
        <v>2267</v>
      </c>
      <c r="E323" t="s">
        <v>2876</v>
      </c>
      <c r="F323" t="s">
        <v>2877</v>
      </c>
      <c r="G323" s="425">
        <v>7953</v>
      </c>
      <c r="H323" s="425">
        <v>7953</v>
      </c>
      <c r="I323" s="425">
        <v>0</v>
      </c>
      <c r="J323" s="425">
        <v>0</v>
      </c>
      <c r="K323" s="425">
        <v>0</v>
      </c>
      <c r="L323" s="425">
        <v>0</v>
      </c>
      <c r="M323" s="425">
        <v>0</v>
      </c>
      <c r="N323" s="425">
        <v>0</v>
      </c>
      <c r="O323" s="425">
        <v>0</v>
      </c>
    </row>
    <row r="324" spans="3:15" hidden="1" x14ac:dyDescent="0.3">
      <c r="C324" t="s">
        <v>2295</v>
      </c>
      <c r="D324" t="s">
        <v>2267</v>
      </c>
      <c r="E324" t="s">
        <v>2878</v>
      </c>
      <c r="F324" t="s">
        <v>2879</v>
      </c>
      <c r="G324" s="425">
        <v>8053891</v>
      </c>
      <c r="H324" s="425">
        <v>8053891</v>
      </c>
      <c r="I324" s="425">
        <v>0</v>
      </c>
      <c r="J324" s="425">
        <v>0</v>
      </c>
      <c r="K324" s="425">
        <v>0</v>
      </c>
      <c r="L324" s="425">
        <v>0</v>
      </c>
      <c r="M324" s="425">
        <v>0</v>
      </c>
      <c r="N324" s="425">
        <v>0</v>
      </c>
      <c r="O324" s="425">
        <v>0</v>
      </c>
    </row>
    <row r="325" spans="3:15" hidden="1" x14ac:dyDescent="0.3">
      <c r="C325" t="s">
        <v>2295</v>
      </c>
      <c r="D325" t="s">
        <v>2267</v>
      </c>
      <c r="E325" t="s">
        <v>2880</v>
      </c>
      <c r="F325" t="s">
        <v>2881</v>
      </c>
      <c r="G325" s="425">
        <v>0</v>
      </c>
      <c r="H325" s="425">
        <v>0</v>
      </c>
      <c r="I325" s="425">
        <v>0</v>
      </c>
      <c r="J325" s="425">
        <v>0</v>
      </c>
      <c r="K325" s="425">
        <v>0</v>
      </c>
      <c r="L325" s="425">
        <v>0</v>
      </c>
      <c r="M325" s="425">
        <v>0</v>
      </c>
      <c r="N325" s="425">
        <v>0</v>
      </c>
      <c r="O325" s="425">
        <v>0</v>
      </c>
    </row>
    <row r="326" spans="3:15" hidden="1" x14ac:dyDescent="0.3">
      <c r="C326" t="s">
        <v>2295</v>
      </c>
      <c r="D326" t="s">
        <v>2267</v>
      </c>
      <c r="E326" t="s">
        <v>2882</v>
      </c>
      <c r="F326" t="s">
        <v>2883</v>
      </c>
      <c r="G326" s="425">
        <v>77425484</v>
      </c>
      <c r="H326" s="425">
        <v>77425484</v>
      </c>
      <c r="I326" s="425">
        <v>0</v>
      </c>
      <c r="J326" s="425">
        <v>0</v>
      </c>
      <c r="K326" s="425">
        <v>0</v>
      </c>
      <c r="L326" s="425">
        <v>0</v>
      </c>
      <c r="M326" s="425">
        <v>0</v>
      </c>
      <c r="N326" s="425">
        <v>0</v>
      </c>
      <c r="O326" s="425">
        <v>0</v>
      </c>
    </row>
    <row r="327" spans="3:15" hidden="1" x14ac:dyDescent="0.3">
      <c r="C327" t="s">
        <v>2295</v>
      </c>
      <c r="D327" t="s">
        <v>2267</v>
      </c>
      <c r="E327" t="s">
        <v>2884</v>
      </c>
      <c r="F327" t="s">
        <v>2885</v>
      </c>
      <c r="G327" s="425">
        <v>9376844</v>
      </c>
      <c r="H327" s="425">
        <v>9376844</v>
      </c>
      <c r="I327" s="425">
        <v>0</v>
      </c>
      <c r="J327" s="425">
        <v>0</v>
      </c>
      <c r="K327" s="425">
        <v>0</v>
      </c>
      <c r="L327" s="425">
        <v>0</v>
      </c>
      <c r="M327" s="425">
        <v>0</v>
      </c>
      <c r="N327" s="425">
        <v>0</v>
      </c>
      <c r="O327" s="425">
        <v>0</v>
      </c>
    </row>
    <row r="328" spans="3:15" hidden="1" x14ac:dyDescent="0.3">
      <c r="C328" t="s">
        <v>2295</v>
      </c>
      <c r="D328" t="s">
        <v>2267</v>
      </c>
      <c r="E328" t="s">
        <v>2886</v>
      </c>
      <c r="F328" t="s">
        <v>2887</v>
      </c>
      <c r="G328" s="425">
        <v>0</v>
      </c>
      <c r="H328" s="425">
        <v>0</v>
      </c>
      <c r="I328" s="425">
        <v>0</v>
      </c>
      <c r="J328" s="425">
        <v>0</v>
      </c>
      <c r="K328" s="425">
        <v>0</v>
      </c>
      <c r="L328" s="425">
        <v>0</v>
      </c>
      <c r="M328" s="425">
        <v>0</v>
      </c>
      <c r="N328" s="425">
        <v>0</v>
      </c>
      <c r="O328" s="425">
        <v>0</v>
      </c>
    </row>
    <row r="329" spans="3:15" hidden="1" x14ac:dyDescent="0.3">
      <c r="C329" t="s">
        <v>2295</v>
      </c>
      <c r="D329" t="s">
        <v>2267</v>
      </c>
      <c r="E329" t="s">
        <v>2888</v>
      </c>
      <c r="F329" t="s">
        <v>2889</v>
      </c>
      <c r="G329" s="425">
        <v>318006</v>
      </c>
      <c r="H329" s="425">
        <v>318006</v>
      </c>
      <c r="I329" s="425">
        <v>0</v>
      </c>
      <c r="J329" s="425">
        <v>0</v>
      </c>
      <c r="K329" s="425">
        <v>0</v>
      </c>
      <c r="L329" s="425">
        <v>0</v>
      </c>
      <c r="M329" s="425">
        <v>0</v>
      </c>
      <c r="N329" s="425">
        <v>0</v>
      </c>
      <c r="O329" s="425">
        <v>0</v>
      </c>
    </row>
    <row r="330" spans="3:15" hidden="1" x14ac:dyDescent="0.3">
      <c r="C330" t="s">
        <v>2295</v>
      </c>
      <c r="D330" t="s">
        <v>2267</v>
      </c>
      <c r="E330" t="s">
        <v>2890</v>
      </c>
      <c r="F330" t="s">
        <v>2891</v>
      </c>
      <c r="G330" s="425">
        <v>675</v>
      </c>
      <c r="H330" s="425">
        <v>675</v>
      </c>
      <c r="I330" s="425">
        <v>0</v>
      </c>
      <c r="J330" s="425">
        <v>0</v>
      </c>
      <c r="K330" s="425">
        <v>0</v>
      </c>
      <c r="L330" s="425">
        <v>0</v>
      </c>
      <c r="M330" s="425">
        <v>0</v>
      </c>
      <c r="N330" s="425">
        <v>0</v>
      </c>
      <c r="O330" s="425">
        <v>0</v>
      </c>
    </row>
    <row r="331" spans="3:15" hidden="1" x14ac:dyDescent="0.3">
      <c r="C331" t="s">
        <v>2295</v>
      </c>
      <c r="D331" t="s">
        <v>2267</v>
      </c>
      <c r="E331" t="s">
        <v>2892</v>
      </c>
      <c r="F331" t="s">
        <v>2893</v>
      </c>
      <c r="G331" s="425">
        <v>27</v>
      </c>
      <c r="H331" s="425">
        <v>27</v>
      </c>
      <c r="I331" s="425">
        <v>0</v>
      </c>
      <c r="J331" s="425">
        <v>0</v>
      </c>
      <c r="K331" s="425">
        <v>0</v>
      </c>
      <c r="L331" s="425">
        <v>0</v>
      </c>
      <c r="M331" s="425">
        <v>0</v>
      </c>
      <c r="N331" s="425">
        <v>0</v>
      </c>
      <c r="O331" s="425">
        <v>0</v>
      </c>
    </row>
    <row r="332" spans="3:15" hidden="1" x14ac:dyDescent="0.3">
      <c r="C332" t="s">
        <v>2295</v>
      </c>
      <c r="D332" t="s">
        <v>2267</v>
      </c>
      <c r="E332" t="s">
        <v>2894</v>
      </c>
      <c r="F332" t="s">
        <v>2895</v>
      </c>
      <c r="G332" s="425">
        <v>2095595</v>
      </c>
      <c r="H332" s="425">
        <v>2095595</v>
      </c>
      <c r="I332" s="425">
        <v>0</v>
      </c>
      <c r="J332" s="425">
        <v>0</v>
      </c>
      <c r="K332" s="425">
        <v>0</v>
      </c>
      <c r="L332" s="425">
        <v>0</v>
      </c>
      <c r="M332" s="425">
        <v>0</v>
      </c>
      <c r="N332" s="425">
        <v>0</v>
      </c>
      <c r="O332" s="425">
        <v>0</v>
      </c>
    </row>
    <row r="333" spans="3:15" hidden="1" x14ac:dyDescent="0.3">
      <c r="C333" t="s">
        <v>2295</v>
      </c>
      <c r="D333" t="s">
        <v>2267</v>
      </c>
      <c r="E333" t="s">
        <v>2896</v>
      </c>
      <c r="F333" t="s">
        <v>2897</v>
      </c>
      <c r="G333" s="425">
        <v>173962</v>
      </c>
      <c r="H333" s="425">
        <v>173962</v>
      </c>
      <c r="I333" s="425">
        <v>0</v>
      </c>
      <c r="J333" s="425">
        <v>0</v>
      </c>
      <c r="K333" s="425">
        <v>0</v>
      </c>
      <c r="L333" s="425">
        <v>0</v>
      </c>
      <c r="M333" s="425">
        <v>0</v>
      </c>
      <c r="N333" s="425">
        <v>0</v>
      </c>
      <c r="O333" s="425">
        <v>0</v>
      </c>
    </row>
    <row r="334" spans="3:15" hidden="1" x14ac:dyDescent="0.3">
      <c r="C334" t="s">
        <v>2295</v>
      </c>
      <c r="D334" t="s">
        <v>2267</v>
      </c>
      <c r="E334" t="s">
        <v>2898</v>
      </c>
      <c r="F334" t="s">
        <v>2899</v>
      </c>
      <c r="G334" s="425">
        <v>0</v>
      </c>
      <c r="H334" s="425">
        <v>0</v>
      </c>
      <c r="I334" s="425">
        <v>0</v>
      </c>
      <c r="J334" s="425">
        <v>0</v>
      </c>
      <c r="K334" s="425">
        <v>0</v>
      </c>
      <c r="L334" s="425">
        <v>0</v>
      </c>
      <c r="M334" s="425">
        <v>0</v>
      </c>
      <c r="N334" s="425">
        <v>0</v>
      </c>
      <c r="O334" s="425">
        <v>0</v>
      </c>
    </row>
    <row r="335" spans="3:15" hidden="1" x14ac:dyDescent="0.3">
      <c r="C335" t="s">
        <v>2295</v>
      </c>
      <c r="D335" t="s">
        <v>2267</v>
      </c>
      <c r="E335" t="s">
        <v>2900</v>
      </c>
      <c r="F335" t="s">
        <v>2901</v>
      </c>
      <c r="G335" s="425">
        <v>50575</v>
      </c>
      <c r="H335" s="425">
        <v>50575</v>
      </c>
      <c r="I335" s="425">
        <v>0</v>
      </c>
      <c r="J335" s="425">
        <v>0</v>
      </c>
      <c r="K335" s="425">
        <v>0</v>
      </c>
      <c r="L335" s="425">
        <v>0</v>
      </c>
      <c r="M335" s="425">
        <v>0</v>
      </c>
      <c r="N335" s="425">
        <v>0</v>
      </c>
      <c r="O335" s="425">
        <v>0</v>
      </c>
    </row>
    <row r="336" spans="3:15" hidden="1" x14ac:dyDescent="0.3">
      <c r="C336" t="s">
        <v>2295</v>
      </c>
      <c r="D336" t="s">
        <v>2267</v>
      </c>
      <c r="E336" t="s">
        <v>2902</v>
      </c>
      <c r="F336" t="s">
        <v>2903</v>
      </c>
      <c r="G336" s="425">
        <v>36758</v>
      </c>
      <c r="H336" s="425">
        <v>36758</v>
      </c>
      <c r="I336" s="425">
        <v>0</v>
      </c>
      <c r="J336" s="425">
        <v>0</v>
      </c>
      <c r="K336" s="425">
        <v>0</v>
      </c>
      <c r="L336" s="425">
        <v>0</v>
      </c>
      <c r="M336" s="425">
        <v>0</v>
      </c>
      <c r="N336" s="425">
        <v>0</v>
      </c>
      <c r="O336" s="425">
        <v>0</v>
      </c>
    </row>
    <row r="337" spans="3:15" hidden="1" x14ac:dyDescent="0.3">
      <c r="C337" t="s">
        <v>2295</v>
      </c>
      <c r="D337" t="s">
        <v>2267</v>
      </c>
      <c r="E337" t="s">
        <v>2904</v>
      </c>
      <c r="F337" t="s">
        <v>2905</v>
      </c>
      <c r="G337" s="425">
        <v>5546</v>
      </c>
      <c r="H337" s="425">
        <v>5546</v>
      </c>
      <c r="I337" s="425">
        <v>0</v>
      </c>
      <c r="J337" s="425">
        <v>0</v>
      </c>
      <c r="K337" s="425">
        <v>0</v>
      </c>
      <c r="L337" s="425">
        <v>0</v>
      </c>
      <c r="M337" s="425">
        <v>0</v>
      </c>
      <c r="N337" s="425">
        <v>0</v>
      </c>
      <c r="O337" s="425">
        <v>0</v>
      </c>
    </row>
    <row r="338" spans="3:15" hidden="1" x14ac:dyDescent="0.3">
      <c r="C338" t="s">
        <v>2295</v>
      </c>
      <c r="D338" t="s">
        <v>2267</v>
      </c>
      <c r="E338" t="s">
        <v>2906</v>
      </c>
      <c r="F338" t="s">
        <v>2907</v>
      </c>
      <c r="G338" s="425">
        <v>638</v>
      </c>
      <c r="H338" s="425">
        <v>638</v>
      </c>
      <c r="I338" s="425">
        <v>0</v>
      </c>
      <c r="J338" s="425">
        <v>0</v>
      </c>
      <c r="K338" s="425">
        <v>0</v>
      </c>
      <c r="L338" s="425">
        <v>0</v>
      </c>
      <c r="M338" s="425">
        <v>0</v>
      </c>
      <c r="N338" s="425">
        <v>0</v>
      </c>
      <c r="O338" s="425">
        <v>0</v>
      </c>
    </row>
    <row r="339" spans="3:15" hidden="1" x14ac:dyDescent="0.3">
      <c r="C339" t="s">
        <v>2295</v>
      </c>
      <c r="D339" t="s">
        <v>2267</v>
      </c>
      <c r="E339" t="s">
        <v>2908</v>
      </c>
      <c r="F339" t="s">
        <v>2909</v>
      </c>
      <c r="G339" s="425">
        <v>2091632</v>
      </c>
      <c r="H339" s="425">
        <v>2091632</v>
      </c>
      <c r="I339" s="425">
        <v>0</v>
      </c>
      <c r="J339" s="425">
        <v>0</v>
      </c>
      <c r="K339" s="425">
        <v>0</v>
      </c>
      <c r="L339" s="425">
        <v>0</v>
      </c>
      <c r="M339" s="425">
        <v>0</v>
      </c>
      <c r="N339" s="425">
        <v>0</v>
      </c>
      <c r="O339" s="425">
        <v>0</v>
      </c>
    </row>
    <row r="340" spans="3:15" hidden="1" x14ac:dyDescent="0.3">
      <c r="C340" t="s">
        <v>2295</v>
      </c>
      <c r="D340" t="s">
        <v>2267</v>
      </c>
      <c r="E340" t="s">
        <v>2910</v>
      </c>
      <c r="F340" t="s">
        <v>2911</v>
      </c>
      <c r="G340" s="425">
        <v>4023</v>
      </c>
      <c r="H340" s="425">
        <v>4023</v>
      </c>
      <c r="I340" s="425">
        <v>0</v>
      </c>
      <c r="J340" s="425">
        <v>0</v>
      </c>
      <c r="K340" s="425">
        <v>0</v>
      </c>
      <c r="L340" s="425">
        <v>0</v>
      </c>
      <c r="M340" s="425">
        <v>0</v>
      </c>
      <c r="N340" s="425">
        <v>0</v>
      </c>
      <c r="O340" s="425">
        <v>0</v>
      </c>
    </row>
    <row r="341" spans="3:15" hidden="1" x14ac:dyDescent="0.3">
      <c r="C341" t="s">
        <v>2295</v>
      </c>
      <c r="D341" t="s">
        <v>2267</v>
      </c>
      <c r="E341" t="s">
        <v>2912</v>
      </c>
      <c r="F341" t="s">
        <v>2913</v>
      </c>
      <c r="G341" s="425">
        <v>26</v>
      </c>
      <c r="H341" s="425">
        <v>26</v>
      </c>
      <c r="I341" s="425">
        <v>0</v>
      </c>
      <c r="J341" s="425">
        <v>0</v>
      </c>
      <c r="K341" s="425">
        <v>0</v>
      </c>
      <c r="L341" s="425">
        <v>0</v>
      </c>
      <c r="M341" s="425">
        <v>0</v>
      </c>
      <c r="N341" s="425">
        <v>0</v>
      </c>
      <c r="O341" s="425">
        <v>0</v>
      </c>
    </row>
    <row r="342" spans="3:15" hidden="1" x14ac:dyDescent="0.3">
      <c r="C342" t="s">
        <v>2295</v>
      </c>
      <c r="D342" t="s">
        <v>2267</v>
      </c>
      <c r="E342" t="s">
        <v>2914</v>
      </c>
      <c r="F342" t="s">
        <v>2915</v>
      </c>
      <c r="G342" s="425">
        <v>9</v>
      </c>
      <c r="H342" s="425">
        <v>9</v>
      </c>
      <c r="I342" s="425">
        <v>0</v>
      </c>
      <c r="J342" s="425">
        <v>0</v>
      </c>
      <c r="K342" s="425">
        <v>0</v>
      </c>
      <c r="L342" s="425">
        <v>0</v>
      </c>
      <c r="M342" s="425">
        <v>0</v>
      </c>
      <c r="N342" s="425">
        <v>0</v>
      </c>
      <c r="O342" s="425">
        <v>0</v>
      </c>
    </row>
    <row r="343" spans="3:15" hidden="1" x14ac:dyDescent="0.3">
      <c r="C343" t="s">
        <v>2295</v>
      </c>
      <c r="D343" t="s">
        <v>2267</v>
      </c>
      <c r="E343" t="s">
        <v>2916</v>
      </c>
      <c r="F343" t="s">
        <v>2917</v>
      </c>
      <c r="G343" s="425">
        <v>1070</v>
      </c>
      <c r="H343" s="425">
        <v>1070</v>
      </c>
      <c r="I343" s="425">
        <v>0</v>
      </c>
      <c r="J343" s="425">
        <v>0</v>
      </c>
      <c r="K343" s="425">
        <v>0</v>
      </c>
      <c r="L343" s="425">
        <v>0</v>
      </c>
      <c r="M343" s="425">
        <v>0</v>
      </c>
      <c r="N343" s="425">
        <v>0</v>
      </c>
      <c r="O343" s="425">
        <v>0</v>
      </c>
    </row>
    <row r="344" spans="3:15" hidden="1" x14ac:dyDescent="0.3">
      <c r="C344" t="s">
        <v>2295</v>
      </c>
      <c r="D344" t="s">
        <v>2267</v>
      </c>
      <c r="E344" t="s">
        <v>2918</v>
      </c>
      <c r="F344" t="s">
        <v>2919</v>
      </c>
      <c r="G344" s="425">
        <v>10665649</v>
      </c>
      <c r="H344" s="425">
        <v>10665649</v>
      </c>
      <c r="I344" s="425">
        <v>0</v>
      </c>
      <c r="J344" s="425">
        <v>0</v>
      </c>
      <c r="K344" s="425">
        <v>0</v>
      </c>
      <c r="L344" s="425">
        <v>0</v>
      </c>
      <c r="M344" s="425">
        <v>0</v>
      </c>
      <c r="N344" s="425">
        <v>0</v>
      </c>
      <c r="O344" s="425">
        <v>0</v>
      </c>
    </row>
    <row r="345" spans="3:15" hidden="1" x14ac:dyDescent="0.3">
      <c r="C345" t="s">
        <v>2295</v>
      </c>
      <c r="D345" t="s">
        <v>2267</v>
      </c>
      <c r="E345" t="s">
        <v>2920</v>
      </c>
      <c r="F345" t="s">
        <v>2921</v>
      </c>
      <c r="G345" s="425">
        <v>6068926</v>
      </c>
      <c r="H345" s="425">
        <v>6068926</v>
      </c>
      <c r="I345" s="425">
        <v>0</v>
      </c>
      <c r="J345" s="425">
        <v>0</v>
      </c>
      <c r="K345" s="425">
        <v>0</v>
      </c>
      <c r="L345" s="425">
        <v>0</v>
      </c>
      <c r="M345" s="425">
        <v>0</v>
      </c>
      <c r="N345" s="425">
        <v>0</v>
      </c>
      <c r="O345" s="425">
        <v>0</v>
      </c>
    </row>
    <row r="346" spans="3:15" hidden="1" x14ac:dyDescent="0.3">
      <c r="C346" t="s">
        <v>2295</v>
      </c>
      <c r="D346" t="s">
        <v>2267</v>
      </c>
      <c r="E346" t="s">
        <v>2922</v>
      </c>
      <c r="F346" t="s">
        <v>2923</v>
      </c>
      <c r="G346" s="425">
        <v>2784511</v>
      </c>
      <c r="H346" s="425">
        <v>2784511</v>
      </c>
      <c r="I346" s="425">
        <v>0</v>
      </c>
      <c r="J346" s="425">
        <v>0</v>
      </c>
      <c r="K346" s="425">
        <v>0</v>
      </c>
      <c r="L346" s="425">
        <v>0</v>
      </c>
      <c r="M346" s="425">
        <v>0</v>
      </c>
      <c r="N346" s="425">
        <v>0</v>
      </c>
      <c r="O346" s="425">
        <v>0</v>
      </c>
    </row>
    <row r="347" spans="3:15" hidden="1" x14ac:dyDescent="0.3">
      <c r="C347" t="s">
        <v>2295</v>
      </c>
      <c r="D347" t="s">
        <v>2267</v>
      </c>
      <c r="E347" t="s">
        <v>2924</v>
      </c>
      <c r="F347" t="s">
        <v>2925</v>
      </c>
      <c r="G347" s="425">
        <v>0</v>
      </c>
      <c r="H347" s="425">
        <v>0</v>
      </c>
      <c r="I347" s="425">
        <v>0</v>
      </c>
      <c r="J347" s="425">
        <v>0</v>
      </c>
      <c r="K347" s="425">
        <v>0</v>
      </c>
      <c r="L347" s="425">
        <v>0</v>
      </c>
      <c r="M347" s="425">
        <v>0</v>
      </c>
      <c r="N347" s="425">
        <v>0</v>
      </c>
      <c r="O347" s="425">
        <v>0</v>
      </c>
    </row>
    <row r="348" spans="3:15" hidden="1" x14ac:dyDescent="0.3">
      <c r="C348" t="s">
        <v>2295</v>
      </c>
      <c r="D348" t="s">
        <v>2267</v>
      </c>
      <c r="E348" t="s">
        <v>2926</v>
      </c>
      <c r="F348" t="s">
        <v>2927</v>
      </c>
      <c r="G348" s="425">
        <v>296697</v>
      </c>
      <c r="H348" s="425">
        <v>296697</v>
      </c>
      <c r="I348" s="425">
        <v>0</v>
      </c>
      <c r="J348" s="425">
        <v>0</v>
      </c>
      <c r="K348" s="425">
        <v>0</v>
      </c>
      <c r="L348" s="425">
        <v>0</v>
      </c>
      <c r="M348" s="425">
        <v>0</v>
      </c>
      <c r="N348" s="425">
        <v>0</v>
      </c>
      <c r="O348" s="425">
        <v>0</v>
      </c>
    </row>
    <row r="349" spans="3:15" hidden="1" x14ac:dyDescent="0.3">
      <c r="C349" t="s">
        <v>2295</v>
      </c>
      <c r="D349" t="s">
        <v>2267</v>
      </c>
      <c r="E349" t="s">
        <v>2928</v>
      </c>
      <c r="F349" t="s">
        <v>2929</v>
      </c>
      <c r="G349" s="425">
        <v>637449</v>
      </c>
      <c r="H349" s="425">
        <v>637449</v>
      </c>
      <c r="I349" s="425">
        <v>0</v>
      </c>
      <c r="J349" s="425">
        <v>0</v>
      </c>
      <c r="K349" s="425">
        <v>0</v>
      </c>
      <c r="L349" s="425">
        <v>0</v>
      </c>
      <c r="M349" s="425">
        <v>0</v>
      </c>
      <c r="N349" s="425">
        <v>0</v>
      </c>
      <c r="O349" s="425">
        <v>0</v>
      </c>
    </row>
    <row r="350" spans="3:15" hidden="1" x14ac:dyDescent="0.3">
      <c r="C350" t="s">
        <v>2295</v>
      </c>
      <c r="D350" t="s">
        <v>2267</v>
      </c>
      <c r="E350" t="s">
        <v>2930</v>
      </c>
      <c r="F350" t="s">
        <v>2931</v>
      </c>
      <c r="G350" s="425">
        <v>51140</v>
      </c>
      <c r="H350" s="425">
        <v>51140</v>
      </c>
      <c r="I350" s="425">
        <v>0</v>
      </c>
      <c r="J350" s="425">
        <v>0</v>
      </c>
      <c r="K350" s="425">
        <v>0</v>
      </c>
      <c r="L350" s="425">
        <v>0</v>
      </c>
      <c r="M350" s="425">
        <v>0</v>
      </c>
      <c r="N350" s="425">
        <v>0</v>
      </c>
      <c r="O350" s="425">
        <v>0</v>
      </c>
    </row>
    <row r="351" spans="3:15" hidden="1" x14ac:dyDescent="0.3">
      <c r="C351" t="s">
        <v>2295</v>
      </c>
      <c r="D351" t="s">
        <v>2267</v>
      </c>
      <c r="E351" t="s">
        <v>2932</v>
      </c>
      <c r="F351" t="s">
        <v>2933</v>
      </c>
      <c r="G351" s="425">
        <v>39273</v>
      </c>
      <c r="H351" s="425">
        <v>39273</v>
      </c>
      <c r="I351" s="425">
        <v>0</v>
      </c>
      <c r="J351" s="425">
        <v>0</v>
      </c>
      <c r="K351" s="425">
        <v>0</v>
      </c>
      <c r="L351" s="425">
        <v>0</v>
      </c>
      <c r="M351" s="425">
        <v>0</v>
      </c>
      <c r="N351" s="425">
        <v>0</v>
      </c>
      <c r="O351" s="425">
        <v>0</v>
      </c>
    </row>
    <row r="352" spans="3:15" hidden="1" x14ac:dyDescent="0.3">
      <c r="C352" t="s">
        <v>2295</v>
      </c>
      <c r="D352" t="s">
        <v>2267</v>
      </c>
      <c r="E352" t="s">
        <v>2934</v>
      </c>
      <c r="F352" t="s">
        <v>2935</v>
      </c>
      <c r="G352" s="425">
        <v>38989</v>
      </c>
      <c r="H352" s="425">
        <v>38989</v>
      </c>
      <c r="I352" s="425">
        <v>0</v>
      </c>
      <c r="J352" s="425">
        <v>0</v>
      </c>
      <c r="K352" s="425">
        <v>0</v>
      </c>
      <c r="L352" s="425">
        <v>0</v>
      </c>
      <c r="M352" s="425">
        <v>0</v>
      </c>
      <c r="N352" s="425">
        <v>0</v>
      </c>
      <c r="O352" s="425">
        <v>0</v>
      </c>
    </row>
    <row r="353" spans="3:15" hidden="1" x14ac:dyDescent="0.3">
      <c r="C353" t="s">
        <v>2295</v>
      </c>
      <c r="D353" t="s">
        <v>2267</v>
      </c>
      <c r="E353" t="s">
        <v>2936</v>
      </c>
      <c r="F353" t="s">
        <v>2937</v>
      </c>
      <c r="G353" s="425">
        <v>11132</v>
      </c>
      <c r="H353" s="425">
        <v>11132</v>
      </c>
      <c r="I353" s="425">
        <v>0</v>
      </c>
      <c r="J353" s="425">
        <v>0</v>
      </c>
      <c r="K353" s="425">
        <v>0</v>
      </c>
      <c r="L353" s="425">
        <v>0</v>
      </c>
      <c r="M353" s="425">
        <v>0</v>
      </c>
      <c r="N353" s="425">
        <v>0</v>
      </c>
      <c r="O353" s="425">
        <v>0</v>
      </c>
    </row>
    <row r="354" spans="3:15" hidden="1" x14ac:dyDescent="0.3">
      <c r="C354" t="s">
        <v>2295</v>
      </c>
      <c r="D354" t="s">
        <v>2267</v>
      </c>
      <c r="E354" t="s">
        <v>2938</v>
      </c>
      <c r="F354" t="s">
        <v>2939</v>
      </c>
      <c r="G354" s="425">
        <v>62369</v>
      </c>
      <c r="H354" s="425">
        <v>62369</v>
      </c>
      <c r="I354" s="425">
        <v>0</v>
      </c>
      <c r="J354" s="425">
        <v>0</v>
      </c>
      <c r="K354" s="425">
        <v>0</v>
      </c>
      <c r="L354" s="425">
        <v>0</v>
      </c>
      <c r="M354" s="425">
        <v>0</v>
      </c>
      <c r="N354" s="425">
        <v>0</v>
      </c>
      <c r="O354" s="425">
        <v>0</v>
      </c>
    </row>
    <row r="355" spans="3:15" hidden="1" x14ac:dyDescent="0.3">
      <c r="C355" t="s">
        <v>2295</v>
      </c>
      <c r="D355" t="s">
        <v>2267</v>
      </c>
      <c r="E355" t="s">
        <v>2940</v>
      </c>
      <c r="F355" t="s">
        <v>2941</v>
      </c>
      <c r="G355" s="425">
        <v>0</v>
      </c>
      <c r="H355" s="425">
        <v>0</v>
      </c>
      <c r="I355" s="425">
        <v>0</v>
      </c>
      <c r="J355" s="425">
        <v>0</v>
      </c>
      <c r="K355" s="425">
        <v>0</v>
      </c>
      <c r="L355" s="425">
        <v>0</v>
      </c>
      <c r="M355" s="425">
        <v>0</v>
      </c>
      <c r="N355" s="425">
        <v>0</v>
      </c>
      <c r="O355" s="425">
        <v>0</v>
      </c>
    </row>
    <row r="356" spans="3:15" hidden="1" x14ac:dyDescent="0.3">
      <c r="C356" t="s">
        <v>2295</v>
      </c>
      <c r="D356" t="s">
        <v>2267</v>
      </c>
      <c r="E356" t="s">
        <v>2942</v>
      </c>
      <c r="F356" t="s">
        <v>2943</v>
      </c>
      <c r="G356" s="425">
        <v>0</v>
      </c>
      <c r="H356" s="425">
        <v>0</v>
      </c>
      <c r="I356" s="425">
        <v>0</v>
      </c>
      <c r="J356" s="425">
        <v>0</v>
      </c>
      <c r="K356" s="425">
        <v>0</v>
      </c>
      <c r="L356" s="425">
        <v>0</v>
      </c>
      <c r="M356" s="425">
        <v>0</v>
      </c>
      <c r="N356" s="425">
        <v>0</v>
      </c>
      <c r="O356" s="425">
        <v>0</v>
      </c>
    </row>
    <row r="357" spans="3:15" hidden="1" x14ac:dyDescent="0.3">
      <c r="C357" t="s">
        <v>2295</v>
      </c>
      <c r="D357" t="s">
        <v>2267</v>
      </c>
      <c r="E357" t="s">
        <v>2944</v>
      </c>
      <c r="F357" t="s">
        <v>2945</v>
      </c>
      <c r="G357" s="425">
        <v>0</v>
      </c>
      <c r="H357" s="425">
        <v>0</v>
      </c>
      <c r="I357" s="425">
        <v>0</v>
      </c>
      <c r="J357" s="425">
        <v>0</v>
      </c>
      <c r="K357" s="425">
        <v>0</v>
      </c>
      <c r="L357" s="425">
        <v>0</v>
      </c>
      <c r="M357" s="425">
        <v>0</v>
      </c>
      <c r="N357" s="425">
        <v>0</v>
      </c>
      <c r="O357" s="425">
        <v>0</v>
      </c>
    </row>
    <row r="358" spans="3:15" hidden="1" x14ac:dyDescent="0.3">
      <c r="C358" t="s">
        <v>2295</v>
      </c>
      <c r="D358" t="s">
        <v>2267</v>
      </c>
      <c r="E358" t="s">
        <v>2946</v>
      </c>
      <c r="F358" t="s">
        <v>2947</v>
      </c>
      <c r="G358" s="425">
        <v>0</v>
      </c>
      <c r="H358" s="425">
        <v>0</v>
      </c>
      <c r="I358" s="425">
        <v>0</v>
      </c>
      <c r="J358" s="425">
        <v>0</v>
      </c>
      <c r="K358" s="425">
        <v>0</v>
      </c>
      <c r="L358" s="425">
        <v>0</v>
      </c>
      <c r="M358" s="425">
        <v>0</v>
      </c>
      <c r="N358" s="425">
        <v>0</v>
      </c>
      <c r="O358" s="425">
        <v>0</v>
      </c>
    </row>
    <row r="359" spans="3:15" hidden="1" x14ac:dyDescent="0.3">
      <c r="C359" t="s">
        <v>2295</v>
      </c>
      <c r="D359" t="s">
        <v>2267</v>
      </c>
      <c r="E359" t="s">
        <v>2948</v>
      </c>
      <c r="F359" t="s">
        <v>2949</v>
      </c>
      <c r="G359" s="425">
        <v>920</v>
      </c>
      <c r="H359" s="425">
        <v>920</v>
      </c>
      <c r="I359" s="425">
        <v>0</v>
      </c>
      <c r="J359" s="425">
        <v>0</v>
      </c>
      <c r="K359" s="425">
        <v>0</v>
      </c>
      <c r="L359" s="425">
        <v>0</v>
      </c>
      <c r="M359" s="425">
        <v>0</v>
      </c>
      <c r="N359" s="425">
        <v>0</v>
      </c>
      <c r="O359" s="425">
        <v>0</v>
      </c>
    </row>
    <row r="360" spans="3:15" hidden="1" x14ac:dyDescent="0.3">
      <c r="C360" t="s">
        <v>2295</v>
      </c>
      <c r="D360" t="s">
        <v>2267</v>
      </c>
      <c r="E360" t="s">
        <v>2950</v>
      </c>
      <c r="F360" t="s">
        <v>2951</v>
      </c>
      <c r="G360" s="425">
        <v>3013107</v>
      </c>
      <c r="H360" s="425">
        <v>3013107</v>
      </c>
      <c r="I360" s="425">
        <v>0</v>
      </c>
      <c r="J360" s="425">
        <v>0</v>
      </c>
      <c r="K360" s="425">
        <v>0</v>
      </c>
      <c r="L360" s="425">
        <v>0</v>
      </c>
      <c r="M360" s="425">
        <v>0</v>
      </c>
      <c r="N360" s="425">
        <v>0</v>
      </c>
      <c r="O360" s="425">
        <v>0</v>
      </c>
    </row>
    <row r="361" spans="3:15" hidden="1" x14ac:dyDescent="0.3">
      <c r="C361" t="s">
        <v>2295</v>
      </c>
      <c r="D361" t="s">
        <v>2267</v>
      </c>
      <c r="E361" t="s">
        <v>2952</v>
      </c>
      <c r="F361" t="s">
        <v>2953</v>
      </c>
      <c r="G361" s="425">
        <v>792</v>
      </c>
      <c r="H361" s="425">
        <v>792</v>
      </c>
      <c r="I361" s="425">
        <v>0</v>
      </c>
      <c r="J361" s="425">
        <v>0</v>
      </c>
      <c r="K361" s="425">
        <v>0</v>
      </c>
      <c r="L361" s="425">
        <v>0</v>
      </c>
      <c r="M361" s="425">
        <v>0</v>
      </c>
      <c r="N361" s="425">
        <v>0</v>
      </c>
      <c r="O361" s="425">
        <v>0</v>
      </c>
    </row>
    <row r="362" spans="3:15" hidden="1" x14ac:dyDescent="0.3">
      <c r="C362" t="s">
        <v>2295</v>
      </c>
      <c r="D362" t="s">
        <v>2267</v>
      </c>
      <c r="E362" t="s">
        <v>2954</v>
      </c>
      <c r="F362" t="s">
        <v>2955</v>
      </c>
      <c r="G362" s="425">
        <v>0</v>
      </c>
      <c r="H362" s="425">
        <v>0</v>
      </c>
      <c r="I362" s="425">
        <v>0</v>
      </c>
      <c r="J362" s="425">
        <v>0</v>
      </c>
      <c r="K362" s="425">
        <v>0</v>
      </c>
      <c r="L362" s="425">
        <v>0</v>
      </c>
      <c r="M362" s="425">
        <v>0</v>
      </c>
      <c r="N362" s="425">
        <v>0</v>
      </c>
      <c r="O362" s="425">
        <v>0</v>
      </c>
    </row>
    <row r="363" spans="3:15" hidden="1" x14ac:dyDescent="0.3">
      <c r="C363" t="s">
        <v>2295</v>
      </c>
      <c r="D363" t="s">
        <v>2267</v>
      </c>
      <c r="E363" t="s">
        <v>2956</v>
      </c>
      <c r="F363" t="s">
        <v>2957</v>
      </c>
      <c r="G363" s="425">
        <v>431219</v>
      </c>
      <c r="H363" s="425">
        <v>431219</v>
      </c>
      <c r="I363" s="425">
        <v>0</v>
      </c>
      <c r="J363" s="425">
        <v>0</v>
      </c>
      <c r="K363" s="425">
        <v>0</v>
      </c>
      <c r="L363" s="425">
        <v>0</v>
      </c>
      <c r="M363" s="425">
        <v>0</v>
      </c>
      <c r="N363" s="425">
        <v>0</v>
      </c>
      <c r="O363" s="425">
        <v>0</v>
      </c>
    </row>
    <row r="364" spans="3:15" hidden="1" x14ac:dyDescent="0.3">
      <c r="C364" t="s">
        <v>2295</v>
      </c>
      <c r="D364" t="s">
        <v>2267</v>
      </c>
      <c r="E364" t="s">
        <v>2958</v>
      </c>
      <c r="F364" t="s">
        <v>2959</v>
      </c>
      <c r="G364" s="425">
        <v>492549</v>
      </c>
      <c r="H364" s="425">
        <v>492549</v>
      </c>
      <c r="I364" s="425">
        <v>0</v>
      </c>
      <c r="J364" s="425">
        <v>0</v>
      </c>
      <c r="K364" s="425">
        <v>0</v>
      </c>
      <c r="L364" s="425">
        <v>0</v>
      </c>
      <c r="M364" s="425">
        <v>0</v>
      </c>
      <c r="N364" s="425">
        <v>0</v>
      </c>
      <c r="O364" s="425">
        <v>0</v>
      </c>
    </row>
    <row r="365" spans="3:15" hidden="1" x14ac:dyDescent="0.3">
      <c r="C365" t="s">
        <v>2295</v>
      </c>
      <c r="D365" t="s">
        <v>2267</v>
      </c>
      <c r="E365" t="s">
        <v>2960</v>
      </c>
      <c r="F365" t="s">
        <v>2961</v>
      </c>
      <c r="G365" s="425">
        <v>1740428</v>
      </c>
      <c r="H365" s="425">
        <v>1740428</v>
      </c>
      <c r="I365" s="425">
        <v>0</v>
      </c>
      <c r="J365" s="425">
        <v>0</v>
      </c>
      <c r="K365" s="425">
        <v>0</v>
      </c>
      <c r="L365" s="425">
        <v>0</v>
      </c>
      <c r="M365" s="425">
        <v>0</v>
      </c>
      <c r="N365" s="425">
        <v>0</v>
      </c>
      <c r="O365" s="425">
        <v>0</v>
      </c>
    </row>
    <row r="366" spans="3:15" hidden="1" x14ac:dyDescent="0.3">
      <c r="C366" t="s">
        <v>2295</v>
      </c>
      <c r="D366" t="s">
        <v>2267</v>
      </c>
      <c r="E366" t="s">
        <v>2962</v>
      </c>
      <c r="F366" t="s">
        <v>2963</v>
      </c>
      <c r="G366" s="425">
        <v>3493700</v>
      </c>
      <c r="H366" s="425">
        <v>3493700</v>
      </c>
      <c r="I366" s="425">
        <v>0</v>
      </c>
      <c r="J366" s="425">
        <v>0</v>
      </c>
      <c r="K366" s="425">
        <v>0</v>
      </c>
      <c r="L366" s="425">
        <v>0</v>
      </c>
      <c r="M366" s="425">
        <v>0</v>
      </c>
      <c r="N366" s="425">
        <v>0</v>
      </c>
      <c r="O366" s="425">
        <v>0</v>
      </c>
    </row>
    <row r="367" spans="3:15" hidden="1" x14ac:dyDescent="0.3">
      <c r="C367" t="s">
        <v>2295</v>
      </c>
      <c r="D367" t="s">
        <v>2267</v>
      </c>
      <c r="E367" t="s">
        <v>2964</v>
      </c>
      <c r="F367" t="s">
        <v>2965</v>
      </c>
      <c r="G367" s="425">
        <v>68977842</v>
      </c>
      <c r="H367" s="425">
        <v>68977842</v>
      </c>
      <c r="I367" s="425">
        <v>0</v>
      </c>
      <c r="J367" s="425">
        <v>0</v>
      </c>
      <c r="K367" s="425">
        <v>0</v>
      </c>
      <c r="L367" s="425">
        <v>0</v>
      </c>
      <c r="M367" s="425">
        <v>0</v>
      </c>
      <c r="N367" s="425">
        <v>0</v>
      </c>
      <c r="O367" s="425">
        <v>0</v>
      </c>
    </row>
    <row r="368" spans="3:15" hidden="1" x14ac:dyDescent="0.3">
      <c r="C368" t="s">
        <v>2295</v>
      </c>
      <c r="D368" t="s">
        <v>2267</v>
      </c>
      <c r="E368" t="s">
        <v>2966</v>
      </c>
      <c r="F368" t="s">
        <v>2967</v>
      </c>
      <c r="G368" s="425">
        <v>0</v>
      </c>
      <c r="H368" s="425">
        <v>0</v>
      </c>
      <c r="I368" s="425">
        <v>0</v>
      </c>
      <c r="J368" s="425">
        <v>0</v>
      </c>
      <c r="K368" s="425">
        <v>0</v>
      </c>
      <c r="L368" s="425">
        <v>0</v>
      </c>
      <c r="M368" s="425">
        <v>0</v>
      </c>
      <c r="N368" s="425">
        <v>0</v>
      </c>
      <c r="O368" s="425">
        <v>0</v>
      </c>
    </row>
    <row r="369" spans="3:15" hidden="1" x14ac:dyDescent="0.3">
      <c r="C369" t="s">
        <v>2295</v>
      </c>
      <c r="D369" t="s">
        <v>2267</v>
      </c>
      <c r="E369" t="s">
        <v>2968</v>
      </c>
      <c r="F369" t="s">
        <v>2969</v>
      </c>
      <c r="G369" s="425">
        <v>0</v>
      </c>
      <c r="H369" s="425">
        <v>0</v>
      </c>
      <c r="I369" s="425">
        <v>0</v>
      </c>
      <c r="J369" s="425">
        <v>0</v>
      </c>
      <c r="K369" s="425">
        <v>0</v>
      </c>
      <c r="L369" s="425">
        <v>0</v>
      </c>
      <c r="M369" s="425">
        <v>0</v>
      </c>
      <c r="N369" s="425">
        <v>0</v>
      </c>
      <c r="O369" s="425">
        <v>0</v>
      </c>
    </row>
    <row r="370" spans="3:15" hidden="1" x14ac:dyDescent="0.3">
      <c r="C370" t="s">
        <v>2295</v>
      </c>
      <c r="D370" t="s">
        <v>2267</v>
      </c>
      <c r="E370" t="s">
        <v>2970</v>
      </c>
      <c r="F370" t="s">
        <v>2971</v>
      </c>
      <c r="G370" s="425">
        <v>216403</v>
      </c>
      <c r="H370" s="425">
        <v>216403</v>
      </c>
      <c r="I370" s="425">
        <v>0</v>
      </c>
      <c r="J370" s="425">
        <v>0</v>
      </c>
      <c r="K370" s="425">
        <v>0</v>
      </c>
      <c r="L370" s="425">
        <v>0</v>
      </c>
      <c r="M370" s="425">
        <v>0</v>
      </c>
      <c r="N370" s="425">
        <v>0</v>
      </c>
      <c r="O370" s="425">
        <v>0</v>
      </c>
    </row>
    <row r="371" spans="3:15" hidden="1" x14ac:dyDescent="0.3">
      <c r="C371" t="s">
        <v>2295</v>
      </c>
      <c r="D371" t="s">
        <v>2267</v>
      </c>
      <c r="E371" t="s">
        <v>2972</v>
      </c>
      <c r="F371" t="s">
        <v>2973</v>
      </c>
      <c r="G371" s="425">
        <v>356</v>
      </c>
      <c r="H371" s="425">
        <v>356</v>
      </c>
      <c r="I371" s="425">
        <v>0</v>
      </c>
      <c r="J371" s="425">
        <v>0</v>
      </c>
      <c r="K371" s="425">
        <v>0</v>
      </c>
      <c r="L371" s="425">
        <v>0</v>
      </c>
      <c r="M371" s="425">
        <v>0</v>
      </c>
      <c r="N371" s="425">
        <v>0</v>
      </c>
      <c r="O371" s="425">
        <v>0</v>
      </c>
    </row>
    <row r="372" spans="3:15" hidden="1" x14ac:dyDescent="0.3">
      <c r="C372" t="s">
        <v>2295</v>
      </c>
      <c r="D372" t="s">
        <v>2267</v>
      </c>
      <c r="E372" t="s">
        <v>2974</v>
      </c>
      <c r="F372" t="s">
        <v>2975</v>
      </c>
      <c r="G372" s="425">
        <v>45</v>
      </c>
      <c r="H372" s="425">
        <v>45</v>
      </c>
      <c r="I372" s="425">
        <v>0</v>
      </c>
      <c r="J372" s="425">
        <v>0</v>
      </c>
      <c r="K372" s="425">
        <v>0</v>
      </c>
      <c r="L372" s="425">
        <v>0</v>
      </c>
      <c r="M372" s="425">
        <v>0</v>
      </c>
      <c r="N372" s="425">
        <v>0</v>
      </c>
      <c r="O372" s="425">
        <v>0</v>
      </c>
    </row>
    <row r="373" spans="3:15" hidden="1" x14ac:dyDescent="0.3">
      <c r="C373" t="s">
        <v>2295</v>
      </c>
      <c r="D373" t="s">
        <v>2267</v>
      </c>
      <c r="E373" t="s">
        <v>2976</v>
      </c>
      <c r="F373" t="s">
        <v>2977</v>
      </c>
      <c r="G373" s="425">
        <v>923473</v>
      </c>
      <c r="H373" s="425">
        <v>923473</v>
      </c>
      <c r="I373" s="425">
        <v>0</v>
      </c>
      <c r="J373" s="425">
        <v>0</v>
      </c>
      <c r="K373" s="425">
        <v>0</v>
      </c>
      <c r="L373" s="425">
        <v>0</v>
      </c>
      <c r="M373" s="425">
        <v>0</v>
      </c>
      <c r="N373" s="425">
        <v>0</v>
      </c>
      <c r="O373" s="425">
        <v>0</v>
      </c>
    </row>
    <row r="374" spans="3:15" hidden="1" x14ac:dyDescent="0.3">
      <c r="C374" t="s">
        <v>2295</v>
      </c>
      <c r="D374" t="s">
        <v>2267</v>
      </c>
      <c r="E374" t="s">
        <v>2978</v>
      </c>
      <c r="F374" t="s">
        <v>2979</v>
      </c>
      <c r="G374" s="425">
        <v>707432</v>
      </c>
      <c r="H374" s="425">
        <v>707432</v>
      </c>
      <c r="I374" s="425">
        <v>0</v>
      </c>
      <c r="J374" s="425">
        <v>0</v>
      </c>
      <c r="K374" s="425">
        <v>0</v>
      </c>
      <c r="L374" s="425">
        <v>0</v>
      </c>
      <c r="M374" s="425">
        <v>0</v>
      </c>
      <c r="N374" s="425">
        <v>0</v>
      </c>
      <c r="O374" s="425">
        <v>0</v>
      </c>
    </row>
    <row r="375" spans="3:15" hidden="1" x14ac:dyDescent="0.3">
      <c r="C375" t="s">
        <v>2295</v>
      </c>
      <c r="D375" t="s">
        <v>2267</v>
      </c>
      <c r="E375" t="s">
        <v>2980</v>
      </c>
      <c r="F375" t="s">
        <v>2981</v>
      </c>
      <c r="G375" s="425">
        <v>25222188</v>
      </c>
      <c r="H375" s="425">
        <v>25222188</v>
      </c>
      <c r="I375" s="425">
        <v>0</v>
      </c>
      <c r="J375" s="425">
        <v>0</v>
      </c>
      <c r="K375" s="425">
        <v>0</v>
      </c>
      <c r="L375" s="425">
        <v>0</v>
      </c>
      <c r="M375" s="425">
        <v>0</v>
      </c>
      <c r="N375" s="425">
        <v>0</v>
      </c>
      <c r="O375" s="425">
        <v>0</v>
      </c>
    </row>
    <row r="376" spans="3:15" hidden="1" x14ac:dyDescent="0.3">
      <c r="C376" t="s">
        <v>2295</v>
      </c>
      <c r="D376" t="s">
        <v>2267</v>
      </c>
      <c r="E376" t="s">
        <v>2982</v>
      </c>
      <c r="F376" t="s">
        <v>2983</v>
      </c>
      <c r="G376" s="425">
        <v>19027584</v>
      </c>
      <c r="H376" s="425">
        <v>19027584</v>
      </c>
      <c r="I376" s="425">
        <v>0</v>
      </c>
      <c r="J376" s="425">
        <v>0</v>
      </c>
      <c r="K376" s="425">
        <v>0</v>
      </c>
      <c r="L376" s="425">
        <v>0</v>
      </c>
      <c r="M376" s="425">
        <v>0</v>
      </c>
      <c r="N376" s="425">
        <v>0</v>
      </c>
      <c r="O376" s="425">
        <v>0</v>
      </c>
    </row>
    <row r="377" spans="3:15" hidden="1" x14ac:dyDescent="0.3">
      <c r="C377" t="s">
        <v>2295</v>
      </c>
      <c r="D377" t="s">
        <v>2267</v>
      </c>
      <c r="E377" t="s">
        <v>2984</v>
      </c>
      <c r="F377" t="s">
        <v>2985</v>
      </c>
      <c r="G377" s="425">
        <v>0</v>
      </c>
      <c r="H377" s="425">
        <v>0</v>
      </c>
      <c r="I377" s="425">
        <v>0</v>
      </c>
      <c r="J377" s="425">
        <v>0</v>
      </c>
      <c r="K377" s="425">
        <v>0</v>
      </c>
      <c r="L377" s="425">
        <v>0</v>
      </c>
      <c r="M377" s="425">
        <v>0</v>
      </c>
      <c r="N377" s="425">
        <v>0</v>
      </c>
      <c r="O377" s="425">
        <v>0</v>
      </c>
    </row>
    <row r="378" spans="3:15" hidden="1" x14ac:dyDescent="0.3">
      <c r="C378" t="s">
        <v>2295</v>
      </c>
      <c r="D378" t="s">
        <v>2267</v>
      </c>
      <c r="E378" t="s">
        <v>2986</v>
      </c>
      <c r="F378" t="s">
        <v>2987</v>
      </c>
      <c r="G378" s="425">
        <v>1001699</v>
      </c>
      <c r="H378" s="425">
        <v>1001699</v>
      </c>
      <c r="I378" s="425">
        <v>0</v>
      </c>
      <c r="J378" s="425">
        <v>0</v>
      </c>
      <c r="K378" s="425">
        <v>0</v>
      </c>
      <c r="L378" s="425">
        <v>0</v>
      </c>
      <c r="M378" s="425">
        <v>0</v>
      </c>
      <c r="N378" s="425">
        <v>0</v>
      </c>
      <c r="O378" s="425">
        <v>0</v>
      </c>
    </row>
    <row r="379" spans="3:15" hidden="1" x14ac:dyDescent="0.3">
      <c r="C379" t="s">
        <v>2295</v>
      </c>
      <c r="D379" t="s">
        <v>2267</v>
      </c>
      <c r="E379" t="s">
        <v>2988</v>
      </c>
      <c r="F379" t="s">
        <v>2989</v>
      </c>
      <c r="G379" s="425">
        <v>1648</v>
      </c>
      <c r="H379" s="425">
        <v>1648</v>
      </c>
      <c r="I379" s="425">
        <v>0</v>
      </c>
      <c r="J379" s="425">
        <v>0</v>
      </c>
      <c r="K379" s="425">
        <v>0</v>
      </c>
      <c r="L379" s="425">
        <v>0</v>
      </c>
      <c r="M379" s="425">
        <v>0</v>
      </c>
      <c r="N379" s="425">
        <v>0</v>
      </c>
      <c r="O379" s="425">
        <v>0</v>
      </c>
    </row>
    <row r="380" spans="3:15" hidden="1" x14ac:dyDescent="0.3">
      <c r="C380" t="s">
        <v>2295</v>
      </c>
      <c r="D380" t="s">
        <v>2267</v>
      </c>
      <c r="E380" t="s">
        <v>2990</v>
      </c>
      <c r="F380" t="s">
        <v>2991</v>
      </c>
      <c r="G380" s="425">
        <v>55303921</v>
      </c>
      <c r="H380" s="425">
        <v>55303921</v>
      </c>
      <c r="I380" s="425">
        <v>0</v>
      </c>
      <c r="J380" s="425">
        <v>0</v>
      </c>
      <c r="K380" s="425">
        <v>0</v>
      </c>
      <c r="L380" s="425">
        <v>0</v>
      </c>
      <c r="M380" s="425">
        <v>0</v>
      </c>
      <c r="N380" s="425">
        <v>0</v>
      </c>
      <c r="O380" s="425">
        <v>0</v>
      </c>
    </row>
    <row r="381" spans="3:15" hidden="1" x14ac:dyDescent="0.3">
      <c r="C381" t="s">
        <v>2295</v>
      </c>
      <c r="D381" t="s">
        <v>2267</v>
      </c>
      <c r="E381" t="s">
        <v>2992</v>
      </c>
      <c r="F381" t="s">
        <v>2993</v>
      </c>
      <c r="G381" s="425">
        <v>15882</v>
      </c>
      <c r="H381" s="425">
        <v>15882</v>
      </c>
      <c r="I381" s="425">
        <v>0</v>
      </c>
      <c r="J381" s="425">
        <v>0</v>
      </c>
      <c r="K381" s="425">
        <v>0</v>
      </c>
      <c r="L381" s="425">
        <v>0</v>
      </c>
      <c r="M381" s="425">
        <v>0</v>
      </c>
      <c r="N381" s="425">
        <v>0</v>
      </c>
      <c r="O381" s="425">
        <v>0</v>
      </c>
    </row>
    <row r="382" spans="3:15" hidden="1" x14ac:dyDescent="0.3">
      <c r="C382" t="s">
        <v>2295</v>
      </c>
      <c r="D382" t="s">
        <v>2267</v>
      </c>
      <c r="E382" t="s">
        <v>2994</v>
      </c>
      <c r="F382" t="s">
        <v>2995</v>
      </c>
      <c r="G382" s="425">
        <v>6092411</v>
      </c>
      <c r="H382" s="425">
        <v>6092411</v>
      </c>
      <c r="I382" s="425">
        <v>0</v>
      </c>
      <c r="J382" s="425">
        <v>0</v>
      </c>
      <c r="K382" s="425">
        <v>0</v>
      </c>
      <c r="L382" s="425">
        <v>0</v>
      </c>
      <c r="M382" s="425">
        <v>0</v>
      </c>
      <c r="N382" s="425">
        <v>0</v>
      </c>
      <c r="O382" s="425">
        <v>0</v>
      </c>
    </row>
    <row r="383" spans="3:15" hidden="1" x14ac:dyDescent="0.3">
      <c r="C383" t="s">
        <v>2295</v>
      </c>
      <c r="D383" t="s">
        <v>2267</v>
      </c>
      <c r="E383" t="s">
        <v>2996</v>
      </c>
      <c r="F383" t="s">
        <v>2997</v>
      </c>
      <c r="G383" s="425">
        <v>22712551</v>
      </c>
      <c r="H383" s="425">
        <v>22712551</v>
      </c>
      <c r="I383" s="425">
        <v>0</v>
      </c>
      <c r="J383" s="425">
        <v>0</v>
      </c>
      <c r="K383" s="425">
        <v>0</v>
      </c>
      <c r="L383" s="425">
        <v>0</v>
      </c>
      <c r="M383" s="425">
        <v>0</v>
      </c>
      <c r="N383" s="425">
        <v>0</v>
      </c>
      <c r="O383" s="425">
        <v>0</v>
      </c>
    </row>
    <row r="384" spans="3:15" hidden="1" x14ac:dyDescent="0.3">
      <c r="C384" t="s">
        <v>2295</v>
      </c>
      <c r="D384" t="s">
        <v>2267</v>
      </c>
      <c r="E384" t="s">
        <v>2998</v>
      </c>
      <c r="F384" t="s">
        <v>2999</v>
      </c>
      <c r="G384" s="425">
        <v>0</v>
      </c>
      <c r="H384" s="425">
        <v>0</v>
      </c>
      <c r="I384" s="425">
        <v>0</v>
      </c>
      <c r="J384" s="425">
        <v>0</v>
      </c>
      <c r="K384" s="425">
        <v>0</v>
      </c>
      <c r="L384" s="425">
        <v>0</v>
      </c>
      <c r="M384" s="425">
        <v>0</v>
      </c>
      <c r="N384" s="425">
        <v>0</v>
      </c>
      <c r="O384" s="425">
        <v>0</v>
      </c>
    </row>
    <row r="385" spans="3:15" hidden="1" x14ac:dyDescent="0.3">
      <c r="C385" t="s">
        <v>2295</v>
      </c>
      <c r="D385" t="s">
        <v>2267</v>
      </c>
      <c r="E385" t="s">
        <v>3000</v>
      </c>
      <c r="F385" t="s">
        <v>3001</v>
      </c>
      <c r="G385" s="425">
        <v>851735</v>
      </c>
      <c r="H385" s="425">
        <v>851735</v>
      </c>
      <c r="I385" s="425">
        <v>0</v>
      </c>
      <c r="J385" s="425">
        <v>0</v>
      </c>
      <c r="K385" s="425">
        <v>0</v>
      </c>
      <c r="L385" s="425">
        <v>0</v>
      </c>
      <c r="M385" s="425">
        <v>0</v>
      </c>
      <c r="N385" s="425">
        <v>0</v>
      </c>
      <c r="O385" s="425">
        <v>0</v>
      </c>
    </row>
    <row r="386" spans="3:15" hidden="1" x14ac:dyDescent="0.3">
      <c r="C386" t="s">
        <v>2295</v>
      </c>
      <c r="D386" t="s">
        <v>2267</v>
      </c>
      <c r="E386" t="s">
        <v>3002</v>
      </c>
      <c r="F386" t="s">
        <v>3003</v>
      </c>
      <c r="G386" s="425">
        <v>970704</v>
      </c>
      <c r="H386" s="425">
        <v>970704</v>
      </c>
      <c r="I386" s="425">
        <v>0</v>
      </c>
      <c r="J386" s="425">
        <v>0</v>
      </c>
      <c r="K386" s="425">
        <v>0</v>
      </c>
      <c r="L386" s="425">
        <v>0</v>
      </c>
      <c r="M386" s="425">
        <v>0</v>
      </c>
      <c r="N386" s="425">
        <v>0</v>
      </c>
      <c r="O386" s="425">
        <v>0</v>
      </c>
    </row>
    <row r="387" spans="3:15" hidden="1" x14ac:dyDescent="0.3">
      <c r="C387" t="s">
        <v>2295</v>
      </c>
      <c r="D387" t="s">
        <v>2267</v>
      </c>
      <c r="E387" t="s">
        <v>3004</v>
      </c>
      <c r="F387" t="s">
        <v>3005</v>
      </c>
      <c r="G387" s="425">
        <v>7313</v>
      </c>
      <c r="H387" s="425">
        <v>7313</v>
      </c>
      <c r="I387" s="425">
        <v>0</v>
      </c>
      <c r="J387" s="425">
        <v>0</v>
      </c>
      <c r="K387" s="425">
        <v>0</v>
      </c>
      <c r="L387" s="425">
        <v>0</v>
      </c>
      <c r="M387" s="425">
        <v>0</v>
      </c>
      <c r="N387" s="425">
        <v>0</v>
      </c>
      <c r="O387" s="425">
        <v>0</v>
      </c>
    </row>
    <row r="388" spans="3:15" hidden="1" x14ac:dyDescent="0.3">
      <c r="C388" t="s">
        <v>2295</v>
      </c>
      <c r="D388" t="s">
        <v>2267</v>
      </c>
      <c r="E388" t="s">
        <v>3006</v>
      </c>
      <c r="F388" t="s">
        <v>3007</v>
      </c>
      <c r="G388" s="425">
        <v>823</v>
      </c>
      <c r="H388" s="425">
        <v>823</v>
      </c>
      <c r="I388" s="425">
        <v>0</v>
      </c>
      <c r="J388" s="425">
        <v>0</v>
      </c>
      <c r="K388" s="425">
        <v>0</v>
      </c>
      <c r="L388" s="425">
        <v>0</v>
      </c>
      <c r="M388" s="425">
        <v>0</v>
      </c>
      <c r="N388" s="425">
        <v>0</v>
      </c>
      <c r="O388" s="425">
        <v>0</v>
      </c>
    </row>
    <row r="389" spans="3:15" hidden="1" x14ac:dyDescent="0.3">
      <c r="C389" t="s">
        <v>2295</v>
      </c>
      <c r="D389" t="s">
        <v>2267</v>
      </c>
      <c r="E389" t="s">
        <v>3008</v>
      </c>
      <c r="F389" t="s">
        <v>3009</v>
      </c>
      <c r="G389" s="425">
        <v>4481828</v>
      </c>
      <c r="H389" s="425">
        <v>4481828</v>
      </c>
      <c r="I389" s="425">
        <v>0</v>
      </c>
      <c r="J389" s="425">
        <v>0</v>
      </c>
      <c r="K389" s="425">
        <v>0</v>
      </c>
      <c r="L389" s="425">
        <v>0</v>
      </c>
      <c r="M389" s="425">
        <v>0</v>
      </c>
      <c r="N389" s="425">
        <v>0</v>
      </c>
      <c r="O389" s="425">
        <v>0</v>
      </c>
    </row>
    <row r="390" spans="3:15" hidden="1" x14ac:dyDescent="0.3">
      <c r="C390" t="s">
        <v>2295</v>
      </c>
      <c r="D390" t="s">
        <v>2267</v>
      </c>
      <c r="E390" t="s">
        <v>3010</v>
      </c>
      <c r="F390" t="s">
        <v>3011</v>
      </c>
      <c r="G390" s="425">
        <v>369956</v>
      </c>
      <c r="H390" s="425">
        <v>369956</v>
      </c>
      <c r="I390" s="425">
        <v>0</v>
      </c>
      <c r="J390" s="425">
        <v>0</v>
      </c>
      <c r="K390" s="425">
        <v>0</v>
      </c>
      <c r="L390" s="425">
        <v>0</v>
      </c>
      <c r="M390" s="425">
        <v>0</v>
      </c>
      <c r="N390" s="425">
        <v>0</v>
      </c>
      <c r="O390" s="425">
        <v>0</v>
      </c>
    </row>
    <row r="391" spans="3:15" hidden="1" x14ac:dyDescent="0.3">
      <c r="C391" t="s">
        <v>2295</v>
      </c>
      <c r="D391" t="s">
        <v>2267</v>
      </c>
      <c r="E391" t="s">
        <v>3012</v>
      </c>
      <c r="F391" t="s">
        <v>3013</v>
      </c>
      <c r="G391" s="425">
        <v>1649672</v>
      </c>
      <c r="H391" s="425">
        <v>1649672</v>
      </c>
      <c r="I391" s="425">
        <v>0</v>
      </c>
      <c r="J391" s="425">
        <v>0</v>
      </c>
      <c r="K391" s="425">
        <v>0</v>
      </c>
      <c r="L391" s="425">
        <v>0</v>
      </c>
      <c r="M391" s="425">
        <v>0</v>
      </c>
      <c r="N391" s="425">
        <v>0</v>
      </c>
      <c r="O391" s="425">
        <v>0</v>
      </c>
    </row>
    <row r="392" spans="3:15" hidden="1" x14ac:dyDescent="0.3">
      <c r="C392" t="s">
        <v>2295</v>
      </c>
      <c r="D392" t="s">
        <v>2267</v>
      </c>
      <c r="E392" t="s">
        <v>3014</v>
      </c>
      <c r="F392" t="s">
        <v>3015</v>
      </c>
      <c r="G392" s="425">
        <v>483888</v>
      </c>
      <c r="H392" s="425">
        <v>483888</v>
      </c>
      <c r="I392" s="425">
        <v>0</v>
      </c>
      <c r="J392" s="425">
        <v>0</v>
      </c>
      <c r="K392" s="425">
        <v>0</v>
      </c>
      <c r="L392" s="425">
        <v>0</v>
      </c>
      <c r="M392" s="425">
        <v>0</v>
      </c>
      <c r="N392" s="425">
        <v>0</v>
      </c>
      <c r="O392" s="425">
        <v>0</v>
      </c>
    </row>
    <row r="393" spans="3:15" hidden="1" x14ac:dyDescent="0.3">
      <c r="C393" t="s">
        <v>2295</v>
      </c>
      <c r="D393" t="s">
        <v>2267</v>
      </c>
      <c r="E393" t="s">
        <v>3016</v>
      </c>
      <c r="F393" t="s">
        <v>3017</v>
      </c>
      <c r="G393" s="425">
        <v>0</v>
      </c>
      <c r="H393" s="425">
        <v>0</v>
      </c>
      <c r="I393" s="425">
        <v>0</v>
      </c>
      <c r="J393" s="425">
        <v>0</v>
      </c>
      <c r="K393" s="425">
        <v>0</v>
      </c>
      <c r="L393" s="425">
        <v>0</v>
      </c>
      <c r="M393" s="425">
        <v>0</v>
      </c>
      <c r="N393" s="425">
        <v>0</v>
      </c>
      <c r="O393" s="425">
        <v>0</v>
      </c>
    </row>
    <row r="394" spans="3:15" hidden="1" x14ac:dyDescent="0.3">
      <c r="C394" t="s">
        <v>2295</v>
      </c>
      <c r="D394" t="s">
        <v>2267</v>
      </c>
      <c r="E394" t="s">
        <v>3018</v>
      </c>
      <c r="F394" t="s">
        <v>3019</v>
      </c>
      <c r="G394" s="425">
        <v>252643</v>
      </c>
      <c r="H394" s="425">
        <v>252643</v>
      </c>
      <c r="I394" s="425">
        <v>0</v>
      </c>
      <c r="J394" s="425">
        <v>0</v>
      </c>
      <c r="K394" s="425">
        <v>0</v>
      </c>
      <c r="L394" s="425">
        <v>0</v>
      </c>
      <c r="M394" s="425">
        <v>0</v>
      </c>
      <c r="N394" s="425">
        <v>0</v>
      </c>
      <c r="O394" s="425">
        <v>0</v>
      </c>
    </row>
    <row r="395" spans="3:15" hidden="1" x14ac:dyDescent="0.3">
      <c r="C395" t="s">
        <v>2295</v>
      </c>
      <c r="D395" t="s">
        <v>2267</v>
      </c>
      <c r="E395" t="s">
        <v>3020</v>
      </c>
      <c r="F395" t="s">
        <v>3021</v>
      </c>
      <c r="G395" s="425">
        <v>561435</v>
      </c>
      <c r="H395" s="425">
        <v>561435</v>
      </c>
      <c r="I395" s="425">
        <v>0</v>
      </c>
      <c r="J395" s="425">
        <v>0</v>
      </c>
      <c r="K395" s="425">
        <v>0</v>
      </c>
      <c r="L395" s="425">
        <v>0</v>
      </c>
      <c r="M395" s="425">
        <v>0</v>
      </c>
      <c r="N395" s="425">
        <v>0</v>
      </c>
      <c r="O395" s="425">
        <v>0</v>
      </c>
    </row>
    <row r="396" spans="3:15" hidden="1" x14ac:dyDescent="0.3">
      <c r="C396" t="s">
        <v>2295</v>
      </c>
      <c r="D396" t="s">
        <v>2267</v>
      </c>
      <c r="E396" t="s">
        <v>3022</v>
      </c>
      <c r="F396" t="s">
        <v>3023</v>
      </c>
      <c r="G396" s="425">
        <v>4144</v>
      </c>
      <c r="H396" s="425">
        <v>4144</v>
      </c>
      <c r="I396" s="425">
        <v>0</v>
      </c>
      <c r="J396" s="425">
        <v>0</v>
      </c>
      <c r="K396" s="425">
        <v>0</v>
      </c>
      <c r="L396" s="425">
        <v>0</v>
      </c>
      <c r="M396" s="425">
        <v>0</v>
      </c>
      <c r="N396" s="425">
        <v>0</v>
      </c>
      <c r="O396" s="425">
        <v>0</v>
      </c>
    </row>
    <row r="397" spans="3:15" hidden="1" x14ac:dyDescent="0.3">
      <c r="C397" t="s">
        <v>2295</v>
      </c>
      <c r="D397" t="s">
        <v>2267</v>
      </c>
      <c r="E397" t="s">
        <v>3024</v>
      </c>
      <c r="F397" t="s">
        <v>3025</v>
      </c>
      <c r="G397" s="425">
        <v>454</v>
      </c>
      <c r="H397" s="425">
        <v>454</v>
      </c>
      <c r="I397" s="425">
        <v>0</v>
      </c>
      <c r="J397" s="425">
        <v>0</v>
      </c>
      <c r="K397" s="425">
        <v>0</v>
      </c>
      <c r="L397" s="425">
        <v>0</v>
      </c>
      <c r="M397" s="425">
        <v>0</v>
      </c>
      <c r="N397" s="425">
        <v>0</v>
      </c>
      <c r="O397" s="425">
        <v>0</v>
      </c>
    </row>
    <row r="398" spans="3:15" hidden="1" x14ac:dyDescent="0.3">
      <c r="C398" t="s">
        <v>2295</v>
      </c>
      <c r="D398" t="s">
        <v>2267</v>
      </c>
      <c r="E398" t="s">
        <v>3026</v>
      </c>
      <c r="F398" t="s">
        <v>3027</v>
      </c>
      <c r="G398" s="425">
        <v>2</v>
      </c>
      <c r="H398" s="425">
        <v>2</v>
      </c>
      <c r="I398" s="425">
        <v>0</v>
      </c>
      <c r="J398" s="425">
        <v>0</v>
      </c>
      <c r="K398" s="425">
        <v>0</v>
      </c>
      <c r="L398" s="425">
        <v>0</v>
      </c>
      <c r="M398" s="425">
        <v>0</v>
      </c>
      <c r="N398" s="425">
        <v>0</v>
      </c>
      <c r="O398" s="425">
        <v>0</v>
      </c>
    </row>
    <row r="399" spans="3:15" hidden="1" x14ac:dyDescent="0.3">
      <c r="C399" t="s">
        <v>2295</v>
      </c>
      <c r="D399" t="s">
        <v>2267</v>
      </c>
      <c r="E399" t="s">
        <v>3028</v>
      </c>
      <c r="F399" t="s">
        <v>3029</v>
      </c>
      <c r="G399" s="425">
        <v>0</v>
      </c>
      <c r="H399" s="425">
        <v>0</v>
      </c>
      <c r="I399" s="425">
        <v>0</v>
      </c>
      <c r="J399" s="425">
        <v>0</v>
      </c>
      <c r="K399" s="425">
        <v>0</v>
      </c>
      <c r="L399" s="425">
        <v>0</v>
      </c>
      <c r="M399" s="425">
        <v>0</v>
      </c>
      <c r="N399" s="425">
        <v>0</v>
      </c>
      <c r="O399" s="425">
        <v>0</v>
      </c>
    </row>
    <row r="400" spans="3:15" hidden="1" x14ac:dyDescent="0.3">
      <c r="C400" t="s">
        <v>2295</v>
      </c>
      <c r="D400" t="s">
        <v>2267</v>
      </c>
      <c r="E400" t="s">
        <v>3030</v>
      </c>
      <c r="F400" t="s">
        <v>3031</v>
      </c>
      <c r="G400" s="425">
        <v>0</v>
      </c>
      <c r="H400" s="425">
        <v>0</v>
      </c>
      <c r="I400" s="425">
        <v>0</v>
      </c>
      <c r="J400" s="425">
        <v>0</v>
      </c>
      <c r="K400" s="425">
        <v>0</v>
      </c>
      <c r="L400" s="425">
        <v>0</v>
      </c>
      <c r="M400" s="425">
        <v>0</v>
      </c>
      <c r="N400" s="425">
        <v>0</v>
      </c>
      <c r="O400" s="425">
        <v>0</v>
      </c>
    </row>
    <row r="401" spans="3:15" hidden="1" x14ac:dyDescent="0.3">
      <c r="C401" t="s">
        <v>2295</v>
      </c>
      <c r="D401" t="s">
        <v>2267</v>
      </c>
      <c r="E401" t="s">
        <v>3032</v>
      </c>
      <c r="F401" t="s">
        <v>3033</v>
      </c>
      <c r="G401" s="425">
        <v>503</v>
      </c>
      <c r="H401" s="425">
        <v>503</v>
      </c>
      <c r="I401" s="425">
        <v>0</v>
      </c>
      <c r="J401" s="425">
        <v>0</v>
      </c>
      <c r="K401" s="425">
        <v>0</v>
      </c>
      <c r="L401" s="425">
        <v>0</v>
      </c>
      <c r="M401" s="425">
        <v>0</v>
      </c>
      <c r="N401" s="425">
        <v>0</v>
      </c>
      <c r="O401" s="425">
        <v>0</v>
      </c>
    </row>
    <row r="402" spans="3:15" hidden="1" x14ac:dyDescent="0.3">
      <c r="C402" t="s">
        <v>2295</v>
      </c>
      <c r="D402" t="s">
        <v>2267</v>
      </c>
      <c r="E402" t="s">
        <v>3034</v>
      </c>
      <c r="F402" t="s">
        <v>3035</v>
      </c>
      <c r="G402" s="425">
        <v>931658</v>
      </c>
      <c r="H402" s="425">
        <v>931658</v>
      </c>
      <c r="I402" s="425">
        <v>0</v>
      </c>
      <c r="J402" s="425">
        <v>0</v>
      </c>
      <c r="K402" s="425">
        <v>0</v>
      </c>
      <c r="L402" s="425">
        <v>0</v>
      </c>
      <c r="M402" s="425">
        <v>0</v>
      </c>
      <c r="N402" s="425">
        <v>0</v>
      </c>
      <c r="O402" s="425">
        <v>0</v>
      </c>
    </row>
    <row r="403" spans="3:15" hidden="1" x14ac:dyDescent="0.3">
      <c r="C403" t="s">
        <v>2295</v>
      </c>
      <c r="D403" t="s">
        <v>2267</v>
      </c>
      <c r="E403" t="s">
        <v>3036</v>
      </c>
      <c r="F403" t="s">
        <v>3037</v>
      </c>
      <c r="G403" s="425">
        <v>2</v>
      </c>
      <c r="H403" s="425">
        <v>2</v>
      </c>
      <c r="I403" s="425">
        <v>0</v>
      </c>
      <c r="J403" s="425">
        <v>0</v>
      </c>
      <c r="K403" s="425">
        <v>0</v>
      </c>
      <c r="L403" s="425">
        <v>0</v>
      </c>
      <c r="M403" s="425">
        <v>0</v>
      </c>
      <c r="N403" s="425">
        <v>0</v>
      </c>
      <c r="O403" s="425">
        <v>0</v>
      </c>
    </row>
    <row r="404" spans="3:15" hidden="1" x14ac:dyDescent="0.3">
      <c r="C404" t="s">
        <v>2295</v>
      </c>
      <c r="D404" t="s">
        <v>2267</v>
      </c>
      <c r="E404" t="s">
        <v>3038</v>
      </c>
      <c r="F404" t="s">
        <v>3039</v>
      </c>
      <c r="G404" s="425">
        <v>449385</v>
      </c>
      <c r="H404" s="425">
        <v>449385</v>
      </c>
      <c r="I404" s="425">
        <v>0</v>
      </c>
      <c r="J404" s="425">
        <v>0</v>
      </c>
      <c r="K404" s="425">
        <v>0</v>
      </c>
      <c r="L404" s="425">
        <v>0</v>
      </c>
      <c r="M404" s="425">
        <v>0</v>
      </c>
      <c r="N404" s="425">
        <v>0</v>
      </c>
      <c r="O404" s="425">
        <v>0</v>
      </c>
    </row>
    <row r="405" spans="3:15" hidden="1" x14ac:dyDescent="0.3">
      <c r="C405" t="s">
        <v>2295</v>
      </c>
      <c r="D405" t="s">
        <v>2267</v>
      </c>
      <c r="E405" t="s">
        <v>3040</v>
      </c>
      <c r="F405" t="s">
        <v>3041</v>
      </c>
      <c r="G405" s="425">
        <v>1349083</v>
      </c>
      <c r="H405" s="425">
        <v>1349083</v>
      </c>
      <c r="I405" s="425">
        <v>0</v>
      </c>
      <c r="J405" s="425">
        <v>0</v>
      </c>
      <c r="K405" s="425">
        <v>0</v>
      </c>
      <c r="L405" s="425">
        <v>0</v>
      </c>
      <c r="M405" s="425">
        <v>0</v>
      </c>
      <c r="N405" s="425">
        <v>0</v>
      </c>
      <c r="O405" s="425">
        <v>0</v>
      </c>
    </row>
    <row r="406" spans="3:15" hidden="1" x14ac:dyDescent="0.3">
      <c r="C406" t="s">
        <v>2295</v>
      </c>
      <c r="D406" t="s">
        <v>2267</v>
      </c>
      <c r="E406" t="s">
        <v>3042</v>
      </c>
      <c r="F406" t="s">
        <v>3043</v>
      </c>
      <c r="G406" s="425">
        <v>200298</v>
      </c>
      <c r="H406" s="425">
        <v>200298</v>
      </c>
      <c r="I406" s="425">
        <v>0</v>
      </c>
      <c r="J406" s="425">
        <v>0</v>
      </c>
      <c r="K406" s="425">
        <v>0</v>
      </c>
      <c r="L406" s="425">
        <v>0</v>
      </c>
      <c r="M406" s="425">
        <v>0</v>
      </c>
      <c r="N406" s="425">
        <v>0</v>
      </c>
      <c r="O406" s="425">
        <v>0</v>
      </c>
    </row>
    <row r="407" spans="3:15" hidden="1" x14ac:dyDescent="0.3">
      <c r="C407" t="s">
        <v>2295</v>
      </c>
      <c r="D407" t="s">
        <v>2267</v>
      </c>
      <c r="E407" t="s">
        <v>3044</v>
      </c>
      <c r="F407" t="s">
        <v>3045</v>
      </c>
      <c r="G407" s="425">
        <v>1923</v>
      </c>
      <c r="H407" s="425">
        <v>1923</v>
      </c>
      <c r="I407" s="425">
        <v>0</v>
      </c>
      <c r="J407" s="425">
        <v>0</v>
      </c>
      <c r="K407" s="425">
        <v>0</v>
      </c>
      <c r="L407" s="425">
        <v>0</v>
      </c>
      <c r="M407" s="425">
        <v>0</v>
      </c>
      <c r="N407" s="425">
        <v>0</v>
      </c>
      <c r="O407" s="425">
        <v>0</v>
      </c>
    </row>
    <row r="408" spans="3:15" hidden="1" x14ac:dyDescent="0.3">
      <c r="C408" t="s">
        <v>2295</v>
      </c>
      <c r="D408" t="s">
        <v>2267</v>
      </c>
      <c r="E408" t="s">
        <v>3046</v>
      </c>
      <c r="F408" t="s">
        <v>3047</v>
      </c>
      <c r="G408" s="425">
        <v>466711</v>
      </c>
      <c r="H408" s="425">
        <v>466711</v>
      </c>
      <c r="I408" s="425">
        <v>0</v>
      </c>
      <c r="J408" s="425">
        <v>0</v>
      </c>
      <c r="K408" s="425">
        <v>0</v>
      </c>
      <c r="L408" s="425">
        <v>0</v>
      </c>
      <c r="M408" s="425">
        <v>0</v>
      </c>
      <c r="N408" s="425">
        <v>0</v>
      </c>
      <c r="O408" s="425">
        <v>0</v>
      </c>
    </row>
    <row r="409" spans="3:15" hidden="1" x14ac:dyDescent="0.3">
      <c r="C409" t="s">
        <v>2295</v>
      </c>
      <c r="D409" t="s">
        <v>2267</v>
      </c>
      <c r="E409" t="s">
        <v>3048</v>
      </c>
      <c r="F409" t="s">
        <v>3049</v>
      </c>
      <c r="G409" s="425">
        <v>420182</v>
      </c>
      <c r="H409" s="425">
        <v>420182</v>
      </c>
      <c r="I409" s="425">
        <v>0</v>
      </c>
      <c r="J409" s="425">
        <v>0</v>
      </c>
      <c r="K409" s="425">
        <v>0</v>
      </c>
      <c r="L409" s="425">
        <v>0</v>
      </c>
      <c r="M409" s="425">
        <v>0</v>
      </c>
      <c r="N409" s="425">
        <v>0</v>
      </c>
      <c r="O409" s="425">
        <v>0</v>
      </c>
    </row>
    <row r="410" spans="3:15" hidden="1" x14ac:dyDescent="0.3">
      <c r="C410" t="s">
        <v>2295</v>
      </c>
      <c r="D410" t="s">
        <v>2267</v>
      </c>
      <c r="E410" t="s">
        <v>3050</v>
      </c>
      <c r="F410" t="s">
        <v>3051</v>
      </c>
      <c r="G410" s="425">
        <v>373655</v>
      </c>
      <c r="H410" s="425">
        <v>373655</v>
      </c>
      <c r="I410" s="425">
        <v>0</v>
      </c>
      <c r="J410" s="425">
        <v>0</v>
      </c>
      <c r="K410" s="425">
        <v>0</v>
      </c>
      <c r="L410" s="425">
        <v>0</v>
      </c>
      <c r="M410" s="425">
        <v>0</v>
      </c>
      <c r="N410" s="425">
        <v>0</v>
      </c>
      <c r="O410" s="425">
        <v>0</v>
      </c>
    </row>
    <row r="411" spans="3:15" hidden="1" x14ac:dyDescent="0.3">
      <c r="C411" t="s">
        <v>2295</v>
      </c>
      <c r="D411" t="s">
        <v>2267</v>
      </c>
      <c r="E411" t="s">
        <v>3052</v>
      </c>
      <c r="F411" t="s">
        <v>3053</v>
      </c>
      <c r="G411" s="425">
        <v>0</v>
      </c>
      <c r="H411" s="425">
        <v>0</v>
      </c>
      <c r="I411" s="425">
        <v>0</v>
      </c>
      <c r="J411" s="425">
        <v>0</v>
      </c>
      <c r="K411" s="425">
        <v>0</v>
      </c>
      <c r="L411" s="425">
        <v>0</v>
      </c>
      <c r="M411" s="425">
        <v>0</v>
      </c>
      <c r="N411" s="425">
        <v>0</v>
      </c>
      <c r="O411" s="425">
        <v>0</v>
      </c>
    </row>
    <row r="412" spans="3:15" hidden="1" x14ac:dyDescent="0.3">
      <c r="C412" t="s">
        <v>2295</v>
      </c>
      <c r="D412" t="s">
        <v>2267</v>
      </c>
      <c r="E412" t="s">
        <v>3054</v>
      </c>
      <c r="F412" t="s">
        <v>3055</v>
      </c>
      <c r="G412" s="425">
        <v>99482</v>
      </c>
      <c r="H412" s="425">
        <v>99482</v>
      </c>
      <c r="I412" s="425">
        <v>0</v>
      </c>
      <c r="J412" s="425">
        <v>0</v>
      </c>
      <c r="K412" s="425">
        <v>0</v>
      </c>
      <c r="L412" s="425">
        <v>0</v>
      </c>
      <c r="M412" s="425">
        <v>0</v>
      </c>
      <c r="N412" s="425">
        <v>0</v>
      </c>
      <c r="O412" s="425">
        <v>0</v>
      </c>
    </row>
    <row r="413" spans="3:15" hidden="1" x14ac:dyDescent="0.3">
      <c r="C413" t="s">
        <v>2295</v>
      </c>
      <c r="D413" t="s">
        <v>2267</v>
      </c>
      <c r="E413" t="s">
        <v>3056</v>
      </c>
      <c r="F413" t="s">
        <v>3057</v>
      </c>
      <c r="G413" s="425">
        <v>10065</v>
      </c>
      <c r="H413" s="425">
        <v>10065</v>
      </c>
      <c r="I413" s="425">
        <v>0</v>
      </c>
      <c r="J413" s="425">
        <v>0</v>
      </c>
      <c r="K413" s="425">
        <v>0</v>
      </c>
      <c r="L413" s="425">
        <v>0</v>
      </c>
      <c r="M413" s="425">
        <v>0</v>
      </c>
      <c r="N413" s="425">
        <v>0</v>
      </c>
      <c r="O413" s="425">
        <v>0</v>
      </c>
    </row>
    <row r="414" spans="3:15" hidden="1" x14ac:dyDescent="0.3">
      <c r="C414" t="s">
        <v>2295</v>
      </c>
      <c r="D414" t="s">
        <v>2267</v>
      </c>
      <c r="E414" t="s">
        <v>3058</v>
      </c>
      <c r="F414" t="s">
        <v>3059</v>
      </c>
      <c r="G414" s="425">
        <v>839103</v>
      </c>
      <c r="H414" s="425">
        <v>839103</v>
      </c>
      <c r="I414" s="425">
        <v>0</v>
      </c>
      <c r="J414" s="425">
        <v>0</v>
      </c>
      <c r="K414" s="425">
        <v>0</v>
      </c>
      <c r="L414" s="425">
        <v>0</v>
      </c>
      <c r="M414" s="425">
        <v>0</v>
      </c>
      <c r="N414" s="425">
        <v>0</v>
      </c>
      <c r="O414" s="425">
        <v>0</v>
      </c>
    </row>
    <row r="415" spans="3:15" hidden="1" x14ac:dyDescent="0.3">
      <c r="C415" t="s">
        <v>2295</v>
      </c>
      <c r="D415" t="s">
        <v>2267</v>
      </c>
      <c r="E415" t="s">
        <v>3060</v>
      </c>
      <c r="F415" t="s">
        <v>3061</v>
      </c>
      <c r="G415" s="425">
        <v>55688</v>
      </c>
      <c r="H415" s="425">
        <v>55688</v>
      </c>
      <c r="I415" s="425">
        <v>0</v>
      </c>
      <c r="J415" s="425">
        <v>0</v>
      </c>
      <c r="K415" s="425">
        <v>0</v>
      </c>
      <c r="L415" s="425">
        <v>0</v>
      </c>
      <c r="M415" s="425">
        <v>0</v>
      </c>
      <c r="N415" s="425">
        <v>0</v>
      </c>
      <c r="O415" s="425">
        <v>0</v>
      </c>
    </row>
    <row r="416" spans="3:15" hidden="1" x14ac:dyDescent="0.3">
      <c r="C416" t="s">
        <v>2295</v>
      </c>
      <c r="D416" t="s">
        <v>2267</v>
      </c>
      <c r="E416" t="s">
        <v>3062</v>
      </c>
      <c r="F416" t="s">
        <v>3063</v>
      </c>
      <c r="G416" s="425">
        <v>18830084</v>
      </c>
      <c r="H416" s="425">
        <v>18830084</v>
      </c>
      <c r="I416" s="425">
        <v>0</v>
      </c>
      <c r="J416" s="425">
        <v>0</v>
      </c>
      <c r="K416" s="425">
        <v>0</v>
      </c>
      <c r="L416" s="425">
        <v>0</v>
      </c>
      <c r="M416" s="425">
        <v>0</v>
      </c>
      <c r="N416" s="425">
        <v>0</v>
      </c>
      <c r="O416" s="425">
        <v>0</v>
      </c>
    </row>
    <row r="417" spans="3:15" hidden="1" x14ac:dyDescent="0.3">
      <c r="C417" t="s">
        <v>2295</v>
      </c>
      <c r="D417" t="s">
        <v>2267</v>
      </c>
      <c r="E417" t="s">
        <v>3064</v>
      </c>
      <c r="F417" t="s">
        <v>3065</v>
      </c>
      <c r="G417" s="425">
        <v>83931922</v>
      </c>
      <c r="H417" s="425">
        <v>83931922</v>
      </c>
      <c r="I417" s="425">
        <v>0</v>
      </c>
      <c r="J417" s="425">
        <v>0</v>
      </c>
      <c r="K417" s="425">
        <v>0</v>
      </c>
      <c r="L417" s="425">
        <v>0</v>
      </c>
      <c r="M417" s="425">
        <v>0</v>
      </c>
      <c r="N417" s="425">
        <v>0</v>
      </c>
      <c r="O417" s="425">
        <v>0</v>
      </c>
    </row>
    <row r="418" spans="3:15" hidden="1" x14ac:dyDescent="0.3">
      <c r="C418" t="s">
        <v>2295</v>
      </c>
      <c r="D418" t="s">
        <v>2267</v>
      </c>
      <c r="E418" t="s">
        <v>3066</v>
      </c>
      <c r="F418" t="s">
        <v>3067</v>
      </c>
      <c r="G418" s="425">
        <v>0</v>
      </c>
      <c r="H418" s="425">
        <v>0</v>
      </c>
      <c r="I418" s="425">
        <v>0</v>
      </c>
      <c r="J418" s="425">
        <v>0</v>
      </c>
      <c r="K418" s="425">
        <v>0</v>
      </c>
      <c r="L418" s="425">
        <v>0</v>
      </c>
      <c r="M418" s="425">
        <v>0</v>
      </c>
      <c r="N418" s="425">
        <v>0</v>
      </c>
      <c r="O418" s="425">
        <v>0</v>
      </c>
    </row>
    <row r="419" spans="3:15" hidden="1" x14ac:dyDescent="0.3">
      <c r="C419" t="s">
        <v>2295</v>
      </c>
      <c r="D419" t="s">
        <v>2267</v>
      </c>
      <c r="E419" t="s">
        <v>3068</v>
      </c>
      <c r="F419" t="s">
        <v>3069</v>
      </c>
      <c r="G419" s="425">
        <v>909424</v>
      </c>
      <c r="H419" s="425">
        <v>909424</v>
      </c>
      <c r="I419" s="425">
        <v>0</v>
      </c>
      <c r="J419" s="425">
        <v>0</v>
      </c>
      <c r="K419" s="425">
        <v>0</v>
      </c>
      <c r="L419" s="425">
        <v>0</v>
      </c>
      <c r="M419" s="425">
        <v>0</v>
      </c>
      <c r="N419" s="425">
        <v>0</v>
      </c>
      <c r="O419" s="425">
        <v>0</v>
      </c>
    </row>
    <row r="420" spans="3:15" hidden="1" x14ac:dyDescent="0.3">
      <c r="C420" t="s">
        <v>2295</v>
      </c>
      <c r="D420" t="s">
        <v>2267</v>
      </c>
      <c r="E420" t="s">
        <v>3070</v>
      </c>
      <c r="F420" t="s">
        <v>3071</v>
      </c>
      <c r="G420" s="425">
        <v>5058</v>
      </c>
      <c r="H420" s="425">
        <v>5058</v>
      </c>
      <c r="I420" s="425">
        <v>0</v>
      </c>
      <c r="J420" s="425">
        <v>0</v>
      </c>
      <c r="K420" s="425">
        <v>0</v>
      </c>
      <c r="L420" s="425">
        <v>0</v>
      </c>
      <c r="M420" s="425">
        <v>0</v>
      </c>
      <c r="N420" s="425">
        <v>0</v>
      </c>
      <c r="O420" s="425">
        <v>0</v>
      </c>
    </row>
    <row r="421" spans="3:15" hidden="1" x14ac:dyDescent="0.3">
      <c r="C421" t="s">
        <v>2295</v>
      </c>
      <c r="D421" t="s">
        <v>2267</v>
      </c>
      <c r="E421" t="s">
        <v>3072</v>
      </c>
      <c r="F421" t="s">
        <v>3073</v>
      </c>
      <c r="G421" s="425">
        <v>10198948</v>
      </c>
      <c r="H421" s="425">
        <v>10198948</v>
      </c>
      <c r="I421" s="425">
        <v>0</v>
      </c>
      <c r="J421" s="425">
        <v>0</v>
      </c>
      <c r="K421" s="425">
        <v>0</v>
      </c>
      <c r="L421" s="425">
        <v>0</v>
      </c>
      <c r="M421" s="425">
        <v>0</v>
      </c>
      <c r="N421" s="425">
        <v>0</v>
      </c>
      <c r="O421" s="425">
        <v>0</v>
      </c>
    </row>
    <row r="422" spans="3:15" hidden="1" x14ac:dyDescent="0.3">
      <c r="C422" t="s">
        <v>2295</v>
      </c>
      <c r="D422" t="s">
        <v>2267</v>
      </c>
      <c r="E422" t="s">
        <v>3074</v>
      </c>
      <c r="F422" t="s">
        <v>3075</v>
      </c>
      <c r="G422" s="425">
        <v>48762</v>
      </c>
      <c r="H422" s="425">
        <v>48762</v>
      </c>
      <c r="I422" s="425">
        <v>0</v>
      </c>
      <c r="J422" s="425">
        <v>0</v>
      </c>
      <c r="K422" s="425">
        <v>0</v>
      </c>
      <c r="L422" s="425">
        <v>0</v>
      </c>
      <c r="M422" s="425">
        <v>0</v>
      </c>
      <c r="N422" s="425">
        <v>0</v>
      </c>
      <c r="O422" s="425">
        <v>0</v>
      </c>
    </row>
    <row r="423" spans="3:15" hidden="1" x14ac:dyDescent="0.3">
      <c r="C423" t="s">
        <v>2295</v>
      </c>
      <c r="D423" t="s">
        <v>2267</v>
      </c>
      <c r="E423" t="s">
        <v>3076</v>
      </c>
      <c r="F423" t="s">
        <v>3077</v>
      </c>
      <c r="G423" s="425">
        <v>8019314</v>
      </c>
      <c r="H423" s="425">
        <v>8019314</v>
      </c>
      <c r="I423" s="425">
        <v>0</v>
      </c>
      <c r="J423" s="425">
        <v>0</v>
      </c>
      <c r="K423" s="425">
        <v>0</v>
      </c>
      <c r="L423" s="425">
        <v>0</v>
      </c>
      <c r="M423" s="425">
        <v>0</v>
      </c>
      <c r="N423" s="425">
        <v>0</v>
      </c>
      <c r="O423" s="425">
        <v>0</v>
      </c>
    </row>
    <row r="424" spans="3:15" hidden="1" x14ac:dyDescent="0.3">
      <c r="C424" t="s">
        <v>2295</v>
      </c>
      <c r="D424" t="s">
        <v>2267</v>
      </c>
      <c r="E424" t="s">
        <v>3078</v>
      </c>
      <c r="F424" t="s">
        <v>3079</v>
      </c>
      <c r="G424" s="425">
        <v>34888774</v>
      </c>
      <c r="H424" s="425">
        <v>34888774</v>
      </c>
      <c r="I424" s="425">
        <v>0</v>
      </c>
      <c r="J424" s="425">
        <v>0</v>
      </c>
      <c r="K424" s="425">
        <v>0</v>
      </c>
      <c r="L424" s="425">
        <v>0</v>
      </c>
      <c r="M424" s="425">
        <v>0</v>
      </c>
      <c r="N424" s="425">
        <v>0</v>
      </c>
      <c r="O424" s="425">
        <v>0</v>
      </c>
    </row>
    <row r="425" spans="3:15" hidden="1" x14ac:dyDescent="0.3">
      <c r="C425" t="s">
        <v>2295</v>
      </c>
      <c r="D425" t="s">
        <v>2267</v>
      </c>
      <c r="E425" t="s">
        <v>3080</v>
      </c>
      <c r="F425" t="s">
        <v>3081</v>
      </c>
      <c r="G425" s="425">
        <v>0</v>
      </c>
      <c r="H425" s="425">
        <v>0</v>
      </c>
      <c r="I425" s="425">
        <v>0</v>
      </c>
      <c r="J425" s="425">
        <v>0</v>
      </c>
      <c r="K425" s="425">
        <v>0</v>
      </c>
      <c r="L425" s="425">
        <v>0</v>
      </c>
      <c r="M425" s="425">
        <v>0</v>
      </c>
      <c r="N425" s="425">
        <v>0</v>
      </c>
      <c r="O425" s="425">
        <v>0</v>
      </c>
    </row>
    <row r="426" spans="3:15" hidden="1" x14ac:dyDescent="0.3">
      <c r="C426" t="s">
        <v>2295</v>
      </c>
      <c r="D426" t="s">
        <v>2267</v>
      </c>
      <c r="E426" t="s">
        <v>3082</v>
      </c>
      <c r="F426" t="s">
        <v>3083</v>
      </c>
      <c r="G426" s="425">
        <v>6292469</v>
      </c>
      <c r="H426" s="425">
        <v>6292469</v>
      </c>
      <c r="I426" s="425">
        <v>0</v>
      </c>
      <c r="J426" s="425">
        <v>0</v>
      </c>
      <c r="K426" s="425">
        <v>0</v>
      </c>
      <c r="L426" s="425">
        <v>0</v>
      </c>
      <c r="M426" s="425">
        <v>0</v>
      </c>
      <c r="N426" s="425">
        <v>0</v>
      </c>
      <c r="O426" s="425">
        <v>0</v>
      </c>
    </row>
    <row r="427" spans="3:15" hidden="1" x14ac:dyDescent="0.3">
      <c r="C427" t="s">
        <v>2295</v>
      </c>
      <c r="D427" t="s">
        <v>2267</v>
      </c>
      <c r="E427" t="s">
        <v>3084</v>
      </c>
      <c r="F427" t="s">
        <v>3085</v>
      </c>
      <c r="G427" s="425">
        <v>16233</v>
      </c>
      <c r="H427" s="425">
        <v>16233</v>
      </c>
      <c r="I427" s="425">
        <v>0</v>
      </c>
      <c r="J427" s="425">
        <v>0</v>
      </c>
      <c r="K427" s="425">
        <v>0</v>
      </c>
      <c r="L427" s="425">
        <v>0</v>
      </c>
      <c r="M427" s="425">
        <v>0</v>
      </c>
      <c r="N427" s="425">
        <v>0</v>
      </c>
      <c r="O427" s="425">
        <v>0</v>
      </c>
    </row>
    <row r="428" spans="3:15" hidden="1" x14ac:dyDescent="0.3">
      <c r="C428" t="s">
        <v>2295</v>
      </c>
      <c r="D428" t="s">
        <v>2267</v>
      </c>
      <c r="E428" t="s">
        <v>3086</v>
      </c>
      <c r="F428" t="s">
        <v>3087</v>
      </c>
      <c r="G428" s="425">
        <v>3006583</v>
      </c>
      <c r="H428" s="425">
        <v>3006583</v>
      </c>
      <c r="I428" s="425">
        <v>0</v>
      </c>
      <c r="J428" s="425">
        <v>0</v>
      </c>
      <c r="K428" s="425">
        <v>0</v>
      </c>
      <c r="L428" s="425">
        <v>0</v>
      </c>
      <c r="M428" s="425">
        <v>0</v>
      </c>
      <c r="N428" s="425">
        <v>0</v>
      </c>
      <c r="O428" s="425">
        <v>0</v>
      </c>
    </row>
    <row r="429" spans="3:15" hidden="1" x14ac:dyDescent="0.3">
      <c r="C429" t="s">
        <v>2295</v>
      </c>
      <c r="D429" t="s">
        <v>2267</v>
      </c>
      <c r="E429" t="s">
        <v>3088</v>
      </c>
      <c r="F429" t="s">
        <v>3089</v>
      </c>
      <c r="G429" s="425">
        <v>6770</v>
      </c>
      <c r="H429" s="425">
        <v>6770</v>
      </c>
      <c r="I429" s="425">
        <v>0</v>
      </c>
      <c r="J429" s="425">
        <v>0</v>
      </c>
      <c r="K429" s="425">
        <v>0</v>
      </c>
      <c r="L429" s="425">
        <v>0</v>
      </c>
      <c r="M429" s="425">
        <v>0</v>
      </c>
      <c r="N429" s="425">
        <v>0</v>
      </c>
      <c r="O429" s="425">
        <v>0</v>
      </c>
    </row>
    <row r="430" spans="3:15" hidden="1" x14ac:dyDescent="0.3">
      <c r="C430" t="s">
        <v>2295</v>
      </c>
      <c r="D430" t="s">
        <v>2267</v>
      </c>
      <c r="E430" t="s">
        <v>3090</v>
      </c>
      <c r="F430" t="s">
        <v>3091</v>
      </c>
      <c r="G430" s="425">
        <v>18567</v>
      </c>
      <c r="H430" s="425">
        <v>18567</v>
      </c>
      <c r="I430" s="425">
        <v>0</v>
      </c>
      <c r="J430" s="425">
        <v>0</v>
      </c>
      <c r="K430" s="425">
        <v>0</v>
      </c>
      <c r="L430" s="425">
        <v>0</v>
      </c>
      <c r="M430" s="425">
        <v>0</v>
      </c>
      <c r="N430" s="425">
        <v>0</v>
      </c>
      <c r="O430" s="425">
        <v>0</v>
      </c>
    </row>
    <row r="431" spans="3:15" hidden="1" x14ac:dyDescent="0.3">
      <c r="C431" t="s">
        <v>2295</v>
      </c>
      <c r="D431" t="s">
        <v>2267</v>
      </c>
      <c r="E431" t="s">
        <v>3092</v>
      </c>
      <c r="F431" t="s">
        <v>3093</v>
      </c>
      <c r="G431" s="425">
        <v>1142979</v>
      </c>
      <c r="H431" s="425">
        <v>1142979</v>
      </c>
      <c r="I431" s="425">
        <v>0</v>
      </c>
      <c r="J431" s="425">
        <v>0</v>
      </c>
      <c r="K431" s="425">
        <v>0</v>
      </c>
      <c r="L431" s="425">
        <v>0</v>
      </c>
      <c r="M431" s="425">
        <v>0</v>
      </c>
      <c r="N431" s="425">
        <v>0</v>
      </c>
      <c r="O431" s="425">
        <v>0</v>
      </c>
    </row>
    <row r="432" spans="3:15" hidden="1" x14ac:dyDescent="0.3">
      <c r="C432" t="s">
        <v>2295</v>
      </c>
      <c r="D432" t="s">
        <v>2267</v>
      </c>
      <c r="E432" t="s">
        <v>3094</v>
      </c>
      <c r="F432" t="s">
        <v>3095</v>
      </c>
      <c r="G432" s="425">
        <v>7241818</v>
      </c>
      <c r="H432" s="425">
        <v>7241818</v>
      </c>
      <c r="I432" s="425">
        <v>0</v>
      </c>
      <c r="J432" s="425">
        <v>0</v>
      </c>
      <c r="K432" s="425">
        <v>0</v>
      </c>
      <c r="L432" s="425">
        <v>0</v>
      </c>
      <c r="M432" s="425">
        <v>0</v>
      </c>
      <c r="N432" s="425">
        <v>0</v>
      </c>
      <c r="O432" s="425">
        <v>0</v>
      </c>
    </row>
    <row r="433" spans="3:15" hidden="1" x14ac:dyDescent="0.3">
      <c r="C433" t="s">
        <v>2295</v>
      </c>
      <c r="D433" t="s">
        <v>2267</v>
      </c>
      <c r="E433" t="s">
        <v>3096</v>
      </c>
      <c r="F433" t="s">
        <v>3097</v>
      </c>
      <c r="G433" s="425">
        <v>0</v>
      </c>
      <c r="H433" s="425">
        <v>0</v>
      </c>
      <c r="I433" s="425">
        <v>0</v>
      </c>
      <c r="J433" s="425">
        <v>0</v>
      </c>
      <c r="K433" s="425">
        <v>0</v>
      </c>
      <c r="L433" s="425">
        <v>0</v>
      </c>
      <c r="M433" s="425">
        <v>0</v>
      </c>
      <c r="N433" s="425">
        <v>0</v>
      </c>
      <c r="O433" s="425">
        <v>0</v>
      </c>
    </row>
    <row r="434" spans="3:15" hidden="1" x14ac:dyDescent="0.3">
      <c r="C434" t="s">
        <v>2295</v>
      </c>
      <c r="D434" t="s">
        <v>2267</v>
      </c>
      <c r="E434" t="s">
        <v>3098</v>
      </c>
      <c r="F434" t="s">
        <v>3099</v>
      </c>
      <c r="G434" s="425">
        <v>842789</v>
      </c>
      <c r="H434" s="425">
        <v>842789</v>
      </c>
      <c r="I434" s="425">
        <v>0</v>
      </c>
      <c r="J434" s="425">
        <v>0</v>
      </c>
      <c r="K434" s="425">
        <v>0</v>
      </c>
      <c r="L434" s="425">
        <v>0</v>
      </c>
      <c r="M434" s="425">
        <v>0</v>
      </c>
      <c r="N434" s="425">
        <v>0</v>
      </c>
      <c r="O434" s="425">
        <v>0</v>
      </c>
    </row>
    <row r="435" spans="3:15" hidden="1" x14ac:dyDescent="0.3">
      <c r="C435" t="s">
        <v>2295</v>
      </c>
      <c r="D435" t="s">
        <v>2267</v>
      </c>
      <c r="E435" t="s">
        <v>3100</v>
      </c>
      <c r="F435" t="s">
        <v>3101</v>
      </c>
      <c r="G435" s="425">
        <v>123</v>
      </c>
      <c r="H435" s="425">
        <v>123</v>
      </c>
      <c r="I435" s="425">
        <v>0</v>
      </c>
      <c r="J435" s="425">
        <v>0</v>
      </c>
      <c r="K435" s="425">
        <v>0</v>
      </c>
      <c r="L435" s="425">
        <v>0</v>
      </c>
      <c r="M435" s="425">
        <v>0</v>
      </c>
      <c r="N435" s="425">
        <v>0</v>
      </c>
      <c r="O435" s="425">
        <v>0</v>
      </c>
    </row>
    <row r="436" spans="3:15" hidden="1" x14ac:dyDescent="0.3">
      <c r="C436" t="s">
        <v>2295</v>
      </c>
      <c r="D436" t="s">
        <v>2267</v>
      </c>
      <c r="E436" t="s">
        <v>3102</v>
      </c>
      <c r="F436" t="s">
        <v>3103</v>
      </c>
      <c r="G436" s="425">
        <v>27</v>
      </c>
      <c r="H436" s="425">
        <v>27</v>
      </c>
      <c r="I436" s="425">
        <v>0</v>
      </c>
      <c r="J436" s="425">
        <v>0</v>
      </c>
      <c r="K436" s="425">
        <v>0</v>
      </c>
      <c r="L436" s="425">
        <v>0</v>
      </c>
      <c r="M436" s="425">
        <v>0</v>
      </c>
      <c r="N436" s="425">
        <v>0</v>
      </c>
      <c r="O436" s="425">
        <v>0</v>
      </c>
    </row>
    <row r="437" spans="3:15" hidden="1" x14ac:dyDescent="0.3">
      <c r="C437" t="s">
        <v>2295</v>
      </c>
      <c r="D437" t="s">
        <v>2267</v>
      </c>
      <c r="E437" t="s">
        <v>3104</v>
      </c>
      <c r="F437" t="s">
        <v>3105</v>
      </c>
      <c r="G437" s="425">
        <v>43</v>
      </c>
      <c r="H437" s="425">
        <v>43</v>
      </c>
      <c r="I437" s="425">
        <v>0</v>
      </c>
      <c r="J437" s="425">
        <v>0</v>
      </c>
      <c r="K437" s="425">
        <v>0</v>
      </c>
      <c r="L437" s="425">
        <v>0</v>
      </c>
      <c r="M437" s="425">
        <v>0</v>
      </c>
      <c r="N437" s="425">
        <v>0</v>
      </c>
      <c r="O437" s="425">
        <v>0</v>
      </c>
    </row>
    <row r="438" spans="3:15" hidden="1" x14ac:dyDescent="0.3">
      <c r="C438" t="s">
        <v>2295</v>
      </c>
      <c r="D438" t="s">
        <v>2267</v>
      </c>
      <c r="E438" t="s">
        <v>3106</v>
      </c>
      <c r="F438" t="s">
        <v>3107</v>
      </c>
      <c r="G438" s="425">
        <v>160</v>
      </c>
      <c r="H438" s="425">
        <v>160</v>
      </c>
      <c r="I438" s="425">
        <v>0</v>
      </c>
      <c r="J438" s="425">
        <v>0</v>
      </c>
      <c r="K438" s="425">
        <v>0</v>
      </c>
      <c r="L438" s="425">
        <v>0</v>
      </c>
      <c r="M438" s="425">
        <v>0</v>
      </c>
      <c r="N438" s="425">
        <v>0</v>
      </c>
      <c r="O438" s="425">
        <v>0</v>
      </c>
    </row>
    <row r="439" spans="3:15" hidden="1" x14ac:dyDescent="0.3">
      <c r="C439" t="s">
        <v>2295</v>
      </c>
      <c r="D439" t="s">
        <v>2267</v>
      </c>
      <c r="E439" t="s">
        <v>3108</v>
      </c>
      <c r="F439" t="s">
        <v>3109</v>
      </c>
      <c r="G439" s="425">
        <v>0</v>
      </c>
      <c r="H439" s="425">
        <v>0</v>
      </c>
      <c r="I439" s="425">
        <v>0</v>
      </c>
      <c r="J439" s="425">
        <v>0</v>
      </c>
      <c r="K439" s="425">
        <v>0</v>
      </c>
      <c r="L439" s="425">
        <v>0</v>
      </c>
      <c r="M439" s="425">
        <v>0</v>
      </c>
      <c r="N439" s="425">
        <v>0</v>
      </c>
      <c r="O439" s="425">
        <v>0</v>
      </c>
    </row>
    <row r="440" spans="3:15" hidden="1" x14ac:dyDescent="0.3">
      <c r="C440" t="s">
        <v>2295</v>
      </c>
      <c r="D440" t="s">
        <v>2267</v>
      </c>
      <c r="E440" t="s">
        <v>3110</v>
      </c>
      <c r="F440" t="s">
        <v>3111</v>
      </c>
      <c r="G440" s="425">
        <v>65</v>
      </c>
      <c r="H440" s="425">
        <v>65</v>
      </c>
      <c r="I440" s="425">
        <v>0</v>
      </c>
      <c r="J440" s="425">
        <v>0</v>
      </c>
      <c r="K440" s="425">
        <v>0</v>
      </c>
      <c r="L440" s="425">
        <v>0</v>
      </c>
      <c r="M440" s="425">
        <v>0</v>
      </c>
      <c r="N440" s="425">
        <v>0</v>
      </c>
      <c r="O440" s="425">
        <v>0</v>
      </c>
    </row>
    <row r="441" spans="3:15" hidden="1" x14ac:dyDescent="0.3">
      <c r="C441" t="s">
        <v>2295</v>
      </c>
      <c r="D441" t="s">
        <v>2267</v>
      </c>
      <c r="E441" t="s">
        <v>3112</v>
      </c>
      <c r="F441" t="s">
        <v>3113</v>
      </c>
      <c r="G441" s="425">
        <v>634</v>
      </c>
      <c r="H441" s="425">
        <v>634</v>
      </c>
      <c r="I441" s="425">
        <v>0</v>
      </c>
      <c r="J441" s="425">
        <v>0</v>
      </c>
      <c r="K441" s="425">
        <v>0</v>
      </c>
      <c r="L441" s="425">
        <v>0</v>
      </c>
      <c r="M441" s="425">
        <v>0</v>
      </c>
      <c r="N441" s="425">
        <v>0</v>
      </c>
      <c r="O441" s="425">
        <v>0</v>
      </c>
    </row>
    <row r="442" spans="3:15" hidden="1" x14ac:dyDescent="0.3">
      <c r="C442" t="s">
        <v>2295</v>
      </c>
      <c r="D442" t="s">
        <v>2267</v>
      </c>
      <c r="E442" t="s">
        <v>3114</v>
      </c>
      <c r="F442" t="s">
        <v>3115</v>
      </c>
      <c r="G442" s="425">
        <v>10</v>
      </c>
      <c r="H442" s="425">
        <v>10</v>
      </c>
      <c r="I442" s="425">
        <v>0</v>
      </c>
      <c r="J442" s="425">
        <v>0</v>
      </c>
      <c r="K442" s="425">
        <v>0</v>
      </c>
      <c r="L442" s="425">
        <v>0</v>
      </c>
      <c r="M442" s="425">
        <v>0</v>
      </c>
      <c r="N442" s="425">
        <v>0</v>
      </c>
      <c r="O442" s="425">
        <v>0</v>
      </c>
    </row>
    <row r="443" spans="3:15" hidden="1" x14ac:dyDescent="0.3">
      <c r="C443" t="s">
        <v>2295</v>
      </c>
      <c r="D443" t="s">
        <v>2267</v>
      </c>
      <c r="E443" t="s">
        <v>3116</v>
      </c>
      <c r="F443" t="s">
        <v>3117</v>
      </c>
      <c r="G443" s="425">
        <v>509</v>
      </c>
      <c r="H443" s="425">
        <v>509</v>
      </c>
      <c r="I443" s="425">
        <v>0</v>
      </c>
      <c r="J443" s="425">
        <v>0</v>
      </c>
      <c r="K443" s="425">
        <v>0</v>
      </c>
      <c r="L443" s="425">
        <v>0</v>
      </c>
      <c r="M443" s="425">
        <v>0</v>
      </c>
      <c r="N443" s="425">
        <v>0</v>
      </c>
      <c r="O443" s="425">
        <v>0</v>
      </c>
    </row>
    <row r="444" spans="3:15" hidden="1" x14ac:dyDescent="0.3">
      <c r="C444" t="s">
        <v>2295</v>
      </c>
      <c r="D444" t="s">
        <v>2267</v>
      </c>
      <c r="E444" t="s">
        <v>3118</v>
      </c>
      <c r="F444" t="s">
        <v>3119</v>
      </c>
      <c r="G444" s="425">
        <v>0</v>
      </c>
      <c r="H444" s="425">
        <v>0</v>
      </c>
      <c r="I444" s="425">
        <v>0</v>
      </c>
      <c r="J444" s="425">
        <v>0</v>
      </c>
      <c r="K444" s="425">
        <v>0</v>
      </c>
      <c r="L444" s="425">
        <v>0</v>
      </c>
      <c r="M444" s="425">
        <v>0</v>
      </c>
      <c r="N444" s="425">
        <v>0</v>
      </c>
      <c r="O444" s="425">
        <v>0</v>
      </c>
    </row>
    <row r="445" spans="3:15" hidden="1" x14ac:dyDescent="0.3">
      <c r="C445" t="s">
        <v>2295</v>
      </c>
      <c r="D445" t="s">
        <v>2267</v>
      </c>
      <c r="E445" t="s">
        <v>3120</v>
      </c>
      <c r="F445" t="s">
        <v>3121</v>
      </c>
      <c r="G445" s="425">
        <v>23</v>
      </c>
      <c r="H445" s="425">
        <v>23</v>
      </c>
      <c r="I445" s="425">
        <v>0</v>
      </c>
      <c r="J445" s="425">
        <v>0</v>
      </c>
      <c r="K445" s="425">
        <v>0</v>
      </c>
      <c r="L445" s="425">
        <v>0</v>
      </c>
      <c r="M445" s="425">
        <v>0</v>
      </c>
      <c r="N445" s="425">
        <v>0</v>
      </c>
      <c r="O445" s="425">
        <v>0</v>
      </c>
    </row>
    <row r="446" spans="3:15" hidden="1" x14ac:dyDescent="0.3">
      <c r="C446" t="s">
        <v>2295</v>
      </c>
      <c r="D446" t="s">
        <v>2267</v>
      </c>
      <c r="E446" t="s">
        <v>3122</v>
      </c>
      <c r="F446" t="s">
        <v>3123</v>
      </c>
      <c r="G446" s="425">
        <v>7889913</v>
      </c>
      <c r="H446" s="425">
        <v>7889913</v>
      </c>
      <c r="I446" s="425">
        <v>0</v>
      </c>
      <c r="J446" s="425">
        <v>0</v>
      </c>
      <c r="K446" s="425">
        <v>0</v>
      </c>
      <c r="L446" s="425">
        <v>0</v>
      </c>
      <c r="M446" s="425">
        <v>0</v>
      </c>
      <c r="N446" s="425">
        <v>0</v>
      </c>
      <c r="O446" s="425">
        <v>0</v>
      </c>
    </row>
    <row r="447" spans="3:15" hidden="1" x14ac:dyDescent="0.3">
      <c r="C447" t="s">
        <v>2295</v>
      </c>
      <c r="D447" t="s">
        <v>2267</v>
      </c>
      <c r="E447" t="s">
        <v>3124</v>
      </c>
      <c r="F447" t="s">
        <v>3125</v>
      </c>
      <c r="G447" s="425">
        <v>6650</v>
      </c>
      <c r="H447" s="425">
        <v>6650</v>
      </c>
      <c r="I447" s="425">
        <v>0</v>
      </c>
      <c r="J447" s="425">
        <v>0</v>
      </c>
      <c r="K447" s="425">
        <v>0</v>
      </c>
      <c r="L447" s="425">
        <v>0</v>
      </c>
      <c r="M447" s="425">
        <v>0</v>
      </c>
      <c r="N447" s="425">
        <v>0</v>
      </c>
      <c r="O447" s="425">
        <v>0</v>
      </c>
    </row>
    <row r="448" spans="3:15" hidden="1" x14ac:dyDescent="0.3">
      <c r="C448" t="s">
        <v>2295</v>
      </c>
      <c r="D448" t="s">
        <v>2267</v>
      </c>
      <c r="E448" t="s">
        <v>3126</v>
      </c>
      <c r="F448" t="s">
        <v>3127</v>
      </c>
      <c r="G448" s="425">
        <v>26</v>
      </c>
      <c r="H448" s="425">
        <v>26</v>
      </c>
      <c r="I448" s="425">
        <v>0</v>
      </c>
      <c r="J448" s="425">
        <v>0</v>
      </c>
      <c r="K448" s="425">
        <v>0</v>
      </c>
      <c r="L448" s="425">
        <v>0</v>
      </c>
      <c r="M448" s="425">
        <v>0</v>
      </c>
      <c r="N448" s="425">
        <v>0</v>
      </c>
      <c r="O448" s="425">
        <v>0</v>
      </c>
    </row>
    <row r="449" spans="3:15" hidden="1" x14ac:dyDescent="0.3">
      <c r="C449" t="s">
        <v>2295</v>
      </c>
      <c r="D449" t="s">
        <v>2267</v>
      </c>
      <c r="E449" t="s">
        <v>3128</v>
      </c>
      <c r="F449" t="s">
        <v>3129</v>
      </c>
      <c r="G449" s="425">
        <v>2012</v>
      </c>
      <c r="H449" s="425">
        <v>2012</v>
      </c>
      <c r="I449" s="425">
        <v>0</v>
      </c>
      <c r="J449" s="425">
        <v>0</v>
      </c>
      <c r="K449" s="425">
        <v>0</v>
      </c>
      <c r="L449" s="425">
        <v>0</v>
      </c>
      <c r="M449" s="425">
        <v>0</v>
      </c>
      <c r="N449" s="425">
        <v>0</v>
      </c>
      <c r="O449" s="425">
        <v>0</v>
      </c>
    </row>
    <row r="450" spans="3:15" hidden="1" x14ac:dyDescent="0.3">
      <c r="C450" t="s">
        <v>2295</v>
      </c>
      <c r="D450" t="s">
        <v>2267</v>
      </c>
      <c r="E450" t="s">
        <v>3130</v>
      </c>
      <c r="F450" t="s">
        <v>3131</v>
      </c>
      <c r="G450" s="425">
        <v>4861598</v>
      </c>
      <c r="H450" s="425">
        <v>4861598</v>
      </c>
      <c r="I450" s="425">
        <v>0</v>
      </c>
      <c r="J450" s="425">
        <v>0</v>
      </c>
      <c r="K450" s="425">
        <v>0</v>
      </c>
      <c r="L450" s="425">
        <v>0</v>
      </c>
      <c r="M450" s="425">
        <v>0</v>
      </c>
      <c r="N450" s="425">
        <v>0</v>
      </c>
      <c r="O450" s="425">
        <v>0</v>
      </c>
    </row>
    <row r="451" spans="3:15" hidden="1" x14ac:dyDescent="0.3">
      <c r="C451" t="s">
        <v>2295</v>
      </c>
      <c r="D451" t="s">
        <v>2267</v>
      </c>
      <c r="E451" t="s">
        <v>3132</v>
      </c>
      <c r="F451" t="s">
        <v>3133</v>
      </c>
      <c r="G451" s="425">
        <v>79051</v>
      </c>
      <c r="H451" s="425">
        <v>79051</v>
      </c>
      <c r="I451" s="425">
        <v>0</v>
      </c>
      <c r="J451" s="425">
        <v>0</v>
      </c>
      <c r="K451" s="425">
        <v>0</v>
      </c>
      <c r="L451" s="425">
        <v>0</v>
      </c>
      <c r="M451" s="425">
        <v>0</v>
      </c>
      <c r="N451" s="425">
        <v>0</v>
      </c>
      <c r="O451" s="425">
        <v>0</v>
      </c>
    </row>
    <row r="452" spans="3:15" hidden="1" x14ac:dyDescent="0.3">
      <c r="C452" t="s">
        <v>2295</v>
      </c>
      <c r="D452" t="s">
        <v>2267</v>
      </c>
      <c r="E452" t="s">
        <v>3134</v>
      </c>
      <c r="F452" t="s">
        <v>3135</v>
      </c>
      <c r="G452" s="425">
        <v>6473626</v>
      </c>
      <c r="H452" s="425">
        <v>6473626</v>
      </c>
      <c r="I452" s="425">
        <v>0</v>
      </c>
      <c r="J452" s="425">
        <v>0</v>
      </c>
      <c r="K452" s="425">
        <v>0</v>
      </c>
      <c r="L452" s="425">
        <v>0</v>
      </c>
      <c r="M452" s="425">
        <v>0</v>
      </c>
      <c r="N452" s="425">
        <v>0</v>
      </c>
      <c r="O452" s="425">
        <v>0</v>
      </c>
    </row>
    <row r="453" spans="3:15" hidden="1" x14ac:dyDescent="0.3">
      <c r="C453" t="s">
        <v>2295</v>
      </c>
      <c r="D453" t="s">
        <v>2267</v>
      </c>
      <c r="E453" t="s">
        <v>3136</v>
      </c>
      <c r="F453" t="s">
        <v>3137</v>
      </c>
      <c r="G453" s="425">
        <v>62659557</v>
      </c>
      <c r="H453" s="425">
        <v>62659557</v>
      </c>
      <c r="I453" s="425">
        <v>0</v>
      </c>
      <c r="J453" s="425">
        <v>0</v>
      </c>
      <c r="K453" s="425">
        <v>0</v>
      </c>
      <c r="L453" s="425">
        <v>0</v>
      </c>
      <c r="M453" s="425">
        <v>0</v>
      </c>
      <c r="N453" s="425">
        <v>0</v>
      </c>
      <c r="O453" s="425">
        <v>0</v>
      </c>
    </row>
    <row r="454" spans="3:15" hidden="1" x14ac:dyDescent="0.3">
      <c r="C454" t="s">
        <v>2295</v>
      </c>
      <c r="D454" t="s">
        <v>2267</v>
      </c>
      <c r="E454" t="s">
        <v>3138</v>
      </c>
      <c r="F454" t="s">
        <v>3139</v>
      </c>
      <c r="G454" s="425">
        <v>0</v>
      </c>
      <c r="H454" s="425">
        <v>0</v>
      </c>
      <c r="I454" s="425">
        <v>0</v>
      </c>
      <c r="J454" s="425">
        <v>0</v>
      </c>
      <c r="K454" s="425">
        <v>0</v>
      </c>
      <c r="L454" s="425">
        <v>0</v>
      </c>
      <c r="M454" s="425">
        <v>0</v>
      </c>
      <c r="N454" s="425">
        <v>0</v>
      </c>
      <c r="O454" s="425">
        <v>0</v>
      </c>
    </row>
    <row r="455" spans="3:15" hidden="1" x14ac:dyDescent="0.3">
      <c r="C455" t="s">
        <v>2295</v>
      </c>
      <c r="D455" t="s">
        <v>2267</v>
      </c>
      <c r="E455" t="s">
        <v>3140</v>
      </c>
      <c r="F455" t="s">
        <v>3141</v>
      </c>
      <c r="G455" s="425">
        <v>4888254</v>
      </c>
      <c r="H455" s="425">
        <v>4888254</v>
      </c>
      <c r="I455" s="425">
        <v>0</v>
      </c>
      <c r="J455" s="425">
        <v>0</v>
      </c>
      <c r="K455" s="425">
        <v>0</v>
      </c>
      <c r="L455" s="425">
        <v>0</v>
      </c>
      <c r="M455" s="425">
        <v>0</v>
      </c>
      <c r="N455" s="425">
        <v>0</v>
      </c>
      <c r="O455" s="425">
        <v>0</v>
      </c>
    </row>
    <row r="456" spans="3:15" hidden="1" x14ac:dyDescent="0.3">
      <c r="C456" t="s">
        <v>2295</v>
      </c>
      <c r="D456" t="s">
        <v>2267</v>
      </c>
      <c r="E456" t="s">
        <v>3142</v>
      </c>
      <c r="F456" t="s">
        <v>3143</v>
      </c>
      <c r="G456" s="425">
        <v>1133282</v>
      </c>
      <c r="H456" s="425">
        <v>1133282</v>
      </c>
      <c r="I456" s="425">
        <v>0</v>
      </c>
      <c r="J456" s="425">
        <v>0</v>
      </c>
      <c r="K456" s="425">
        <v>0</v>
      </c>
      <c r="L456" s="425">
        <v>0</v>
      </c>
      <c r="M456" s="425">
        <v>0</v>
      </c>
      <c r="N456" s="425">
        <v>0</v>
      </c>
      <c r="O456" s="425">
        <v>0</v>
      </c>
    </row>
    <row r="457" spans="3:15" hidden="1" x14ac:dyDescent="0.3">
      <c r="C457" t="s">
        <v>2295</v>
      </c>
      <c r="D457" t="s">
        <v>2267</v>
      </c>
      <c r="E457" t="s">
        <v>3144</v>
      </c>
      <c r="F457" t="s">
        <v>3145</v>
      </c>
      <c r="G457" s="425">
        <v>78971</v>
      </c>
      <c r="H457" s="425">
        <v>78971</v>
      </c>
      <c r="I457" s="425">
        <v>0</v>
      </c>
      <c r="J457" s="425">
        <v>0</v>
      </c>
      <c r="K457" s="425">
        <v>0</v>
      </c>
      <c r="L457" s="425">
        <v>0</v>
      </c>
      <c r="M457" s="425">
        <v>0</v>
      </c>
      <c r="N457" s="425">
        <v>0</v>
      </c>
      <c r="O457" s="425">
        <v>0</v>
      </c>
    </row>
    <row r="458" spans="3:15" hidden="1" x14ac:dyDescent="0.3">
      <c r="C458" t="s">
        <v>2295</v>
      </c>
      <c r="D458" t="s">
        <v>2267</v>
      </c>
      <c r="E458" t="s">
        <v>3146</v>
      </c>
      <c r="F458" t="s">
        <v>3147</v>
      </c>
      <c r="G458" s="425">
        <v>395091</v>
      </c>
      <c r="H458" s="425">
        <v>395091</v>
      </c>
      <c r="I458" s="425">
        <v>0</v>
      </c>
      <c r="J458" s="425">
        <v>0</v>
      </c>
      <c r="K458" s="425">
        <v>0</v>
      </c>
      <c r="L458" s="425">
        <v>0</v>
      </c>
      <c r="M458" s="425">
        <v>0</v>
      </c>
      <c r="N458" s="425">
        <v>0</v>
      </c>
      <c r="O458" s="425">
        <v>0</v>
      </c>
    </row>
    <row r="459" spans="3:15" hidden="1" x14ac:dyDescent="0.3">
      <c r="C459" t="s">
        <v>2295</v>
      </c>
      <c r="D459" t="s">
        <v>2267</v>
      </c>
      <c r="E459" t="s">
        <v>3148</v>
      </c>
      <c r="F459" t="s">
        <v>3149</v>
      </c>
      <c r="G459" s="425">
        <v>231069</v>
      </c>
      <c r="H459" s="425">
        <v>231069</v>
      </c>
      <c r="I459" s="425">
        <v>0</v>
      </c>
      <c r="J459" s="425">
        <v>0</v>
      </c>
      <c r="K459" s="425">
        <v>0</v>
      </c>
      <c r="L459" s="425">
        <v>0</v>
      </c>
      <c r="M459" s="425">
        <v>0</v>
      </c>
      <c r="N459" s="425">
        <v>0</v>
      </c>
      <c r="O459" s="425">
        <v>0</v>
      </c>
    </row>
    <row r="460" spans="3:15" hidden="1" x14ac:dyDescent="0.3">
      <c r="C460" t="s">
        <v>2295</v>
      </c>
      <c r="D460" t="s">
        <v>2267</v>
      </c>
      <c r="E460" t="s">
        <v>3150</v>
      </c>
      <c r="F460" t="s">
        <v>3151</v>
      </c>
      <c r="G460" s="425">
        <v>0</v>
      </c>
      <c r="H460" s="425">
        <v>0</v>
      </c>
      <c r="I460" s="425">
        <v>0</v>
      </c>
      <c r="J460" s="425">
        <v>0</v>
      </c>
      <c r="K460" s="425">
        <v>0</v>
      </c>
      <c r="L460" s="425">
        <v>0</v>
      </c>
      <c r="M460" s="425">
        <v>0</v>
      </c>
      <c r="N460" s="425">
        <v>0</v>
      </c>
      <c r="O460" s="425">
        <v>0</v>
      </c>
    </row>
    <row r="461" spans="3:15" hidden="1" x14ac:dyDescent="0.3">
      <c r="C461" t="s">
        <v>2295</v>
      </c>
      <c r="D461" t="s">
        <v>2267</v>
      </c>
      <c r="E461" t="s">
        <v>3152</v>
      </c>
      <c r="F461" t="s">
        <v>3153</v>
      </c>
      <c r="G461" s="425">
        <v>136056</v>
      </c>
      <c r="H461" s="425">
        <v>136056</v>
      </c>
      <c r="I461" s="425">
        <v>0</v>
      </c>
      <c r="J461" s="425">
        <v>0</v>
      </c>
      <c r="K461" s="425">
        <v>0</v>
      </c>
      <c r="L461" s="425">
        <v>0</v>
      </c>
      <c r="M461" s="425">
        <v>0</v>
      </c>
      <c r="N461" s="425">
        <v>0</v>
      </c>
      <c r="O461" s="425">
        <v>0</v>
      </c>
    </row>
    <row r="462" spans="3:15" hidden="1" x14ac:dyDescent="0.3">
      <c r="C462" t="s">
        <v>2295</v>
      </c>
      <c r="D462" t="s">
        <v>2267</v>
      </c>
      <c r="E462" t="s">
        <v>3154</v>
      </c>
      <c r="F462" t="s">
        <v>3155</v>
      </c>
      <c r="G462" s="425">
        <v>1</v>
      </c>
      <c r="H462" s="425">
        <v>1</v>
      </c>
      <c r="I462" s="425">
        <v>0</v>
      </c>
      <c r="J462" s="425">
        <v>0</v>
      </c>
      <c r="K462" s="425">
        <v>0</v>
      </c>
      <c r="L462" s="425">
        <v>0</v>
      </c>
      <c r="M462" s="425">
        <v>0</v>
      </c>
      <c r="N462" s="425">
        <v>0</v>
      </c>
      <c r="O462" s="425">
        <v>0</v>
      </c>
    </row>
    <row r="463" spans="3:15" hidden="1" x14ac:dyDescent="0.3">
      <c r="C463" t="s">
        <v>2295</v>
      </c>
      <c r="D463" t="s">
        <v>2267</v>
      </c>
      <c r="E463" t="s">
        <v>3156</v>
      </c>
      <c r="F463" t="s">
        <v>3157</v>
      </c>
      <c r="G463" s="425">
        <v>2047</v>
      </c>
      <c r="H463" s="425">
        <v>2047</v>
      </c>
      <c r="I463" s="425">
        <v>0</v>
      </c>
      <c r="J463" s="425">
        <v>0</v>
      </c>
      <c r="K463" s="425">
        <v>0</v>
      </c>
      <c r="L463" s="425">
        <v>0</v>
      </c>
      <c r="M463" s="425">
        <v>0</v>
      </c>
      <c r="N463" s="425">
        <v>0</v>
      </c>
      <c r="O463" s="425">
        <v>0</v>
      </c>
    </row>
    <row r="464" spans="3:15" hidden="1" x14ac:dyDescent="0.3">
      <c r="C464" t="s">
        <v>2295</v>
      </c>
      <c r="D464" t="s">
        <v>2267</v>
      </c>
      <c r="E464" t="s">
        <v>3158</v>
      </c>
      <c r="F464" t="s">
        <v>3159</v>
      </c>
      <c r="G464" s="425">
        <v>0</v>
      </c>
      <c r="H464" s="425">
        <v>0</v>
      </c>
      <c r="I464" s="425">
        <v>0</v>
      </c>
      <c r="J464" s="425">
        <v>0</v>
      </c>
      <c r="K464" s="425">
        <v>0</v>
      </c>
      <c r="L464" s="425">
        <v>0</v>
      </c>
      <c r="M464" s="425">
        <v>0</v>
      </c>
      <c r="N464" s="425">
        <v>0</v>
      </c>
      <c r="O464" s="425">
        <v>0</v>
      </c>
    </row>
    <row r="465" spans="3:15" hidden="1" x14ac:dyDescent="0.3">
      <c r="C465" t="s">
        <v>2295</v>
      </c>
      <c r="D465" t="s">
        <v>2267</v>
      </c>
      <c r="E465" t="s">
        <v>3160</v>
      </c>
      <c r="F465" t="s">
        <v>3161</v>
      </c>
      <c r="G465" s="425">
        <v>0</v>
      </c>
      <c r="H465" s="425">
        <v>0</v>
      </c>
      <c r="I465" s="425">
        <v>0</v>
      </c>
      <c r="J465" s="425">
        <v>0</v>
      </c>
      <c r="K465" s="425">
        <v>0</v>
      </c>
      <c r="L465" s="425">
        <v>0</v>
      </c>
      <c r="M465" s="425">
        <v>0</v>
      </c>
      <c r="N465" s="425">
        <v>0</v>
      </c>
      <c r="O465" s="425">
        <v>0</v>
      </c>
    </row>
    <row r="466" spans="3:15" hidden="1" x14ac:dyDescent="0.3">
      <c r="C466" t="s">
        <v>2295</v>
      </c>
      <c r="D466" t="s">
        <v>2267</v>
      </c>
      <c r="E466" t="s">
        <v>3162</v>
      </c>
      <c r="F466" t="s">
        <v>3163</v>
      </c>
      <c r="G466" s="425">
        <v>23</v>
      </c>
      <c r="H466" s="425">
        <v>23</v>
      </c>
      <c r="I466" s="425">
        <v>0</v>
      </c>
      <c r="J466" s="425">
        <v>0</v>
      </c>
      <c r="K466" s="425">
        <v>0</v>
      </c>
      <c r="L466" s="425">
        <v>0</v>
      </c>
      <c r="M466" s="425">
        <v>0</v>
      </c>
      <c r="N466" s="425">
        <v>0</v>
      </c>
      <c r="O466" s="425">
        <v>0</v>
      </c>
    </row>
    <row r="467" spans="3:15" hidden="1" x14ac:dyDescent="0.3">
      <c r="C467" t="s">
        <v>2295</v>
      </c>
      <c r="D467" t="s">
        <v>2267</v>
      </c>
      <c r="E467" t="s">
        <v>3164</v>
      </c>
      <c r="F467" t="s">
        <v>3165</v>
      </c>
      <c r="G467" s="425">
        <v>21</v>
      </c>
      <c r="H467" s="425">
        <v>21</v>
      </c>
      <c r="I467" s="425">
        <v>0</v>
      </c>
      <c r="J467" s="425">
        <v>0</v>
      </c>
      <c r="K467" s="425">
        <v>0</v>
      </c>
      <c r="L467" s="425">
        <v>0</v>
      </c>
      <c r="M467" s="425">
        <v>0</v>
      </c>
      <c r="N467" s="425">
        <v>0</v>
      </c>
      <c r="O467" s="425">
        <v>0</v>
      </c>
    </row>
    <row r="468" spans="3:15" hidden="1" x14ac:dyDescent="0.3">
      <c r="C468" t="s">
        <v>2295</v>
      </c>
      <c r="D468" t="s">
        <v>2267</v>
      </c>
      <c r="E468" t="s">
        <v>3166</v>
      </c>
      <c r="F468" t="s">
        <v>3167</v>
      </c>
      <c r="G468" s="425">
        <v>56</v>
      </c>
      <c r="H468" s="425">
        <v>56</v>
      </c>
      <c r="I468" s="425">
        <v>0</v>
      </c>
      <c r="J468" s="425">
        <v>0</v>
      </c>
      <c r="K468" s="425">
        <v>0</v>
      </c>
      <c r="L468" s="425">
        <v>0</v>
      </c>
      <c r="M468" s="425">
        <v>0</v>
      </c>
      <c r="N468" s="425">
        <v>0</v>
      </c>
      <c r="O468" s="425">
        <v>0</v>
      </c>
    </row>
    <row r="469" spans="3:15" hidden="1" x14ac:dyDescent="0.3">
      <c r="C469" t="s">
        <v>2295</v>
      </c>
      <c r="D469" t="s">
        <v>2267</v>
      </c>
      <c r="E469" t="s">
        <v>3168</v>
      </c>
      <c r="F469" t="s">
        <v>3169</v>
      </c>
      <c r="G469" s="425">
        <v>43</v>
      </c>
      <c r="H469" s="425">
        <v>43</v>
      </c>
      <c r="I469" s="425">
        <v>0</v>
      </c>
      <c r="J469" s="425">
        <v>0</v>
      </c>
      <c r="K469" s="425">
        <v>0</v>
      </c>
      <c r="L469" s="425">
        <v>0</v>
      </c>
      <c r="M469" s="425">
        <v>0</v>
      </c>
      <c r="N469" s="425">
        <v>0</v>
      </c>
      <c r="O469" s="425">
        <v>0</v>
      </c>
    </row>
    <row r="470" spans="3:15" hidden="1" x14ac:dyDescent="0.3">
      <c r="C470" t="s">
        <v>2295</v>
      </c>
      <c r="D470" t="s">
        <v>2267</v>
      </c>
      <c r="E470" t="s">
        <v>3170</v>
      </c>
      <c r="F470" t="s">
        <v>3171</v>
      </c>
      <c r="G470" s="425">
        <v>0</v>
      </c>
      <c r="H470" s="425">
        <v>0</v>
      </c>
      <c r="I470" s="425">
        <v>0</v>
      </c>
      <c r="J470" s="425">
        <v>0</v>
      </c>
      <c r="K470" s="425">
        <v>0</v>
      </c>
      <c r="L470" s="425">
        <v>0</v>
      </c>
      <c r="M470" s="425">
        <v>0</v>
      </c>
      <c r="N470" s="425">
        <v>0</v>
      </c>
      <c r="O470" s="425">
        <v>0</v>
      </c>
    </row>
    <row r="471" spans="3:15" hidden="1" x14ac:dyDescent="0.3">
      <c r="C471" t="s">
        <v>2295</v>
      </c>
      <c r="D471" t="s">
        <v>2267</v>
      </c>
      <c r="E471" t="s">
        <v>3172</v>
      </c>
      <c r="F471" t="s">
        <v>3173</v>
      </c>
      <c r="G471" s="425">
        <v>34</v>
      </c>
      <c r="H471" s="425">
        <v>34</v>
      </c>
      <c r="I471" s="425">
        <v>0</v>
      </c>
      <c r="J471" s="425">
        <v>0</v>
      </c>
      <c r="K471" s="425">
        <v>0</v>
      </c>
      <c r="L471" s="425">
        <v>0</v>
      </c>
      <c r="M471" s="425">
        <v>0</v>
      </c>
      <c r="N471" s="425">
        <v>0</v>
      </c>
      <c r="O471" s="425">
        <v>0</v>
      </c>
    </row>
    <row r="472" spans="3:15" hidden="1" x14ac:dyDescent="0.3">
      <c r="C472" t="s">
        <v>2295</v>
      </c>
      <c r="D472" t="s">
        <v>2267</v>
      </c>
      <c r="E472" t="s">
        <v>3174</v>
      </c>
      <c r="F472" t="s">
        <v>3175</v>
      </c>
      <c r="G472" s="425">
        <v>4278</v>
      </c>
      <c r="H472" s="425">
        <v>4278</v>
      </c>
      <c r="I472" s="425">
        <v>0</v>
      </c>
      <c r="J472" s="425">
        <v>0</v>
      </c>
      <c r="K472" s="425">
        <v>0</v>
      </c>
      <c r="L472" s="425">
        <v>0</v>
      </c>
      <c r="M472" s="425">
        <v>0</v>
      </c>
      <c r="N472" s="425">
        <v>0</v>
      </c>
      <c r="O472" s="425">
        <v>0</v>
      </c>
    </row>
    <row r="473" spans="3:15" hidden="1" x14ac:dyDescent="0.3">
      <c r="C473" t="s">
        <v>2295</v>
      </c>
      <c r="D473" t="s">
        <v>2267</v>
      </c>
      <c r="E473" t="s">
        <v>3176</v>
      </c>
      <c r="F473" t="s">
        <v>3177</v>
      </c>
      <c r="G473" s="425">
        <v>4178731</v>
      </c>
      <c r="H473" s="425">
        <v>4178731</v>
      </c>
      <c r="I473" s="425">
        <v>0</v>
      </c>
      <c r="J473" s="425">
        <v>0</v>
      </c>
      <c r="K473" s="425">
        <v>0</v>
      </c>
      <c r="L473" s="425">
        <v>0</v>
      </c>
      <c r="M473" s="425">
        <v>0</v>
      </c>
      <c r="N473" s="425">
        <v>0</v>
      </c>
      <c r="O473" s="425">
        <v>0</v>
      </c>
    </row>
    <row r="474" spans="3:15" hidden="1" x14ac:dyDescent="0.3">
      <c r="C474" t="s">
        <v>2295</v>
      </c>
      <c r="D474" t="s">
        <v>2267</v>
      </c>
      <c r="E474" t="s">
        <v>3178</v>
      </c>
      <c r="F474" t="s">
        <v>3179</v>
      </c>
      <c r="G474" s="425">
        <v>31408</v>
      </c>
      <c r="H474" s="425">
        <v>31408</v>
      </c>
      <c r="I474" s="425">
        <v>0</v>
      </c>
      <c r="J474" s="425">
        <v>0</v>
      </c>
      <c r="K474" s="425">
        <v>0</v>
      </c>
      <c r="L474" s="425">
        <v>0</v>
      </c>
      <c r="M474" s="425">
        <v>0</v>
      </c>
      <c r="N474" s="425">
        <v>0</v>
      </c>
      <c r="O474" s="425">
        <v>0</v>
      </c>
    </row>
    <row r="475" spans="3:15" hidden="1" x14ac:dyDescent="0.3">
      <c r="C475" t="s">
        <v>2295</v>
      </c>
      <c r="D475" t="s">
        <v>2267</v>
      </c>
      <c r="E475" t="s">
        <v>3180</v>
      </c>
      <c r="F475" t="s">
        <v>3181</v>
      </c>
      <c r="G475" s="425">
        <v>280427</v>
      </c>
      <c r="H475" s="425">
        <v>280427</v>
      </c>
      <c r="I475" s="425">
        <v>0</v>
      </c>
      <c r="J475" s="425">
        <v>0</v>
      </c>
      <c r="K475" s="425">
        <v>0</v>
      </c>
      <c r="L475" s="425">
        <v>0</v>
      </c>
      <c r="M475" s="425">
        <v>0</v>
      </c>
      <c r="N475" s="425">
        <v>0</v>
      </c>
      <c r="O475" s="425">
        <v>0</v>
      </c>
    </row>
    <row r="476" spans="3:15" hidden="1" x14ac:dyDescent="0.3">
      <c r="C476" t="s">
        <v>2295</v>
      </c>
      <c r="D476" t="s">
        <v>2267</v>
      </c>
      <c r="E476" t="s">
        <v>3182</v>
      </c>
      <c r="F476" t="s">
        <v>3183</v>
      </c>
      <c r="G476" s="425">
        <v>54400</v>
      </c>
      <c r="H476" s="425">
        <v>54400</v>
      </c>
      <c r="I476" s="425">
        <v>0</v>
      </c>
      <c r="J476" s="425">
        <v>0</v>
      </c>
      <c r="K476" s="425">
        <v>0</v>
      </c>
      <c r="L476" s="425">
        <v>0</v>
      </c>
      <c r="M476" s="425">
        <v>0</v>
      </c>
      <c r="N476" s="425">
        <v>0</v>
      </c>
      <c r="O476" s="425">
        <v>0</v>
      </c>
    </row>
    <row r="477" spans="3:15" hidden="1" x14ac:dyDescent="0.3">
      <c r="C477" t="s">
        <v>2295</v>
      </c>
      <c r="D477" t="s">
        <v>2267</v>
      </c>
      <c r="E477" t="s">
        <v>3184</v>
      </c>
      <c r="F477" t="s">
        <v>3185</v>
      </c>
      <c r="G477" s="425">
        <v>436711</v>
      </c>
      <c r="H477" s="425">
        <v>436711</v>
      </c>
      <c r="I477" s="425">
        <v>0</v>
      </c>
      <c r="J477" s="425">
        <v>0</v>
      </c>
      <c r="K477" s="425">
        <v>0</v>
      </c>
      <c r="L477" s="425">
        <v>0</v>
      </c>
      <c r="M477" s="425">
        <v>0</v>
      </c>
      <c r="N477" s="425">
        <v>0</v>
      </c>
      <c r="O477" s="425">
        <v>0</v>
      </c>
    </row>
    <row r="478" spans="3:15" hidden="1" x14ac:dyDescent="0.3">
      <c r="C478" t="s">
        <v>2295</v>
      </c>
      <c r="D478" t="s">
        <v>2267</v>
      </c>
      <c r="E478" t="s">
        <v>3186</v>
      </c>
      <c r="F478" t="s">
        <v>3187</v>
      </c>
      <c r="G478" s="425">
        <v>0</v>
      </c>
      <c r="H478" s="425">
        <v>0</v>
      </c>
      <c r="I478" s="425">
        <v>0</v>
      </c>
      <c r="J478" s="425">
        <v>0</v>
      </c>
      <c r="K478" s="425">
        <v>0</v>
      </c>
      <c r="L478" s="425">
        <v>0</v>
      </c>
      <c r="M478" s="425">
        <v>0</v>
      </c>
      <c r="N478" s="425">
        <v>0</v>
      </c>
      <c r="O478" s="425">
        <v>0</v>
      </c>
    </row>
    <row r="479" spans="3:15" hidden="1" x14ac:dyDescent="0.3">
      <c r="C479" t="s">
        <v>2295</v>
      </c>
      <c r="D479" t="s">
        <v>2267</v>
      </c>
      <c r="E479" t="s">
        <v>3188</v>
      </c>
      <c r="F479" t="s">
        <v>3189</v>
      </c>
      <c r="G479" s="425">
        <v>549756</v>
      </c>
      <c r="H479" s="425">
        <v>549756</v>
      </c>
      <c r="I479" s="425">
        <v>0</v>
      </c>
      <c r="J479" s="425">
        <v>0</v>
      </c>
      <c r="K479" s="425">
        <v>0</v>
      </c>
      <c r="L479" s="425">
        <v>0</v>
      </c>
      <c r="M479" s="425">
        <v>0</v>
      </c>
      <c r="N479" s="425">
        <v>0</v>
      </c>
      <c r="O479" s="425">
        <v>0</v>
      </c>
    </row>
    <row r="480" spans="3:15" hidden="1" x14ac:dyDescent="0.3">
      <c r="C480" t="s">
        <v>2295</v>
      </c>
      <c r="D480" t="s">
        <v>2267</v>
      </c>
      <c r="E480" t="s">
        <v>3190</v>
      </c>
      <c r="F480" t="s">
        <v>3191</v>
      </c>
      <c r="G480" s="425">
        <v>1865</v>
      </c>
      <c r="H480" s="425">
        <v>1865</v>
      </c>
      <c r="I480" s="425">
        <v>0</v>
      </c>
      <c r="J480" s="425">
        <v>0</v>
      </c>
      <c r="K480" s="425">
        <v>0</v>
      </c>
      <c r="L480" s="425">
        <v>0</v>
      </c>
      <c r="M480" s="425">
        <v>0</v>
      </c>
      <c r="N480" s="425">
        <v>0</v>
      </c>
      <c r="O480" s="425">
        <v>0</v>
      </c>
    </row>
    <row r="481" spans="3:15" hidden="1" x14ac:dyDescent="0.3">
      <c r="C481" t="s">
        <v>2295</v>
      </c>
      <c r="D481" t="s">
        <v>2267</v>
      </c>
      <c r="E481" t="s">
        <v>3192</v>
      </c>
      <c r="F481" t="s">
        <v>3193</v>
      </c>
      <c r="G481" s="425">
        <v>279952</v>
      </c>
      <c r="H481" s="425">
        <v>279952</v>
      </c>
      <c r="I481" s="425">
        <v>0</v>
      </c>
      <c r="J481" s="425">
        <v>0</v>
      </c>
      <c r="K481" s="425">
        <v>0</v>
      </c>
      <c r="L481" s="425">
        <v>0</v>
      </c>
      <c r="M481" s="425">
        <v>0</v>
      </c>
      <c r="N481" s="425">
        <v>0</v>
      </c>
      <c r="O481" s="425">
        <v>0</v>
      </c>
    </row>
    <row r="482" spans="3:15" hidden="1" x14ac:dyDescent="0.3">
      <c r="C482" t="s">
        <v>2295</v>
      </c>
      <c r="D482" t="s">
        <v>2267</v>
      </c>
      <c r="E482" t="s">
        <v>3194</v>
      </c>
      <c r="F482" t="s">
        <v>3195</v>
      </c>
      <c r="G482" s="425">
        <v>771934</v>
      </c>
      <c r="H482" s="425">
        <v>771934</v>
      </c>
      <c r="I482" s="425">
        <v>0</v>
      </c>
      <c r="J482" s="425">
        <v>0</v>
      </c>
      <c r="K482" s="425">
        <v>0</v>
      </c>
      <c r="L482" s="425">
        <v>0</v>
      </c>
      <c r="M482" s="425">
        <v>0</v>
      </c>
      <c r="N482" s="425">
        <v>0</v>
      </c>
      <c r="O482" s="425">
        <v>0</v>
      </c>
    </row>
    <row r="483" spans="3:15" hidden="1" x14ac:dyDescent="0.3">
      <c r="C483" t="s">
        <v>2295</v>
      </c>
      <c r="D483" t="s">
        <v>2267</v>
      </c>
      <c r="E483" t="s">
        <v>3196</v>
      </c>
      <c r="F483" t="s">
        <v>3197</v>
      </c>
      <c r="G483" s="425">
        <v>756</v>
      </c>
      <c r="H483" s="425">
        <v>756</v>
      </c>
      <c r="I483" s="425">
        <v>0</v>
      </c>
      <c r="J483" s="425">
        <v>0</v>
      </c>
      <c r="K483" s="425">
        <v>0</v>
      </c>
      <c r="L483" s="425">
        <v>0</v>
      </c>
      <c r="M483" s="425">
        <v>0</v>
      </c>
      <c r="N483" s="425">
        <v>0</v>
      </c>
      <c r="O483" s="425">
        <v>0</v>
      </c>
    </row>
    <row r="484" spans="3:15" hidden="1" x14ac:dyDescent="0.3">
      <c r="C484" t="s">
        <v>2295</v>
      </c>
      <c r="D484" t="s">
        <v>2267</v>
      </c>
      <c r="E484" t="s">
        <v>3198</v>
      </c>
      <c r="F484" t="s">
        <v>3199</v>
      </c>
      <c r="G484" s="425">
        <v>5942833</v>
      </c>
      <c r="H484" s="425">
        <v>5942833</v>
      </c>
      <c r="I484" s="425">
        <v>0</v>
      </c>
      <c r="J484" s="425">
        <v>0</v>
      </c>
      <c r="K484" s="425">
        <v>0</v>
      </c>
      <c r="L484" s="425">
        <v>0</v>
      </c>
      <c r="M484" s="425">
        <v>0</v>
      </c>
      <c r="N484" s="425">
        <v>0</v>
      </c>
      <c r="O484" s="425">
        <v>0</v>
      </c>
    </row>
    <row r="485" spans="3:15" hidden="1" x14ac:dyDescent="0.3">
      <c r="C485" t="s">
        <v>2295</v>
      </c>
      <c r="D485" t="s">
        <v>2267</v>
      </c>
      <c r="E485" t="s">
        <v>3200</v>
      </c>
      <c r="F485" t="s">
        <v>3201</v>
      </c>
      <c r="G485" s="425">
        <v>0</v>
      </c>
      <c r="H485" s="425">
        <v>0</v>
      </c>
      <c r="I485" s="425">
        <v>0</v>
      </c>
      <c r="J485" s="425">
        <v>0</v>
      </c>
      <c r="K485" s="425">
        <v>0</v>
      </c>
      <c r="L485" s="425">
        <v>0</v>
      </c>
      <c r="M485" s="425">
        <v>0</v>
      </c>
      <c r="N485" s="425">
        <v>0</v>
      </c>
      <c r="O485" s="425">
        <v>0</v>
      </c>
    </row>
    <row r="486" spans="3:15" hidden="1" x14ac:dyDescent="0.3">
      <c r="C486" t="s">
        <v>2295</v>
      </c>
      <c r="D486" t="s">
        <v>2267</v>
      </c>
      <c r="E486" t="s">
        <v>3202</v>
      </c>
      <c r="F486" t="s">
        <v>3203</v>
      </c>
      <c r="G486" s="425">
        <v>1793018</v>
      </c>
      <c r="H486" s="425">
        <v>1793018</v>
      </c>
      <c r="I486" s="425">
        <v>0</v>
      </c>
      <c r="J486" s="425">
        <v>0</v>
      </c>
      <c r="K486" s="425">
        <v>0</v>
      </c>
      <c r="L486" s="425">
        <v>0</v>
      </c>
      <c r="M486" s="425">
        <v>0</v>
      </c>
      <c r="N486" s="425">
        <v>0</v>
      </c>
      <c r="O486" s="425">
        <v>0</v>
      </c>
    </row>
    <row r="487" spans="3:15" hidden="1" x14ac:dyDescent="0.3">
      <c r="C487" t="s">
        <v>2295</v>
      </c>
      <c r="D487" t="s">
        <v>2267</v>
      </c>
      <c r="E487" t="s">
        <v>3204</v>
      </c>
      <c r="F487" t="s">
        <v>3205</v>
      </c>
      <c r="G487" s="425">
        <v>1347</v>
      </c>
      <c r="H487" s="425">
        <v>1347</v>
      </c>
      <c r="I487" s="425">
        <v>0</v>
      </c>
      <c r="J487" s="425">
        <v>0</v>
      </c>
      <c r="K487" s="425">
        <v>0</v>
      </c>
      <c r="L487" s="425">
        <v>0</v>
      </c>
      <c r="M487" s="425">
        <v>0</v>
      </c>
      <c r="N487" s="425">
        <v>0</v>
      </c>
      <c r="O487" s="425">
        <v>0</v>
      </c>
    </row>
    <row r="488" spans="3:15" hidden="1" x14ac:dyDescent="0.3">
      <c r="C488" t="s">
        <v>2295</v>
      </c>
      <c r="D488" t="s">
        <v>2267</v>
      </c>
      <c r="E488" t="s">
        <v>3206</v>
      </c>
      <c r="F488" t="s">
        <v>3207</v>
      </c>
      <c r="G488" s="425">
        <v>605327</v>
      </c>
      <c r="H488" s="425">
        <v>605327</v>
      </c>
      <c r="I488" s="425">
        <v>0</v>
      </c>
      <c r="J488" s="425">
        <v>0</v>
      </c>
      <c r="K488" s="425">
        <v>0</v>
      </c>
      <c r="L488" s="425">
        <v>0</v>
      </c>
      <c r="M488" s="425">
        <v>0</v>
      </c>
      <c r="N488" s="425">
        <v>0</v>
      </c>
      <c r="O488" s="425">
        <v>0</v>
      </c>
    </row>
    <row r="489" spans="3:15" hidden="1" x14ac:dyDescent="0.3">
      <c r="C489" t="s">
        <v>2295</v>
      </c>
      <c r="D489" t="s">
        <v>2267</v>
      </c>
      <c r="E489" t="s">
        <v>3208</v>
      </c>
      <c r="F489" t="s">
        <v>3209</v>
      </c>
      <c r="G489" s="425">
        <v>43184</v>
      </c>
      <c r="H489" s="425">
        <v>43184</v>
      </c>
      <c r="I489" s="425">
        <v>0</v>
      </c>
      <c r="J489" s="425">
        <v>0</v>
      </c>
      <c r="K489" s="425">
        <v>0</v>
      </c>
      <c r="L489" s="425">
        <v>0</v>
      </c>
      <c r="M489" s="425">
        <v>0</v>
      </c>
      <c r="N489" s="425">
        <v>0</v>
      </c>
      <c r="O489" s="425">
        <v>0</v>
      </c>
    </row>
    <row r="490" spans="3:15" hidden="1" x14ac:dyDescent="0.3">
      <c r="C490" t="s">
        <v>2295</v>
      </c>
      <c r="D490" t="s">
        <v>2267</v>
      </c>
      <c r="E490" t="s">
        <v>3210</v>
      </c>
      <c r="F490" t="s">
        <v>3211</v>
      </c>
      <c r="G490" s="425">
        <v>19332914</v>
      </c>
      <c r="H490" s="425">
        <v>19332914</v>
      </c>
      <c r="I490" s="425">
        <v>0</v>
      </c>
      <c r="J490" s="425">
        <v>0</v>
      </c>
      <c r="K490" s="425">
        <v>0</v>
      </c>
      <c r="L490" s="425">
        <v>0</v>
      </c>
      <c r="M490" s="425">
        <v>0</v>
      </c>
      <c r="N490" s="425">
        <v>0</v>
      </c>
      <c r="O490" s="425">
        <v>0</v>
      </c>
    </row>
    <row r="491" spans="3:15" hidden="1" x14ac:dyDescent="0.3">
      <c r="C491" t="s">
        <v>2295</v>
      </c>
      <c r="D491" t="s">
        <v>2267</v>
      </c>
      <c r="E491" t="s">
        <v>3212</v>
      </c>
      <c r="F491" t="s">
        <v>3213</v>
      </c>
      <c r="G491" s="425">
        <v>0</v>
      </c>
      <c r="H491" s="425">
        <v>0</v>
      </c>
      <c r="I491" s="425">
        <v>0</v>
      </c>
      <c r="J491" s="425">
        <v>0</v>
      </c>
      <c r="K491" s="425">
        <v>0</v>
      </c>
      <c r="L491" s="425">
        <v>0</v>
      </c>
      <c r="M491" s="425">
        <v>0</v>
      </c>
      <c r="N491" s="425">
        <v>0</v>
      </c>
      <c r="O491" s="425">
        <v>0</v>
      </c>
    </row>
    <row r="492" spans="3:15" hidden="1" x14ac:dyDescent="0.3">
      <c r="C492" t="s">
        <v>2295</v>
      </c>
      <c r="D492" t="s">
        <v>2267</v>
      </c>
      <c r="E492" t="s">
        <v>3214</v>
      </c>
      <c r="F492" t="s">
        <v>3215</v>
      </c>
      <c r="G492" s="425">
        <v>226561</v>
      </c>
      <c r="H492" s="425">
        <v>226561</v>
      </c>
      <c r="I492" s="425">
        <v>0</v>
      </c>
      <c r="J492" s="425">
        <v>0</v>
      </c>
      <c r="K492" s="425">
        <v>0</v>
      </c>
      <c r="L492" s="425">
        <v>0</v>
      </c>
      <c r="M492" s="425">
        <v>0</v>
      </c>
      <c r="N492" s="425">
        <v>0</v>
      </c>
      <c r="O492" s="425">
        <v>0</v>
      </c>
    </row>
    <row r="493" spans="3:15" hidden="1" x14ac:dyDescent="0.3">
      <c r="C493" t="s">
        <v>2295</v>
      </c>
      <c r="D493" t="s">
        <v>2267</v>
      </c>
      <c r="E493" t="s">
        <v>3216</v>
      </c>
      <c r="F493" t="s">
        <v>3217</v>
      </c>
      <c r="G493" s="425">
        <v>555</v>
      </c>
      <c r="H493" s="425">
        <v>555</v>
      </c>
      <c r="I493" s="425">
        <v>0</v>
      </c>
      <c r="J493" s="425">
        <v>0</v>
      </c>
      <c r="K493" s="425">
        <v>0</v>
      </c>
      <c r="L493" s="425">
        <v>0</v>
      </c>
      <c r="M493" s="425">
        <v>0</v>
      </c>
      <c r="N493" s="425">
        <v>0</v>
      </c>
      <c r="O493" s="425">
        <v>0</v>
      </c>
    </row>
    <row r="494" spans="3:15" hidden="1" x14ac:dyDescent="0.3">
      <c r="C494" t="s">
        <v>2295</v>
      </c>
      <c r="D494" t="s">
        <v>2267</v>
      </c>
      <c r="E494" t="s">
        <v>3218</v>
      </c>
      <c r="F494" t="s">
        <v>3219</v>
      </c>
      <c r="G494" s="425">
        <v>51894</v>
      </c>
      <c r="H494" s="425">
        <v>51894</v>
      </c>
      <c r="I494" s="425">
        <v>0</v>
      </c>
      <c r="J494" s="425">
        <v>0</v>
      </c>
      <c r="K494" s="425">
        <v>0</v>
      </c>
      <c r="L494" s="425">
        <v>0</v>
      </c>
      <c r="M494" s="425">
        <v>0</v>
      </c>
      <c r="N494" s="425">
        <v>0</v>
      </c>
      <c r="O494" s="425">
        <v>0</v>
      </c>
    </row>
    <row r="495" spans="3:15" hidden="1" x14ac:dyDescent="0.3">
      <c r="C495" t="s">
        <v>2295</v>
      </c>
      <c r="D495" t="s">
        <v>2267</v>
      </c>
      <c r="E495" t="s">
        <v>3220</v>
      </c>
      <c r="F495" t="s">
        <v>3221</v>
      </c>
      <c r="G495" s="425">
        <v>9830237</v>
      </c>
      <c r="H495" s="425">
        <v>9830237</v>
      </c>
      <c r="I495" s="425">
        <v>0</v>
      </c>
      <c r="J495" s="425">
        <v>0</v>
      </c>
      <c r="K495" s="425">
        <v>0</v>
      </c>
      <c r="L495" s="425">
        <v>0</v>
      </c>
      <c r="M495" s="425">
        <v>0</v>
      </c>
      <c r="N495" s="425">
        <v>0</v>
      </c>
      <c r="O495" s="425">
        <v>0</v>
      </c>
    </row>
    <row r="496" spans="3:15" hidden="1" x14ac:dyDescent="0.3">
      <c r="C496" t="s">
        <v>2295</v>
      </c>
      <c r="D496" t="s">
        <v>2267</v>
      </c>
      <c r="E496" t="s">
        <v>3222</v>
      </c>
      <c r="F496" t="s">
        <v>3223</v>
      </c>
      <c r="G496" s="425">
        <v>67919639</v>
      </c>
      <c r="H496" s="425">
        <v>67919639</v>
      </c>
      <c r="I496" s="425">
        <v>0</v>
      </c>
      <c r="J496" s="425">
        <v>0</v>
      </c>
      <c r="K496" s="425">
        <v>0</v>
      </c>
      <c r="L496" s="425">
        <v>0</v>
      </c>
      <c r="M496" s="425">
        <v>0</v>
      </c>
      <c r="N496" s="425">
        <v>0</v>
      </c>
      <c r="O496" s="425">
        <v>0</v>
      </c>
    </row>
    <row r="497" spans="3:15" hidden="1" x14ac:dyDescent="0.3">
      <c r="C497" t="s">
        <v>2295</v>
      </c>
      <c r="D497" t="s">
        <v>2267</v>
      </c>
      <c r="E497" t="s">
        <v>3224</v>
      </c>
      <c r="F497" t="s">
        <v>3225</v>
      </c>
      <c r="G497" s="425">
        <v>0</v>
      </c>
      <c r="H497" s="425">
        <v>0</v>
      </c>
      <c r="I497" s="425">
        <v>0</v>
      </c>
      <c r="J497" s="425">
        <v>0</v>
      </c>
      <c r="K497" s="425">
        <v>0</v>
      </c>
      <c r="L497" s="425">
        <v>0</v>
      </c>
      <c r="M497" s="425">
        <v>0</v>
      </c>
      <c r="N497" s="425">
        <v>0</v>
      </c>
      <c r="O497" s="425">
        <v>0</v>
      </c>
    </row>
    <row r="498" spans="3:15" hidden="1" x14ac:dyDescent="0.3">
      <c r="C498" t="s">
        <v>2295</v>
      </c>
      <c r="D498" t="s">
        <v>2267</v>
      </c>
      <c r="E498" t="s">
        <v>3226</v>
      </c>
      <c r="F498" t="s">
        <v>3227</v>
      </c>
      <c r="G498" s="425">
        <v>16280590</v>
      </c>
      <c r="H498" s="425">
        <v>16280590</v>
      </c>
      <c r="I498" s="425">
        <v>0</v>
      </c>
      <c r="J498" s="425">
        <v>0</v>
      </c>
      <c r="K498" s="425">
        <v>0</v>
      </c>
      <c r="L498" s="425">
        <v>0</v>
      </c>
      <c r="M498" s="425">
        <v>0</v>
      </c>
      <c r="N498" s="425">
        <v>0</v>
      </c>
      <c r="O498" s="425">
        <v>0</v>
      </c>
    </row>
    <row r="499" spans="3:15" hidden="1" x14ac:dyDescent="0.3">
      <c r="C499" t="s">
        <v>2295</v>
      </c>
      <c r="D499" t="s">
        <v>2267</v>
      </c>
      <c r="E499" t="s">
        <v>3228</v>
      </c>
      <c r="F499" t="s">
        <v>3229</v>
      </c>
      <c r="G499" s="425">
        <v>54655013</v>
      </c>
      <c r="H499" s="425">
        <v>54655013</v>
      </c>
      <c r="I499" s="425">
        <v>0</v>
      </c>
      <c r="J499" s="425">
        <v>0</v>
      </c>
      <c r="K499" s="425">
        <v>0</v>
      </c>
      <c r="L499" s="425">
        <v>0</v>
      </c>
      <c r="M499" s="425">
        <v>0</v>
      </c>
      <c r="N499" s="425">
        <v>0</v>
      </c>
      <c r="O499" s="425">
        <v>0</v>
      </c>
    </row>
    <row r="500" spans="3:15" hidden="1" x14ac:dyDescent="0.3">
      <c r="C500" t="s">
        <v>2295</v>
      </c>
      <c r="D500" t="s">
        <v>2267</v>
      </c>
      <c r="E500" t="s">
        <v>3230</v>
      </c>
      <c r="F500" t="s">
        <v>3231</v>
      </c>
      <c r="G500" s="425">
        <v>12608</v>
      </c>
      <c r="H500" s="425">
        <v>12608</v>
      </c>
      <c r="I500" s="425">
        <v>0</v>
      </c>
      <c r="J500" s="425">
        <v>0</v>
      </c>
      <c r="K500" s="425">
        <v>0</v>
      </c>
      <c r="L500" s="425">
        <v>0</v>
      </c>
      <c r="M500" s="425">
        <v>0</v>
      </c>
      <c r="N500" s="425">
        <v>0</v>
      </c>
      <c r="O500" s="425">
        <v>0</v>
      </c>
    </row>
    <row r="501" spans="3:15" hidden="1" x14ac:dyDescent="0.3">
      <c r="C501" t="s">
        <v>2295</v>
      </c>
      <c r="D501" t="s">
        <v>2267</v>
      </c>
      <c r="E501" t="s">
        <v>3232</v>
      </c>
      <c r="F501" t="s">
        <v>3233</v>
      </c>
      <c r="G501" s="425">
        <v>196373</v>
      </c>
      <c r="H501" s="425">
        <v>196373</v>
      </c>
      <c r="I501" s="425">
        <v>0</v>
      </c>
      <c r="J501" s="425">
        <v>0</v>
      </c>
      <c r="K501" s="425">
        <v>0</v>
      </c>
      <c r="L501" s="425">
        <v>0</v>
      </c>
      <c r="M501" s="425">
        <v>0</v>
      </c>
      <c r="N501" s="425">
        <v>0</v>
      </c>
      <c r="O501" s="425">
        <v>0</v>
      </c>
    </row>
    <row r="502" spans="3:15" hidden="1" x14ac:dyDescent="0.3">
      <c r="C502" t="s">
        <v>2295</v>
      </c>
      <c r="D502" t="s">
        <v>2267</v>
      </c>
      <c r="E502" t="s">
        <v>3234</v>
      </c>
      <c r="F502" t="s">
        <v>3235</v>
      </c>
      <c r="G502" s="425">
        <v>386964</v>
      </c>
      <c r="H502" s="425">
        <v>386964</v>
      </c>
      <c r="I502" s="425">
        <v>0</v>
      </c>
      <c r="J502" s="425">
        <v>0</v>
      </c>
      <c r="K502" s="425">
        <v>0</v>
      </c>
      <c r="L502" s="425">
        <v>0</v>
      </c>
      <c r="M502" s="425">
        <v>0</v>
      </c>
      <c r="N502" s="425">
        <v>0</v>
      </c>
      <c r="O502" s="425">
        <v>0</v>
      </c>
    </row>
    <row r="503" spans="3:15" hidden="1" x14ac:dyDescent="0.3">
      <c r="C503" t="s">
        <v>2295</v>
      </c>
      <c r="D503" t="s">
        <v>2267</v>
      </c>
      <c r="E503" t="s">
        <v>3236</v>
      </c>
      <c r="F503" t="s">
        <v>3237</v>
      </c>
      <c r="G503" s="425">
        <v>158717</v>
      </c>
      <c r="H503" s="425">
        <v>158717</v>
      </c>
      <c r="I503" s="425">
        <v>0</v>
      </c>
      <c r="J503" s="425">
        <v>0</v>
      </c>
      <c r="K503" s="425">
        <v>0</v>
      </c>
      <c r="L503" s="425">
        <v>0</v>
      </c>
      <c r="M503" s="425">
        <v>0</v>
      </c>
      <c r="N503" s="425">
        <v>0</v>
      </c>
      <c r="O503" s="425">
        <v>0</v>
      </c>
    </row>
    <row r="504" spans="3:15" hidden="1" x14ac:dyDescent="0.3">
      <c r="C504" t="s">
        <v>2295</v>
      </c>
      <c r="D504" t="s">
        <v>2267</v>
      </c>
      <c r="E504" t="s">
        <v>3238</v>
      </c>
      <c r="F504" t="s">
        <v>3239</v>
      </c>
      <c r="G504" s="425">
        <v>0</v>
      </c>
      <c r="H504" s="425">
        <v>0</v>
      </c>
      <c r="I504" s="425">
        <v>0</v>
      </c>
      <c r="J504" s="425">
        <v>0</v>
      </c>
      <c r="K504" s="425">
        <v>0</v>
      </c>
      <c r="L504" s="425">
        <v>0</v>
      </c>
      <c r="M504" s="425">
        <v>0</v>
      </c>
      <c r="N504" s="425">
        <v>0</v>
      </c>
      <c r="O504" s="425">
        <v>0</v>
      </c>
    </row>
    <row r="505" spans="3:15" hidden="1" x14ac:dyDescent="0.3">
      <c r="C505" t="s">
        <v>2295</v>
      </c>
      <c r="D505" t="s">
        <v>2267</v>
      </c>
      <c r="E505" t="s">
        <v>3240</v>
      </c>
      <c r="F505" t="s">
        <v>3241</v>
      </c>
      <c r="G505" s="425">
        <v>94147</v>
      </c>
      <c r="H505" s="425">
        <v>94147</v>
      </c>
      <c r="I505" s="425">
        <v>0</v>
      </c>
      <c r="J505" s="425">
        <v>0</v>
      </c>
      <c r="K505" s="425">
        <v>0</v>
      </c>
      <c r="L505" s="425">
        <v>0</v>
      </c>
      <c r="M505" s="425">
        <v>0</v>
      </c>
      <c r="N505" s="425">
        <v>0</v>
      </c>
      <c r="O505" s="425">
        <v>0</v>
      </c>
    </row>
    <row r="506" spans="3:15" hidden="1" x14ac:dyDescent="0.3">
      <c r="C506" t="s">
        <v>2295</v>
      </c>
      <c r="D506" t="s">
        <v>2267</v>
      </c>
      <c r="E506" t="s">
        <v>3242</v>
      </c>
      <c r="F506" t="s">
        <v>3243</v>
      </c>
      <c r="G506" s="425">
        <v>6757</v>
      </c>
      <c r="H506" s="425">
        <v>6757</v>
      </c>
      <c r="I506" s="425">
        <v>0</v>
      </c>
      <c r="J506" s="425">
        <v>0</v>
      </c>
      <c r="K506" s="425">
        <v>0</v>
      </c>
      <c r="L506" s="425">
        <v>0</v>
      </c>
      <c r="M506" s="425">
        <v>0</v>
      </c>
      <c r="N506" s="425">
        <v>0</v>
      </c>
      <c r="O506" s="425">
        <v>0</v>
      </c>
    </row>
    <row r="507" spans="3:15" hidden="1" x14ac:dyDescent="0.3">
      <c r="C507" t="s">
        <v>2295</v>
      </c>
      <c r="D507" t="s">
        <v>2267</v>
      </c>
      <c r="E507" t="s">
        <v>3244</v>
      </c>
      <c r="F507" t="s">
        <v>3245</v>
      </c>
      <c r="G507" s="425">
        <v>8843945</v>
      </c>
      <c r="H507" s="425">
        <v>8843945</v>
      </c>
      <c r="I507" s="425">
        <v>0</v>
      </c>
      <c r="J507" s="425">
        <v>0</v>
      </c>
      <c r="K507" s="425">
        <v>0</v>
      </c>
      <c r="L507" s="425">
        <v>0</v>
      </c>
      <c r="M507" s="425">
        <v>0</v>
      </c>
      <c r="N507" s="425">
        <v>0</v>
      </c>
      <c r="O507" s="425">
        <v>0</v>
      </c>
    </row>
    <row r="508" spans="3:15" hidden="1" x14ac:dyDescent="0.3">
      <c r="C508" t="s">
        <v>2295</v>
      </c>
      <c r="D508" t="s">
        <v>2267</v>
      </c>
      <c r="E508" t="s">
        <v>3246</v>
      </c>
      <c r="F508" t="s">
        <v>3247</v>
      </c>
      <c r="G508" s="425">
        <v>37096</v>
      </c>
      <c r="H508" s="425">
        <v>37096</v>
      </c>
      <c r="I508" s="425">
        <v>0</v>
      </c>
      <c r="J508" s="425">
        <v>0</v>
      </c>
      <c r="K508" s="425">
        <v>0</v>
      </c>
      <c r="L508" s="425">
        <v>0</v>
      </c>
      <c r="M508" s="425">
        <v>0</v>
      </c>
      <c r="N508" s="425">
        <v>0</v>
      </c>
      <c r="O508" s="425">
        <v>0</v>
      </c>
    </row>
    <row r="509" spans="3:15" hidden="1" x14ac:dyDescent="0.3">
      <c r="C509" t="s">
        <v>2295</v>
      </c>
      <c r="D509" t="s">
        <v>2267</v>
      </c>
      <c r="E509" t="s">
        <v>3248</v>
      </c>
      <c r="F509" t="s">
        <v>3249</v>
      </c>
      <c r="G509" s="425">
        <v>1817542</v>
      </c>
      <c r="H509" s="425">
        <v>1817542</v>
      </c>
      <c r="I509" s="425">
        <v>0</v>
      </c>
      <c r="J509" s="425">
        <v>0</v>
      </c>
      <c r="K509" s="425">
        <v>0</v>
      </c>
      <c r="L509" s="425">
        <v>0</v>
      </c>
      <c r="M509" s="425">
        <v>0</v>
      </c>
      <c r="N509" s="425">
        <v>0</v>
      </c>
      <c r="O509" s="425">
        <v>0</v>
      </c>
    </row>
    <row r="510" spans="3:15" hidden="1" x14ac:dyDescent="0.3">
      <c r="C510" t="s">
        <v>2295</v>
      </c>
      <c r="D510" t="s">
        <v>2267</v>
      </c>
      <c r="E510" t="s">
        <v>3250</v>
      </c>
      <c r="F510" t="s">
        <v>3251</v>
      </c>
      <c r="G510" s="425">
        <v>7360842</v>
      </c>
      <c r="H510" s="425">
        <v>7360842</v>
      </c>
      <c r="I510" s="425">
        <v>0</v>
      </c>
      <c r="J510" s="425">
        <v>0</v>
      </c>
      <c r="K510" s="425">
        <v>0</v>
      </c>
      <c r="L510" s="425">
        <v>0</v>
      </c>
      <c r="M510" s="425">
        <v>0</v>
      </c>
      <c r="N510" s="425">
        <v>0</v>
      </c>
      <c r="O510" s="425">
        <v>0</v>
      </c>
    </row>
    <row r="511" spans="3:15" hidden="1" x14ac:dyDescent="0.3">
      <c r="C511" t="s">
        <v>2295</v>
      </c>
      <c r="D511" t="s">
        <v>2267</v>
      </c>
      <c r="E511" t="s">
        <v>3252</v>
      </c>
      <c r="F511" t="s">
        <v>3253</v>
      </c>
      <c r="G511" s="425">
        <v>0</v>
      </c>
      <c r="H511" s="425">
        <v>0</v>
      </c>
      <c r="I511" s="425">
        <v>0</v>
      </c>
      <c r="J511" s="425">
        <v>0</v>
      </c>
      <c r="K511" s="425">
        <v>0</v>
      </c>
      <c r="L511" s="425">
        <v>0</v>
      </c>
      <c r="M511" s="425">
        <v>0</v>
      </c>
      <c r="N511" s="425">
        <v>0</v>
      </c>
      <c r="O511" s="425">
        <v>0</v>
      </c>
    </row>
    <row r="512" spans="3:15" hidden="1" x14ac:dyDescent="0.3">
      <c r="C512" t="s">
        <v>2295</v>
      </c>
      <c r="D512" t="s">
        <v>2267</v>
      </c>
      <c r="E512" t="s">
        <v>3254</v>
      </c>
      <c r="F512" t="s">
        <v>3255</v>
      </c>
      <c r="G512" s="425">
        <v>6091343</v>
      </c>
      <c r="H512" s="425">
        <v>6091343</v>
      </c>
      <c r="I512" s="425">
        <v>0</v>
      </c>
      <c r="J512" s="425">
        <v>0</v>
      </c>
      <c r="K512" s="425">
        <v>0</v>
      </c>
      <c r="L512" s="425">
        <v>0</v>
      </c>
      <c r="M512" s="425">
        <v>0</v>
      </c>
      <c r="N512" s="425">
        <v>0</v>
      </c>
      <c r="O512" s="425">
        <v>0</v>
      </c>
    </row>
    <row r="513" spans="3:15" hidden="1" x14ac:dyDescent="0.3">
      <c r="C513" t="s">
        <v>2295</v>
      </c>
      <c r="D513" t="s">
        <v>2267</v>
      </c>
      <c r="E513" t="s">
        <v>3256</v>
      </c>
      <c r="F513" t="s">
        <v>3257</v>
      </c>
      <c r="G513" s="425">
        <v>9299</v>
      </c>
      <c r="H513" s="425">
        <v>9299</v>
      </c>
      <c r="I513" s="425">
        <v>0</v>
      </c>
      <c r="J513" s="425">
        <v>0</v>
      </c>
      <c r="K513" s="425">
        <v>0</v>
      </c>
      <c r="L513" s="425">
        <v>0</v>
      </c>
      <c r="M513" s="425">
        <v>0</v>
      </c>
      <c r="N513" s="425">
        <v>0</v>
      </c>
      <c r="O513" s="425">
        <v>0</v>
      </c>
    </row>
    <row r="514" spans="3:15" hidden="1" x14ac:dyDescent="0.3">
      <c r="C514" t="s">
        <v>2295</v>
      </c>
      <c r="D514" t="s">
        <v>2267</v>
      </c>
      <c r="E514" t="s">
        <v>3258</v>
      </c>
      <c r="F514" t="s">
        <v>3259</v>
      </c>
      <c r="G514" s="425">
        <v>1022</v>
      </c>
      <c r="H514" s="425">
        <v>1022</v>
      </c>
      <c r="I514" s="425">
        <v>0</v>
      </c>
      <c r="J514" s="425">
        <v>0</v>
      </c>
      <c r="K514" s="425">
        <v>0</v>
      </c>
      <c r="L514" s="425">
        <v>0</v>
      </c>
      <c r="M514" s="425">
        <v>0</v>
      </c>
      <c r="N514" s="425">
        <v>0</v>
      </c>
      <c r="O514" s="425">
        <v>0</v>
      </c>
    </row>
    <row r="515" spans="3:15" hidden="1" x14ac:dyDescent="0.3">
      <c r="C515" t="s">
        <v>2295</v>
      </c>
      <c r="D515" t="s">
        <v>2267</v>
      </c>
      <c r="E515" t="s">
        <v>3260</v>
      </c>
      <c r="F515" t="s">
        <v>3261</v>
      </c>
      <c r="G515" s="425">
        <v>635</v>
      </c>
      <c r="H515" s="425">
        <v>635</v>
      </c>
      <c r="I515" s="425">
        <v>0</v>
      </c>
      <c r="J515" s="425">
        <v>0</v>
      </c>
      <c r="K515" s="425">
        <v>0</v>
      </c>
      <c r="L515" s="425">
        <v>0</v>
      </c>
      <c r="M515" s="425">
        <v>0</v>
      </c>
      <c r="N515" s="425">
        <v>0</v>
      </c>
      <c r="O515" s="425">
        <v>0</v>
      </c>
    </row>
    <row r="516" spans="3:15" hidden="1" x14ac:dyDescent="0.3">
      <c r="C516" t="s">
        <v>2295</v>
      </c>
      <c r="D516" t="s">
        <v>2267</v>
      </c>
      <c r="E516" t="s">
        <v>3262</v>
      </c>
      <c r="F516" t="s">
        <v>3263</v>
      </c>
      <c r="G516" s="425">
        <v>548118</v>
      </c>
      <c r="H516" s="425">
        <v>548118</v>
      </c>
      <c r="I516" s="425">
        <v>0</v>
      </c>
      <c r="J516" s="425">
        <v>0</v>
      </c>
      <c r="K516" s="425">
        <v>0</v>
      </c>
      <c r="L516" s="425">
        <v>0</v>
      </c>
      <c r="M516" s="425">
        <v>0</v>
      </c>
      <c r="N516" s="425">
        <v>0</v>
      </c>
      <c r="O516" s="425">
        <v>0</v>
      </c>
    </row>
    <row r="517" spans="3:15" hidden="1" x14ac:dyDescent="0.3">
      <c r="C517" t="s">
        <v>2295</v>
      </c>
      <c r="D517" t="s">
        <v>2267</v>
      </c>
      <c r="E517" t="s">
        <v>3264</v>
      </c>
      <c r="F517" t="s">
        <v>3265</v>
      </c>
      <c r="G517" s="425">
        <v>50638</v>
      </c>
      <c r="H517" s="425">
        <v>50638</v>
      </c>
      <c r="I517" s="425">
        <v>0</v>
      </c>
      <c r="J517" s="425">
        <v>0</v>
      </c>
      <c r="K517" s="425">
        <v>0</v>
      </c>
      <c r="L517" s="425">
        <v>0</v>
      </c>
      <c r="M517" s="425">
        <v>0</v>
      </c>
      <c r="N517" s="425">
        <v>0</v>
      </c>
      <c r="O517" s="425">
        <v>0</v>
      </c>
    </row>
    <row r="518" spans="3:15" hidden="1" x14ac:dyDescent="0.3">
      <c r="C518" t="s">
        <v>2295</v>
      </c>
      <c r="D518" t="s">
        <v>2267</v>
      </c>
      <c r="E518" t="s">
        <v>3266</v>
      </c>
      <c r="F518" t="s">
        <v>3267</v>
      </c>
      <c r="G518" s="425">
        <v>11457144</v>
      </c>
      <c r="H518" s="425">
        <v>11457144</v>
      </c>
      <c r="I518" s="425">
        <v>0</v>
      </c>
      <c r="J518" s="425">
        <v>0</v>
      </c>
      <c r="K518" s="425">
        <v>0</v>
      </c>
      <c r="L518" s="425">
        <v>0</v>
      </c>
      <c r="M518" s="425">
        <v>0</v>
      </c>
      <c r="N518" s="425">
        <v>0</v>
      </c>
      <c r="O518" s="425">
        <v>0</v>
      </c>
    </row>
    <row r="519" spans="3:15" hidden="1" x14ac:dyDescent="0.3">
      <c r="C519" t="s">
        <v>2295</v>
      </c>
      <c r="D519" t="s">
        <v>2267</v>
      </c>
      <c r="E519" t="s">
        <v>3268</v>
      </c>
      <c r="F519" t="s">
        <v>3269</v>
      </c>
      <c r="G519" s="425">
        <v>46638111</v>
      </c>
      <c r="H519" s="425">
        <v>46638111</v>
      </c>
      <c r="I519" s="425">
        <v>0</v>
      </c>
      <c r="J519" s="425">
        <v>0</v>
      </c>
      <c r="K519" s="425">
        <v>0</v>
      </c>
      <c r="L519" s="425">
        <v>0</v>
      </c>
      <c r="M519" s="425">
        <v>0</v>
      </c>
      <c r="N519" s="425">
        <v>0</v>
      </c>
      <c r="O519" s="425">
        <v>0</v>
      </c>
    </row>
    <row r="520" spans="3:15" hidden="1" x14ac:dyDescent="0.3">
      <c r="C520" t="s">
        <v>2295</v>
      </c>
      <c r="D520" t="s">
        <v>2267</v>
      </c>
      <c r="E520" t="s">
        <v>3270</v>
      </c>
      <c r="F520" t="s">
        <v>3271</v>
      </c>
      <c r="G520" s="425">
        <v>0</v>
      </c>
      <c r="H520" s="425">
        <v>0</v>
      </c>
      <c r="I520" s="425">
        <v>0</v>
      </c>
      <c r="J520" s="425">
        <v>0</v>
      </c>
      <c r="K520" s="425">
        <v>0</v>
      </c>
      <c r="L520" s="425">
        <v>0</v>
      </c>
      <c r="M520" s="425">
        <v>0</v>
      </c>
      <c r="N520" s="425">
        <v>0</v>
      </c>
      <c r="O520" s="425">
        <v>0</v>
      </c>
    </row>
    <row r="521" spans="3:15" hidden="1" x14ac:dyDescent="0.3">
      <c r="C521" t="s">
        <v>2295</v>
      </c>
      <c r="D521" t="s">
        <v>2267</v>
      </c>
      <c r="E521" t="s">
        <v>3272</v>
      </c>
      <c r="F521" t="s">
        <v>3273</v>
      </c>
      <c r="G521" s="425">
        <v>686224</v>
      </c>
      <c r="H521" s="425">
        <v>686224</v>
      </c>
      <c r="I521" s="425">
        <v>0</v>
      </c>
      <c r="J521" s="425">
        <v>0</v>
      </c>
      <c r="K521" s="425">
        <v>0</v>
      </c>
      <c r="L521" s="425">
        <v>0</v>
      </c>
      <c r="M521" s="425">
        <v>0</v>
      </c>
      <c r="N521" s="425">
        <v>0</v>
      </c>
      <c r="O521" s="425">
        <v>0</v>
      </c>
    </row>
    <row r="522" spans="3:15" hidden="1" x14ac:dyDescent="0.3">
      <c r="C522" t="s">
        <v>2295</v>
      </c>
      <c r="D522" t="s">
        <v>2267</v>
      </c>
      <c r="E522" t="s">
        <v>3274</v>
      </c>
      <c r="F522" t="s">
        <v>3275</v>
      </c>
      <c r="G522" s="425">
        <v>390321</v>
      </c>
      <c r="H522" s="425">
        <v>390321</v>
      </c>
      <c r="I522" s="425">
        <v>0</v>
      </c>
      <c r="J522" s="425">
        <v>0</v>
      </c>
      <c r="K522" s="425">
        <v>0</v>
      </c>
      <c r="L522" s="425">
        <v>0</v>
      </c>
      <c r="M522" s="425">
        <v>0</v>
      </c>
      <c r="N522" s="425">
        <v>0</v>
      </c>
      <c r="O522" s="425">
        <v>0</v>
      </c>
    </row>
    <row r="523" spans="3:15" hidden="1" x14ac:dyDescent="0.3">
      <c r="C523" t="s">
        <v>2295</v>
      </c>
      <c r="D523" t="s">
        <v>2267</v>
      </c>
      <c r="E523" t="s">
        <v>3276</v>
      </c>
      <c r="F523" t="s">
        <v>3277</v>
      </c>
      <c r="G523" s="425">
        <v>5927</v>
      </c>
      <c r="H523" s="425">
        <v>5927</v>
      </c>
      <c r="I523" s="425">
        <v>0</v>
      </c>
      <c r="J523" s="425">
        <v>0</v>
      </c>
      <c r="K523" s="425">
        <v>0</v>
      </c>
      <c r="L523" s="425">
        <v>0</v>
      </c>
      <c r="M523" s="425">
        <v>0</v>
      </c>
      <c r="N523" s="425">
        <v>0</v>
      </c>
      <c r="O523" s="425">
        <v>0</v>
      </c>
    </row>
    <row r="524" spans="3:15" hidden="1" x14ac:dyDescent="0.3">
      <c r="C524" t="s">
        <v>2295</v>
      </c>
      <c r="D524" t="s">
        <v>2267</v>
      </c>
      <c r="E524" t="s">
        <v>3278</v>
      </c>
      <c r="F524" t="s">
        <v>3279</v>
      </c>
      <c r="G524" s="425">
        <v>9877962</v>
      </c>
      <c r="H524" s="425">
        <v>9877962</v>
      </c>
      <c r="I524" s="425">
        <v>0</v>
      </c>
      <c r="J524" s="425">
        <v>0</v>
      </c>
      <c r="K524" s="425">
        <v>0</v>
      </c>
      <c r="L524" s="425">
        <v>0</v>
      </c>
      <c r="M524" s="425">
        <v>0</v>
      </c>
      <c r="N524" s="425">
        <v>0</v>
      </c>
      <c r="O524" s="425">
        <v>0</v>
      </c>
    </row>
    <row r="525" spans="3:15" hidden="1" x14ac:dyDescent="0.3">
      <c r="C525" t="s">
        <v>2295</v>
      </c>
      <c r="D525" t="s">
        <v>2267</v>
      </c>
      <c r="E525" t="s">
        <v>3280</v>
      </c>
      <c r="F525" t="s">
        <v>3281</v>
      </c>
      <c r="G525" s="425">
        <v>19283628</v>
      </c>
      <c r="H525" s="425">
        <v>19283628</v>
      </c>
      <c r="I525" s="425">
        <v>0</v>
      </c>
      <c r="J525" s="425">
        <v>0</v>
      </c>
      <c r="K525" s="425">
        <v>0</v>
      </c>
      <c r="L525" s="425">
        <v>0</v>
      </c>
      <c r="M525" s="425">
        <v>0</v>
      </c>
      <c r="N525" s="425">
        <v>0</v>
      </c>
      <c r="O525" s="425">
        <v>0</v>
      </c>
    </row>
    <row r="526" spans="3:15" hidden="1" x14ac:dyDescent="0.3">
      <c r="C526" t="s">
        <v>2295</v>
      </c>
      <c r="D526" t="s">
        <v>2267</v>
      </c>
      <c r="E526" t="s">
        <v>3282</v>
      </c>
      <c r="F526" t="s">
        <v>3283</v>
      </c>
      <c r="G526" s="425">
        <v>0</v>
      </c>
      <c r="H526" s="425">
        <v>0</v>
      </c>
      <c r="I526" s="425">
        <v>0</v>
      </c>
      <c r="J526" s="425">
        <v>0</v>
      </c>
      <c r="K526" s="425">
        <v>0</v>
      </c>
      <c r="L526" s="425">
        <v>0</v>
      </c>
      <c r="M526" s="425">
        <v>0</v>
      </c>
      <c r="N526" s="425">
        <v>0</v>
      </c>
      <c r="O526" s="425">
        <v>0</v>
      </c>
    </row>
    <row r="527" spans="3:15" hidden="1" x14ac:dyDescent="0.3">
      <c r="C527" t="s">
        <v>2295</v>
      </c>
      <c r="D527" t="s">
        <v>2267</v>
      </c>
      <c r="E527" t="s">
        <v>3284</v>
      </c>
      <c r="F527" t="s">
        <v>3285</v>
      </c>
      <c r="G527" s="425">
        <v>463292</v>
      </c>
      <c r="H527" s="425">
        <v>463292</v>
      </c>
      <c r="I527" s="425">
        <v>0</v>
      </c>
      <c r="J527" s="425">
        <v>0</v>
      </c>
      <c r="K527" s="425">
        <v>0</v>
      </c>
      <c r="L527" s="425">
        <v>0</v>
      </c>
      <c r="M527" s="425">
        <v>0</v>
      </c>
      <c r="N527" s="425">
        <v>0</v>
      </c>
      <c r="O527" s="425">
        <v>0</v>
      </c>
    </row>
    <row r="528" spans="3:15" hidden="1" x14ac:dyDescent="0.3">
      <c r="C528" t="s">
        <v>2295</v>
      </c>
      <c r="D528" t="s">
        <v>2267</v>
      </c>
      <c r="E528" t="s">
        <v>3286</v>
      </c>
      <c r="F528" t="s">
        <v>3287</v>
      </c>
      <c r="G528" s="425">
        <v>1156339</v>
      </c>
      <c r="H528" s="425">
        <v>1156339</v>
      </c>
      <c r="I528" s="425">
        <v>0</v>
      </c>
      <c r="J528" s="425">
        <v>0</v>
      </c>
      <c r="K528" s="425">
        <v>0</v>
      </c>
      <c r="L528" s="425">
        <v>0</v>
      </c>
      <c r="M528" s="425">
        <v>0</v>
      </c>
      <c r="N528" s="425">
        <v>0</v>
      </c>
      <c r="O528" s="425">
        <v>0</v>
      </c>
    </row>
    <row r="529" spans="3:15" hidden="1" x14ac:dyDescent="0.3">
      <c r="C529" t="s">
        <v>2295</v>
      </c>
      <c r="D529" t="s">
        <v>2267</v>
      </c>
      <c r="E529" t="s">
        <v>3288</v>
      </c>
      <c r="F529" t="s">
        <v>3289</v>
      </c>
      <c r="G529" s="425">
        <v>143924</v>
      </c>
      <c r="H529" s="425">
        <v>143924</v>
      </c>
      <c r="I529" s="425">
        <v>0</v>
      </c>
      <c r="J529" s="425">
        <v>0</v>
      </c>
      <c r="K529" s="425">
        <v>0</v>
      </c>
      <c r="L529" s="425">
        <v>0</v>
      </c>
      <c r="M529" s="425">
        <v>0</v>
      </c>
      <c r="N529" s="425">
        <v>0</v>
      </c>
      <c r="O529" s="425">
        <v>0</v>
      </c>
    </row>
    <row r="530" spans="3:15" hidden="1" x14ac:dyDescent="0.3">
      <c r="C530" t="s">
        <v>2295</v>
      </c>
      <c r="D530" t="s">
        <v>2267</v>
      </c>
      <c r="E530" t="s">
        <v>3290</v>
      </c>
      <c r="F530" t="s">
        <v>3291</v>
      </c>
      <c r="G530" s="425">
        <v>21029222</v>
      </c>
      <c r="H530" s="425">
        <v>21029222</v>
      </c>
      <c r="I530" s="425">
        <v>0</v>
      </c>
      <c r="J530" s="425">
        <v>0</v>
      </c>
      <c r="K530" s="425">
        <v>0</v>
      </c>
      <c r="L530" s="425">
        <v>0</v>
      </c>
      <c r="M530" s="425">
        <v>0</v>
      </c>
      <c r="N530" s="425">
        <v>0</v>
      </c>
      <c r="O530" s="425">
        <v>0</v>
      </c>
    </row>
    <row r="531" spans="3:15" hidden="1" x14ac:dyDescent="0.3">
      <c r="C531" t="s">
        <v>2295</v>
      </c>
      <c r="D531" t="s">
        <v>2267</v>
      </c>
      <c r="E531" t="s">
        <v>3292</v>
      </c>
      <c r="F531" t="s">
        <v>3293</v>
      </c>
      <c r="G531" s="425">
        <v>24023703</v>
      </c>
      <c r="H531" s="425">
        <v>24023703</v>
      </c>
      <c r="I531" s="425">
        <v>0</v>
      </c>
      <c r="J531" s="425">
        <v>0</v>
      </c>
      <c r="K531" s="425">
        <v>0</v>
      </c>
      <c r="L531" s="425">
        <v>0</v>
      </c>
      <c r="M531" s="425">
        <v>0</v>
      </c>
      <c r="N531" s="425">
        <v>0</v>
      </c>
      <c r="O531" s="425">
        <v>0</v>
      </c>
    </row>
    <row r="532" spans="3:15" hidden="1" x14ac:dyDescent="0.3">
      <c r="C532" t="s">
        <v>2295</v>
      </c>
      <c r="D532" t="s">
        <v>2267</v>
      </c>
      <c r="E532" t="s">
        <v>3294</v>
      </c>
      <c r="F532" t="s">
        <v>3295</v>
      </c>
      <c r="G532" s="425">
        <v>0</v>
      </c>
      <c r="H532" s="425">
        <v>0</v>
      </c>
      <c r="I532" s="425">
        <v>0</v>
      </c>
      <c r="J532" s="425">
        <v>0</v>
      </c>
      <c r="K532" s="425">
        <v>0</v>
      </c>
      <c r="L532" s="425">
        <v>0</v>
      </c>
      <c r="M532" s="425">
        <v>0</v>
      </c>
      <c r="N532" s="425">
        <v>0</v>
      </c>
      <c r="O532" s="425">
        <v>0</v>
      </c>
    </row>
    <row r="533" spans="3:15" hidden="1" x14ac:dyDescent="0.3">
      <c r="C533" t="s">
        <v>2295</v>
      </c>
      <c r="D533" t="s">
        <v>2267</v>
      </c>
      <c r="E533" t="s">
        <v>3296</v>
      </c>
      <c r="F533" t="s">
        <v>3297</v>
      </c>
      <c r="G533" s="425">
        <v>434380</v>
      </c>
      <c r="H533" s="425">
        <v>434380</v>
      </c>
      <c r="I533" s="425">
        <v>0</v>
      </c>
      <c r="J533" s="425">
        <v>0</v>
      </c>
      <c r="K533" s="425">
        <v>0</v>
      </c>
      <c r="L533" s="425">
        <v>0</v>
      </c>
      <c r="M533" s="425">
        <v>0</v>
      </c>
      <c r="N533" s="425">
        <v>0</v>
      </c>
      <c r="O533" s="425">
        <v>0</v>
      </c>
    </row>
    <row r="534" spans="3:15" hidden="1" x14ac:dyDescent="0.3">
      <c r="C534" t="s">
        <v>2295</v>
      </c>
      <c r="D534" t="s">
        <v>2267</v>
      </c>
      <c r="E534" t="s">
        <v>3298</v>
      </c>
      <c r="F534" t="s">
        <v>3299</v>
      </c>
      <c r="G534" s="425">
        <v>19</v>
      </c>
      <c r="H534" s="425">
        <v>19</v>
      </c>
      <c r="I534" s="425">
        <v>0</v>
      </c>
      <c r="J534" s="425">
        <v>0</v>
      </c>
      <c r="K534" s="425">
        <v>0</v>
      </c>
      <c r="L534" s="425">
        <v>0</v>
      </c>
      <c r="M534" s="425">
        <v>0</v>
      </c>
      <c r="N534" s="425">
        <v>0</v>
      </c>
      <c r="O534" s="425">
        <v>0</v>
      </c>
    </row>
    <row r="535" spans="3:15" hidden="1" x14ac:dyDescent="0.3">
      <c r="C535" t="s">
        <v>2295</v>
      </c>
      <c r="D535" t="s">
        <v>2267</v>
      </c>
      <c r="E535" t="s">
        <v>3300</v>
      </c>
      <c r="F535" t="s">
        <v>3301</v>
      </c>
      <c r="G535" s="425">
        <v>1294</v>
      </c>
      <c r="H535" s="425">
        <v>1294</v>
      </c>
      <c r="I535" s="425">
        <v>0</v>
      </c>
      <c r="J535" s="425">
        <v>0</v>
      </c>
      <c r="K535" s="425">
        <v>0</v>
      </c>
      <c r="L535" s="425">
        <v>0</v>
      </c>
      <c r="M535" s="425">
        <v>0</v>
      </c>
      <c r="N535" s="425">
        <v>0</v>
      </c>
      <c r="O535" s="425">
        <v>0</v>
      </c>
    </row>
    <row r="536" spans="3:15" hidden="1" x14ac:dyDescent="0.3">
      <c r="C536" t="s">
        <v>2295</v>
      </c>
      <c r="D536" t="s">
        <v>2267</v>
      </c>
      <c r="E536" t="s">
        <v>3302</v>
      </c>
      <c r="F536" t="s">
        <v>3303</v>
      </c>
      <c r="G536" s="425">
        <v>0</v>
      </c>
      <c r="H536" s="425">
        <v>0</v>
      </c>
      <c r="I536" s="425">
        <v>0</v>
      </c>
      <c r="J536" s="425">
        <v>0</v>
      </c>
      <c r="K536" s="425">
        <v>0</v>
      </c>
      <c r="L536" s="425">
        <v>0</v>
      </c>
      <c r="M536" s="425">
        <v>0</v>
      </c>
      <c r="N536" s="425">
        <v>0</v>
      </c>
      <c r="O536" s="425">
        <v>0</v>
      </c>
    </row>
    <row r="537" spans="3:15" hidden="1" x14ac:dyDescent="0.3">
      <c r="C537" t="s">
        <v>2295</v>
      </c>
      <c r="D537" t="s">
        <v>2267</v>
      </c>
      <c r="E537" t="s">
        <v>3304</v>
      </c>
      <c r="F537" t="s">
        <v>3305</v>
      </c>
      <c r="G537" s="425">
        <v>0</v>
      </c>
      <c r="H537" s="425">
        <v>0</v>
      </c>
      <c r="I537" s="425">
        <v>0</v>
      </c>
      <c r="J537" s="425">
        <v>0</v>
      </c>
      <c r="K537" s="425">
        <v>0</v>
      </c>
      <c r="L537" s="425">
        <v>0</v>
      </c>
      <c r="M537" s="425">
        <v>0</v>
      </c>
      <c r="N537" s="425">
        <v>0</v>
      </c>
      <c r="O537" s="425">
        <v>0</v>
      </c>
    </row>
    <row r="538" spans="3:15" hidden="1" x14ac:dyDescent="0.3">
      <c r="C538" t="s">
        <v>2295</v>
      </c>
      <c r="D538" t="s">
        <v>2267</v>
      </c>
      <c r="E538" t="s">
        <v>3306</v>
      </c>
      <c r="F538" t="s">
        <v>3307</v>
      </c>
      <c r="G538" s="425">
        <v>0</v>
      </c>
      <c r="H538" s="425">
        <v>0</v>
      </c>
      <c r="I538" s="425">
        <v>0</v>
      </c>
      <c r="J538" s="425">
        <v>0</v>
      </c>
      <c r="K538" s="425">
        <v>0</v>
      </c>
      <c r="L538" s="425">
        <v>0</v>
      </c>
      <c r="M538" s="425">
        <v>0</v>
      </c>
      <c r="N538" s="425">
        <v>0</v>
      </c>
      <c r="O538" s="425">
        <v>0</v>
      </c>
    </row>
    <row r="539" spans="3:15" hidden="1" x14ac:dyDescent="0.3">
      <c r="C539" t="s">
        <v>2295</v>
      </c>
      <c r="D539" t="s">
        <v>2267</v>
      </c>
      <c r="E539" t="s">
        <v>3308</v>
      </c>
      <c r="F539" t="s">
        <v>3309</v>
      </c>
      <c r="G539" s="425">
        <v>152713</v>
      </c>
      <c r="H539" s="425">
        <v>152713</v>
      </c>
      <c r="I539" s="425">
        <v>0</v>
      </c>
      <c r="J539" s="425">
        <v>0</v>
      </c>
      <c r="K539" s="425">
        <v>0</v>
      </c>
      <c r="L539" s="425">
        <v>0</v>
      </c>
      <c r="M539" s="425">
        <v>0</v>
      </c>
      <c r="N539" s="425">
        <v>0</v>
      </c>
      <c r="O539" s="425">
        <v>0</v>
      </c>
    </row>
    <row r="540" spans="3:15" hidden="1" x14ac:dyDescent="0.3">
      <c r="C540" t="s">
        <v>2295</v>
      </c>
      <c r="D540" t="s">
        <v>2267</v>
      </c>
      <c r="E540" t="s">
        <v>3310</v>
      </c>
      <c r="F540" t="s">
        <v>3311</v>
      </c>
      <c r="G540" s="425">
        <v>0</v>
      </c>
      <c r="H540" s="425">
        <v>0</v>
      </c>
      <c r="I540" s="425">
        <v>0</v>
      </c>
      <c r="J540" s="425">
        <v>0</v>
      </c>
      <c r="K540" s="425">
        <v>0</v>
      </c>
      <c r="L540" s="425">
        <v>0</v>
      </c>
      <c r="M540" s="425">
        <v>0</v>
      </c>
      <c r="N540" s="425">
        <v>0</v>
      </c>
      <c r="O540" s="425">
        <v>0</v>
      </c>
    </row>
    <row r="541" spans="3:15" hidden="1" x14ac:dyDescent="0.3">
      <c r="C541" t="s">
        <v>2295</v>
      </c>
      <c r="D541" t="s">
        <v>2267</v>
      </c>
      <c r="E541" t="s">
        <v>3312</v>
      </c>
      <c r="F541" t="s">
        <v>3313</v>
      </c>
      <c r="G541" s="425">
        <v>11</v>
      </c>
      <c r="H541" s="425">
        <v>11</v>
      </c>
      <c r="I541" s="425">
        <v>0</v>
      </c>
      <c r="J541" s="425">
        <v>0</v>
      </c>
      <c r="K541" s="425">
        <v>0</v>
      </c>
      <c r="L541" s="425">
        <v>0</v>
      </c>
      <c r="M541" s="425">
        <v>0</v>
      </c>
      <c r="N541" s="425">
        <v>0</v>
      </c>
      <c r="O541" s="425">
        <v>0</v>
      </c>
    </row>
    <row r="542" spans="3:15" hidden="1" x14ac:dyDescent="0.3">
      <c r="C542" t="s">
        <v>2295</v>
      </c>
      <c r="D542" t="s">
        <v>2267</v>
      </c>
      <c r="E542" t="s">
        <v>3314</v>
      </c>
      <c r="F542" t="s">
        <v>3315</v>
      </c>
      <c r="G542" s="425">
        <v>254823</v>
      </c>
      <c r="H542" s="425">
        <v>254823</v>
      </c>
      <c r="I542" s="425">
        <v>0</v>
      </c>
      <c r="J542" s="425">
        <v>0</v>
      </c>
      <c r="K542" s="425">
        <v>0</v>
      </c>
      <c r="L542" s="425">
        <v>0</v>
      </c>
      <c r="M542" s="425">
        <v>0</v>
      </c>
      <c r="N542" s="425">
        <v>0</v>
      </c>
      <c r="O542" s="425">
        <v>0</v>
      </c>
    </row>
    <row r="543" spans="3:15" hidden="1" x14ac:dyDescent="0.3">
      <c r="C543" t="s">
        <v>2295</v>
      </c>
      <c r="D543" t="s">
        <v>2267</v>
      </c>
      <c r="E543" t="s">
        <v>3316</v>
      </c>
      <c r="F543" t="s">
        <v>3317</v>
      </c>
      <c r="G543" s="425">
        <v>1168365</v>
      </c>
      <c r="H543" s="425">
        <v>1168365</v>
      </c>
      <c r="I543" s="425">
        <v>0</v>
      </c>
      <c r="J543" s="425">
        <v>0</v>
      </c>
      <c r="K543" s="425">
        <v>0</v>
      </c>
      <c r="L543" s="425">
        <v>0</v>
      </c>
      <c r="M543" s="425">
        <v>0</v>
      </c>
      <c r="N543" s="425">
        <v>0</v>
      </c>
      <c r="O543" s="425">
        <v>0</v>
      </c>
    </row>
    <row r="544" spans="3:15" hidden="1" x14ac:dyDescent="0.3">
      <c r="C544" t="s">
        <v>2295</v>
      </c>
      <c r="D544" t="s">
        <v>2267</v>
      </c>
      <c r="E544" t="s">
        <v>3318</v>
      </c>
      <c r="F544" t="s">
        <v>3319</v>
      </c>
      <c r="G544" s="425">
        <v>2367263</v>
      </c>
      <c r="H544" s="425">
        <v>2367263</v>
      </c>
      <c r="I544" s="425">
        <v>0</v>
      </c>
      <c r="J544" s="425">
        <v>0</v>
      </c>
      <c r="K544" s="425">
        <v>0</v>
      </c>
      <c r="L544" s="425">
        <v>0</v>
      </c>
      <c r="M544" s="425">
        <v>0</v>
      </c>
      <c r="N544" s="425">
        <v>0</v>
      </c>
      <c r="O544" s="425">
        <v>0</v>
      </c>
    </row>
    <row r="545" spans="3:15" hidden="1" x14ac:dyDescent="0.3">
      <c r="C545" t="s">
        <v>2295</v>
      </c>
      <c r="D545" t="s">
        <v>2267</v>
      </c>
      <c r="E545" t="s">
        <v>3320</v>
      </c>
      <c r="F545" t="s">
        <v>3321</v>
      </c>
      <c r="G545" s="425">
        <v>20757769</v>
      </c>
      <c r="H545" s="425">
        <v>20757769</v>
      </c>
      <c r="I545" s="425">
        <v>0</v>
      </c>
      <c r="J545" s="425">
        <v>0</v>
      </c>
      <c r="K545" s="425">
        <v>0</v>
      </c>
      <c r="L545" s="425">
        <v>0</v>
      </c>
      <c r="M545" s="425">
        <v>0</v>
      </c>
      <c r="N545" s="425">
        <v>0</v>
      </c>
      <c r="O545" s="425">
        <v>0</v>
      </c>
    </row>
    <row r="546" spans="3:15" hidden="1" x14ac:dyDescent="0.3">
      <c r="C546" t="s">
        <v>2295</v>
      </c>
      <c r="D546" t="s">
        <v>2267</v>
      </c>
      <c r="E546" t="s">
        <v>3322</v>
      </c>
      <c r="F546" t="s">
        <v>3323</v>
      </c>
      <c r="G546" s="425">
        <v>0</v>
      </c>
      <c r="H546" s="425">
        <v>0</v>
      </c>
      <c r="I546" s="425">
        <v>0</v>
      </c>
      <c r="J546" s="425">
        <v>0</v>
      </c>
      <c r="K546" s="425">
        <v>0</v>
      </c>
      <c r="L546" s="425">
        <v>0</v>
      </c>
      <c r="M546" s="425">
        <v>0</v>
      </c>
      <c r="N546" s="425">
        <v>0</v>
      </c>
      <c r="O546" s="425">
        <v>0</v>
      </c>
    </row>
    <row r="547" spans="3:15" hidden="1" x14ac:dyDescent="0.3">
      <c r="C547" t="s">
        <v>2295</v>
      </c>
      <c r="D547" t="s">
        <v>2267</v>
      </c>
      <c r="E547" t="s">
        <v>3324</v>
      </c>
      <c r="F547" t="s">
        <v>3325</v>
      </c>
      <c r="G547" s="425">
        <v>1078802</v>
      </c>
      <c r="H547" s="425">
        <v>1078802</v>
      </c>
      <c r="I547" s="425">
        <v>0</v>
      </c>
      <c r="J547" s="425">
        <v>0</v>
      </c>
      <c r="K547" s="425">
        <v>0</v>
      </c>
      <c r="L547" s="425">
        <v>0</v>
      </c>
      <c r="M547" s="425">
        <v>0</v>
      </c>
      <c r="N547" s="425">
        <v>0</v>
      </c>
      <c r="O547" s="425">
        <v>0</v>
      </c>
    </row>
    <row r="548" spans="3:15" hidden="1" x14ac:dyDescent="0.3">
      <c r="C548" t="s">
        <v>2295</v>
      </c>
      <c r="D548" t="s">
        <v>2267</v>
      </c>
      <c r="E548" t="s">
        <v>3326</v>
      </c>
      <c r="F548" t="s">
        <v>3327</v>
      </c>
      <c r="G548" s="425">
        <v>1912733</v>
      </c>
      <c r="H548" s="425">
        <v>1912733</v>
      </c>
      <c r="I548" s="425">
        <v>0</v>
      </c>
      <c r="J548" s="425">
        <v>0</v>
      </c>
      <c r="K548" s="425">
        <v>0</v>
      </c>
      <c r="L548" s="425">
        <v>0</v>
      </c>
      <c r="M548" s="425">
        <v>0</v>
      </c>
      <c r="N548" s="425">
        <v>0</v>
      </c>
      <c r="O548" s="425">
        <v>0</v>
      </c>
    </row>
    <row r="549" spans="3:15" hidden="1" x14ac:dyDescent="0.3">
      <c r="C549" t="s">
        <v>2295</v>
      </c>
      <c r="D549" t="s">
        <v>2267</v>
      </c>
      <c r="E549" t="s">
        <v>3328</v>
      </c>
      <c r="F549" t="s">
        <v>3329</v>
      </c>
      <c r="G549" s="425">
        <v>0</v>
      </c>
      <c r="H549" s="425">
        <v>0</v>
      </c>
      <c r="I549" s="425">
        <v>0</v>
      </c>
      <c r="J549" s="425">
        <v>0</v>
      </c>
      <c r="K549" s="425">
        <v>0</v>
      </c>
      <c r="L549" s="425">
        <v>0</v>
      </c>
      <c r="M549" s="425">
        <v>0</v>
      </c>
      <c r="N549" s="425">
        <v>0</v>
      </c>
      <c r="O549" s="425">
        <v>0</v>
      </c>
    </row>
    <row r="550" spans="3:15" hidden="1" x14ac:dyDescent="0.3">
      <c r="C550" t="s">
        <v>2295</v>
      </c>
      <c r="D550" t="s">
        <v>2267</v>
      </c>
      <c r="E550" t="s">
        <v>3330</v>
      </c>
      <c r="F550" t="s">
        <v>3331</v>
      </c>
      <c r="G550" s="425">
        <v>11573535</v>
      </c>
      <c r="H550" s="425">
        <v>11573535</v>
      </c>
      <c r="I550" s="425">
        <v>0</v>
      </c>
      <c r="J550" s="425">
        <v>0</v>
      </c>
      <c r="K550" s="425">
        <v>0</v>
      </c>
      <c r="L550" s="425">
        <v>0</v>
      </c>
      <c r="M550" s="425">
        <v>0</v>
      </c>
      <c r="N550" s="425">
        <v>0</v>
      </c>
      <c r="O550" s="425">
        <v>0</v>
      </c>
    </row>
    <row r="551" spans="3:15" hidden="1" x14ac:dyDescent="0.3">
      <c r="C551" t="s">
        <v>2295</v>
      </c>
      <c r="D551" t="s">
        <v>2267</v>
      </c>
      <c r="E551" t="s">
        <v>3332</v>
      </c>
      <c r="F551" t="s">
        <v>3333</v>
      </c>
      <c r="G551" s="425">
        <v>1301222</v>
      </c>
      <c r="H551" s="425">
        <v>1301222</v>
      </c>
      <c r="I551" s="425">
        <v>0</v>
      </c>
      <c r="J551" s="425">
        <v>0</v>
      </c>
      <c r="K551" s="425">
        <v>0</v>
      </c>
      <c r="L551" s="425">
        <v>0</v>
      </c>
      <c r="M551" s="425">
        <v>0</v>
      </c>
      <c r="N551" s="425">
        <v>0</v>
      </c>
      <c r="O551" s="425">
        <v>0</v>
      </c>
    </row>
    <row r="552" spans="3:15" hidden="1" x14ac:dyDescent="0.3">
      <c r="C552" t="s">
        <v>2295</v>
      </c>
      <c r="D552" t="s">
        <v>2267</v>
      </c>
      <c r="E552" t="s">
        <v>3334</v>
      </c>
      <c r="F552" t="s">
        <v>3335</v>
      </c>
      <c r="G552" s="425">
        <v>20222</v>
      </c>
      <c r="H552" s="425">
        <v>20222</v>
      </c>
      <c r="I552" s="425">
        <v>0</v>
      </c>
      <c r="J552" s="425">
        <v>0</v>
      </c>
      <c r="K552" s="425">
        <v>0</v>
      </c>
      <c r="L552" s="425">
        <v>0</v>
      </c>
      <c r="M552" s="425">
        <v>0</v>
      </c>
      <c r="N552" s="425">
        <v>0</v>
      </c>
      <c r="O552" s="425">
        <v>0</v>
      </c>
    </row>
    <row r="553" spans="3:15" hidden="1" x14ac:dyDescent="0.3">
      <c r="C553" t="s">
        <v>2295</v>
      </c>
      <c r="D553" t="s">
        <v>2267</v>
      </c>
      <c r="E553" t="s">
        <v>3336</v>
      </c>
      <c r="F553" t="s">
        <v>3337</v>
      </c>
      <c r="G553" s="425">
        <v>397594</v>
      </c>
      <c r="H553" s="425">
        <v>397594</v>
      </c>
      <c r="I553" s="425">
        <v>0</v>
      </c>
      <c r="J553" s="425">
        <v>0</v>
      </c>
      <c r="K553" s="425">
        <v>0</v>
      </c>
      <c r="L553" s="425">
        <v>0</v>
      </c>
      <c r="M553" s="425">
        <v>0</v>
      </c>
      <c r="N553" s="425">
        <v>0</v>
      </c>
      <c r="O553" s="425">
        <v>0</v>
      </c>
    </row>
    <row r="554" spans="3:15" hidden="1" x14ac:dyDescent="0.3">
      <c r="C554" t="s">
        <v>2295</v>
      </c>
      <c r="D554" t="s">
        <v>2267</v>
      </c>
      <c r="E554" t="s">
        <v>3338</v>
      </c>
      <c r="F554" t="s">
        <v>3339</v>
      </c>
      <c r="G554" s="425">
        <v>82321</v>
      </c>
      <c r="H554" s="425">
        <v>82321</v>
      </c>
      <c r="I554" s="425">
        <v>0</v>
      </c>
      <c r="J554" s="425">
        <v>0</v>
      </c>
      <c r="K554" s="425">
        <v>0</v>
      </c>
      <c r="L554" s="425">
        <v>0</v>
      </c>
      <c r="M554" s="425">
        <v>0</v>
      </c>
      <c r="N554" s="425">
        <v>0</v>
      </c>
      <c r="O554" s="425">
        <v>0</v>
      </c>
    </row>
    <row r="555" spans="3:15" hidden="1" x14ac:dyDescent="0.3">
      <c r="C555" t="s">
        <v>2295</v>
      </c>
      <c r="D555" t="s">
        <v>2267</v>
      </c>
      <c r="E555" t="s">
        <v>3340</v>
      </c>
      <c r="F555" t="s">
        <v>3341</v>
      </c>
      <c r="G555" s="425">
        <v>269785</v>
      </c>
      <c r="H555" s="425">
        <v>269785</v>
      </c>
      <c r="I555" s="425">
        <v>0</v>
      </c>
      <c r="J555" s="425">
        <v>0</v>
      </c>
      <c r="K555" s="425">
        <v>0</v>
      </c>
      <c r="L555" s="425">
        <v>0</v>
      </c>
      <c r="M555" s="425">
        <v>0</v>
      </c>
      <c r="N555" s="425">
        <v>0</v>
      </c>
      <c r="O555" s="425">
        <v>0</v>
      </c>
    </row>
    <row r="556" spans="3:15" hidden="1" x14ac:dyDescent="0.3">
      <c r="C556" t="s">
        <v>2295</v>
      </c>
      <c r="D556" t="s">
        <v>2267</v>
      </c>
      <c r="E556" t="s">
        <v>3342</v>
      </c>
      <c r="F556" t="s">
        <v>3343</v>
      </c>
      <c r="G556" s="425">
        <v>0</v>
      </c>
      <c r="H556" s="425">
        <v>0</v>
      </c>
      <c r="I556" s="425">
        <v>0</v>
      </c>
      <c r="J556" s="425">
        <v>0</v>
      </c>
      <c r="K556" s="425">
        <v>0</v>
      </c>
      <c r="L556" s="425">
        <v>0</v>
      </c>
      <c r="M556" s="425">
        <v>0</v>
      </c>
      <c r="N556" s="425">
        <v>0</v>
      </c>
      <c r="O556" s="425">
        <v>0</v>
      </c>
    </row>
    <row r="557" spans="3:15" hidden="1" x14ac:dyDescent="0.3">
      <c r="C557" t="s">
        <v>2295</v>
      </c>
      <c r="D557" t="s">
        <v>2267</v>
      </c>
      <c r="E557" t="s">
        <v>3344</v>
      </c>
      <c r="F557" t="s">
        <v>3345</v>
      </c>
      <c r="G557" s="425">
        <v>0</v>
      </c>
      <c r="H557" s="425">
        <v>0</v>
      </c>
      <c r="I557" s="425">
        <v>0</v>
      </c>
      <c r="J557" s="425">
        <v>0</v>
      </c>
      <c r="K557" s="425">
        <v>0</v>
      </c>
      <c r="L557" s="425">
        <v>0</v>
      </c>
      <c r="M557" s="425">
        <v>0</v>
      </c>
      <c r="N557" s="425">
        <v>0</v>
      </c>
      <c r="O557" s="425">
        <v>0</v>
      </c>
    </row>
    <row r="558" spans="3:15" hidden="1" x14ac:dyDescent="0.3">
      <c r="C558" t="s">
        <v>2295</v>
      </c>
      <c r="D558" t="s">
        <v>2267</v>
      </c>
      <c r="E558" t="s">
        <v>3346</v>
      </c>
      <c r="F558" t="s">
        <v>3347</v>
      </c>
      <c r="G558" s="425">
        <v>54450</v>
      </c>
      <c r="H558" s="425">
        <v>54450</v>
      </c>
      <c r="I558" s="425">
        <v>0</v>
      </c>
      <c r="J558" s="425">
        <v>0</v>
      </c>
      <c r="K558" s="425">
        <v>0</v>
      </c>
      <c r="L558" s="425">
        <v>0</v>
      </c>
      <c r="M558" s="425">
        <v>0</v>
      </c>
      <c r="N558" s="425">
        <v>0</v>
      </c>
      <c r="O558" s="425">
        <v>0</v>
      </c>
    </row>
    <row r="559" spans="3:15" hidden="1" x14ac:dyDescent="0.3">
      <c r="C559" t="s">
        <v>2295</v>
      </c>
      <c r="D559" t="s">
        <v>2267</v>
      </c>
      <c r="E559" t="s">
        <v>3348</v>
      </c>
      <c r="F559" t="s">
        <v>3349</v>
      </c>
      <c r="G559" s="425">
        <v>28770</v>
      </c>
      <c r="H559" s="425">
        <v>28770</v>
      </c>
      <c r="I559" s="425">
        <v>0</v>
      </c>
      <c r="J559" s="425">
        <v>0</v>
      </c>
      <c r="K559" s="425">
        <v>0</v>
      </c>
      <c r="L559" s="425">
        <v>0</v>
      </c>
      <c r="M559" s="425">
        <v>0</v>
      </c>
      <c r="N559" s="425">
        <v>0</v>
      </c>
      <c r="O559" s="425">
        <v>0</v>
      </c>
    </row>
    <row r="560" spans="3:15" hidden="1" x14ac:dyDescent="0.3">
      <c r="C560" t="s">
        <v>2295</v>
      </c>
      <c r="D560" t="s">
        <v>2267</v>
      </c>
      <c r="E560" t="s">
        <v>3350</v>
      </c>
      <c r="F560" t="s">
        <v>3351</v>
      </c>
      <c r="G560" s="425">
        <v>136411</v>
      </c>
      <c r="H560" s="425">
        <v>136411</v>
      </c>
      <c r="I560" s="425">
        <v>0</v>
      </c>
      <c r="J560" s="425">
        <v>0</v>
      </c>
      <c r="K560" s="425">
        <v>0</v>
      </c>
      <c r="L560" s="425">
        <v>0</v>
      </c>
      <c r="M560" s="425">
        <v>0</v>
      </c>
      <c r="N560" s="425">
        <v>0</v>
      </c>
      <c r="O560" s="425">
        <v>0</v>
      </c>
    </row>
    <row r="561" spans="3:15" hidden="1" x14ac:dyDescent="0.3">
      <c r="C561" t="s">
        <v>2295</v>
      </c>
      <c r="D561" t="s">
        <v>2267</v>
      </c>
      <c r="E561" t="s">
        <v>3352</v>
      </c>
      <c r="F561" t="s">
        <v>3353</v>
      </c>
      <c r="G561" s="425">
        <v>162969</v>
      </c>
      <c r="H561" s="425">
        <v>162969</v>
      </c>
      <c r="I561" s="425">
        <v>0</v>
      </c>
      <c r="J561" s="425">
        <v>0</v>
      </c>
      <c r="K561" s="425">
        <v>0</v>
      </c>
      <c r="L561" s="425">
        <v>0</v>
      </c>
      <c r="M561" s="425">
        <v>0</v>
      </c>
      <c r="N561" s="425">
        <v>0</v>
      </c>
      <c r="O561" s="425">
        <v>0</v>
      </c>
    </row>
    <row r="562" spans="3:15" hidden="1" x14ac:dyDescent="0.3">
      <c r="C562" t="s">
        <v>2295</v>
      </c>
      <c r="D562" t="s">
        <v>2267</v>
      </c>
      <c r="E562" t="s">
        <v>3354</v>
      </c>
      <c r="F562" t="s">
        <v>3355</v>
      </c>
      <c r="G562" s="425">
        <v>1064</v>
      </c>
      <c r="H562" s="425">
        <v>1064</v>
      </c>
      <c r="I562" s="425">
        <v>0</v>
      </c>
      <c r="J562" s="425">
        <v>0</v>
      </c>
      <c r="K562" s="425">
        <v>0</v>
      </c>
      <c r="L562" s="425">
        <v>0</v>
      </c>
      <c r="M562" s="425">
        <v>0</v>
      </c>
      <c r="N562" s="425">
        <v>0</v>
      </c>
      <c r="O562" s="425">
        <v>0</v>
      </c>
    </row>
    <row r="563" spans="3:15" hidden="1" x14ac:dyDescent="0.3">
      <c r="C563" t="s">
        <v>2295</v>
      </c>
      <c r="D563" t="s">
        <v>2267</v>
      </c>
      <c r="E563" t="s">
        <v>3356</v>
      </c>
      <c r="F563" t="s">
        <v>3357</v>
      </c>
      <c r="G563" s="425">
        <v>0</v>
      </c>
      <c r="H563" s="425">
        <v>0</v>
      </c>
      <c r="I563" s="425">
        <v>0</v>
      </c>
      <c r="J563" s="425">
        <v>0</v>
      </c>
      <c r="K563" s="425">
        <v>0</v>
      </c>
      <c r="L563" s="425">
        <v>0</v>
      </c>
      <c r="M563" s="425">
        <v>0</v>
      </c>
      <c r="N563" s="425">
        <v>0</v>
      </c>
      <c r="O563" s="425">
        <v>0</v>
      </c>
    </row>
    <row r="564" spans="3:15" hidden="1" x14ac:dyDescent="0.3">
      <c r="C564" t="s">
        <v>2295</v>
      </c>
      <c r="D564" t="s">
        <v>2267</v>
      </c>
      <c r="E564" t="s">
        <v>3358</v>
      </c>
      <c r="F564" t="s">
        <v>3359</v>
      </c>
      <c r="G564" s="425">
        <v>684</v>
      </c>
      <c r="H564" s="425">
        <v>684</v>
      </c>
      <c r="I564" s="425">
        <v>0</v>
      </c>
      <c r="J564" s="425">
        <v>0</v>
      </c>
      <c r="K564" s="425">
        <v>0</v>
      </c>
      <c r="L564" s="425">
        <v>0</v>
      </c>
      <c r="M564" s="425">
        <v>0</v>
      </c>
      <c r="N564" s="425">
        <v>0</v>
      </c>
      <c r="O564" s="425">
        <v>0</v>
      </c>
    </row>
    <row r="565" spans="3:15" hidden="1" x14ac:dyDescent="0.3">
      <c r="C565" t="s">
        <v>2295</v>
      </c>
      <c r="D565" t="s">
        <v>2267</v>
      </c>
      <c r="E565" t="s">
        <v>3360</v>
      </c>
      <c r="F565" t="s">
        <v>3361</v>
      </c>
      <c r="G565" s="425">
        <v>1818</v>
      </c>
      <c r="H565" s="425">
        <v>1818</v>
      </c>
      <c r="I565" s="425">
        <v>0</v>
      </c>
      <c r="J565" s="425">
        <v>0</v>
      </c>
      <c r="K565" s="425">
        <v>0</v>
      </c>
      <c r="L565" s="425">
        <v>0</v>
      </c>
      <c r="M565" s="425">
        <v>0</v>
      </c>
      <c r="N565" s="425">
        <v>0</v>
      </c>
      <c r="O565" s="425">
        <v>0</v>
      </c>
    </row>
    <row r="566" spans="3:15" hidden="1" x14ac:dyDescent="0.3">
      <c r="C566" t="s">
        <v>2295</v>
      </c>
      <c r="D566" t="s">
        <v>2267</v>
      </c>
      <c r="E566" t="s">
        <v>3362</v>
      </c>
      <c r="F566" t="s">
        <v>3363</v>
      </c>
      <c r="G566" s="425">
        <v>748635</v>
      </c>
      <c r="H566" s="425">
        <v>748635</v>
      </c>
      <c r="I566" s="425">
        <v>0</v>
      </c>
      <c r="J566" s="425">
        <v>0</v>
      </c>
      <c r="K566" s="425">
        <v>0</v>
      </c>
      <c r="L566" s="425">
        <v>0</v>
      </c>
      <c r="M566" s="425">
        <v>0</v>
      </c>
      <c r="N566" s="425">
        <v>0</v>
      </c>
      <c r="O566" s="425">
        <v>0</v>
      </c>
    </row>
    <row r="567" spans="3:15" hidden="1" x14ac:dyDescent="0.3">
      <c r="C567" t="s">
        <v>2295</v>
      </c>
      <c r="D567" t="s">
        <v>2267</v>
      </c>
      <c r="E567" t="s">
        <v>3364</v>
      </c>
      <c r="F567" t="s">
        <v>3365</v>
      </c>
      <c r="G567" s="425">
        <v>24699</v>
      </c>
      <c r="H567" s="425">
        <v>24699</v>
      </c>
      <c r="I567" s="425">
        <v>0</v>
      </c>
      <c r="J567" s="425">
        <v>0</v>
      </c>
      <c r="K567" s="425">
        <v>0</v>
      </c>
      <c r="L567" s="425">
        <v>0</v>
      </c>
      <c r="M567" s="425">
        <v>0</v>
      </c>
      <c r="N567" s="425">
        <v>0</v>
      </c>
      <c r="O567" s="425">
        <v>0</v>
      </c>
    </row>
    <row r="568" spans="3:15" hidden="1" x14ac:dyDescent="0.3">
      <c r="C568" t="s">
        <v>2295</v>
      </c>
      <c r="D568" t="s">
        <v>2267</v>
      </c>
      <c r="E568" t="s">
        <v>3366</v>
      </c>
      <c r="F568" t="s">
        <v>3367</v>
      </c>
      <c r="G568" s="425">
        <v>54732334</v>
      </c>
      <c r="H568" s="425">
        <v>54732334</v>
      </c>
      <c r="I568" s="425">
        <v>0</v>
      </c>
      <c r="J568" s="425">
        <v>0</v>
      </c>
      <c r="K568" s="425">
        <v>0</v>
      </c>
      <c r="L568" s="425">
        <v>0</v>
      </c>
      <c r="M568" s="425">
        <v>0</v>
      </c>
      <c r="N568" s="425">
        <v>0</v>
      </c>
      <c r="O568" s="425">
        <v>0</v>
      </c>
    </row>
    <row r="569" spans="3:15" hidden="1" x14ac:dyDescent="0.3">
      <c r="C569" t="s">
        <v>2295</v>
      </c>
      <c r="D569" t="s">
        <v>2267</v>
      </c>
      <c r="E569" t="s">
        <v>3368</v>
      </c>
      <c r="F569" t="s">
        <v>3369</v>
      </c>
      <c r="G569" s="425">
        <v>30027876</v>
      </c>
      <c r="H569" s="425">
        <v>30027876</v>
      </c>
      <c r="I569" s="425">
        <v>0</v>
      </c>
      <c r="J569" s="425">
        <v>0</v>
      </c>
      <c r="K569" s="425">
        <v>0</v>
      </c>
      <c r="L569" s="425">
        <v>0</v>
      </c>
      <c r="M569" s="425">
        <v>0</v>
      </c>
      <c r="N569" s="425">
        <v>0</v>
      </c>
      <c r="O569" s="425">
        <v>0</v>
      </c>
    </row>
    <row r="570" spans="3:15" hidden="1" x14ac:dyDescent="0.3">
      <c r="C570" t="s">
        <v>2295</v>
      </c>
      <c r="D570" t="s">
        <v>2267</v>
      </c>
      <c r="E570" t="s">
        <v>3370</v>
      </c>
      <c r="F570" t="s">
        <v>3371</v>
      </c>
      <c r="G570" s="425">
        <v>0</v>
      </c>
      <c r="H570" s="425">
        <v>0</v>
      </c>
      <c r="I570" s="425">
        <v>0</v>
      </c>
      <c r="J570" s="425">
        <v>0</v>
      </c>
      <c r="K570" s="425">
        <v>0</v>
      </c>
      <c r="L570" s="425">
        <v>0</v>
      </c>
      <c r="M570" s="425">
        <v>0</v>
      </c>
      <c r="N570" s="425">
        <v>0</v>
      </c>
      <c r="O570" s="425">
        <v>0</v>
      </c>
    </row>
    <row r="571" spans="3:15" hidden="1" x14ac:dyDescent="0.3">
      <c r="C571" t="s">
        <v>2295</v>
      </c>
      <c r="D571" t="s">
        <v>2267</v>
      </c>
      <c r="E571" t="s">
        <v>3372</v>
      </c>
      <c r="F571" t="s">
        <v>3373</v>
      </c>
      <c r="G571" s="425">
        <v>793716</v>
      </c>
      <c r="H571" s="425">
        <v>793716</v>
      </c>
      <c r="I571" s="425">
        <v>0</v>
      </c>
      <c r="J571" s="425">
        <v>0</v>
      </c>
      <c r="K571" s="425">
        <v>0</v>
      </c>
      <c r="L571" s="425">
        <v>0</v>
      </c>
      <c r="M571" s="425">
        <v>0</v>
      </c>
      <c r="N571" s="425">
        <v>0</v>
      </c>
      <c r="O571" s="425">
        <v>0</v>
      </c>
    </row>
    <row r="572" spans="3:15" hidden="1" x14ac:dyDescent="0.3">
      <c r="C572" t="s">
        <v>2295</v>
      </c>
      <c r="D572" t="s">
        <v>2267</v>
      </c>
      <c r="E572" t="s">
        <v>3374</v>
      </c>
      <c r="F572" t="s">
        <v>3375</v>
      </c>
      <c r="G572" s="425">
        <v>263909</v>
      </c>
      <c r="H572" s="425">
        <v>263909</v>
      </c>
      <c r="I572" s="425">
        <v>0</v>
      </c>
      <c r="J572" s="425">
        <v>0</v>
      </c>
      <c r="K572" s="425">
        <v>0</v>
      </c>
      <c r="L572" s="425">
        <v>0</v>
      </c>
      <c r="M572" s="425">
        <v>0</v>
      </c>
      <c r="N572" s="425">
        <v>0</v>
      </c>
      <c r="O572" s="425">
        <v>0</v>
      </c>
    </row>
    <row r="573" spans="3:15" hidden="1" x14ac:dyDescent="0.3">
      <c r="C573" t="s">
        <v>2295</v>
      </c>
      <c r="D573" t="s">
        <v>2267</v>
      </c>
      <c r="E573" t="s">
        <v>3376</v>
      </c>
      <c r="F573" t="s">
        <v>3377</v>
      </c>
      <c r="G573" s="425">
        <v>802731</v>
      </c>
      <c r="H573" s="425">
        <v>802731</v>
      </c>
      <c r="I573" s="425">
        <v>0</v>
      </c>
      <c r="J573" s="425">
        <v>0</v>
      </c>
      <c r="K573" s="425">
        <v>0</v>
      </c>
      <c r="L573" s="425">
        <v>0</v>
      </c>
      <c r="M573" s="425">
        <v>0</v>
      </c>
      <c r="N573" s="425">
        <v>0</v>
      </c>
      <c r="O573" s="425">
        <v>0</v>
      </c>
    </row>
    <row r="574" spans="3:15" hidden="1" x14ac:dyDescent="0.3">
      <c r="C574" t="s">
        <v>2295</v>
      </c>
      <c r="D574" t="s">
        <v>2267</v>
      </c>
      <c r="E574" t="s">
        <v>3378</v>
      </c>
      <c r="F574" t="s">
        <v>3379</v>
      </c>
      <c r="G574" s="425">
        <v>3092463</v>
      </c>
      <c r="H574" s="425">
        <v>3092463</v>
      </c>
      <c r="I574" s="425">
        <v>0</v>
      </c>
      <c r="J574" s="425">
        <v>0</v>
      </c>
      <c r="K574" s="425">
        <v>0</v>
      </c>
      <c r="L574" s="425">
        <v>0</v>
      </c>
      <c r="M574" s="425">
        <v>0</v>
      </c>
      <c r="N574" s="425">
        <v>0</v>
      </c>
      <c r="O574" s="425">
        <v>0</v>
      </c>
    </row>
    <row r="575" spans="3:15" hidden="1" x14ac:dyDescent="0.3">
      <c r="C575" t="s">
        <v>2295</v>
      </c>
      <c r="D575" t="s">
        <v>2267</v>
      </c>
      <c r="E575" t="s">
        <v>3380</v>
      </c>
      <c r="F575" t="s">
        <v>3381</v>
      </c>
      <c r="G575" s="425">
        <v>7851824</v>
      </c>
      <c r="H575" s="425">
        <v>7851824</v>
      </c>
      <c r="I575" s="425">
        <v>0</v>
      </c>
      <c r="J575" s="425">
        <v>0</v>
      </c>
      <c r="K575" s="425">
        <v>0</v>
      </c>
      <c r="L575" s="425">
        <v>0</v>
      </c>
      <c r="M575" s="425">
        <v>0</v>
      </c>
      <c r="N575" s="425">
        <v>0</v>
      </c>
      <c r="O575" s="425">
        <v>0</v>
      </c>
    </row>
    <row r="576" spans="3:15" hidden="1" x14ac:dyDescent="0.3">
      <c r="C576" t="s">
        <v>2295</v>
      </c>
      <c r="D576" t="s">
        <v>2267</v>
      </c>
      <c r="E576" t="s">
        <v>3382</v>
      </c>
      <c r="F576" t="s">
        <v>3383</v>
      </c>
      <c r="G576" s="425">
        <v>0</v>
      </c>
      <c r="H576" s="425">
        <v>0</v>
      </c>
      <c r="I576" s="425">
        <v>0</v>
      </c>
      <c r="J576" s="425">
        <v>0</v>
      </c>
      <c r="K576" s="425">
        <v>0</v>
      </c>
      <c r="L576" s="425">
        <v>0</v>
      </c>
      <c r="M576" s="425">
        <v>0</v>
      </c>
      <c r="N576" s="425">
        <v>0</v>
      </c>
      <c r="O576" s="425">
        <v>0</v>
      </c>
    </row>
    <row r="577" spans="3:15" hidden="1" x14ac:dyDescent="0.3">
      <c r="C577" t="s">
        <v>2295</v>
      </c>
      <c r="D577" t="s">
        <v>2267</v>
      </c>
      <c r="E577" t="s">
        <v>3384</v>
      </c>
      <c r="F577" t="s">
        <v>3385</v>
      </c>
      <c r="G577" s="425">
        <v>295834</v>
      </c>
      <c r="H577" s="425">
        <v>295834</v>
      </c>
      <c r="I577" s="425">
        <v>0</v>
      </c>
      <c r="J577" s="425">
        <v>0</v>
      </c>
      <c r="K577" s="425">
        <v>0</v>
      </c>
      <c r="L577" s="425">
        <v>0</v>
      </c>
      <c r="M577" s="425">
        <v>0</v>
      </c>
      <c r="N577" s="425">
        <v>0</v>
      </c>
      <c r="O577" s="425">
        <v>0</v>
      </c>
    </row>
    <row r="578" spans="3:15" hidden="1" x14ac:dyDescent="0.3">
      <c r="C578" t="s">
        <v>2295</v>
      </c>
      <c r="D578" t="s">
        <v>2267</v>
      </c>
      <c r="E578" t="s">
        <v>3386</v>
      </c>
      <c r="F578" t="s">
        <v>3387</v>
      </c>
      <c r="G578" s="425">
        <v>5704842</v>
      </c>
      <c r="H578" s="425">
        <v>5704842</v>
      </c>
      <c r="I578" s="425">
        <v>0</v>
      </c>
      <c r="J578" s="425">
        <v>0</v>
      </c>
      <c r="K578" s="425">
        <v>0</v>
      </c>
      <c r="L578" s="425">
        <v>0</v>
      </c>
      <c r="M578" s="425">
        <v>0</v>
      </c>
      <c r="N578" s="425">
        <v>0</v>
      </c>
      <c r="O578" s="425">
        <v>0</v>
      </c>
    </row>
    <row r="579" spans="3:15" hidden="1" x14ac:dyDescent="0.3">
      <c r="C579" t="s">
        <v>2295</v>
      </c>
      <c r="D579" t="s">
        <v>2267</v>
      </c>
      <c r="E579" t="s">
        <v>3388</v>
      </c>
      <c r="F579" t="s">
        <v>3389</v>
      </c>
      <c r="G579" s="425">
        <v>351962</v>
      </c>
      <c r="H579" s="425">
        <v>351962</v>
      </c>
      <c r="I579" s="425">
        <v>0</v>
      </c>
      <c r="J579" s="425">
        <v>0</v>
      </c>
      <c r="K579" s="425">
        <v>0</v>
      </c>
      <c r="L579" s="425">
        <v>0</v>
      </c>
      <c r="M579" s="425">
        <v>0</v>
      </c>
      <c r="N579" s="425">
        <v>0</v>
      </c>
      <c r="O579" s="425">
        <v>0</v>
      </c>
    </row>
    <row r="580" spans="3:15" hidden="1" x14ac:dyDescent="0.3">
      <c r="C580" t="s">
        <v>2295</v>
      </c>
      <c r="D580" t="s">
        <v>2267</v>
      </c>
      <c r="E580" t="s">
        <v>3390</v>
      </c>
      <c r="F580" t="s">
        <v>3391</v>
      </c>
      <c r="G580" s="425">
        <v>468</v>
      </c>
      <c r="H580" s="425">
        <v>468</v>
      </c>
      <c r="I580" s="425">
        <v>0</v>
      </c>
      <c r="J580" s="425">
        <v>0</v>
      </c>
      <c r="K580" s="425">
        <v>0</v>
      </c>
      <c r="L580" s="425">
        <v>0</v>
      </c>
      <c r="M580" s="425">
        <v>0</v>
      </c>
      <c r="N580" s="425">
        <v>0</v>
      </c>
      <c r="O580" s="425">
        <v>0</v>
      </c>
    </row>
    <row r="581" spans="3:15" hidden="1" x14ac:dyDescent="0.3">
      <c r="C581" t="s">
        <v>2295</v>
      </c>
      <c r="D581" t="s">
        <v>2267</v>
      </c>
      <c r="E581" t="s">
        <v>3392</v>
      </c>
      <c r="F581" t="s">
        <v>3393</v>
      </c>
      <c r="G581" s="425">
        <v>7399202</v>
      </c>
      <c r="H581" s="425">
        <v>7399202</v>
      </c>
      <c r="I581" s="425">
        <v>0</v>
      </c>
      <c r="J581" s="425">
        <v>0</v>
      </c>
      <c r="K581" s="425">
        <v>0</v>
      </c>
      <c r="L581" s="425">
        <v>0</v>
      </c>
      <c r="M581" s="425">
        <v>0</v>
      </c>
      <c r="N581" s="425">
        <v>0</v>
      </c>
      <c r="O581" s="425">
        <v>0</v>
      </c>
    </row>
    <row r="582" spans="3:15" hidden="1" x14ac:dyDescent="0.3">
      <c r="C582" t="s">
        <v>2295</v>
      </c>
      <c r="D582" t="s">
        <v>2267</v>
      </c>
      <c r="E582" t="s">
        <v>3394</v>
      </c>
      <c r="F582" t="s">
        <v>3395</v>
      </c>
      <c r="G582" s="425">
        <v>6426990</v>
      </c>
      <c r="H582" s="425">
        <v>6426990</v>
      </c>
      <c r="I582" s="425">
        <v>0</v>
      </c>
      <c r="J582" s="425">
        <v>0</v>
      </c>
      <c r="K582" s="425">
        <v>0</v>
      </c>
      <c r="L582" s="425">
        <v>0</v>
      </c>
      <c r="M582" s="425">
        <v>0</v>
      </c>
      <c r="N582" s="425">
        <v>0</v>
      </c>
      <c r="O582" s="425">
        <v>0</v>
      </c>
    </row>
    <row r="583" spans="3:15" hidden="1" x14ac:dyDescent="0.3">
      <c r="C583" t="s">
        <v>2295</v>
      </c>
      <c r="D583" t="s">
        <v>2267</v>
      </c>
      <c r="E583" t="s">
        <v>3396</v>
      </c>
      <c r="F583" t="s">
        <v>3397</v>
      </c>
      <c r="G583" s="425">
        <v>0</v>
      </c>
      <c r="H583" s="425">
        <v>0</v>
      </c>
      <c r="I583" s="425">
        <v>0</v>
      </c>
      <c r="J583" s="425">
        <v>0</v>
      </c>
      <c r="K583" s="425">
        <v>0</v>
      </c>
      <c r="L583" s="425">
        <v>0</v>
      </c>
      <c r="M583" s="425">
        <v>0</v>
      </c>
      <c r="N583" s="425">
        <v>0</v>
      </c>
      <c r="O583" s="425">
        <v>0</v>
      </c>
    </row>
    <row r="584" spans="3:15" hidden="1" x14ac:dyDescent="0.3">
      <c r="C584" t="s">
        <v>2295</v>
      </c>
      <c r="D584" t="s">
        <v>2267</v>
      </c>
      <c r="E584" t="s">
        <v>3398</v>
      </c>
      <c r="F584" t="s">
        <v>3399</v>
      </c>
      <c r="G584" s="425">
        <v>671785</v>
      </c>
      <c r="H584" s="425">
        <v>671785</v>
      </c>
      <c r="I584" s="425">
        <v>0</v>
      </c>
      <c r="J584" s="425">
        <v>0</v>
      </c>
      <c r="K584" s="425">
        <v>0</v>
      </c>
      <c r="L584" s="425">
        <v>0</v>
      </c>
      <c r="M584" s="425">
        <v>0</v>
      </c>
      <c r="N584" s="425">
        <v>0</v>
      </c>
      <c r="O584" s="425">
        <v>0</v>
      </c>
    </row>
    <row r="585" spans="3:15" hidden="1" x14ac:dyDescent="0.3">
      <c r="C585" t="s">
        <v>2295</v>
      </c>
      <c r="D585" t="s">
        <v>2267</v>
      </c>
      <c r="E585" t="s">
        <v>3400</v>
      </c>
      <c r="F585" t="s">
        <v>3401</v>
      </c>
      <c r="G585" s="425">
        <v>6261</v>
      </c>
      <c r="H585" s="425">
        <v>6261</v>
      </c>
      <c r="I585" s="425">
        <v>0</v>
      </c>
      <c r="J585" s="425">
        <v>0</v>
      </c>
      <c r="K585" s="425">
        <v>0</v>
      </c>
      <c r="L585" s="425">
        <v>0</v>
      </c>
      <c r="M585" s="425">
        <v>0</v>
      </c>
      <c r="N585" s="425">
        <v>0</v>
      </c>
      <c r="O585" s="425">
        <v>0</v>
      </c>
    </row>
    <row r="586" spans="3:15" hidden="1" x14ac:dyDescent="0.3">
      <c r="C586" t="s">
        <v>2295</v>
      </c>
      <c r="D586" t="s">
        <v>2267</v>
      </c>
      <c r="E586" t="s">
        <v>3402</v>
      </c>
      <c r="F586" t="s">
        <v>3403</v>
      </c>
      <c r="G586" s="425">
        <v>3219</v>
      </c>
      <c r="H586" s="425">
        <v>3219</v>
      </c>
      <c r="I586" s="425">
        <v>0</v>
      </c>
      <c r="J586" s="425">
        <v>0</v>
      </c>
      <c r="K586" s="425">
        <v>0</v>
      </c>
      <c r="L586" s="425">
        <v>0</v>
      </c>
      <c r="M586" s="425">
        <v>0</v>
      </c>
      <c r="N586" s="425">
        <v>0</v>
      </c>
      <c r="O586" s="425">
        <v>0</v>
      </c>
    </row>
    <row r="587" spans="3:15" hidden="1" x14ac:dyDescent="0.3">
      <c r="C587" t="s">
        <v>2295</v>
      </c>
      <c r="D587" t="s">
        <v>2267</v>
      </c>
      <c r="E587" t="s">
        <v>3404</v>
      </c>
      <c r="F587" t="s">
        <v>3405</v>
      </c>
      <c r="G587" s="425">
        <v>93506</v>
      </c>
      <c r="H587" s="425">
        <v>93506</v>
      </c>
      <c r="I587" s="425">
        <v>0</v>
      </c>
      <c r="J587" s="425">
        <v>0</v>
      </c>
      <c r="K587" s="425">
        <v>0</v>
      </c>
      <c r="L587" s="425">
        <v>0</v>
      </c>
      <c r="M587" s="425">
        <v>0</v>
      </c>
      <c r="N587" s="425">
        <v>0</v>
      </c>
      <c r="O587" s="425">
        <v>0</v>
      </c>
    </row>
    <row r="588" spans="3:15" hidden="1" x14ac:dyDescent="0.3">
      <c r="C588" t="s">
        <v>2295</v>
      </c>
      <c r="D588" t="s">
        <v>2267</v>
      </c>
      <c r="E588" t="s">
        <v>3406</v>
      </c>
      <c r="F588" t="s">
        <v>3407</v>
      </c>
      <c r="G588" s="425">
        <v>312104</v>
      </c>
      <c r="H588" s="425">
        <v>312104</v>
      </c>
      <c r="I588" s="425">
        <v>0</v>
      </c>
      <c r="J588" s="425">
        <v>0</v>
      </c>
      <c r="K588" s="425">
        <v>0</v>
      </c>
      <c r="L588" s="425">
        <v>0</v>
      </c>
      <c r="M588" s="425">
        <v>0</v>
      </c>
      <c r="N588" s="425">
        <v>0</v>
      </c>
      <c r="O588" s="425">
        <v>0</v>
      </c>
    </row>
    <row r="589" spans="3:15" hidden="1" x14ac:dyDescent="0.3">
      <c r="C589" t="s">
        <v>2295</v>
      </c>
      <c r="D589" t="s">
        <v>2267</v>
      </c>
      <c r="E589" t="s">
        <v>3408</v>
      </c>
      <c r="F589" t="s">
        <v>3409</v>
      </c>
      <c r="G589" s="425">
        <v>0</v>
      </c>
      <c r="H589" s="425">
        <v>0</v>
      </c>
      <c r="I589" s="425">
        <v>0</v>
      </c>
      <c r="J589" s="425">
        <v>0</v>
      </c>
      <c r="K589" s="425">
        <v>0</v>
      </c>
      <c r="L589" s="425">
        <v>0</v>
      </c>
      <c r="M589" s="425">
        <v>0</v>
      </c>
      <c r="N589" s="425">
        <v>0</v>
      </c>
      <c r="O589" s="425">
        <v>0</v>
      </c>
    </row>
    <row r="590" spans="3:15" hidden="1" x14ac:dyDescent="0.3">
      <c r="C590" t="s">
        <v>2295</v>
      </c>
      <c r="D590" t="s">
        <v>2267</v>
      </c>
      <c r="E590" t="s">
        <v>3410</v>
      </c>
      <c r="F590" t="s">
        <v>3411</v>
      </c>
      <c r="G590" s="425">
        <v>204215</v>
      </c>
      <c r="H590" s="425">
        <v>204215</v>
      </c>
      <c r="I590" s="425">
        <v>0</v>
      </c>
      <c r="J590" s="425">
        <v>0</v>
      </c>
      <c r="K590" s="425">
        <v>0</v>
      </c>
      <c r="L590" s="425">
        <v>0</v>
      </c>
      <c r="M590" s="425">
        <v>0</v>
      </c>
      <c r="N590" s="425">
        <v>0</v>
      </c>
      <c r="O590" s="425">
        <v>0</v>
      </c>
    </row>
    <row r="591" spans="3:15" hidden="1" x14ac:dyDescent="0.3">
      <c r="C591" t="s">
        <v>2295</v>
      </c>
      <c r="D591" t="s">
        <v>2267</v>
      </c>
      <c r="E591" t="s">
        <v>3412</v>
      </c>
      <c r="F591" t="s">
        <v>3413</v>
      </c>
      <c r="G591" s="425">
        <v>14297</v>
      </c>
      <c r="H591" s="425">
        <v>14297</v>
      </c>
      <c r="I591" s="425">
        <v>0</v>
      </c>
      <c r="J591" s="425">
        <v>0</v>
      </c>
      <c r="K591" s="425">
        <v>0</v>
      </c>
      <c r="L591" s="425">
        <v>0</v>
      </c>
      <c r="M591" s="425">
        <v>0</v>
      </c>
      <c r="N591" s="425">
        <v>0</v>
      </c>
      <c r="O591" s="425">
        <v>0</v>
      </c>
    </row>
    <row r="592" spans="3:15" hidden="1" x14ac:dyDescent="0.3">
      <c r="C592" t="s">
        <v>2295</v>
      </c>
      <c r="D592" t="s">
        <v>2267</v>
      </c>
      <c r="E592" t="s">
        <v>3414</v>
      </c>
      <c r="F592" t="s">
        <v>3415</v>
      </c>
      <c r="G592" s="425">
        <v>3</v>
      </c>
      <c r="H592" s="425">
        <v>3</v>
      </c>
      <c r="I592" s="425">
        <v>0</v>
      </c>
      <c r="J592" s="425">
        <v>0</v>
      </c>
      <c r="K592" s="425">
        <v>0</v>
      </c>
      <c r="L592" s="425">
        <v>0</v>
      </c>
      <c r="M592" s="425">
        <v>0</v>
      </c>
      <c r="N592" s="425">
        <v>0</v>
      </c>
      <c r="O592" s="425">
        <v>0</v>
      </c>
    </row>
    <row r="593" spans="3:15" hidden="1" x14ac:dyDescent="0.3">
      <c r="C593" t="s">
        <v>2295</v>
      </c>
      <c r="D593" t="s">
        <v>2267</v>
      </c>
      <c r="E593" t="s">
        <v>3416</v>
      </c>
      <c r="F593" t="s">
        <v>3417</v>
      </c>
      <c r="G593" s="425">
        <v>179</v>
      </c>
      <c r="H593" s="425">
        <v>179</v>
      </c>
      <c r="I593" s="425">
        <v>0</v>
      </c>
      <c r="J593" s="425">
        <v>0</v>
      </c>
      <c r="K593" s="425">
        <v>0</v>
      </c>
      <c r="L593" s="425">
        <v>0</v>
      </c>
      <c r="M593" s="425">
        <v>0</v>
      </c>
      <c r="N593" s="425">
        <v>0</v>
      </c>
      <c r="O593" s="425">
        <v>0</v>
      </c>
    </row>
    <row r="594" spans="3:15" hidden="1" x14ac:dyDescent="0.3">
      <c r="C594" t="s">
        <v>2295</v>
      </c>
      <c r="D594" t="s">
        <v>2267</v>
      </c>
      <c r="E594" t="s">
        <v>3418</v>
      </c>
      <c r="F594" t="s">
        <v>3419</v>
      </c>
      <c r="G594" s="425">
        <v>818</v>
      </c>
      <c r="H594" s="425">
        <v>818</v>
      </c>
      <c r="I594" s="425">
        <v>0</v>
      </c>
      <c r="J594" s="425">
        <v>0</v>
      </c>
      <c r="K594" s="425">
        <v>0</v>
      </c>
      <c r="L594" s="425">
        <v>0</v>
      </c>
      <c r="M594" s="425">
        <v>0</v>
      </c>
      <c r="N594" s="425">
        <v>0</v>
      </c>
      <c r="O594" s="425">
        <v>0</v>
      </c>
    </row>
    <row r="595" spans="3:15" hidden="1" x14ac:dyDescent="0.3">
      <c r="C595" t="s">
        <v>2295</v>
      </c>
      <c r="D595" t="s">
        <v>2267</v>
      </c>
      <c r="E595" t="s">
        <v>3420</v>
      </c>
      <c r="F595" t="s">
        <v>3421</v>
      </c>
      <c r="G595" s="425">
        <v>81106049</v>
      </c>
      <c r="H595" s="425">
        <v>81106049</v>
      </c>
      <c r="I595" s="425">
        <v>0</v>
      </c>
      <c r="J595" s="425">
        <v>0</v>
      </c>
      <c r="K595" s="425">
        <v>0</v>
      </c>
      <c r="L595" s="425">
        <v>0</v>
      </c>
      <c r="M595" s="425">
        <v>0</v>
      </c>
      <c r="N595" s="425">
        <v>0</v>
      </c>
      <c r="O595" s="425">
        <v>0</v>
      </c>
    </row>
    <row r="596" spans="3:15" hidden="1" x14ac:dyDescent="0.3">
      <c r="C596" t="s">
        <v>2295</v>
      </c>
      <c r="D596" t="s">
        <v>2267</v>
      </c>
      <c r="E596" t="s">
        <v>3422</v>
      </c>
      <c r="F596" t="s">
        <v>3423</v>
      </c>
      <c r="G596" s="425">
        <v>14</v>
      </c>
      <c r="H596" s="425">
        <v>14</v>
      </c>
      <c r="I596" s="425">
        <v>0</v>
      </c>
      <c r="J596" s="425">
        <v>0</v>
      </c>
      <c r="K596" s="425">
        <v>0</v>
      </c>
      <c r="L596" s="425">
        <v>0</v>
      </c>
      <c r="M596" s="425">
        <v>0</v>
      </c>
      <c r="N596" s="425">
        <v>0</v>
      </c>
      <c r="O596" s="425">
        <v>0</v>
      </c>
    </row>
    <row r="597" spans="3:15" hidden="1" x14ac:dyDescent="0.3">
      <c r="C597" t="s">
        <v>2295</v>
      </c>
      <c r="D597" t="s">
        <v>2267</v>
      </c>
      <c r="E597" t="s">
        <v>3424</v>
      </c>
      <c r="F597" t="s">
        <v>3425</v>
      </c>
      <c r="G597" s="425">
        <v>5013443</v>
      </c>
      <c r="H597" s="425">
        <v>5013443</v>
      </c>
      <c r="I597" s="425">
        <v>0</v>
      </c>
      <c r="J597" s="425">
        <v>0</v>
      </c>
      <c r="K597" s="425">
        <v>0</v>
      </c>
      <c r="L597" s="425">
        <v>0</v>
      </c>
      <c r="M597" s="425">
        <v>0</v>
      </c>
      <c r="N597" s="425">
        <v>0</v>
      </c>
      <c r="O597" s="425">
        <v>0</v>
      </c>
    </row>
    <row r="598" spans="3:15" hidden="1" x14ac:dyDescent="0.3">
      <c r="C598" t="s">
        <v>2295</v>
      </c>
      <c r="D598" t="s">
        <v>2267</v>
      </c>
      <c r="E598" t="s">
        <v>3426</v>
      </c>
      <c r="F598" t="s">
        <v>3427</v>
      </c>
      <c r="G598" s="425">
        <v>51391</v>
      </c>
      <c r="H598" s="425">
        <v>51391</v>
      </c>
      <c r="I598" s="425">
        <v>0</v>
      </c>
      <c r="J598" s="425">
        <v>0</v>
      </c>
      <c r="K598" s="425">
        <v>0</v>
      </c>
      <c r="L598" s="425">
        <v>0</v>
      </c>
      <c r="M598" s="425">
        <v>0</v>
      </c>
      <c r="N598" s="425">
        <v>0</v>
      </c>
      <c r="O598" s="425">
        <v>0</v>
      </c>
    </row>
    <row r="599" spans="3:15" hidden="1" x14ac:dyDescent="0.3">
      <c r="C599" t="s">
        <v>2295</v>
      </c>
      <c r="D599" t="s">
        <v>2267</v>
      </c>
      <c r="E599" t="s">
        <v>3428</v>
      </c>
      <c r="F599" t="s">
        <v>3429</v>
      </c>
      <c r="G599" s="425">
        <v>2377</v>
      </c>
      <c r="H599" s="425">
        <v>2377</v>
      </c>
      <c r="I599" s="425">
        <v>0</v>
      </c>
      <c r="J599" s="425">
        <v>0</v>
      </c>
      <c r="K599" s="425">
        <v>0</v>
      </c>
      <c r="L599" s="425">
        <v>0</v>
      </c>
      <c r="M599" s="425">
        <v>0</v>
      </c>
      <c r="N599" s="425">
        <v>0</v>
      </c>
      <c r="O599" s="425">
        <v>0</v>
      </c>
    </row>
    <row r="600" spans="3:15" hidden="1" x14ac:dyDescent="0.3">
      <c r="C600" t="s">
        <v>2295</v>
      </c>
      <c r="D600" t="s">
        <v>2267</v>
      </c>
      <c r="E600" t="s">
        <v>3430</v>
      </c>
      <c r="F600" t="s">
        <v>3431</v>
      </c>
      <c r="G600" s="425">
        <v>10431624</v>
      </c>
      <c r="H600" s="425">
        <v>10431624</v>
      </c>
      <c r="I600" s="425">
        <v>0</v>
      </c>
      <c r="J600" s="425">
        <v>0</v>
      </c>
      <c r="K600" s="425">
        <v>0</v>
      </c>
      <c r="L600" s="425">
        <v>0</v>
      </c>
      <c r="M600" s="425">
        <v>0</v>
      </c>
      <c r="N600" s="425">
        <v>0</v>
      </c>
      <c r="O600" s="425">
        <v>0</v>
      </c>
    </row>
    <row r="601" spans="3:15" hidden="1" x14ac:dyDescent="0.3">
      <c r="C601" t="s">
        <v>2295</v>
      </c>
      <c r="D601" t="s">
        <v>2267</v>
      </c>
      <c r="E601" t="s">
        <v>3432</v>
      </c>
      <c r="F601" t="s">
        <v>3433</v>
      </c>
      <c r="G601" s="425">
        <v>0</v>
      </c>
      <c r="H601" s="425">
        <v>0</v>
      </c>
      <c r="I601" s="425">
        <v>0</v>
      </c>
      <c r="J601" s="425">
        <v>0</v>
      </c>
      <c r="K601" s="425">
        <v>0</v>
      </c>
      <c r="L601" s="425">
        <v>0</v>
      </c>
      <c r="M601" s="425">
        <v>0</v>
      </c>
      <c r="N601" s="425">
        <v>0</v>
      </c>
      <c r="O601" s="425">
        <v>0</v>
      </c>
    </row>
    <row r="602" spans="3:15" hidden="1" x14ac:dyDescent="0.3">
      <c r="C602" t="s">
        <v>2295</v>
      </c>
      <c r="D602" t="s">
        <v>2267</v>
      </c>
      <c r="E602" t="s">
        <v>3434</v>
      </c>
      <c r="F602" t="s">
        <v>3435</v>
      </c>
      <c r="G602" s="425">
        <v>108873</v>
      </c>
      <c r="H602" s="425">
        <v>108873</v>
      </c>
      <c r="I602" s="425">
        <v>0</v>
      </c>
      <c r="J602" s="425">
        <v>0</v>
      </c>
      <c r="K602" s="425">
        <v>0</v>
      </c>
      <c r="L602" s="425">
        <v>0</v>
      </c>
      <c r="M602" s="425">
        <v>0</v>
      </c>
      <c r="N602" s="425">
        <v>0</v>
      </c>
      <c r="O602" s="425">
        <v>0</v>
      </c>
    </row>
    <row r="603" spans="3:15" hidden="1" x14ac:dyDescent="0.3">
      <c r="C603" t="s">
        <v>2295</v>
      </c>
      <c r="D603" t="s">
        <v>2267</v>
      </c>
      <c r="E603" t="s">
        <v>3436</v>
      </c>
      <c r="F603" t="s">
        <v>3437</v>
      </c>
      <c r="G603" s="425">
        <v>7</v>
      </c>
      <c r="H603" s="425">
        <v>7</v>
      </c>
      <c r="I603" s="425">
        <v>0</v>
      </c>
      <c r="J603" s="425">
        <v>0</v>
      </c>
      <c r="K603" s="425">
        <v>0</v>
      </c>
      <c r="L603" s="425">
        <v>0</v>
      </c>
      <c r="M603" s="425">
        <v>0</v>
      </c>
      <c r="N603" s="425">
        <v>0</v>
      </c>
      <c r="O603" s="425">
        <v>0</v>
      </c>
    </row>
    <row r="604" spans="3:15" hidden="1" x14ac:dyDescent="0.3">
      <c r="C604" t="s">
        <v>2295</v>
      </c>
      <c r="D604" t="s">
        <v>2267</v>
      </c>
      <c r="E604" t="s">
        <v>3438</v>
      </c>
      <c r="F604" t="s">
        <v>3439</v>
      </c>
      <c r="G604" s="425">
        <v>2364</v>
      </c>
      <c r="H604" s="425">
        <v>2364</v>
      </c>
      <c r="I604" s="425">
        <v>0</v>
      </c>
      <c r="J604" s="425">
        <v>0</v>
      </c>
      <c r="K604" s="425">
        <v>0</v>
      </c>
      <c r="L604" s="425">
        <v>0</v>
      </c>
      <c r="M604" s="425">
        <v>0</v>
      </c>
      <c r="N604" s="425">
        <v>0</v>
      </c>
      <c r="O604" s="425">
        <v>0</v>
      </c>
    </row>
    <row r="605" spans="3:15" hidden="1" x14ac:dyDescent="0.3">
      <c r="C605" t="s">
        <v>2295</v>
      </c>
      <c r="D605" t="s">
        <v>2267</v>
      </c>
      <c r="E605" t="s">
        <v>3440</v>
      </c>
      <c r="F605" t="s">
        <v>3441</v>
      </c>
      <c r="G605" s="425">
        <v>0</v>
      </c>
      <c r="H605" s="425">
        <v>0</v>
      </c>
      <c r="I605" s="425">
        <v>0</v>
      </c>
      <c r="J605" s="425">
        <v>0</v>
      </c>
      <c r="K605" s="425">
        <v>0</v>
      </c>
      <c r="L605" s="425">
        <v>0</v>
      </c>
      <c r="M605" s="425">
        <v>0</v>
      </c>
      <c r="N605" s="425">
        <v>0</v>
      </c>
      <c r="O605" s="425">
        <v>0</v>
      </c>
    </row>
    <row r="606" spans="3:15" hidden="1" x14ac:dyDescent="0.3">
      <c r="C606" t="s">
        <v>2295</v>
      </c>
      <c r="D606" t="s">
        <v>2267</v>
      </c>
      <c r="E606" t="s">
        <v>3442</v>
      </c>
      <c r="F606" t="s">
        <v>3443</v>
      </c>
      <c r="G606" s="425">
        <v>1115321</v>
      </c>
      <c r="H606" s="425">
        <v>1115321</v>
      </c>
      <c r="I606" s="425">
        <v>0</v>
      </c>
      <c r="J606" s="425">
        <v>0</v>
      </c>
      <c r="K606" s="425">
        <v>0</v>
      </c>
      <c r="L606" s="425">
        <v>0</v>
      </c>
      <c r="M606" s="425">
        <v>0</v>
      </c>
      <c r="N606" s="425">
        <v>0</v>
      </c>
      <c r="O606" s="425">
        <v>0</v>
      </c>
    </row>
    <row r="607" spans="3:15" hidden="1" x14ac:dyDescent="0.3">
      <c r="C607" t="s">
        <v>2295</v>
      </c>
      <c r="D607" t="s">
        <v>2267</v>
      </c>
      <c r="E607" t="s">
        <v>3444</v>
      </c>
      <c r="F607" t="s">
        <v>3445</v>
      </c>
      <c r="G607" s="425">
        <v>252</v>
      </c>
      <c r="H607" s="425">
        <v>252</v>
      </c>
      <c r="I607" s="425">
        <v>0</v>
      </c>
      <c r="J607" s="425">
        <v>0</v>
      </c>
      <c r="K607" s="425">
        <v>0</v>
      </c>
      <c r="L607" s="425">
        <v>0</v>
      </c>
      <c r="M607" s="425">
        <v>0</v>
      </c>
      <c r="N607" s="425">
        <v>0</v>
      </c>
      <c r="O607" s="425">
        <v>0</v>
      </c>
    </row>
    <row r="608" spans="3:15" hidden="1" x14ac:dyDescent="0.3">
      <c r="C608" t="s">
        <v>2295</v>
      </c>
      <c r="D608" t="s">
        <v>2267</v>
      </c>
      <c r="E608" t="s">
        <v>3446</v>
      </c>
      <c r="F608" t="s">
        <v>3447</v>
      </c>
      <c r="G608" s="425">
        <v>9</v>
      </c>
      <c r="H608" s="425">
        <v>9</v>
      </c>
      <c r="I608" s="425">
        <v>0</v>
      </c>
      <c r="J608" s="425">
        <v>0</v>
      </c>
      <c r="K608" s="425">
        <v>0</v>
      </c>
      <c r="L608" s="425">
        <v>0</v>
      </c>
      <c r="M608" s="425">
        <v>0</v>
      </c>
      <c r="N608" s="425">
        <v>0</v>
      </c>
      <c r="O608" s="425">
        <v>0</v>
      </c>
    </row>
    <row r="609" spans="3:15" hidden="1" x14ac:dyDescent="0.3">
      <c r="C609" t="s">
        <v>2295</v>
      </c>
      <c r="D609" t="s">
        <v>2267</v>
      </c>
      <c r="E609" t="s">
        <v>3448</v>
      </c>
      <c r="F609" t="s">
        <v>3449</v>
      </c>
      <c r="G609" s="425">
        <v>943659</v>
      </c>
      <c r="H609" s="425">
        <v>943659</v>
      </c>
      <c r="I609" s="425">
        <v>0</v>
      </c>
      <c r="J609" s="425">
        <v>0</v>
      </c>
      <c r="K609" s="425">
        <v>0</v>
      </c>
      <c r="L609" s="425">
        <v>0</v>
      </c>
      <c r="M609" s="425">
        <v>0</v>
      </c>
      <c r="N609" s="425">
        <v>0</v>
      </c>
      <c r="O609" s="425">
        <v>0</v>
      </c>
    </row>
    <row r="610" spans="3:15" hidden="1" x14ac:dyDescent="0.3">
      <c r="C610" t="s">
        <v>2295</v>
      </c>
      <c r="D610" t="s">
        <v>2267</v>
      </c>
      <c r="E610" t="s">
        <v>3450</v>
      </c>
      <c r="F610" t="s">
        <v>3451</v>
      </c>
      <c r="G610" s="425">
        <v>22700971</v>
      </c>
      <c r="H610" s="425">
        <v>22700971</v>
      </c>
      <c r="I610" s="425">
        <v>0</v>
      </c>
      <c r="J610" s="425">
        <v>0</v>
      </c>
      <c r="K610" s="425">
        <v>0</v>
      </c>
      <c r="L610" s="425">
        <v>0</v>
      </c>
      <c r="M610" s="425">
        <v>0</v>
      </c>
      <c r="N610" s="425">
        <v>0</v>
      </c>
      <c r="O610" s="425">
        <v>0</v>
      </c>
    </row>
    <row r="611" spans="3:15" hidden="1" x14ac:dyDescent="0.3">
      <c r="C611" t="s">
        <v>2295</v>
      </c>
      <c r="D611" t="s">
        <v>2267</v>
      </c>
      <c r="E611" t="s">
        <v>3452</v>
      </c>
      <c r="F611" t="s">
        <v>3453</v>
      </c>
      <c r="G611" s="425">
        <v>22227924</v>
      </c>
      <c r="H611" s="425">
        <v>22227924</v>
      </c>
      <c r="I611" s="425">
        <v>0</v>
      </c>
      <c r="J611" s="425">
        <v>0</v>
      </c>
      <c r="K611" s="425">
        <v>0</v>
      </c>
      <c r="L611" s="425">
        <v>0</v>
      </c>
      <c r="M611" s="425">
        <v>0</v>
      </c>
      <c r="N611" s="425">
        <v>0</v>
      </c>
      <c r="O611" s="425">
        <v>0</v>
      </c>
    </row>
    <row r="612" spans="3:15" hidden="1" x14ac:dyDescent="0.3">
      <c r="C612" t="s">
        <v>2295</v>
      </c>
      <c r="D612" t="s">
        <v>2267</v>
      </c>
      <c r="E612" t="s">
        <v>3454</v>
      </c>
      <c r="F612" t="s">
        <v>3455</v>
      </c>
      <c r="G612" s="425">
        <v>809778</v>
      </c>
      <c r="H612" s="425">
        <v>809778</v>
      </c>
      <c r="I612" s="425">
        <v>0</v>
      </c>
      <c r="J612" s="425">
        <v>0</v>
      </c>
      <c r="K612" s="425">
        <v>0</v>
      </c>
      <c r="L612" s="425">
        <v>0</v>
      </c>
      <c r="M612" s="425">
        <v>0</v>
      </c>
      <c r="N612" s="425">
        <v>0</v>
      </c>
      <c r="O612" s="425">
        <v>0</v>
      </c>
    </row>
    <row r="613" spans="3:15" hidden="1" x14ac:dyDescent="0.3">
      <c r="C613" t="s">
        <v>2295</v>
      </c>
      <c r="D613" t="s">
        <v>2267</v>
      </c>
      <c r="E613" t="s">
        <v>3456</v>
      </c>
      <c r="F613" t="s">
        <v>3457</v>
      </c>
      <c r="G613" s="425">
        <v>42079</v>
      </c>
      <c r="H613" s="425">
        <v>42079</v>
      </c>
      <c r="I613" s="425">
        <v>0</v>
      </c>
      <c r="J613" s="425">
        <v>0</v>
      </c>
      <c r="K613" s="425">
        <v>0</v>
      </c>
      <c r="L613" s="425">
        <v>0</v>
      </c>
      <c r="M613" s="425">
        <v>0</v>
      </c>
      <c r="N613" s="425">
        <v>0</v>
      </c>
      <c r="O613" s="425">
        <v>0</v>
      </c>
    </row>
    <row r="614" spans="3:15" hidden="1" x14ac:dyDescent="0.3">
      <c r="C614" t="s">
        <v>2295</v>
      </c>
      <c r="D614" t="s">
        <v>2267</v>
      </c>
      <c r="E614" t="s">
        <v>3458</v>
      </c>
      <c r="F614" t="s">
        <v>3459</v>
      </c>
      <c r="G614" s="425">
        <v>0</v>
      </c>
      <c r="H614" s="425">
        <v>0</v>
      </c>
      <c r="I614" s="425">
        <v>0</v>
      </c>
      <c r="J614" s="425">
        <v>0</v>
      </c>
      <c r="K614" s="425">
        <v>0</v>
      </c>
      <c r="L614" s="425">
        <v>0</v>
      </c>
      <c r="M614" s="425">
        <v>0</v>
      </c>
      <c r="N614" s="425">
        <v>0</v>
      </c>
      <c r="O614" s="425">
        <v>0</v>
      </c>
    </row>
    <row r="615" spans="3:15" hidden="1" x14ac:dyDescent="0.3">
      <c r="C615" t="s">
        <v>2292</v>
      </c>
      <c r="D615" t="s">
        <v>2237</v>
      </c>
      <c r="E615" t="s">
        <v>3460</v>
      </c>
      <c r="F615" t="s">
        <v>3461</v>
      </c>
      <c r="G615" s="425">
        <v>2689498491</v>
      </c>
      <c r="H615" s="425">
        <v>2689498491</v>
      </c>
      <c r="I615" s="425">
        <v>0</v>
      </c>
      <c r="J615" s="425">
        <v>0</v>
      </c>
      <c r="K615" s="425">
        <v>0</v>
      </c>
      <c r="L615" s="425">
        <v>0</v>
      </c>
      <c r="M615" s="425">
        <v>0</v>
      </c>
      <c r="N615" s="425">
        <v>0</v>
      </c>
      <c r="O615" s="425">
        <v>0</v>
      </c>
    </row>
    <row r="616" spans="3:15" hidden="1" x14ac:dyDescent="0.3">
      <c r="C616" t="s">
        <v>2295</v>
      </c>
      <c r="D616" t="s">
        <v>2267</v>
      </c>
      <c r="E616" t="s">
        <v>3462</v>
      </c>
      <c r="F616" t="s">
        <v>3463</v>
      </c>
      <c r="G616" s="425">
        <v>0</v>
      </c>
      <c r="H616" s="425">
        <v>0</v>
      </c>
      <c r="I616" s="425">
        <v>0</v>
      </c>
      <c r="J616" s="425">
        <v>0</v>
      </c>
      <c r="K616" s="425">
        <v>0</v>
      </c>
      <c r="L616" s="425">
        <v>0</v>
      </c>
      <c r="M616" s="425">
        <v>0</v>
      </c>
      <c r="N616" s="425">
        <v>0</v>
      </c>
      <c r="O616" s="425">
        <v>0</v>
      </c>
    </row>
    <row r="617" spans="3:15" hidden="1" x14ac:dyDescent="0.3">
      <c r="C617" t="s">
        <v>2295</v>
      </c>
      <c r="D617" t="s">
        <v>2267</v>
      </c>
      <c r="E617" t="s">
        <v>3464</v>
      </c>
      <c r="F617" t="s">
        <v>3465</v>
      </c>
      <c r="G617" s="425">
        <v>0</v>
      </c>
      <c r="H617" s="425">
        <v>0</v>
      </c>
      <c r="I617" s="425">
        <v>0</v>
      </c>
      <c r="J617" s="425">
        <v>0</v>
      </c>
      <c r="K617" s="425">
        <v>0</v>
      </c>
      <c r="L617" s="425">
        <v>0</v>
      </c>
      <c r="M617" s="425">
        <v>0</v>
      </c>
      <c r="N617" s="425">
        <v>0</v>
      </c>
      <c r="O617" s="425">
        <v>0</v>
      </c>
    </row>
    <row r="618" spans="3:15" hidden="1" x14ac:dyDescent="0.3">
      <c r="C618" t="s">
        <v>2295</v>
      </c>
      <c r="D618" t="s">
        <v>2267</v>
      </c>
      <c r="E618" t="s">
        <v>3466</v>
      </c>
      <c r="F618" t="s">
        <v>3467</v>
      </c>
      <c r="G618" s="425">
        <v>0</v>
      </c>
      <c r="H618" s="425">
        <v>0</v>
      </c>
      <c r="I618" s="425">
        <v>0</v>
      </c>
      <c r="J618" s="425">
        <v>0</v>
      </c>
      <c r="K618" s="425">
        <v>0</v>
      </c>
      <c r="L618" s="425">
        <v>0</v>
      </c>
      <c r="M618" s="425">
        <v>0</v>
      </c>
      <c r="N618" s="425">
        <v>0</v>
      </c>
      <c r="O618" s="425">
        <v>0</v>
      </c>
    </row>
    <row r="619" spans="3:15" hidden="1" x14ac:dyDescent="0.3">
      <c r="C619" t="s">
        <v>2295</v>
      </c>
      <c r="D619" t="s">
        <v>2267</v>
      </c>
      <c r="E619" t="s">
        <v>3468</v>
      </c>
      <c r="F619" t="s">
        <v>3469</v>
      </c>
      <c r="G619" s="425">
        <v>0</v>
      </c>
      <c r="H619" s="425">
        <v>0</v>
      </c>
      <c r="I619" s="425">
        <v>0</v>
      </c>
      <c r="J619" s="425">
        <v>0</v>
      </c>
      <c r="K619" s="425">
        <v>0</v>
      </c>
      <c r="L619" s="425">
        <v>0</v>
      </c>
      <c r="M619" s="425">
        <v>0</v>
      </c>
      <c r="N619" s="425">
        <v>0</v>
      </c>
      <c r="O619" s="425">
        <v>0</v>
      </c>
    </row>
    <row r="620" spans="3:15" hidden="1" x14ac:dyDescent="0.3">
      <c r="C620" t="s">
        <v>2295</v>
      </c>
      <c r="D620" t="s">
        <v>2267</v>
      </c>
      <c r="E620" t="s">
        <v>3470</v>
      </c>
      <c r="F620" t="s">
        <v>3471</v>
      </c>
      <c r="G620" s="425">
        <v>0</v>
      </c>
      <c r="H620" s="425">
        <v>0</v>
      </c>
      <c r="I620" s="425">
        <v>0</v>
      </c>
      <c r="J620" s="425">
        <v>0</v>
      </c>
      <c r="K620" s="425">
        <v>0</v>
      </c>
      <c r="L620" s="425">
        <v>0</v>
      </c>
      <c r="M620" s="425">
        <v>0</v>
      </c>
      <c r="N620" s="425">
        <v>0</v>
      </c>
      <c r="O620" s="425">
        <v>0</v>
      </c>
    </row>
    <row r="621" spans="3:15" hidden="1" x14ac:dyDescent="0.3">
      <c r="C621" t="s">
        <v>2295</v>
      </c>
      <c r="D621" t="s">
        <v>2267</v>
      </c>
      <c r="E621" t="s">
        <v>3472</v>
      </c>
      <c r="F621" t="s">
        <v>3473</v>
      </c>
      <c r="G621" s="425">
        <v>0</v>
      </c>
      <c r="H621" s="425">
        <v>0</v>
      </c>
      <c r="I621" s="425">
        <v>0</v>
      </c>
      <c r="J621" s="425">
        <v>0</v>
      </c>
      <c r="K621" s="425">
        <v>0</v>
      </c>
      <c r="L621" s="425">
        <v>0</v>
      </c>
      <c r="M621" s="425">
        <v>0</v>
      </c>
      <c r="N621" s="425">
        <v>0</v>
      </c>
      <c r="O621" s="425">
        <v>0</v>
      </c>
    </row>
    <row r="622" spans="3:15" hidden="1" x14ac:dyDescent="0.3">
      <c r="C622" t="s">
        <v>2295</v>
      </c>
      <c r="D622" t="s">
        <v>2267</v>
      </c>
      <c r="E622" t="s">
        <v>3474</v>
      </c>
      <c r="F622" t="s">
        <v>3475</v>
      </c>
      <c r="G622" s="425">
        <v>0</v>
      </c>
      <c r="H622" s="425">
        <v>0</v>
      </c>
      <c r="I622" s="425">
        <v>0</v>
      </c>
      <c r="J622" s="425">
        <v>0</v>
      </c>
      <c r="K622" s="425">
        <v>0</v>
      </c>
      <c r="L622" s="425">
        <v>0</v>
      </c>
      <c r="M622" s="425">
        <v>0</v>
      </c>
      <c r="N622" s="425">
        <v>0</v>
      </c>
      <c r="O622" s="425">
        <v>0</v>
      </c>
    </row>
    <row r="623" spans="3:15" hidden="1" x14ac:dyDescent="0.3">
      <c r="C623" t="s">
        <v>2295</v>
      </c>
      <c r="D623" t="s">
        <v>2267</v>
      </c>
      <c r="E623" t="s">
        <v>3476</v>
      </c>
      <c r="F623" t="s">
        <v>3477</v>
      </c>
      <c r="G623" s="425">
        <v>0</v>
      </c>
      <c r="H623" s="425">
        <v>0</v>
      </c>
      <c r="I623" s="425">
        <v>0</v>
      </c>
      <c r="J623" s="425">
        <v>0</v>
      </c>
      <c r="K623" s="425">
        <v>0</v>
      </c>
      <c r="L623" s="425">
        <v>0</v>
      </c>
      <c r="M623" s="425">
        <v>0</v>
      </c>
      <c r="N623" s="425">
        <v>0</v>
      </c>
      <c r="O623" s="425">
        <v>0</v>
      </c>
    </row>
    <row r="624" spans="3:15" hidden="1" x14ac:dyDescent="0.3">
      <c r="C624" t="s">
        <v>2295</v>
      </c>
      <c r="D624" t="s">
        <v>2267</v>
      </c>
      <c r="E624" t="s">
        <v>3478</v>
      </c>
      <c r="F624" t="s">
        <v>3479</v>
      </c>
      <c r="G624" s="425">
        <v>0</v>
      </c>
      <c r="H624" s="425">
        <v>0</v>
      </c>
      <c r="I624" s="425">
        <v>0</v>
      </c>
      <c r="J624" s="425">
        <v>0</v>
      </c>
      <c r="K624" s="425">
        <v>0</v>
      </c>
      <c r="L624" s="425">
        <v>0</v>
      </c>
      <c r="M624" s="425">
        <v>0</v>
      </c>
      <c r="N624" s="425">
        <v>0</v>
      </c>
      <c r="O624" s="425">
        <v>0</v>
      </c>
    </row>
    <row r="625" spans="3:15" hidden="1" x14ac:dyDescent="0.3">
      <c r="C625" t="s">
        <v>2295</v>
      </c>
      <c r="D625" t="s">
        <v>2267</v>
      </c>
      <c r="E625" t="s">
        <v>3480</v>
      </c>
      <c r="F625" t="s">
        <v>3481</v>
      </c>
      <c r="G625" s="425">
        <v>752127</v>
      </c>
      <c r="H625" s="425">
        <v>752127</v>
      </c>
      <c r="I625" s="425">
        <v>0</v>
      </c>
      <c r="J625" s="425">
        <v>0</v>
      </c>
      <c r="K625" s="425">
        <v>0</v>
      </c>
      <c r="L625" s="425">
        <v>0</v>
      </c>
      <c r="M625" s="425">
        <v>0</v>
      </c>
      <c r="N625" s="425">
        <v>0</v>
      </c>
      <c r="O625" s="425">
        <v>0</v>
      </c>
    </row>
    <row r="626" spans="3:15" hidden="1" x14ac:dyDescent="0.3">
      <c r="C626" t="s">
        <v>2295</v>
      </c>
      <c r="D626" t="s">
        <v>2267</v>
      </c>
      <c r="E626" t="s">
        <v>3482</v>
      </c>
      <c r="F626" t="s">
        <v>3483</v>
      </c>
      <c r="G626" s="425">
        <v>0</v>
      </c>
      <c r="H626" s="425">
        <v>0</v>
      </c>
      <c r="I626" s="425">
        <v>0</v>
      </c>
      <c r="J626" s="425">
        <v>0</v>
      </c>
      <c r="K626" s="425">
        <v>0</v>
      </c>
      <c r="L626" s="425">
        <v>0</v>
      </c>
      <c r="M626" s="425">
        <v>0</v>
      </c>
      <c r="N626" s="425">
        <v>0</v>
      </c>
      <c r="O626" s="425">
        <v>0</v>
      </c>
    </row>
    <row r="627" spans="3:15" hidden="1" x14ac:dyDescent="0.3">
      <c r="C627" t="s">
        <v>2295</v>
      </c>
      <c r="D627" t="s">
        <v>2267</v>
      </c>
      <c r="E627" t="s">
        <v>3484</v>
      </c>
      <c r="F627" t="s">
        <v>3485</v>
      </c>
      <c r="G627" s="425">
        <v>0</v>
      </c>
      <c r="H627" s="425">
        <v>0</v>
      </c>
      <c r="I627" s="425">
        <v>0</v>
      </c>
      <c r="J627" s="425">
        <v>0</v>
      </c>
      <c r="K627" s="425">
        <v>0</v>
      </c>
      <c r="L627" s="425">
        <v>0</v>
      </c>
      <c r="M627" s="425">
        <v>0</v>
      </c>
      <c r="N627" s="425">
        <v>0</v>
      </c>
      <c r="O627" s="425">
        <v>0</v>
      </c>
    </row>
    <row r="628" spans="3:15" hidden="1" x14ac:dyDescent="0.3">
      <c r="C628" t="s">
        <v>2295</v>
      </c>
      <c r="D628" t="s">
        <v>2267</v>
      </c>
      <c r="E628" t="s">
        <v>3486</v>
      </c>
      <c r="F628" t="s">
        <v>3487</v>
      </c>
      <c r="G628" s="425">
        <v>0</v>
      </c>
      <c r="H628" s="425">
        <v>0</v>
      </c>
      <c r="I628" s="425">
        <v>0</v>
      </c>
      <c r="J628" s="425">
        <v>0</v>
      </c>
      <c r="K628" s="425">
        <v>0</v>
      </c>
      <c r="L628" s="425">
        <v>0</v>
      </c>
      <c r="M628" s="425">
        <v>0</v>
      </c>
      <c r="N628" s="425">
        <v>0</v>
      </c>
      <c r="O628" s="425">
        <v>0</v>
      </c>
    </row>
    <row r="629" spans="3:15" hidden="1" x14ac:dyDescent="0.3">
      <c r="C629" t="s">
        <v>2295</v>
      </c>
      <c r="D629" t="s">
        <v>2267</v>
      </c>
      <c r="E629" t="s">
        <v>3488</v>
      </c>
      <c r="F629" t="s">
        <v>3489</v>
      </c>
      <c r="G629" s="425">
        <v>0</v>
      </c>
      <c r="H629" s="425">
        <v>0</v>
      </c>
      <c r="I629" s="425">
        <v>0</v>
      </c>
      <c r="J629" s="425">
        <v>0</v>
      </c>
      <c r="K629" s="425">
        <v>0</v>
      </c>
      <c r="L629" s="425">
        <v>0</v>
      </c>
      <c r="M629" s="425">
        <v>0</v>
      </c>
      <c r="N629" s="425">
        <v>0</v>
      </c>
      <c r="O629" s="425">
        <v>0</v>
      </c>
    </row>
    <row r="630" spans="3:15" hidden="1" x14ac:dyDescent="0.3">
      <c r="C630" t="s">
        <v>2295</v>
      </c>
      <c r="D630" t="s">
        <v>2267</v>
      </c>
      <c r="E630" t="s">
        <v>3490</v>
      </c>
      <c r="F630" t="s">
        <v>3491</v>
      </c>
      <c r="G630" s="425">
        <v>0</v>
      </c>
      <c r="H630" s="425">
        <v>0</v>
      </c>
      <c r="I630" s="425">
        <v>0</v>
      </c>
      <c r="J630" s="425">
        <v>0</v>
      </c>
      <c r="K630" s="425">
        <v>0</v>
      </c>
      <c r="L630" s="425">
        <v>0</v>
      </c>
      <c r="M630" s="425">
        <v>0</v>
      </c>
      <c r="N630" s="425">
        <v>0</v>
      </c>
      <c r="O630" s="425">
        <v>0</v>
      </c>
    </row>
    <row r="631" spans="3:15" hidden="1" x14ac:dyDescent="0.3">
      <c r="C631" t="s">
        <v>2295</v>
      </c>
      <c r="D631" t="s">
        <v>2267</v>
      </c>
      <c r="E631" t="s">
        <v>3492</v>
      </c>
      <c r="F631" t="s">
        <v>3493</v>
      </c>
      <c r="G631" s="425">
        <v>71798998</v>
      </c>
      <c r="H631" s="425">
        <v>71798998</v>
      </c>
      <c r="I631" s="425">
        <v>0</v>
      </c>
      <c r="J631" s="425">
        <v>0</v>
      </c>
      <c r="K631" s="425">
        <v>0</v>
      </c>
      <c r="L631" s="425">
        <v>0</v>
      </c>
      <c r="M631" s="425">
        <v>0</v>
      </c>
      <c r="N631" s="425">
        <v>0</v>
      </c>
      <c r="O631" s="425">
        <v>0</v>
      </c>
    </row>
    <row r="632" spans="3:15" hidden="1" x14ac:dyDescent="0.3">
      <c r="C632" t="s">
        <v>2295</v>
      </c>
      <c r="D632" t="s">
        <v>2267</v>
      </c>
      <c r="E632" t="s">
        <v>3494</v>
      </c>
      <c r="F632" t="s">
        <v>3495</v>
      </c>
      <c r="G632" s="425">
        <v>0</v>
      </c>
      <c r="H632" s="425">
        <v>0</v>
      </c>
      <c r="I632" s="425">
        <v>0</v>
      </c>
      <c r="J632" s="425">
        <v>0</v>
      </c>
      <c r="K632" s="425">
        <v>0</v>
      </c>
      <c r="L632" s="425">
        <v>0</v>
      </c>
      <c r="M632" s="425">
        <v>0</v>
      </c>
      <c r="N632" s="425">
        <v>0</v>
      </c>
      <c r="O632" s="425">
        <v>0</v>
      </c>
    </row>
    <row r="633" spans="3:15" hidden="1" x14ac:dyDescent="0.3">
      <c r="C633" t="s">
        <v>2295</v>
      </c>
      <c r="D633" t="s">
        <v>2267</v>
      </c>
      <c r="E633" t="s">
        <v>3496</v>
      </c>
      <c r="F633" t="s">
        <v>3497</v>
      </c>
      <c r="G633" s="425">
        <v>0</v>
      </c>
      <c r="H633" s="425">
        <v>0</v>
      </c>
      <c r="I633" s="425">
        <v>0</v>
      </c>
      <c r="J633" s="425">
        <v>0</v>
      </c>
      <c r="K633" s="425">
        <v>0</v>
      </c>
      <c r="L633" s="425">
        <v>0</v>
      </c>
      <c r="M633" s="425">
        <v>0</v>
      </c>
      <c r="N633" s="425">
        <v>0</v>
      </c>
      <c r="O633" s="425">
        <v>0</v>
      </c>
    </row>
    <row r="634" spans="3:15" hidden="1" x14ac:dyDescent="0.3">
      <c r="C634" t="s">
        <v>2295</v>
      </c>
      <c r="D634" t="s">
        <v>2267</v>
      </c>
      <c r="E634" t="s">
        <v>3498</v>
      </c>
      <c r="F634" t="s">
        <v>3499</v>
      </c>
      <c r="G634" s="425">
        <v>0</v>
      </c>
      <c r="H634" s="425">
        <v>0</v>
      </c>
      <c r="I634" s="425">
        <v>0</v>
      </c>
      <c r="J634" s="425">
        <v>0</v>
      </c>
      <c r="K634" s="425">
        <v>0</v>
      </c>
      <c r="L634" s="425">
        <v>0</v>
      </c>
      <c r="M634" s="425">
        <v>0</v>
      </c>
      <c r="N634" s="425">
        <v>0</v>
      </c>
      <c r="O634" s="425">
        <v>0</v>
      </c>
    </row>
    <row r="635" spans="3:15" hidden="1" x14ac:dyDescent="0.3">
      <c r="C635" t="s">
        <v>2295</v>
      </c>
      <c r="D635" t="s">
        <v>2267</v>
      </c>
      <c r="E635" t="s">
        <v>3500</v>
      </c>
      <c r="F635" t="s">
        <v>3501</v>
      </c>
      <c r="G635" s="425">
        <v>0</v>
      </c>
      <c r="H635" s="425">
        <v>0</v>
      </c>
      <c r="I635" s="425">
        <v>0</v>
      </c>
      <c r="J635" s="425">
        <v>0</v>
      </c>
      <c r="K635" s="425">
        <v>0</v>
      </c>
      <c r="L635" s="425">
        <v>0</v>
      </c>
      <c r="M635" s="425">
        <v>0</v>
      </c>
      <c r="N635" s="425">
        <v>0</v>
      </c>
      <c r="O635" s="425">
        <v>0</v>
      </c>
    </row>
    <row r="636" spans="3:15" hidden="1" x14ac:dyDescent="0.3">
      <c r="C636" t="s">
        <v>2295</v>
      </c>
      <c r="D636" t="s">
        <v>2267</v>
      </c>
      <c r="E636" t="s">
        <v>3502</v>
      </c>
      <c r="F636" t="s">
        <v>3503</v>
      </c>
      <c r="G636" s="425">
        <v>2495335872</v>
      </c>
      <c r="H636" s="425">
        <v>2495335872</v>
      </c>
      <c r="I636" s="425">
        <v>0</v>
      </c>
      <c r="J636" s="425">
        <v>0</v>
      </c>
      <c r="K636" s="425">
        <v>0</v>
      </c>
      <c r="L636" s="425">
        <v>0</v>
      </c>
      <c r="M636" s="425">
        <v>0</v>
      </c>
      <c r="N636" s="425">
        <v>0</v>
      </c>
      <c r="O636" s="425">
        <v>0</v>
      </c>
    </row>
    <row r="637" spans="3:15" hidden="1" x14ac:dyDescent="0.3">
      <c r="C637" t="s">
        <v>2295</v>
      </c>
      <c r="D637" t="s">
        <v>2267</v>
      </c>
      <c r="E637" t="s">
        <v>3504</v>
      </c>
      <c r="F637" t="s">
        <v>3505</v>
      </c>
      <c r="G637" s="425">
        <v>121587593</v>
      </c>
      <c r="H637" s="425">
        <v>121587593</v>
      </c>
      <c r="I637" s="425">
        <v>0</v>
      </c>
      <c r="J637" s="425">
        <v>0</v>
      </c>
      <c r="K637" s="425">
        <v>0</v>
      </c>
      <c r="L637" s="425">
        <v>0</v>
      </c>
      <c r="M637" s="425">
        <v>0</v>
      </c>
      <c r="N637" s="425">
        <v>0</v>
      </c>
      <c r="O637" s="425">
        <v>0</v>
      </c>
    </row>
    <row r="638" spans="3:15" hidden="1" x14ac:dyDescent="0.3">
      <c r="C638" t="s">
        <v>2295</v>
      </c>
      <c r="D638" t="s">
        <v>2267</v>
      </c>
      <c r="E638" t="s">
        <v>3506</v>
      </c>
      <c r="F638" t="s">
        <v>3507</v>
      </c>
      <c r="G638" s="425">
        <v>0</v>
      </c>
      <c r="H638" s="425">
        <v>0</v>
      </c>
      <c r="I638" s="425">
        <v>0</v>
      </c>
      <c r="J638" s="425">
        <v>0</v>
      </c>
      <c r="K638" s="425">
        <v>0</v>
      </c>
      <c r="L638" s="425">
        <v>0</v>
      </c>
      <c r="M638" s="425">
        <v>0</v>
      </c>
      <c r="N638" s="425">
        <v>0</v>
      </c>
      <c r="O638" s="425">
        <v>0</v>
      </c>
    </row>
    <row r="639" spans="3:15" hidden="1" x14ac:dyDescent="0.3">
      <c r="C639" t="s">
        <v>2295</v>
      </c>
      <c r="D639" t="s">
        <v>2267</v>
      </c>
      <c r="E639" t="s">
        <v>3508</v>
      </c>
      <c r="F639" t="s">
        <v>3509</v>
      </c>
      <c r="G639" s="425">
        <v>0</v>
      </c>
      <c r="H639" s="425">
        <v>0</v>
      </c>
      <c r="I639" s="425">
        <v>0</v>
      </c>
      <c r="J639" s="425">
        <v>0</v>
      </c>
      <c r="K639" s="425">
        <v>0</v>
      </c>
      <c r="L639" s="425">
        <v>0</v>
      </c>
      <c r="M639" s="425">
        <v>0</v>
      </c>
      <c r="N639" s="425">
        <v>0</v>
      </c>
      <c r="O639" s="425">
        <v>0</v>
      </c>
    </row>
    <row r="640" spans="3:15" hidden="1" x14ac:dyDescent="0.3">
      <c r="C640" t="s">
        <v>2295</v>
      </c>
      <c r="D640" t="s">
        <v>2267</v>
      </c>
      <c r="E640" t="s">
        <v>3510</v>
      </c>
      <c r="F640" t="s">
        <v>3511</v>
      </c>
      <c r="G640" s="425">
        <v>0</v>
      </c>
      <c r="H640" s="425">
        <v>0</v>
      </c>
      <c r="I640" s="425">
        <v>0</v>
      </c>
      <c r="J640" s="425">
        <v>0</v>
      </c>
      <c r="K640" s="425">
        <v>0</v>
      </c>
      <c r="L640" s="425">
        <v>0</v>
      </c>
      <c r="M640" s="425">
        <v>0</v>
      </c>
      <c r="N640" s="425">
        <v>0</v>
      </c>
      <c r="O640" s="425">
        <v>0</v>
      </c>
    </row>
    <row r="641" spans="3:15" hidden="1" x14ac:dyDescent="0.3">
      <c r="C641" t="s">
        <v>2295</v>
      </c>
      <c r="D641" t="s">
        <v>2267</v>
      </c>
      <c r="E641" t="s">
        <v>3512</v>
      </c>
      <c r="F641" t="s">
        <v>3513</v>
      </c>
      <c r="G641" s="425">
        <v>0</v>
      </c>
      <c r="H641" s="425">
        <v>0</v>
      </c>
      <c r="I641" s="425">
        <v>0</v>
      </c>
      <c r="J641" s="425">
        <v>0</v>
      </c>
      <c r="K641" s="425">
        <v>0</v>
      </c>
      <c r="L641" s="425">
        <v>0</v>
      </c>
      <c r="M641" s="425">
        <v>0</v>
      </c>
      <c r="N641" s="425">
        <v>0</v>
      </c>
      <c r="O641" s="425">
        <v>0</v>
      </c>
    </row>
    <row r="642" spans="3:15" hidden="1" x14ac:dyDescent="0.3">
      <c r="C642" t="s">
        <v>2295</v>
      </c>
      <c r="D642" t="s">
        <v>2267</v>
      </c>
      <c r="E642" t="s">
        <v>3514</v>
      </c>
      <c r="F642" t="s">
        <v>3515</v>
      </c>
      <c r="G642" s="425">
        <v>0</v>
      </c>
      <c r="H642" s="425">
        <v>0</v>
      </c>
      <c r="I642" s="425">
        <v>0</v>
      </c>
      <c r="J642" s="425">
        <v>0</v>
      </c>
      <c r="K642" s="425">
        <v>0</v>
      </c>
      <c r="L642" s="425">
        <v>0</v>
      </c>
      <c r="M642" s="425">
        <v>0</v>
      </c>
      <c r="N642" s="425">
        <v>0</v>
      </c>
      <c r="O642" s="425">
        <v>0</v>
      </c>
    </row>
    <row r="643" spans="3:15" hidden="1" x14ac:dyDescent="0.3">
      <c r="C643" t="s">
        <v>2295</v>
      </c>
      <c r="D643" t="s">
        <v>2267</v>
      </c>
      <c r="E643" t="s">
        <v>3516</v>
      </c>
      <c r="F643" t="s">
        <v>3517</v>
      </c>
      <c r="G643" s="425">
        <v>0</v>
      </c>
      <c r="H643" s="425">
        <v>0</v>
      </c>
      <c r="I643" s="425">
        <v>0</v>
      </c>
      <c r="J643" s="425">
        <v>0</v>
      </c>
      <c r="K643" s="425">
        <v>0</v>
      </c>
      <c r="L643" s="425">
        <v>0</v>
      </c>
      <c r="M643" s="425">
        <v>0</v>
      </c>
      <c r="N643" s="425">
        <v>0</v>
      </c>
      <c r="O643" s="425">
        <v>0</v>
      </c>
    </row>
    <row r="644" spans="3:15" hidden="1" x14ac:dyDescent="0.3">
      <c r="C644" t="s">
        <v>2295</v>
      </c>
      <c r="D644" t="s">
        <v>2267</v>
      </c>
      <c r="E644" t="s">
        <v>3518</v>
      </c>
      <c r="F644" t="s">
        <v>3519</v>
      </c>
      <c r="G644" s="425">
        <v>0</v>
      </c>
      <c r="H644" s="425">
        <v>0</v>
      </c>
      <c r="I644" s="425">
        <v>0</v>
      </c>
      <c r="J644" s="425">
        <v>0</v>
      </c>
      <c r="K644" s="425">
        <v>0</v>
      </c>
      <c r="L644" s="425">
        <v>0</v>
      </c>
      <c r="M644" s="425">
        <v>0</v>
      </c>
      <c r="N644" s="425">
        <v>0</v>
      </c>
      <c r="O644" s="425">
        <v>0</v>
      </c>
    </row>
    <row r="645" spans="3:15" hidden="1" x14ac:dyDescent="0.3">
      <c r="C645" t="s">
        <v>2295</v>
      </c>
      <c r="D645" t="s">
        <v>2267</v>
      </c>
      <c r="E645" t="s">
        <v>3520</v>
      </c>
      <c r="F645" t="s">
        <v>3521</v>
      </c>
      <c r="G645" s="425">
        <v>23901</v>
      </c>
      <c r="H645" s="425">
        <v>23901</v>
      </c>
      <c r="I645" s="425">
        <v>0</v>
      </c>
      <c r="J645" s="425">
        <v>0</v>
      </c>
      <c r="K645" s="425">
        <v>0</v>
      </c>
      <c r="L645" s="425">
        <v>0</v>
      </c>
      <c r="M645" s="425">
        <v>0</v>
      </c>
      <c r="N645" s="425">
        <v>0</v>
      </c>
      <c r="O645" s="425">
        <v>0</v>
      </c>
    </row>
    <row r="646" spans="3:15" hidden="1" x14ac:dyDescent="0.3">
      <c r="C646" t="s">
        <v>2295</v>
      </c>
      <c r="D646" t="s">
        <v>2267</v>
      </c>
      <c r="E646" t="s">
        <v>3522</v>
      </c>
      <c r="F646" t="s">
        <v>3523</v>
      </c>
      <c r="G646" s="425">
        <v>0</v>
      </c>
      <c r="H646" s="425">
        <v>0</v>
      </c>
      <c r="I646" s="425">
        <v>0</v>
      </c>
      <c r="J646" s="425">
        <v>0</v>
      </c>
      <c r="K646" s="425">
        <v>0</v>
      </c>
      <c r="L646" s="425">
        <v>0</v>
      </c>
      <c r="M646" s="425">
        <v>0</v>
      </c>
      <c r="N646" s="425">
        <v>0</v>
      </c>
      <c r="O646" s="425">
        <v>0</v>
      </c>
    </row>
    <row r="647" spans="3:15" hidden="1" x14ac:dyDescent="0.3">
      <c r="C647" t="s">
        <v>2295</v>
      </c>
      <c r="D647" t="s">
        <v>2267</v>
      </c>
      <c r="E647" t="s">
        <v>3524</v>
      </c>
      <c r="F647" t="s">
        <v>3525</v>
      </c>
      <c r="G647" s="425">
        <v>0</v>
      </c>
      <c r="H647" s="425">
        <v>0</v>
      </c>
      <c r="I647" s="425">
        <v>0</v>
      </c>
      <c r="J647" s="425">
        <v>0</v>
      </c>
      <c r="K647" s="425">
        <v>0</v>
      </c>
      <c r="L647" s="425">
        <v>0</v>
      </c>
      <c r="M647" s="425">
        <v>0</v>
      </c>
      <c r="N647" s="425">
        <v>0</v>
      </c>
      <c r="O647" s="425">
        <v>0</v>
      </c>
    </row>
    <row r="648" spans="3:15" hidden="1" x14ac:dyDescent="0.3">
      <c r="C648" t="s">
        <v>2295</v>
      </c>
      <c r="D648" t="s">
        <v>2267</v>
      </c>
      <c r="E648" t="s">
        <v>3526</v>
      </c>
      <c r="F648" t="s">
        <v>3527</v>
      </c>
      <c r="G648" s="425">
        <v>0</v>
      </c>
      <c r="H648" s="425">
        <v>0</v>
      </c>
      <c r="I648" s="425">
        <v>0</v>
      </c>
      <c r="J648" s="425">
        <v>0</v>
      </c>
      <c r="K648" s="425">
        <v>0</v>
      </c>
      <c r="L648" s="425">
        <v>0</v>
      </c>
      <c r="M648" s="425">
        <v>0</v>
      </c>
      <c r="N648" s="425">
        <v>0</v>
      </c>
      <c r="O648" s="425">
        <v>0</v>
      </c>
    </row>
    <row r="649" spans="3:15" hidden="1" x14ac:dyDescent="0.3">
      <c r="C649" t="s">
        <v>2295</v>
      </c>
      <c r="D649" t="s">
        <v>2267</v>
      </c>
      <c r="E649" t="s">
        <v>3528</v>
      </c>
      <c r="F649" t="s">
        <v>3529</v>
      </c>
      <c r="G649" s="425">
        <v>0</v>
      </c>
      <c r="H649" s="425">
        <v>0</v>
      </c>
      <c r="I649" s="425">
        <v>0</v>
      </c>
      <c r="J649" s="425">
        <v>0</v>
      </c>
      <c r="K649" s="425">
        <v>0</v>
      </c>
      <c r="L649" s="425">
        <v>0</v>
      </c>
      <c r="M649" s="425">
        <v>0</v>
      </c>
      <c r="N649" s="425">
        <v>0</v>
      </c>
      <c r="O649" s="425">
        <v>0</v>
      </c>
    </row>
    <row r="650" spans="3:15" hidden="1" x14ac:dyDescent="0.3">
      <c r="C650" t="s">
        <v>2295</v>
      </c>
      <c r="D650" t="s">
        <v>2267</v>
      </c>
      <c r="E650" t="s">
        <v>3530</v>
      </c>
      <c r="F650" t="s">
        <v>3531</v>
      </c>
      <c r="G650" s="425">
        <v>0</v>
      </c>
      <c r="H650" s="425">
        <v>0</v>
      </c>
      <c r="I650" s="425">
        <v>0</v>
      </c>
      <c r="J650" s="425">
        <v>0</v>
      </c>
      <c r="K650" s="425">
        <v>0</v>
      </c>
      <c r="L650" s="425">
        <v>0</v>
      </c>
      <c r="M650" s="425">
        <v>0</v>
      </c>
      <c r="N650" s="425">
        <v>0</v>
      </c>
      <c r="O650" s="425">
        <v>0</v>
      </c>
    </row>
    <row r="651" spans="3:15" hidden="1" x14ac:dyDescent="0.3">
      <c r="C651" t="s">
        <v>2295</v>
      </c>
      <c r="D651" t="s">
        <v>2267</v>
      </c>
      <c r="E651" t="s">
        <v>3532</v>
      </c>
      <c r="F651" t="s">
        <v>3533</v>
      </c>
      <c r="G651" s="425">
        <v>0</v>
      </c>
      <c r="H651" s="425">
        <v>0</v>
      </c>
      <c r="I651" s="425">
        <v>0</v>
      </c>
      <c r="J651" s="425">
        <v>0</v>
      </c>
      <c r="K651" s="425">
        <v>0</v>
      </c>
      <c r="L651" s="425">
        <v>0</v>
      </c>
      <c r="M651" s="425">
        <v>0</v>
      </c>
      <c r="N651" s="425">
        <v>0</v>
      </c>
      <c r="O651" s="425">
        <v>0</v>
      </c>
    </row>
    <row r="652" spans="3:15" hidden="1" x14ac:dyDescent="0.3">
      <c r="C652" t="s">
        <v>2295</v>
      </c>
      <c r="D652" t="s">
        <v>2267</v>
      </c>
      <c r="E652" t="s">
        <v>3534</v>
      </c>
      <c r="F652" t="s">
        <v>3535</v>
      </c>
      <c r="G652" s="425">
        <v>0</v>
      </c>
      <c r="H652" s="425">
        <v>0</v>
      </c>
      <c r="I652" s="425">
        <v>0</v>
      </c>
      <c r="J652" s="425">
        <v>0</v>
      </c>
      <c r="K652" s="425">
        <v>0</v>
      </c>
      <c r="L652" s="425">
        <v>0</v>
      </c>
      <c r="M652" s="425">
        <v>0</v>
      </c>
      <c r="N652" s="425">
        <v>0</v>
      </c>
      <c r="O652" s="425">
        <v>0</v>
      </c>
    </row>
    <row r="653" spans="3:15" hidden="1" x14ac:dyDescent="0.3">
      <c r="C653" t="s">
        <v>2292</v>
      </c>
      <c r="D653" t="s">
        <v>2237</v>
      </c>
      <c r="E653" t="s">
        <v>14</v>
      </c>
      <c r="F653" t="s">
        <v>3536</v>
      </c>
      <c r="G653" s="425">
        <v>928653199</v>
      </c>
      <c r="H653" s="425">
        <v>928653199</v>
      </c>
      <c r="I653" s="425">
        <v>0</v>
      </c>
      <c r="J653" s="425">
        <v>0</v>
      </c>
      <c r="K653" s="425">
        <v>0</v>
      </c>
      <c r="L653" s="425">
        <v>0</v>
      </c>
      <c r="M653" s="425">
        <v>0</v>
      </c>
      <c r="N653" s="425">
        <v>0</v>
      </c>
      <c r="O653" s="425">
        <v>0</v>
      </c>
    </row>
    <row r="654" spans="3:15" hidden="1" x14ac:dyDescent="0.3">
      <c r="C654" t="s">
        <v>2295</v>
      </c>
      <c r="D654" t="s">
        <v>2267</v>
      </c>
      <c r="E654" t="s">
        <v>3537</v>
      </c>
      <c r="F654" t="s">
        <v>3538</v>
      </c>
      <c r="G654" s="425">
        <v>10012344</v>
      </c>
      <c r="H654" s="425">
        <v>10012344</v>
      </c>
      <c r="I654" s="425">
        <v>0</v>
      </c>
      <c r="J654" s="425">
        <v>0</v>
      </c>
      <c r="K654" s="425">
        <v>0</v>
      </c>
      <c r="L654" s="425">
        <v>0</v>
      </c>
      <c r="M654" s="425">
        <v>0</v>
      </c>
      <c r="N654" s="425">
        <v>0</v>
      </c>
      <c r="O654" s="425">
        <v>0</v>
      </c>
    </row>
    <row r="655" spans="3:15" hidden="1" x14ac:dyDescent="0.3">
      <c r="C655" t="s">
        <v>2295</v>
      </c>
      <c r="D655" t="s">
        <v>2267</v>
      </c>
      <c r="E655" t="s">
        <v>3539</v>
      </c>
      <c r="F655" t="s">
        <v>3540</v>
      </c>
      <c r="G655" s="425">
        <v>0</v>
      </c>
      <c r="H655" s="425">
        <v>0</v>
      </c>
      <c r="I655" s="425">
        <v>0</v>
      </c>
      <c r="J655" s="425">
        <v>0</v>
      </c>
      <c r="K655" s="425">
        <v>0</v>
      </c>
      <c r="L655" s="425">
        <v>0</v>
      </c>
      <c r="M655" s="425">
        <v>0</v>
      </c>
      <c r="N655" s="425">
        <v>0</v>
      </c>
      <c r="O655" s="425">
        <v>0</v>
      </c>
    </row>
    <row r="656" spans="3:15" hidden="1" x14ac:dyDescent="0.3">
      <c r="C656" t="s">
        <v>2295</v>
      </c>
      <c r="D656" t="s">
        <v>2267</v>
      </c>
      <c r="E656" t="s">
        <v>3541</v>
      </c>
      <c r="F656" t="s">
        <v>3542</v>
      </c>
      <c r="G656" s="425">
        <v>0</v>
      </c>
      <c r="H656" s="425">
        <v>0</v>
      </c>
      <c r="I656" s="425">
        <v>0</v>
      </c>
      <c r="J656" s="425">
        <v>0</v>
      </c>
      <c r="K656" s="425">
        <v>0</v>
      </c>
      <c r="L656" s="425">
        <v>0</v>
      </c>
      <c r="M656" s="425">
        <v>0</v>
      </c>
      <c r="N656" s="425">
        <v>0</v>
      </c>
      <c r="O656" s="425">
        <v>0</v>
      </c>
    </row>
    <row r="657" spans="3:15" hidden="1" x14ac:dyDescent="0.3">
      <c r="C657" t="s">
        <v>2295</v>
      </c>
      <c r="D657" t="s">
        <v>2267</v>
      </c>
      <c r="E657" t="s">
        <v>3543</v>
      </c>
      <c r="F657" t="s">
        <v>3544</v>
      </c>
      <c r="G657" s="425">
        <v>0</v>
      </c>
      <c r="H657" s="425">
        <v>0</v>
      </c>
      <c r="I657" s="425">
        <v>0</v>
      </c>
      <c r="J657" s="425">
        <v>0</v>
      </c>
      <c r="K657" s="425">
        <v>0</v>
      </c>
      <c r="L657" s="425">
        <v>0</v>
      </c>
      <c r="M657" s="425">
        <v>0</v>
      </c>
      <c r="N657" s="425">
        <v>0</v>
      </c>
      <c r="O657" s="425">
        <v>0</v>
      </c>
    </row>
    <row r="658" spans="3:15" hidden="1" x14ac:dyDescent="0.3">
      <c r="C658" t="s">
        <v>2295</v>
      </c>
      <c r="D658" t="s">
        <v>2267</v>
      </c>
      <c r="E658" t="s">
        <v>3545</v>
      </c>
      <c r="F658" t="s">
        <v>3546</v>
      </c>
      <c r="G658" s="425">
        <v>84541251</v>
      </c>
      <c r="H658" s="425">
        <v>84541251</v>
      </c>
      <c r="I658" s="425">
        <v>0</v>
      </c>
      <c r="J658" s="425">
        <v>0</v>
      </c>
      <c r="K658" s="425">
        <v>0</v>
      </c>
      <c r="L658" s="425">
        <v>0</v>
      </c>
      <c r="M658" s="425">
        <v>0</v>
      </c>
      <c r="N658" s="425">
        <v>0</v>
      </c>
      <c r="O658" s="425">
        <v>0</v>
      </c>
    </row>
    <row r="659" spans="3:15" hidden="1" x14ac:dyDescent="0.3">
      <c r="C659" t="s">
        <v>2295</v>
      </c>
      <c r="D659" t="s">
        <v>2267</v>
      </c>
      <c r="E659" t="s">
        <v>3547</v>
      </c>
      <c r="F659" t="s">
        <v>3548</v>
      </c>
      <c r="G659" s="425">
        <v>0</v>
      </c>
      <c r="H659" s="425">
        <v>0</v>
      </c>
      <c r="I659" s="425">
        <v>0</v>
      </c>
      <c r="J659" s="425">
        <v>0</v>
      </c>
      <c r="K659" s="425">
        <v>0</v>
      </c>
      <c r="L659" s="425">
        <v>0</v>
      </c>
      <c r="M659" s="425">
        <v>0</v>
      </c>
      <c r="N659" s="425">
        <v>0</v>
      </c>
      <c r="O659" s="425">
        <v>0</v>
      </c>
    </row>
    <row r="660" spans="3:15" hidden="1" x14ac:dyDescent="0.3">
      <c r="C660" t="s">
        <v>2295</v>
      </c>
      <c r="D660" t="s">
        <v>2267</v>
      </c>
      <c r="E660" t="s">
        <v>3549</v>
      </c>
      <c r="F660" t="s">
        <v>3550</v>
      </c>
      <c r="G660" s="425">
        <v>0</v>
      </c>
      <c r="H660" s="425">
        <v>0</v>
      </c>
      <c r="I660" s="425">
        <v>0</v>
      </c>
      <c r="J660" s="425">
        <v>0</v>
      </c>
      <c r="K660" s="425">
        <v>0</v>
      </c>
      <c r="L660" s="425">
        <v>0</v>
      </c>
      <c r="M660" s="425">
        <v>0</v>
      </c>
      <c r="N660" s="425">
        <v>0</v>
      </c>
      <c r="O660" s="425">
        <v>0</v>
      </c>
    </row>
    <row r="661" spans="3:15" hidden="1" x14ac:dyDescent="0.3">
      <c r="C661" t="s">
        <v>2295</v>
      </c>
      <c r="D661" t="s">
        <v>2267</v>
      </c>
      <c r="E661" t="s">
        <v>3551</v>
      </c>
      <c r="F661" t="s">
        <v>3552</v>
      </c>
      <c r="G661" s="425">
        <v>0</v>
      </c>
      <c r="H661" s="425">
        <v>0</v>
      </c>
      <c r="I661" s="425">
        <v>0</v>
      </c>
      <c r="J661" s="425">
        <v>0</v>
      </c>
      <c r="K661" s="425">
        <v>0</v>
      </c>
      <c r="L661" s="425">
        <v>0</v>
      </c>
      <c r="M661" s="425">
        <v>0</v>
      </c>
      <c r="N661" s="425">
        <v>0</v>
      </c>
      <c r="O661" s="425">
        <v>0</v>
      </c>
    </row>
    <row r="662" spans="3:15" hidden="1" x14ac:dyDescent="0.3">
      <c r="C662" t="s">
        <v>2295</v>
      </c>
      <c r="D662" t="s">
        <v>2267</v>
      </c>
      <c r="E662" t="s">
        <v>3553</v>
      </c>
      <c r="F662" t="s">
        <v>3554</v>
      </c>
      <c r="G662" s="425">
        <v>167818</v>
      </c>
      <c r="H662" s="425">
        <v>167818</v>
      </c>
      <c r="I662" s="425">
        <v>0</v>
      </c>
      <c r="J662" s="425">
        <v>0</v>
      </c>
      <c r="K662" s="425">
        <v>0</v>
      </c>
      <c r="L662" s="425">
        <v>0</v>
      </c>
      <c r="M662" s="425">
        <v>0</v>
      </c>
      <c r="N662" s="425">
        <v>0</v>
      </c>
      <c r="O662" s="425">
        <v>0</v>
      </c>
    </row>
    <row r="663" spans="3:15" hidden="1" x14ac:dyDescent="0.3">
      <c r="C663" t="s">
        <v>2295</v>
      </c>
      <c r="D663" t="s">
        <v>2267</v>
      </c>
      <c r="E663" t="s">
        <v>3555</v>
      </c>
      <c r="F663" t="s">
        <v>3556</v>
      </c>
      <c r="G663" s="425">
        <v>0</v>
      </c>
      <c r="H663" s="425">
        <v>0</v>
      </c>
      <c r="I663" s="425">
        <v>0</v>
      </c>
      <c r="J663" s="425">
        <v>0</v>
      </c>
      <c r="K663" s="425">
        <v>0</v>
      </c>
      <c r="L663" s="425">
        <v>0</v>
      </c>
      <c r="M663" s="425">
        <v>0</v>
      </c>
      <c r="N663" s="425">
        <v>0</v>
      </c>
      <c r="O663" s="425">
        <v>0</v>
      </c>
    </row>
    <row r="664" spans="3:15" hidden="1" x14ac:dyDescent="0.3">
      <c r="C664" t="s">
        <v>2295</v>
      </c>
      <c r="D664" t="s">
        <v>2267</v>
      </c>
      <c r="E664" t="s">
        <v>3557</v>
      </c>
      <c r="F664" t="s">
        <v>3558</v>
      </c>
      <c r="G664" s="425">
        <v>0</v>
      </c>
      <c r="H664" s="425">
        <v>0</v>
      </c>
      <c r="I664" s="425">
        <v>0</v>
      </c>
      <c r="J664" s="425">
        <v>0</v>
      </c>
      <c r="K664" s="425">
        <v>0</v>
      </c>
      <c r="L664" s="425">
        <v>0</v>
      </c>
      <c r="M664" s="425">
        <v>0</v>
      </c>
      <c r="N664" s="425">
        <v>0</v>
      </c>
      <c r="O664" s="425">
        <v>0</v>
      </c>
    </row>
    <row r="665" spans="3:15" hidden="1" x14ac:dyDescent="0.3">
      <c r="C665" t="s">
        <v>2295</v>
      </c>
      <c r="D665" t="s">
        <v>2267</v>
      </c>
      <c r="E665" t="s">
        <v>3559</v>
      </c>
      <c r="F665" t="s">
        <v>3560</v>
      </c>
      <c r="G665" s="425">
        <v>264595224</v>
      </c>
      <c r="H665" s="425">
        <v>264595224</v>
      </c>
      <c r="I665" s="425">
        <v>0</v>
      </c>
      <c r="J665" s="425">
        <v>0</v>
      </c>
      <c r="K665" s="425">
        <v>0</v>
      </c>
      <c r="L665" s="425">
        <v>0</v>
      </c>
      <c r="M665" s="425">
        <v>0</v>
      </c>
      <c r="N665" s="425">
        <v>0</v>
      </c>
      <c r="O665" s="425">
        <v>0</v>
      </c>
    </row>
    <row r="666" spans="3:15" hidden="1" x14ac:dyDescent="0.3">
      <c r="C666" t="s">
        <v>2295</v>
      </c>
      <c r="D666" t="s">
        <v>2267</v>
      </c>
      <c r="E666" t="s">
        <v>3561</v>
      </c>
      <c r="F666" t="s">
        <v>3562</v>
      </c>
      <c r="G666" s="425">
        <v>0</v>
      </c>
      <c r="H666" s="425">
        <v>0</v>
      </c>
      <c r="I666" s="425">
        <v>0</v>
      </c>
      <c r="J666" s="425">
        <v>0</v>
      </c>
      <c r="K666" s="425">
        <v>0</v>
      </c>
      <c r="L666" s="425">
        <v>0</v>
      </c>
      <c r="M666" s="425">
        <v>0</v>
      </c>
      <c r="N666" s="425">
        <v>0</v>
      </c>
      <c r="O666" s="425">
        <v>0</v>
      </c>
    </row>
    <row r="667" spans="3:15" hidden="1" x14ac:dyDescent="0.3">
      <c r="C667" t="s">
        <v>2295</v>
      </c>
      <c r="D667" t="s">
        <v>2267</v>
      </c>
      <c r="E667" t="s">
        <v>3563</v>
      </c>
      <c r="F667" t="s">
        <v>3564</v>
      </c>
      <c r="G667" s="425">
        <v>0</v>
      </c>
      <c r="H667" s="425">
        <v>0</v>
      </c>
      <c r="I667" s="425">
        <v>0</v>
      </c>
      <c r="J667" s="425">
        <v>0</v>
      </c>
      <c r="K667" s="425">
        <v>0</v>
      </c>
      <c r="L667" s="425">
        <v>0</v>
      </c>
      <c r="M667" s="425">
        <v>0</v>
      </c>
      <c r="N667" s="425">
        <v>0</v>
      </c>
      <c r="O667" s="425">
        <v>0</v>
      </c>
    </row>
    <row r="668" spans="3:15" hidden="1" x14ac:dyDescent="0.3">
      <c r="C668" t="s">
        <v>2295</v>
      </c>
      <c r="D668" t="s">
        <v>2267</v>
      </c>
      <c r="E668" t="s">
        <v>3565</v>
      </c>
      <c r="F668" t="s">
        <v>3566</v>
      </c>
      <c r="G668" s="425">
        <v>0</v>
      </c>
      <c r="H668" s="425">
        <v>0</v>
      </c>
      <c r="I668" s="425">
        <v>0</v>
      </c>
      <c r="J668" s="425">
        <v>0</v>
      </c>
      <c r="K668" s="425">
        <v>0</v>
      </c>
      <c r="L668" s="425">
        <v>0</v>
      </c>
      <c r="M668" s="425">
        <v>0</v>
      </c>
      <c r="N668" s="425">
        <v>0</v>
      </c>
      <c r="O668" s="425">
        <v>0</v>
      </c>
    </row>
    <row r="669" spans="3:15" hidden="1" x14ac:dyDescent="0.3">
      <c r="C669" t="s">
        <v>2295</v>
      </c>
      <c r="D669" t="s">
        <v>2267</v>
      </c>
      <c r="E669" t="s">
        <v>3567</v>
      </c>
      <c r="F669" t="s">
        <v>3568</v>
      </c>
      <c r="G669" s="425">
        <v>0</v>
      </c>
      <c r="H669" s="425">
        <v>0</v>
      </c>
      <c r="I669" s="425">
        <v>0</v>
      </c>
      <c r="J669" s="425">
        <v>0</v>
      </c>
      <c r="K669" s="425">
        <v>0</v>
      </c>
      <c r="L669" s="425">
        <v>0</v>
      </c>
      <c r="M669" s="425">
        <v>0</v>
      </c>
      <c r="N669" s="425">
        <v>0</v>
      </c>
      <c r="O669" s="425">
        <v>0</v>
      </c>
    </row>
    <row r="670" spans="3:15" hidden="1" x14ac:dyDescent="0.3">
      <c r="C670" t="s">
        <v>2295</v>
      </c>
      <c r="D670" t="s">
        <v>2267</v>
      </c>
      <c r="E670" t="s">
        <v>3569</v>
      </c>
      <c r="F670" t="s">
        <v>3570</v>
      </c>
      <c r="G670" s="425">
        <v>0</v>
      </c>
      <c r="H670" s="425">
        <v>0</v>
      </c>
      <c r="I670" s="425">
        <v>0</v>
      </c>
      <c r="J670" s="425">
        <v>0</v>
      </c>
      <c r="K670" s="425">
        <v>0</v>
      </c>
      <c r="L670" s="425">
        <v>0</v>
      </c>
      <c r="M670" s="425">
        <v>0</v>
      </c>
      <c r="N670" s="425">
        <v>0</v>
      </c>
      <c r="O670" s="425">
        <v>0</v>
      </c>
    </row>
    <row r="671" spans="3:15" hidden="1" x14ac:dyDescent="0.3">
      <c r="C671" t="s">
        <v>2295</v>
      </c>
      <c r="D671" t="s">
        <v>2267</v>
      </c>
      <c r="E671" t="s">
        <v>3571</v>
      </c>
      <c r="F671" t="s">
        <v>3572</v>
      </c>
      <c r="G671" s="425">
        <v>0</v>
      </c>
      <c r="H671" s="425">
        <v>0</v>
      </c>
      <c r="I671" s="425">
        <v>0</v>
      </c>
      <c r="J671" s="425">
        <v>0</v>
      </c>
      <c r="K671" s="425">
        <v>0</v>
      </c>
      <c r="L671" s="425">
        <v>0</v>
      </c>
      <c r="M671" s="425">
        <v>0</v>
      </c>
      <c r="N671" s="425">
        <v>0</v>
      </c>
      <c r="O671" s="425">
        <v>0</v>
      </c>
    </row>
    <row r="672" spans="3:15" hidden="1" x14ac:dyDescent="0.3">
      <c r="C672" t="s">
        <v>2295</v>
      </c>
      <c r="D672" t="s">
        <v>2267</v>
      </c>
      <c r="E672" t="s">
        <v>3573</v>
      </c>
      <c r="F672" t="s">
        <v>3574</v>
      </c>
      <c r="G672" s="425">
        <v>836325</v>
      </c>
      <c r="H672" s="425">
        <v>836325</v>
      </c>
      <c r="I672" s="425">
        <v>0</v>
      </c>
      <c r="J672" s="425">
        <v>0</v>
      </c>
      <c r="K672" s="425">
        <v>0</v>
      </c>
      <c r="L672" s="425">
        <v>0</v>
      </c>
      <c r="M672" s="425">
        <v>0</v>
      </c>
      <c r="N672" s="425">
        <v>0</v>
      </c>
      <c r="O672" s="425">
        <v>0</v>
      </c>
    </row>
    <row r="673" spans="3:15" hidden="1" x14ac:dyDescent="0.3">
      <c r="C673" t="s">
        <v>2295</v>
      </c>
      <c r="D673" t="s">
        <v>2267</v>
      </c>
      <c r="E673" t="s">
        <v>3575</v>
      </c>
      <c r="F673" t="s">
        <v>3576</v>
      </c>
      <c r="G673" s="425">
        <v>0</v>
      </c>
      <c r="H673" s="425">
        <v>0</v>
      </c>
      <c r="I673" s="425">
        <v>0</v>
      </c>
      <c r="J673" s="425">
        <v>0</v>
      </c>
      <c r="K673" s="425">
        <v>0</v>
      </c>
      <c r="L673" s="425">
        <v>0</v>
      </c>
      <c r="M673" s="425">
        <v>0</v>
      </c>
      <c r="N673" s="425">
        <v>0</v>
      </c>
      <c r="O673" s="425">
        <v>0</v>
      </c>
    </row>
    <row r="674" spans="3:15" hidden="1" x14ac:dyDescent="0.3">
      <c r="C674" t="s">
        <v>2295</v>
      </c>
      <c r="D674" t="s">
        <v>2267</v>
      </c>
      <c r="E674" t="s">
        <v>3577</v>
      </c>
      <c r="F674" t="s">
        <v>3578</v>
      </c>
      <c r="G674" s="425">
        <v>0</v>
      </c>
      <c r="H674" s="425">
        <v>0</v>
      </c>
      <c r="I674" s="425">
        <v>0</v>
      </c>
      <c r="J674" s="425">
        <v>0</v>
      </c>
      <c r="K674" s="425">
        <v>0</v>
      </c>
      <c r="L674" s="425">
        <v>0</v>
      </c>
      <c r="M674" s="425">
        <v>0</v>
      </c>
      <c r="N674" s="425">
        <v>0</v>
      </c>
      <c r="O674" s="425">
        <v>0</v>
      </c>
    </row>
    <row r="675" spans="3:15" hidden="1" x14ac:dyDescent="0.3">
      <c r="C675" t="s">
        <v>2295</v>
      </c>
      <c r="D675" t="s">
        <v>2267</v>
      </c>
      <c r="E675" t="s">
        <v>3579</v>
      </c>
      <c r="F675" t="s">
        <v>3580</v>
      </c>
      <c r="G675" s="425">
        <v>563029808</v>
      </c>
      <c r="H675" s="425">
        <v>563029808</v>
      </c>
      <c r="I675" s="425">
        <v>0</v>
      </c>
      <c r="J675" s="425">
        <v>0</v>
      </c>
      <c r="K675" s="425">
        <v>0</v>
      </c>
      <c r="L675" s="425">
        <v>0</v>
      </c>
      <c r="M675" s="425">
        <v>0</v>
      </c>
      <c r="N675" s="425">
        <v>0</v>
      </c>
      <c r="O675" s="425">
        <v>0</v>
      </c>
    </row>
    <row r="676" spans="3:15" hidden="1" x14ac:dyDescent="0.3">
      <c r="C676" t="s">
        <v>2295</v>
      </c>
      <c r="D676" t="s">
        <v>2267</v>
      </c>
      <c r="E676" t="s">
        <v>3581</v>
      </c>
      <c r="F676" t="s">
        <v>3582</v>
      </c>
      <c r="G676" s="425">
        <v>0</v>
      </c>
      <c r="H676" s="425">
        <v>0</v>
      </c>
      <c r="I676" s="425">
        <v>0</v>
      </c>
      <c r="J676" s="425">
        <v>0</v>
      </c>
      <c r="K676" s="425">
        <v>0</v>
      </c>
      <c r="L676" s="425">
        <v>0</v>
      </c>
      <c r="M676" s="425">
        <v>0</v>
      </c>
      <c r="N676" s="425">
        <v>0</v>
      </c>
      <c r="O676" s="425">
        <v>0</v>
      </c>
    </row>
    <row r="677" spans="3:15" hidden="1" x14ac:dyDescent="0.3">
      <c r="C677" t="s">
        <v>2295</v>
      </c>
      <c r="D677" t="s">
        <v>2267</v>
      </c>
      <c r="E677" t="s">
        <v>3583</v>
      </c>
      <c r="F677" t="s">
        <v>3584</v>
      </c>
      <c r="G677" s="425">
        <v>0</v>
      </c>
      <c r="H677" s="425">
        <v>0</v>
      </c>
      <c r="I677" s="425">
        <v>0</v>
      </c>
      <c r="J677" s="425">
        <v>0</v>
      </c>
      <c r="K677" s="425">
        <v>0</v>
      </c>
      <c r="L677" s="425">
        <v>0</v>
      </c>
      <c r="M677" s="425">
        <v>0</v>
      </c>
      <c r="N677" s="425">
        <v>0</v>
      </c>
      <c r="O677" s="425">
        <v>0</v>
      </c>
    </row>
    <row r="678" spans="3:15" hidden="1" x14ac:dyDescent="0.3">
      <c r="C678" t="s">
        <v>2295</v>
      </c>
      <c r="D678" t="s">
        <v>2267</v>
      </c>
      <c r="E678" t="s">
        <v>3585</v>
      </c>
      <c r="F678" t="s">
        <v>3586</v>
      </c>
      <c r="G678" s="425">
        <v>0</v>
      </c>
      <c r="H678" s="425">
        <v>0</v>
      </c>
      <c r="I678" s="425">
        <v>0</v>
      </c>
      <c r="J678" s="425">
        <v>0</v>
      </c>
      <c r="K678" s="425">
        <v>0</v>
      </c>
      <c r="L678" s="425">
        <v>0</v>
      </c>
      <c r="M678" s="425">
        <v>0</v>
      </c>
      <c r="N678" s="425">
        <v>0</v>
      </c>
      <c r="O678" s="425">
        <v>0</v>
      </c>
    </row>
    <row r="679" spans="3:15" hidden="1" x14ac:dyDescent="0.3">
      <c r="C679" t="s">
        <v>2295</v>
      </c>
      <c r="D679" t="s">
        <v>2267</v>
      </c>
      <c r="E679" t="s">
        <v>3587</v>
      </c>
      <c r="F679" t="s">
        <v>3588</v>
      </c>
      <c r="G679" s="425">
        <v>0</v>
      </c>
      <c r="H679" s="425">
        <v>0</v>
      </c>
      <c r="I679" s="425">
        <v>0</v>
      </c>
      <c r="J679" s="425">
        <v>0</v>
      </c>
      <c r="K679" s="425">
        <v>0</v>
      </c>
      <c r="L679" s="425">
        <v>0</v>
      </c>
      <c r="M679" s="425">
        <v>0</v>
      </c>
      <c r="N679" s="425">
        <v>0</v>
      </c>
      <c r="O679" s="425">
        <v>0</v>
      </c>
    </row>
    <row r="680" spans="3:15" hidden="1" x14ac:dyDescent="0.3">
      <c r="C680" t="s">
        <v>2295</v>
      </c>
      <c r="D680" t="s">
        <v>2267</v>
      </c>
      <c r="E680" t="s">
        <v>3589</v>
      </c>
      <c r="F680" t="s">
        <v>3590</v>
      </c>
      <c r="G680" s="425">
        <v>0</v>
      </c>
      <c r="H680" s="425">
        <v>0</v>
      </c>
      <c r="I680" s="425">
        <v>0</v>
      </c>
      <c r="J680" s="425">
        <v>0</v>
      </c>
      <c r="K680" s="425">
        <v>0</v>
      </c>
      <c r="L680" s="425">
        <v>0</v>
      </c>
      <c r="M680" s="425">
        <v>0</v>
      </c>
      <c r="N680" s="425">
        <v>0</v>
      </c>
      <c r="O680" s="425">
        <v>0</v>
      </c>
    </row>
    <row r="681" spans="3:15" hidden="1" x14ac:dyDescent="0.3">
      <c r="C681" t="s">
        <v>2295</v>
      </c>
      <c r="D681" t="s">
        <v>2267</v>
      </c>
      <c r="E681" t="s">
        <v>3591</v>
      </c>
      <c r="F681" t="s">
        <v>3592</v>
      </c>
      <c r="G681" s="425">
        <v>0</v>
      </c>
      <c r="H681" s="425">
        <v>0</v>
      </c>
      <c r="I681" s="425">
        <v>0</v>
      </c>
      <c r="J681" s="425">
        <v>0</v>
      </c>
      <c r="K681" s="425">
        <v>0</v>
      </c>
      <c r="L681" s="425">
        <v>0</v>
      </c>
      <c r="M681" s="425">
        <v>0</v>
      </c>
      <c r="N681" s="425">
        <v>0</v>
      </c>
      <c r="O681" s="425">
        <v>0</v>
      </c>
    </row>
    <row r="682" spans="3:15" hidden="1" x14ac:dyDescent="0.3">
      <c r="C682" t="s">
        <v>2295</v>
      </c>
      <c r="D682" t="s">
        <v>2267</v>
      </c>
      <c r="E682" t="s">
        <v>3593</v>
      </c>
      <c r="F682" t="s">
        <v>3594</v>
      </c>
      <c r="G682" s="425">
        <v>0</v>
      </c>
      <c r="H682" s="425">
        <v>0</v>
      </c>
      <c r="I682" s="425">
        <v>0</v>
      </c>
      <c r="J682" s="425">
        <v>0</v>
      </c>
      <c r="K682" s="425">
        <v>0</v>
      </c>
      <c r="L682" s="425">
        <v>0</v>
      </c>
      <c r="M682" s="425">
        <v>0</v>
      </c>
      <c r="N682" s="425">
        <v>0</v>
      </c>
      <c r="O682" s="425">
        <v>0</v>
      </c>
    </row>
    <row r="683" spans="3:15" hidden="1" x14ac:dyDescent="0.3">
      <c r="C683" t="s">
        <v>2295</v>
      </c>
      <c r="D683" t="s">
        <v>2267</v>
      </c>
      <c r="E683" t="s">
        <v>3595</v>
      </c>
      <c r="F683" t="s">
        <v>3596</v>
      </c>
      <c r="G683" s="425">
        <v>0</v>
      </c>
      <c r="H683" s="425">
        <v>0</v>
      </c>
      <c r="I683" s="425">
        <v>0</v>
      </c>
      <c r="J683" s="425">
        <v>0</v>
      </c>
      <c r="K683" s="425">
        <v>0</v>
      </c>
      <c r="L683" s="425">
        <v>0</v>
      </c>
      <c r="M683" s="425">
        <v>0</v>
      </c>
      <c r="N683" s="425">
        <v>0</v>
      </c>
      <c r="O683" s="425">
        <v>0</v>
      </c>
    </row>
    <row r="684" spans="3:15" hidden="1" x14ac:dyDescent="0.3">
      <c r="C684" t="s">
        <v>2295</v>
      </c>
      <c r="D684" t="s">
        <v>2267</v>
      </c>
      <c r="E684" t="s">
        <v>3597</v>
      </c>
      <c r="F684" t="s">
        <v>3598</v>
      </c>
      <c r="G684" s="425">
        <v>0</v>
      </c>
      <c r="H684" s="425">
        <v>0</v>
      </c>
      <c r="I684" s="425">
        <v>0</v>
      </c>
      <c r="J684" s="425">
        <v>0</v>
      </c>
      <c r="K684" s="425">
        <v>0</v>
      </c>
      <c r="L684" s="425">
        <v>0</v>
      </c>
      <c r="M684" s="425">
        <v>0</v>
      </c>
      <c r="N684" s="425">
        <v>0</v>
      </c>
      <c r="O684" s="425">
        <v>0</v>
      </c>
    </row>
    <row r="685" spans="3:15" hidden="1" x14ac:dyDescent="0.3">
      <c r="C685" t="s">
        <v>2295</v>
      </c>
      <c r="D685" t="s">
        <v>2267</v>
      </c>
      <c r="E685" t="s">
        <v>3599</v>
      </c>
      <c r="F685" t="s">
        <v>3600</v>
      </c>
      <c r="G685" s="425">
        <v>2585862</v>
      </c>
      <c r="H685" s="425">
        <v>2585862</v>
      </c>
      <c r="I685" s="425">
        <v>0</v>
      </c>
      <c r="J685" s="425">
        <v>0</v>
      </c>
      <c r="K685" s="425">
        <v>0</v>
      </c>
      <c r="L685" s="425">
        <v>0</v>
      </c>
      <c r="M685" s="425">
        <v>0</v>
      </c>
      <c r="N685" s="425">
        <v>0</v>
      </c>
      <c r="O685" s="425">
        <v>0</v>
      </c>
    </row>
    <row r="686" spans="3:15" hidden="1" x14ac:dyDescent="0.3">
      <c r="C686" t="s">
        <v>2295</v>
      </c>
      <c r="D686" t="s">
        <v>2267</v>
      </c>
      <c r="E686" t="s">
        <v>3601</v>
      </c>
      <c r="F686" t="s">
        <v>3602</v>
      </c>
      <c r="G686" s="425">
        <v>0</v>
      </c>
      <c r="H686" s="425">
        <v>0</v>
      </c>
      <c r="I686" s="425">
        <v>0</v>
      </c>
      <c r="J686" s="425">
        <v>0</v>
      </c>
      <c r="K686" s="425">
        <v>0</v>
      </c>
      <c r="L686" s="425">
        <v>0</v>
      </c>
      <c r="M686" s="425">
        <v>0</v>
      </c>
      <c r="N686" s="425">
        <v>0</v>
      </c>
      <c r="O686" s="425">
        <v>0</v>
      </c>
    </row>
    <row r="687" spans="3:15" hidden="1" x14ac:dyDescent="0.3">
      <c r="C687" t="s">
        <v>2295</v>
      </c>
      <c r="D687" t="s">
        <v>2267</v>
      </c>
      <c r="E687" t="s">
        <v>3603</v>
      </c>
      <c r="F687" t="s">
        <v>3604</v>
      </c>
      <c r="G687" s="425">
        <v>0</v>
      </c>
      <c r="H687" s="425">
        <v>0</v>
      </c>
      <c r="I687" s="425">
        <v>0</v>
      </c>
      <c r="J687" s="425">
        <v>0</v>
      </c>
      <c r="K687" s="425">
        <v>0</v>
      </c>
      <c r="L687" s="425">
        <v>0</v>
      </c>
      <c r="M687" s="425">
        <v>0</v>
      </c>
      <c r="N687" s="425">
        <v>0</v>
      </c>
      <c r="O687" s="425">
        <v>0</v>
      </c>
    </row>
    <row r="688" spans="3:15" hidden="1" x14ac:dyDescent="0.3">
      <c r="C688" t="s">
        <v>2295</v>
      </c>
      <c r="D688" t="s">
        <v>2267</v>
      </c>
      <c r="E688" t="s">
        <v>3605</v>
      </c>
      <c r="F688" t="s">
        <v>3606</v>
      </c>
      <c r="G688" s="425">
        <v>96882</v>
      </c>
      <c r="H688" s="425">
        <v>96882</v>
      </c>
      <c r="I688" s="425">
        <v>0</v>
      </c>
      <c r="J688" s="425">
        <v>0</v>
      </c>
      <c r="K688" s="425">
        <v>0</v>
      </c>
      <c r="L688" s="425">
        <v>0</v>
      </c>
      <c r="M688" s="425">
        <v>0</v>
      </c>
      <c r="N688" s="425">
        <v>0</v>
      </c>
      <c r="O688" s="425">
        <v>0</v>
      </c>
    </row>
    <row r="689" spans="3:15" hidden="1" x14ac:dyDescent="0.3">
      <c r="C689" t="s">
        <v>2295</v>
      </c>
      <c r="D689" t="s">
        <v>2267</v>
      </c>
      <c r="E689" t="s">
        <v>3607</v>
      </c>
      <c r="F689" t="s">
        <v>3608</v>
      </c>
      <c r="G689" s="425">
        <v>2787685</v>
      </c>
      <c r="H689" s="425">
        <v>2787685</v>
      </c>
      <c r="I689" s="425">
        <v>0</v>
      </c>
      <c r="J689" s="425">
        <v>0</v>
      </c>
      <c r="K689" s="425">
        <v>0</v>
      </c>
      <c r="L689" s="425">
        <v>0</v>
      </c>
      <c r="M689" s="425">
        <v>0</v>
      </c>
      <c r="N689" s="425">
        <v>0</v>
      </c>
      <c r="O689" s="425">
        <v>0</v>
      </c>
    </row>
    <row r="690" spans="3:15" hidden="1" x14ac:dyDescent="0.3">
      <c r="C690" t="s">
        <v>2295</v>
      </c>
      <c r="D690" t="s">
        <v>2267</v>
      </c>
      <c r="E690" t="s">
        <v>3609</v>
      </c>
      <c r="F690" t="s">
        <v>3610</v>
      </c>
      <c r="G690" s="425">
        <v>0</v>
      </c>
      <c r="H690" s="425">
        <v>0</v>
      </c>
      <c r="I690" s="425">
        <v>0</v>
      </c>
      <c r="J690" s="425">
        <v>0</v>
      </c>
      <c r="K690" s="425">
        <v>0</v>
      </c>
      <c r="L690" s="425">
        <v>0</v>
      </c>
      <c r="M690" s="425">
        <v>0</v>
      </c>
      <c r="N690" s="425">
        <v>0</v>
      </c>
      <c r="O690" s="425">
        <v>0</v>
      </c>
    </row>
    <row r="691" spans="3:15" hidden="1" x14ac:dyDescent="0.3">
      <c r="C691" t="s">
        <v>2295</v>
      </c>
      <c r="D691" t="s">
        <v>2267</v>
      </c>
      <c r="E691" t="s">
        <v>3611</v>
      </c>
      <c r="F691" t="s">
        <v>3612</v>
      </c>
      <c r="G691" s="425">
        <v>0</v>
      </c>
      <c r="H691" s="425">
        <v>0</v>
      </c>
      <c r="I691" s="425">
        <v>0</v>
      </c>
      <c r="J691" s="425">
        <v>0</v>
      </c>
      <c r="K691" s="425">
        <v>0</v>
      </c>
      <c r="L691" s="425">
        <v>0</v>
      </c>
      <c r="M691" s="425">
        <v>0</v>
      </c>
      <c r="N691" s="425">
        <v>0</v>
      </c>
      <c r="O691" s="425">
        <v>0</v>
      </c>
    </row>
    <row r="692" spans="3:15" hidden="1" x14ac:dyDescent="0.3">
      <c r="C692" t="s">
        <v>2266</v>
      </c>
      <c r="D692" t="s">
        <v>2237</v>
      </c>
      <c r="E692" t="s">
        <v>3613</v>
      </c>
      <c r="F692" t="s">
        <v>3614</v>
      </c>
      <c r="G692" s="425">
        <v>540000982</v>
      </c>
      <c r="H692" s="425">
        <v>0</v>
      </c>
      <c r="I692" s="425">
        <v>540000982</v>
      </c>
      <c r="J692" s="425">
        <v>0</v>
      </c>
      <c r="K692" s="425">
        <v>0</v>
      </c>
      <c r="L692" s="425">
        <v>0</v>
      </c>
      <c r="M692" s="425">
        <v>0</v>
      </c>
      <c r="N692" s="425">
        <v>0</v>
      </c>
      <c r="O692" s="425">
        <v>0</v>
      </c>
    </row>
    <row r="693" spans="3:15" hidden="1" x14ac:dyDescent="0.3">
      <c r="C693" t="s">
        <v>2292</v>
      </c>
      <c r="D693" t="s">
        <v>2237</v>
      </c>
      <c r="E693" t="s">
        <v>3615</v>
      </c>
      <c r="F693" t="s">
        <v>3616</v>
      </c>
      <c r="G693" s="425">
        <v>0</v>
      </c>
      <c r="H693" s="425">
        <v>0</v>
      </c>
      <c r="I693" s="425">
        <v>0</v>
      </c>
      <c r="J693" s="425">
        <v>0</v>
      </c>
      <c r="K693" s="425">
        <v>0</v>
      </c>
      <c r="L693" s="425">
        <v>0</v>
      </c>
      <c r="M693" s="425">
        <v>0</v>
      </c>
      <c r="N693" s="425">
        <v>0</v>
      </c>
      <c r="O693" s="425">
        <v>0</v>
      </c>
    </row>
    <row r="694" spans="3:15" hidden="1" x14ac:dyDescent="0.3">
      <c r="C694" t="s">
        <v>2292</v>
      </c>
      <c r="D694" t="s">
        <v>2237</v>
      </c>
      <c r="E694" t="s">
        <v>3617</v>
      </c>
      <c r="F694" t="s">
        <v>3618</v>
      </c>
      <c r="G694" s="425">
        <v>27895750</v>
      </c>
      <c r="H694" s="425">
        <v>0</v>
      </c>
      <c r="I694" s="425">
        <v>27895750</v>
      </c>
      <c r="J694" s="425">
        <v>0</v>
      </c>
      <c r="K694" s="425">
        <v>0</v>
      </c>
      <c r="L694" s="425">
        <v>0</v>
      </c>
      <c r="M694" s="425">
        <v>0</v>
      </c>
      <c r="N694" s="425">
        <v>0</v>
      </c>
      <c r="O694" s="425">
        <v>0</v>
      </c>
    </row>
    <row r="695" spans="3:15" hidden="1" x14ac:dyDescent="0.3">
      <c r="C695" t="s">
        <v>2295</v>
      </c>
      <c r="D695" t="s">
        <v>2267</v>
      </c>
      <c r="E695" t="s">
        <v>3619</v>
      </c>
      <c r="F695" t="s">
        <v>3620</v>
      </c>
      <c r="G695" s="425">
        <v>0</v>
      </c>
      <c r="H695" s="425">
        <v>0</v>
      </c>
      <c r="I695" s="425">
        <v>0</v>
      </c>
      <c r="J695" s="425">
        <v>0</v>
      </c>
      <c r="K695" s="425">
        <v>0</v>
      </c>
      <c r="L695" s="425">
        <v>0</v>
      </c>
      <c r="M695" s="425">
        <v>0</v>
      </c>
      <c r="N695" s="425">
        <v>0</v>
      </c>
      <c r="O695" s="425">
        <v>0</v>
      </c>
    </row>
    <row r="696" spans="3:15" hidden="1" x14ac:dyDescent="0.3">
      <c r="C696" t="s">
        <v>2295</v>
      </c>
      <c r="D696" t="s">
        <v>2267</v>
      </c>
      <c r="E696" t="s">
        <v>8943</v>
      </c>
      <c r="F696" t="s">
        <v>8944</v>
      </c>
      <c r="G696" s="425">
        <v>0</v>
      </c>
      <c r="H696" s="425">
        <v>0</v>
      </c>
      <c r="I696" s="425">
        <v>0</v>
      </c>
      <c r="J696" s="425">
        <v>0</v>
      </c>
      <c r="K696" s="425">
        <v>0</v>
      </c>
      <c r="L696" s="425">
        <v>0</v>
      </c>
      <c r="M696" s="425">
        <v>0</v>
      </c>
      <c r="N696" s="425">
        <v>0</v>
      </c>
      <c r="O696" s="425">
        <v>0</v>
      </c>
    </row>
    <row r="697" spans="3:15" hidden="1" x14ac:dyDescent="0.3">
      <c r="C697" t="s">
        <v>2295</v>
      </c>
      <c r="D697" t="s">
        <v>2267</v>
      </c>
      <c r="E697" t="s">
        <v>8945</v>
      </c>
      <c r="F697" t="s">
        <v>8946</v>
      </c>
      <c r="G697" s="425">
        <v>0</v>
      </c>
      <c r="H697" s="425">
        <v>0</v>
      </c>
      <c r="I697" s="425">
        <v>0</v>
      </c>
      <c r="J697" s="425">
        <v>0</v>
      </c>
      <c r="K697" s="425">
        <v>0</v>
      </c>
      <c r="L697" s="425">
        <v>0</v>
      </c>
      <c r="M697" s="425">
        <v>0</v>
      </c>
      <c r="N697" s="425">
        <v>0</v>
      </c>
      <c r="O697" s="425">
        <v>0</v>
      </c>
    </row>
    <row r="698" spans="3:15" hidden="1" x14ac:dyDescent="0.3">
      <c r="C698" t="s">
        <v>2295</v>
      </c>
      <c r="D698" t="s">
        <v>2267</v>
      </c>
      <c r="E698" t="s">
        <v>8947</v>
      </c>
      <c r="F698" t="s">
        <v>8948</v>
      </c>
      <c r="G698" s="425">
        <v>0</v>
      </c>
      <c r="H698" s="425">
        <v>0</v>
      </c>
      <c r="I698" s="425">
        <v>0</v>
      </c>
      <c r="J698" s="425">
        <v>0</v>
      </c>
      <c r="K698" s="425">
        <v>0</v>
      </c>
      <c r="L698" s="425">
        <v>0</v>
      </c>
      <c r="M698" s="425">
        <v>0</v>
      </c>
      <c r="N698" s="425">
        <v>0</v>
      </c>
      <c r="O698" s="425">
        <v>0</v>
      </c>
    </row>
    <row r="699" spans="3:15" hidden="1" x14ac:dyDescent="0.3">
      <c r="C699" t="s">
        <v>2295</v>
      </c>
      <c r="D699" t="s">
        <v>2267</v>
      </c>
      <c r="E699" t="s">
        <v>8949</v>
      </c>
      <c r="F699" t="s">
        <v>8950</v>
      </c>
      <c r="G699" s="425">
        <v>0</v>
      </c>
      <c r="H699" s="425">
        <v>0</v>
      </c>
      <c r="I699" s="425">
        <v>0</v>
      </c>
      <c r="J699" s="425">
        <v>0</v>
      </c>
      <c r="K699" s="425">
        <v>0</v>
      </c>
      <c r="L699" s="425">
        <v>0</v>
      </c>
      <c r="M699" s="425">
        <v>0</v>
      </c>
      <c r="N699" s="425">
        <v>0</v>
      </c>
      <c r="O699" s="425">
        <v>0</v>
      </c>
    </row>
    <row r="700" spans="3:15" hidden="1" x14ac:dyDescent="0.3">
      <c r="C700" t="s">
        <v>2295</v>
      </c>
      <c r="D700" t="s">
        <v>2267</v>
      </c>
      <c r="E700" t="s">
        <v>8951</v>
      </c>
      <c r="F700" t="s">
        <v>8952</v>
      </c>
      <c r="G700" s="425">
        <v>0</v>
      </c>
      <c r="H700" s="425">
        <v>0</v>
      </c>
      <c r="I700" s="425">
        <v>0</v>
      </c>
      <c r="J700" s="425">
        <v>0</v>
      </c>
      <c r="K700" s="425">
        <v>0</v>
      </c>
      <c r="L700" s="425">
        <v>0</v>
      </c>
      <c r="M700" s="425">
        <v>0</v>
      </c>
      <c r="N700" s="425">
        <v>0</v>
      </c>
      <c r="O700" s="425">
        <v>0</v>
      </c>
    </row>
    <row r="701" spans="3:15" hidden="1" x14ac:dyDescent="0.3">
      <c r="C701" t="s">
        <v>2295</v>
      </c>
      <c r="D701" t="s">
        <v>2267</v>
      </c>
      <c r="E701" t="s">
        <v>3621</v>
      </c>
      <c r="F701" t="s">
        <v>3622</v>
      </c>
      <c r="G701" s="425">
        <v>0</v>
      </c>
      <c r="H701" s="425">
        <v>0</v>
      </c>
      <c r="I701" s="425">
        <v>0</v>
      </c>
      <c r="J701" s="425">
        <v>0</v>
      </c>
      <c r="K701" s="425">
        <v>0</v>
      </c>
      <c r="L701" s="425">
        <v>0</v>
      </c>
      <c r="M701" s="425">
        <v>0</v>
      </c>
      <c r="N701" s="425">
        <v>0</v>
      </c>
      <c r="O701" s="425">
        <v>0</v>
      </c>
    </row>
    <row r="702" spans="3:15" hidden="1" x14ac:dyDescent="0.3">
      <c r="C702" t="s">
        <v>2295</v>
      </c>
      <c r="D702" t="s">
        <v>2267</v>
      </c>
      <c r="E702" t="s">
        <v>3623</v>
      </c>
      <c r="F702" t="s">
        <v>3624</v>
      </c>
      <c r="G702" s="425">
        <v>0</v>
      </c>
      <c r="H702" s="425">
        <v>0</v>
      </c>
      <c r="I702" s="425">
        <v>0</v>
      </c>
      <c r="J702" s="425">
        <v>0</v>
      </c>
      <c r="K702" s="425">
        <v>0</v>
      </c>
      <c r="L702" s="425">
        <v>0</v>
      </c>
      <c r="M702" s="425">
        <v>0</v>
      </c>
      <c r="N702" s="425">
        <v>0</v>
      </c>
      <c r="O702" s="425">
        <v>0</v>
      </c>
    </row>
    <row r="703" spans="3:15" hidden="1" x14ac:dyDescent="0.3">
      <c r="C703" t="s">
        <v>2295</v>
      </c>
      <c r="D703" t="s">
        <v>2267</v>
      </c>
      <c r="E703" t="s">
        <v>3625</v>
      </c>
      <c r="F703" t="s">
        <v>3626</v>
      </c>
      <c r="G703" s="425">
        <v>0</v>
      </c>
      <c r="H703" s="425">
        <v>0</v>
      </c>
      <c r="I703" s="425">
        <v>0</v>
      </c>
      <c r="J703" s="425">
        <v>0</v>
      </c>
      <c r="K703" s="425">
        <v>0</v>
      </c>
      <c r="L703" s="425">
        <v>0</v>
      </c>
      <c r="M703" s="425">
        <v>0</v>
      </c>
      <c r="N703" s="425">
        <v>0</v>
      </c>
      <c r="O703" s="425">
        <v>0</v>
      </c>
    </row>
    <row r="704" spans="3:15" hidden="1" x14ac:dyDescent="0.3">
      <c r="C704" t="s">
        <v>2295</v>
      </c>
      <c r="D704" t="s">
        <v>2267</v>
      </c>
      <c r="E704" t="s">
        <v>3627</v>
      </c>
      <c r="F704" t="s">
        <v>3628</v>
      </c>
      <c r="G704" s="425">
        <v>0</v>
      </c>
      <c r="H704" s="425">
        <v>0</v>
      </c>
      <c r="I704" s="425">
        <v>0</v>
      </c>
      <c r="J704" s="425">
        <v>0</v>
      </c>
      <c r="K704" s="425">
        <v>0</v>
      </c>
      <c r="L704" s="425">
        <v>0</v>
      </c>
      <c r="M704" s="425">
        <v>0</v>
      </c>
      <c r="N704" s="425">
        <v>0</v>
      </c>
      <c r="O704" s="425">
        <v>0</v>
      </c>
    </row>
    <row r="705" spans="3:15" hidden="1" x14ac:dyDescent="0.3">
      <c r="C705" t="s">
        <v>2295</v>
      </c>
      <c r="D705" t="s">
        <v>2267</v>
      </c>
      <c r="E705" t="s">
        <v>3629</v>
      </c>
      <c r="F705" t="s">
        <v>3630</v>
      </c>
      <c r="G705" s="425">
        <v>0</v>
      </c>
      <c r="H705" s="425">
        <v>0</v>
      </c>
      <c r="I705" s="425">
        <v>0</v>
      </c>
      <c r="J705" s="425">
        <v>0</v>
      </c>
      <c r="K705" s="425">
        <v>0</v>
      </c>
      <c r="L705" s="425">
        <v>0</v>
      </c>
      <c r="M705" s="425">
        <v>0</v>
      </c>
      <c r="N705" s="425">
        <v>0</v>
      </c>
      <c r="O705" s="425">
        <v>0</v>
      </c>
    </row>
    <row r="706" spans="3:15" hidden="1" x14ac:dyDescent="0.3">
      <c r="C706" t="s">
        <v>2295</v>
      </c>
      <c r="D706" t="s">
        <v>2267</v>
      </c>
      <c r="E706" t="s">
        <v>3631</v>
      </c>
      <c r="F706" t="s">
        <v>3632</v>
      </c>
      <c r="G706" s="425">
        <v>482000</v>
      </c>
      <c r="H706" s="425">
        <v>0</v>
      </c>
      <c r="I706" s="425">
        <v>482000</v>
      </c>
      <c r="J706" s="425">
        <v>0</v>
      </c>
      <c r="K706" s="425">
        <v>0</v>
      </c>
      <c r="L706" s="425">
        <v>0</v>
      </c>
      <c r="M706" s="425">
        <v>0</v>
      </c>
      <c r="N706" s="425">
        <v>0</v>
      </c>
      <c r="O706" s="425">
        <v>0</v>
      </c>
    </row>
    <row r="707" spans="3:15" hidden="1" x14ac:dyDescent="0.3">
      <c r="C707" t="s">
        <v>2295</v>
      </c>
      <c r="D707" t="s">
        <v>2267</v>
      </c>
      <c r="E707" t="s">
        <v>3633</v>
      </c>
      <c r="F707" t="s">
        <v>3634</v>
      </c>
      <c r="G707" s="425">
        <v>0</v>
      </c>
      <c r="H707" s="425">
        <v>0</v>
      </c>
      <c r="I707" s="425">
        <v>0</v>
      </c>
      <c r="J707" s="425">
        <v>0</v>
      </c>
      <c r="K707" s="425">
        <v>0</v>
      </c>
      <c r="L707" s="425">
        <v>0</v>
      </c>
      <c r="M707" s="425">
        <v>0</v>
      </c>
      <c r="N707" s="425">
        <v>0</v>
      </c>
      <c r="O707" s="425">
        <v>0</v>
      </c>
    </row>
    <row r="708" spans="3:15" hidden="1" x14ac:dyDescent="0.3">
      <c r="C708" t="s">
        <v>2295</v>
      </c>
      <c r="D708" t="s">
        <v>2267</v>
      </c>
      <c r="E708" t="s">
        <v>3635</v>
      </c>
      <c r="F708" t="s">
        <v>3636</v>
      </c>
      <c r="G708" s="425">
        <v>0</v>
      </c>
      <c r="H708" s="425">
        <v>0</v>
      </c>
      <c r="I708" s="425">
        <v>0</v>
      </c>
      <c r="J708" s="425">
        <v>0</v>
      </c>
      <c r="K708" s="425">
        <v>0</v>
      </c>
      <c r="L708" s="425">
        <v>0</v>
      </c>
      <c r="M708" s="425">
        <v>0</v>
      </c>
      <c r="N708" s="425">
        <v>0</v>
      </c>
      <c r="O708" s="425">
        <v>0</v>
      </c>
    </row>
    <row r="709" spans="3:15" hidden="1" x14ac:dyDescent="0.3">
      <c r="C709" t="s">
        <v>2295</v>
      </c>
      <c r="D709" t="s">
        <v>2267</v>
      </c>
      <c r="E709" t="s">
        <v>3637</v>
      </c>
      <c r="F709" t="s">
        <v>3638</v>
      </c>
      <c r="G709" s="425">
        <v>0</v>
      </c>
      <c r="H709" s="425">
        <v>0</v>
      </c>
      <c r="I709" s="425">
        <v>0</v>
      </c>
      <c r="J709" s="425">
        <v>0</v>
      </c>
      <c r="K709" s="425">
        <v>0</v>
      </c>
      <c r="L709" s="425">
        <v>0</v>
      </c>
      <c r="M709" s="425">
        <v>0</v>
      </c>
      <c r="N709" s="425">
        <v>0</v>
      </c>
      <c r="O709" s="425">
        <v>0</v>
      </c>
    </row>
    <row r="710" spans="3:15" hidden="1" x14ac:dyDescent="0.3">
      <c r="C710" t="s">
        <v>2295</v>
      </c>
      <c r="D710" t="s">
        <v>2267</v>
      </c>
      <c r="E710" t="s">
        <v>3639</v>
      </c>
      <c r="F710" t="s">
        <v>3640</v>
      </c>
      <c r="G710" s="425">
        <v>0</v>
      </c>
      <c r="H710" s="425">
        <v>0</v>
      </c>
      <c r="I710" s="425">
        <v>0</v>
      </c>
      <c r="J710" s="425">
        <v>0</v>
      </c>
      <c r="K710" s="425">
        <v>0</v>
      </c>
      <c r="L710" s="425">
        <v>0</v>
      </c>
      <c r="M710" s="425">
        <v>0</v>
      </c>
      <c r="N710" s="425">
        <v>0</v>
      </c>
      <c r="O710" s="425">
        <v>0</v>
      </c>
    </row>
    <row r="711" spans="3:15" hidden="1" x14ac:dyDescent="0.3">
      <c r="C711" t="s">
        <v>2295</v>
      </c>
      <c r="D711" t="s">
        <v>2267</v>
      </c>
      <c r="E711" t="s">
        <v>3641</v>
      </c>
      <c r="F711" t="s">
        <v>3642</v>
      </c>
      <c r="G711" s="425">
        <v>0</v>
      </c>
      <c r="H711" s="425">
        <v>0</v>
      </c>
      <c r="I711" s="425">
        <v>0</v>
      </c>
      <c r="J711" s="425">
        <v>0</v>
      </c>
      <c r="K711" s="425">
        <v>0</v>
      </c>
      <c r="L711" s="425">
        <v>0</v>
      </c>
      <c r="M711" s="425">
        <v>0</v>
      </c>
      <c r="N711" s="425">
        <v>0</v>
      </c>
      <c r="O711" s="425">
        <v>0</v>
      </c>
    </row>
    <row r="712" spans="3:15" hidden="1" x14ac:dyDescent="0.3">
      <c r="C712" t="s">
        <v>2295</v>
      </c>
      <c r="D712" t="s">
        <v>2267</v>
      </c>
      <c r="E712" t="s">
        <v>3643</v>
      </c>
      <c r="F712" t="s">
        <v>3644</v>
      </c>
      <c r="G712" s="425">
        <v>0</v>
      </c>
      <c r="H712" s="425">
        <v>0</v>
      </c>
      <c r="I712" s="425">
        <v>0</v>
      </c>
      <c r="J712" s="425">
        <v>0</v>
      </c>
      <c r="K712" s="425">
        <v>0</v>
      </c>
      <c r="L712" s="425">
        <v>0</v>
      </c>
      <c r="M712" s="425">
        <v>0</v>
      </c>
      <c r="N712" s="425">
        <v>0</v>
      </c>
      <c r="O712" s="425">
        <v>0</v>
      </c>
    </row>
    <row r="713" spans="3:15" hidden="1" x14ac:dyDescent="0.3">
      <c r="C713" t="s">
        <v>2295</v>
      </c>
      <c r="D713" t="s">
        <v>2267</v>
      </c>
      <c r="E713" t="s">
        <v>3645</v>
      </c>
      <c r="F713" t="s">
        <v>3646</v>
      </c>
      <c r="G713" s="425">
        <v>0</v>
      </c>
      <c r="H713" s="425">
        <v>0</v>
      </c>
      <c r="I713" s="425">
        <v>0</v>
      </c>
      <c r="J713" s="425">
        <v>0</v>
      </c>
      <c r="K713" s="425">
        <v>0</v>
      </c>
      <c r="L713" s="425">
        <v>0</v>
      </c>
      <c r="M713" s="425">
        <v>0</v>
      </c>
      <c r="N713" s="425">
        <v>0</v>
      </c>
      <c r="O713" s="425">
        <v>0</v>
      </c>
    </row>
    <row r="714" spans="3:15" hidden="1" x14ac:dyDescent="0.3">
      <c r="C714" t="s">
        <v>2295</v>
      </c>
      <c r="D714" t="s">
        <v>2267</v>
      </c>
      <c r="E714" t="s">
        <v>3647</v>
      </c>
      <c r="F714" t="s">
        <v>3648</v>
      </c>
      <c r="G714" s="425">
        <v>0</v>
      </c>
      <c r="H714" s="425">
        <v>0</v>
      </c>
      <c r="I714" s="425">
        <v>0</v>
      </c>
      <c r="J714" s="425">
        <v>0</v>
      </c>
      <c r="K714" s="425">
        <v>0</v>
      </c>
      <c r="L714" s="425">
        <v>0</v>
      </c>
      <c r="M714" s="425">
        <v>0</v>
      </c>
      <c r="N714" s="425">
        <v>0</v>
      </c>
      <c r="O714" s="425">
        <v>0</v>
      </c>
    </row>
    <row r="715" spans="3:15" hidden="1" x14ac:dyDescent="0.3">
      <c r="C715" t="s">
        <v>2295</v>
      </c>
      <c r="D715" t="s">
        <v>2267</v>
      </c>
      <c r="E715" t="s">
        <v>3649</v>
      </c>
      <c r="F715" t="s">
        <v>3650</v>
      </c>
      <c r="G715" s="425">
        <v>0</v>
      </c>
      <c r="H715" s="425">
        <v>0</v>
      </c>
      <c r="I715" s="425">
        <v>0</v>
      </c>
      <c r="J715" s="425">
        <v>0</v>
      </c>
      <c r="K715" s="425">
        <v>0</v>
      </c>
      <c r="L715" s="425">
        <v>0</v>
      </c>
      <c r="M715" s="425">
        <v>0</v>
      </c>
      <c r="N715" s="425">
        <v>0</v>
      </c>
      <c r="O715" s="425">
        <v>0</v>
      </c>
    </row>
    <row r="716" spans="3:15" hidden="1" x14ac:dyDescent="0.3">
      <c r="C716" t="s">
        <v>2295</v>
      </c>
      <c r="D716" t="s">
        <v>2267</v>
      </c>
      <c r="E716" t="s">
        <v>3651</v>
      </c>
      <c r="F716" t="s">
        <v>3652</v>
      </c>
      <c r="G716" s="425">
        <v>0</v>
      </c>
      <c r="H716" s="425">
        <v>0</v>
      </c>
      <c r="I716" s="425">
        <v>0</v>
      </c>
      <c r="J716" s="425">
        <v>0</v>
      </c>
      <c r="K716" s="425">
        <v>0</v>
      </c>
      <c r="L716" s="425">
        <v>0</v>
      </c>
      <c r="M716" s="425">
        <v>0</v>
      </c>
      <c r="N716" s="425">
        <v>0</v>
      </c>
      <c r="O716" s="425">
        <v>0</v>
      </c>
    </row>
    <row r="717" spans="3:15" hidden="1" x14ac:dyDescent="0.3">
      <c r="C717" t="s">
        <v>2295</v>
      </c>
      <c r="D717" t="s">
        <v>2267</v>
      </c>
      <c r="E717" t="s">
        <v>3653</v>
      </c>
      <c r="F717" t="s">
        <v>3654</v>
      </c>
      <c r="G717" s="425">
        <v>0</v>
      </c>
      <c r="H717" s="425">
        <v>0</v>
      </c>
      <c r="I717" s="425">
        <v>0</v>
      </c>
      <c r="J717" s="425">
        <v>0</v>
      </c>
      <c r="K717" s="425">
        <v>0</v>
      </c>
      <c r="L717" s="425">
        <v>0</v>
      </c>
      <c r="M717" s="425">
        <v>0</v>
      </c>
      <c r="N717" s="425">
        <v>0</v>
      </c>
      <c r="O717" s="425">
        <v>0</v>
      </c>
    </row>
    <row r="718" spans="3:15" hidden="1" x14ac:dyDescent="0.3">
      <c r="C718" t="s">
        <v>2295</v>
      </c>
      <c r="D718" t="s">
        <v>2267</v>
      </c>
      <c r="E718" t="s">
        <v>3655</v>
      </c>
      <c r="F718" t="s">
        <v>3656</v>
      </c>
      <c r="G718" s="425">
        <v>0</v>
      </c>
      <c r="H718" s="425">
        <v>0</v>
      </c>
      <c r="I718" s="425">
        <v>0</v>
      </c>
      <c r="J718" s="425">
        <v>0</v>
      </c>
      <c r="K718" s="425">
        <v>0</v>
      </c>
      <c r="L718" s="425">
        <v>0</v>
      </c>
      <c r="M718" s="425">
        <v>0</v>
      </c>
      <c r="N718" s="425">
        <v>0</v>
      </c>
      <c r="O718" s="425">
        <v>0</v>
      </c>
    </row>
    <row r="719" spans="3:15" hidden="1" x14ac:dyDescent="0.3">
      <c r="C719" t="s">
        <v>2295</v>
      </c>
      <c r="D719" t="s">
        <v>2267</v>
      </c>
      <c r="E719" t="s">
        <v>3657</v>
      </c>
      <c r="F719" t="s">
        <v>3658</v>
      </c>
      <c r="G719" s="425">
        <v>0</v>
      </c>
      <c r="H719" s="425">
        <v>0</v>
      </c>
      <c r="I719" s="425">
        <v>0</v>
      </c>
      <c r="J719" s="425">
        <v>0</v>
      </c>
      <c r="K719" s="425">
        <v>0</v>
      </c>
      <c r="L719" s="425">
        <v>0</v>
      </c>
      <c r="M719" s="425">
        <v>0</v>
      </c>
      <c r="N719" s="425">
        <v>0</v>
      </c>
      <c r="O719" s="425">
        <v>0</v>
      </c>
    </row>
    <row r="720" spans="3:15" hidden="1" x14ac:dyDescent="0.3">
      <c r="C720" t="s">
        <v>2295</v>
      </c>
      <c r="D720" t="s">
        <v>2267</v>
      </c>
      <c r="E720" t="s">
        <v>3659</v>
      </c>
      <c r="F720" t="s">
        <v>3660</v>
      </c>
      <c r="G720" s="425">
        <v>0</v>
      </c>
      <c r="H720" s="425">
        <v>0</v>
      </c>
      <c r="I720" s="425">
        <v>0</v>
      </c>
      <c r="J720" s="425">
        <v>0</v>
      </c>
      <c r="K720" s="425">
        <v>0</v>
      </c>
      <c r="L720" s="425">
        <v>0</v>
      </c>
      <c r="M720" s="425">
        <v>0</v>
      </c>
      <c r="N720" s="425">
        <v>0</v>
      </c>
      <c r="O720" s="425">
        <v>0</v>
      </c>
    </row>
    <row r="721" spans="3:15" hidden="1" x14ac:dyDescent="0.3">
      <c r="C721" t="s">
        <v>2295</v>
      </c>
      <c r="D721" t="s">
        <v>2267</v>
      </c>
      <c r="E721" t="s">
        <v>3661</v>
      </c>
      <c r="F721" t="s">
        <v>3662</v>
      </c>
      <c r="G721" s="425">
        <v>0</v>
      </c>
      <c r="H721" s="425">
        <v>0</v>
      </c>
      <c r="I721" s="425">
        <v>0</v>
      </c>
      <c r="J721" s="425">
        <v>0</v>
      </c>
      <c r="K721" s="425">
        <v>0</v>
      </c>
      <c r="L721" s="425">
        <v>0</v>
      </c>
      <c r="M721" s="425">
        <v>0</v>
      </c>
      <c r="N721" s="425">
        <v>0</v>
      </c>
      <c r="O721" s="425">
        <v>0</v>
      </c>
    </row>
    <row r="722" spans="3:15" hidden="1" x14ac:dyDescent="0.3">
      <c r="C722" t="s">
        <v>2295</v>
      </c>
      <c r="D722" t="s">
        <v>2267</v>
      </c>
      <c r="E722" t="s">
        <v>3663</v>
      </c>
      <c r="F722" t="s">
        <v>3664</v>
      </c>
      <c r="G722" s="425">
        <v>0</v>
      </c>
      <c r="H722" s="425">
        <v>0</v>
      </c>
      <c r="I722" s="425">
        <v>0</v>
      </c>
      <c r="J722" s="425">
        <v>0</v>
      </c>
      <c r="K722" s="425">
        <v>0</v>
      </c>
      <c r="L722" s="425">
        <v>0</v>
      </c>
      <c r="M722" s="425">
        <v>0</v>
      </c>
      <c r="N722" s="425">
        <v>0</v>
      </c>
      <c r="O722" s="425">
        <v>0</v>
      </c>
    </row>
    <row r="723" spans="3:15" hidden="1" x14ac:dyDescent="0.3">
      <c r="C723" t="s">
        <v>2295</v>
      </c>
      <c r="D723" t="s">
        <v>2267</v>
      </c>
      <c r="E723" t="s">
        <v>3665</v>
      </c>
      <c r="F723" t="s">
        <v>3666</v>
      </c>
      <c r="G723" s="425">
        <v>0</v>
      </c>
      <c r="H723" s="425">
        <v>0</v>
      </c>
      <c r="I723" s="425">
        <v>0</v>
      </c>
      <c r="J723" s="425">
        <v>0</v>
      </c>
      <c r="K723" s="425">
        <v>0</v>
      </c>
      <c r="L723" s="425">
        <v>0</v>
      </c>
      <c r="M723" s="425">
        <v>0</v>
      </c>
      <c r="N723" s="425">
        <v>0</v>
      </c>
      <c r="O723" s="425">
        <v>0</v>
      </c>
    </row>
    <row r="724" spans="3:15" hidden="1" x14ac:dyDescent="0.3">
      <c r="C724" t="s">
        <v>2295</v>
      </c>
      <c r="D724" t="s">
        <v>2267</v>
      </c>
      <c r="E724" t="s">
        <v>3667</v>
      </c>
      <c r="F724" t="s">
        <v>3668</v>
      </c>
      <c r="G724" s="425">
        <v>0</v>
      </c>
      <c r="H724" s="425">
        <v>0</v>
      </c>
      <c r="I724" s="425">
        <v>0</v>
      </c>
      <c r="J724" s="425">
        <v>0</v>
      </c>
      <c r="K724" s="425">
        <v>0</v>
      </c>
      <c r="L724" s="425">
        <v>0</v>
      </c>
      <c r="M724" s="425">
        <v>0</v>
      </c>
      <c r="N724" s="425">
        <v>0</v>
      </c>
      <c r="O724" s="425">
        <v>0</v>
      </c>
    </row>
    <row r="725" spans="3:15" hidden="1" x14ac:dyDescent="0.3">
      <c r="C725" t="s">
        <v>2295</v>
      </c>
      <c r="D725" t="s">
        <v>2267</v>
      </c>
      <c r="E725" t="s">
        <v>3669</v>
      </c>
      <c r="F725" t="s">
        <v>3670</v>
      </c>
      <c r="G725" s="425">
        <v>0</v>
      </c>
      <c r="H725" s="425">
        <v>0</v>
      </c>
      <c r="I725" s="425">
        <v>0</v>
      </c>
      <c r="J725" s="425">
        <v>0</v>
      </c>
      <c r="K725" s="425">
        <v>0</v>
      </c>
      <c r="L725" s="425">
        <v>0</v>
      </c>
      <c r="M725" s="425">
        <v>0</v>
      </c>
      <c r="N725" s="425">
        <v>0</v>
      </c>
      <c r="O725" s="425">
        <v>0</v>
      </c>
    </row>
    <row r="726" spans="3:15" hidden="1" x14ac:dyDescent="0.3">
      <c r="C726" t="s">
        <v>2295</v>
      </c>
      <c r="D726" t="s">
        <v>2267</v>
      </c>
      <c r="E726" t="s">
        <v>3671</v>
      </c>
      <c r="F726" t="s">
        <v>3672</v>
      </c>
      <c r="G726" s="425">
        <v>0</v>
      </c>
      <c r="H726" s="425">
        <v>0</v>
      </c>
      <c r="I726" s="425">
        <v>0</v>
      </c>
      <c r="J726" s="425">
        <v>0</v>
      </c>
      <c r="K726" s="425">
        <v>0</v>
      </c>
      <c r="L726" s="425">
        <v>0</v>
      </c>
      <c r="M726" s="425">
        <v>0</v>
      </c>
      <c r="N726" s="425">
        <v>0</v>
      </c>
      <c r="O726" s="425">
        <v>0</v>
      </c>
    </row>
    <row r="727" spans="3:15" hidden="1" x14ac:dyDescent="0.3">
      <c r="C727" t="s">
        <v>2295</v>
      </c>
      <c r="D727" t="s">
        <v>2267</v>
      </c>
      <c r="E727" t="s">
        <v>3673</v>
      </c>
      <c r="F727" t="s">
        <v>3674</v>
      </c>
      <c r="G727" s="425">
        <v>0</v>
      </c>
      <c r="H727" s="425">
        <v>0</v>
      </c>
      <c r="I727" s="425">
        <v>0</v>
      </c>
      <c r="J727" s="425">
        <v>0</v>
      </c>
      <c r="K727" s="425">
        <v>0</v>
      </c>
      <c r="L727" s="425">
        <v>0</v>
      </c>
      <c r="M727" s="425">
        <v>0</v>
      </c>
      <c r="N727" s="425">
        <v>0</v>
      </c>
      <c r="O727" s="425">
        <v>0</v>
      </c>
    </row>
    <row r="728" spans="3:15" hidden="1" x14ac:dyDescent="0.3">
      <c r="C728" t="s">
        <v>2295</v>
      </c>
      <c r="D728" t="s">
        <v>2267</v>
      </c>
      <c r="E728" t="s">
        <v>3675</v>
      </c>
      <c r="F728" t="s">
        <v>3676</v>
      </c>
      <c r="G728" s="425">
        <v>0</v>
      </c>
      <c r="H728" s="425">
        <v>0</v>
      </c>
      <c r="I728" s="425">
        <v>0</v>
      </c>
      <c r="J728" s="425">
        <v>0</v>
      </c>
      <c r="K728" s="425">
        <v>0</v>
      </c>
      <c r="L728" s="425">
        <v>0</v>
      </c>
      <c r="M728" s="425">
        <v>0</v>
      </c>
      <c r="N728" s="425">
        <v>0</v>
      </c>
      <c r="O728" s="425">
        <v>0</v>
      </c>
    </row>
    <row r="729" spans="3:15" hidden="1" x14ac:dyDescent="0.3">
      <c r="C729" t="s">
        <v>2295</v>
      </c>
      <c r="D729" t="s">
        <v>2267</v>
      </c>
      <c r="E729" t="s">
        <v>3677</v>
      </c>
      <c r="F729" t="s">
        <v>3678</v>
      </c>
      <c r="G729" s="425">
        <v>0</v>
      </c>
      <c r="H729" s="425">
        <v>0</v>
      </c>
      <c r="I729" s="425">
        <v>0</v>
      </c>
      <c r="J729" s="425">
        <v>0</v>
      </c>
      <c r="K729" s="425">
        <v>0</v>
      </c>
      <c r="L729" s="425">
        <v>0</v>
      </c>
      <c r="M729" s="425">
        <v>0</v>
      </c>
      <c r="N729" s="425">
        <v>0</v>
      </c>
      <c r="O729" s="425">
        <v>0</v>
      </c>
    </row>
    <row r="730" spans="3:15" hidden="1" x14ac:dyDescent="0.3">
      <c r="C730" t="s">
        <v>2295</v>
      </c>
      <c r="D730" t="s">
        <v>2267</v>
      </c>
      <c r="E730" t="s">
        <v>3679</v>
      </c>
      <c r="F730" t="s">
        <v>3680</v>
      </c>
      <c r="G730" s="425">
        <v>0</v>
      </c>
      <c r="H730" s="425">
        <v>0</v>
      </c>
      <c r="I730" s="425">
        <v>0</v>
      </c>
      <c r="J730" s="425">
        <v>0</v>
      </c>
      <c r="K730" s="425">
        <v>0</v>
      </c>
      <c r="L730" s="425">
        <v>0</v>
      </c>
      <c r="M730" s="425">
        <v>0</v>
      </c>
      <c r="N730" s="425">
        <v>0</v>
      </c>
      <c r="O730" s="425">
        <v>0</v>
      </c>
    </row>
    <row r="731" spans="3:15" hidden="1" x14ac:dyDescent="0.3">
      <c r="C731" t="s">
        <v>2295</v>
      </c>
      <c r="D731" t="s">
        <v>2267</v>
      </c>
      <c r="E731" t="s">
        <v>3681</v>
      </c>
      <c r="F731" t="s">
        <v>3682</v>
      </c>
      <c r="G731" s="425">
        <v>0</v>
      </c>
      <c r="H731" s="425">
        <v>0</v>
      </c>
      <c r="I731" s="425">
        <v>0</v>
      </c>
      <c r="J731" s="425">
        <v>0</v>
      </c>
      <c r="K731" s="425">
        <v>0</v>
      </c>
      <c r="L731" s="425">
        <v>0</v>
      </c>
      <c r="M731" s="425">
        <v>0</v>
      </c>
      <c r="N731" s="425">
        <v>0</v>
      </c>
      <c r="O731" s="425">
        <v>0</v>
      </c>
    </row>
    <row r="732" spans="3:15" hidden="1" x14ac:dyDescent="0.3">
      <c r="C732" t="s">
        <v>2295</v>
      </c>
      <c r="D732" t="s">
        <v>2267</v>
      </c>
      <c r="E732" t="s">
        <v>3683</v>
      </c>
      <c r="F732" t="s">
        <v>3684</v>
      </c>
      <c r="G732" s="425">
        <v>0</v>
      </c>
      <c r="H732" s="425">
        <v>0</v>
      </c>
      <c r="I732" s="425">
        <v>0</v>
      </c>
      <c r="J732" s="425">
        <v>0</v>
      </c>
      <c r="K732" s="425">
        <v>0</v>
      </c>
      <c r="L732" s="425">
        <v>0</v>
      </c>
      <c r="M732" s="425">
        <v>0</v>
      </c>
      <c r="N732" s="425">
        <v>0</v>
      </c>
      <c r="O732" s="425">
        <v>0</v>
      </c>
    </row>
    <row r="733" spans="3:15" hidden="1" x14ac:dyDescent="0.3">
      <c r="C733" t="s">
        <v>2295</v>
      </c>
      <c r="D733" t="s">
        <v>2267</v>
      </c>
      <c r="E733" t="s">
        <v>3685</v>
      </c>
      <c r="F733" t="s">
        <v>3686</v>
      </c>
      <c r="G733" s="425">
        <v>0</v>
      </c>
      <c r="H733" s="425">
        <v>0</v>
      </c>
      <c r="I733" s="425">
        <v>0</v>
      </c>
      <c r="J733" s="425">
        <v>0</v>
      </c>
      <c r="K733" s="425">
        <v>0</v>
      </c>
      <c r="L733" s="425">
        <v>0</v>
      </c>
      <c r="M733" s="425">
        <v>0</v>
      </c>
      <c r="N733" s="425">
        <v>0</v>
      </c>
      <c r="O733" s="425">
        <v>0</v>
      </c>
    </row>
    <row r="734" spans="3:15" hidden="1" x14ac:dyDescent="0.3">
      <c r="C734" t="s">
        <v>2295</v>
      </c>
      <c r="D734" t="s">
        <v>2267</v>
      </c>
      <c r="E734" t="s">
        <v>8953</v>
      </c>
      <c r="F734" t="s">
        <v>8954</v>
      </c>
      <c r="G734" s="425">
        <v>0</v>
      </c>
      <c r="H734" s="425">
        <v>0</v>
      </c>
      <c r="I734" s="425">
        <v>0</v>
      </c>
      <c r="J734" s="425">
        <v>0</v>
      </c>
      <c r="K734" s="425">
        <v>0</v>
      </c>
      <c r="L734" s="425">
        <v>0</v>
      </c>
      <c r="M734" s="425">
        <v>0</v>
      </c>
      <c r="N734" s="425">
        <v>0</v>
      </c>
      <c r="O734" s="425">
        <v>0</v>
      </c>
    </row>
    <row r="735" spans="3:15" hidden="1" x14ac:dyDescent="0.3">
      <c r="C735" t="s">
        <v>2295</v>
      </c>
      <c r="D735" t="s">
        <v>2267</v>
      </c>
      <c r="E735" t="s">
        <v>3687</v>
      </c>
      <c r="F735" t="s">
        <v>3688</v>
      </c>
      <c r="G735" s="425">
        <v>0</v>
      </c>
      <c r="H735" s="425">
        <v>0</v>
      </c>
      <c r="I735" s="425">
        <v>0</v>
      </c>
      <c r="J735" s="425">
        <v>0</v>
      </c>
      <c r="K735" s="425">
        <v>0</v>
      </c>
      <c r="L735" s="425">
        <v>0</v>
      </c>
      <c r="M735" s="425">
        <v>0</v>
      </c>
      <c r="N735" s="425">
        <v>0</v>
      </c>
      <c r="O735" s="425">
        <v>0</v>
      </c>
    </row>
    <row r="736" spans="3:15" hidden="1" x14ac:dyDescent="0.3">
      <c r="C736" t="s">
        <v>2295</v>
      </c>
      <c r="D736" t="s">
        <v>2267</v>
      </c>
      <c r="E736" t="s">
        <v>3689</v>
      </c>
      <c r="F736" t="s">
        <v>3690</v>
      </c>
      <c r="G736" s="425">
        <v>0</v>
      </c>
      <c r="H736" s="425">
        <v>0</v>
      </c>
      <c r="I736" s="425">
        <v>0</v>
      </c>
      <c r="J736" s="425">
        <v>0</v>
      </c>
      <c r="K736" s="425">
        <v>0</v>
      </c>
      <c r="L736" s="425">
        <v>0</v>
      </c>
      <c r="M736" s="425">
        <v>0</v>
      </c>
      <c r="N736" s="425">
        <v>0</v>
      </c>
      <c r="O736" s="425">
        <v>0</v>
      </c>
    </row>
    <row r="737" spans="3:15" hidden="1" x14ac:dyDescent="0.3">
      <c r="C737" t="s">
        <v>2295</v>
      </c>
      <c r="D737" t="s">
        <v>2267</v>
      </c>
      <c r="E737" t="s">
        <v>3691</v>
      </c>
      <c r="F737" t="s">
        <v>3692</v>
      </c>
      <c r="G737" s="425">
        <v>0</v>
      </c>
      <c r="H737" s="425">
        <v>0</v>
      </c>
      <c r="I737" s="425">
        <v>0</v>
      </c>
      <c r="J737" s="425">
        <v>0</v>
      </c>
      <c r="K737" s="425">
        <v>0</v>
      </c>
      <c r="L737" s="425">
        <v>0</v>
      </c>
      <c r="M737" s="425">
        <v>0</v>
      </c>
      <c r="N737" s="425">
        <v>0</v>
      </c>
      <c r="O737" s="425">
        <v>0</v>
      </c>
    </row>
    <row r="738" spans="3:15" hidden="1" x14ac:dyDescent="0.3">
      <c r="C738" t="s">
        <v>2295</v>
      </c>
      <c r="D738" t="s">
        <v>2267</v>
      </c>
      <c r="E738" t="s">
        <v>3693</v>
      </c>
      <c r="F738" t="s">
        <v>3694</v>
      </c>
      <c r="G738" s="425">
        <v>0</v>
      </c>
      <c r="H738" s="425">
        <v>0</v>
      </c>
      <c r="I738" s="425">
        <v>0</v>
      </c>
      <c r="J738" s="425">
        <v>0</v>
      </c>
      <c r="K738" s="425">
        <v>0</v>
      </c>
      <c r="L738" s="425">
        <v>0</v>
      </c>
      <c r="M738" s="425">
        <v>0</v>
      </c>
      <c r="N738" s="425">
        <v>0</v>
      </c>
      <c r="O738" s="425">
        <v>0</v>
      </c>
    </row>
    <row r="739" spans="3:15" hidden="1" x14ac:dyDescent="0.3">
      <c r="C739" t="s">
        <v>2295</v>
      </c>
      <c r="D739" t="s">
        <v>2267</v>
      </c>
      <c r="E739" t="s">
        <v>3695</v>
      </c>
      <c r="F739" t="s">
        <v>3696</v>
      </c>
      <c r="G739" s="425">
        <v>0</v>
      </c>
      <c r="H739" s="425">
        <v>0</v>
      </c>
      <c r="I739" s="425">
        <v>0</v>
      </c>
      <c r="J739" s="425">
        <v>0</v>
      </c>
      <c r="K739" s="425">
        <v>0</v>
      </c>
      <c r="L739" s="425">
        <v>0</v>
      </c>
      <c r="M739" s="425">
        <v>0</v>
      </c>
      <c r="N739" s="425">
        <v>0</v>
      </c>
      <c r="O739" s="425">
        <v>0</v>
      </c>
    </row>
    <row r="740" spans="3:15" hidden="1" x14ac:dyDescent="0.3">
      <c r="C740" t="s">
        <v>2295</v>
      </c>
      <c r="D740" t="s">
        <v>2267</v>
      </c>
      <c r="E740" t="s">
        <v>3697</v>
      </c>
      <c r="F740" t="s">
        <v>3698</v>
      </c>
      <c r="G740" s="425">
        <v>0</v>
      </c>
      <c r="H740" s="425">
        <v>0</v>
      </c>
      <c r="I740" s="425">
        <v>0</v>
      </c>
      <c r="J740" s="425">
        <v>0</v>
      </c>
      <c r="K740" s="425">
        <v>0</v>
      </c>
      <c r="L740" s="425">
        <v>0</v>
      </c>
      <c r="M740" s="425">
        <v>0</v>
      </c>
      <c r="N740" s="425">
        <v>0</v>
      </c>
      <c r="O740" s="425">
        <v>0</v>
      </c>
    </row>
    <row r="741" spans="3:15" hidden="1" x14ac:dyDescent="0.3">
      <c r="C741" t="s">
        <v>2295</v>
      </c>
      <c r="D741" t="s">
        <v>2267</v>
      </c>
      <c r="E741" t="s">
        <v>3699</v>
      </c>
      <c r="F741" t="s">
        <v>3700</v>
      </c>
      <c r="G741" s="425">
        <v>0</v>
      </c>
      <c r="H741" s="425">
        <v>0</v>
      </c>
      <c r="I741" s="425">
        <v>0</v>
      </c>
      <c r="J741" s="425">
        <v>0</v>
      </c>
      <c r="K741" s="425">
        <v>0</v>
      </c>
      <c r="L741" s="425">
        <v>0</v>
      </c>
      <c r="M741" s="425">
        <v>0</v>
      </c>
      <c r="N741" s="425">
        <v>0</v>
      </c>
      <c r="O741" s="425">
        <v>0</v>
      </c>
    </row>
    <row r="742" spans="3:15" hidden="1" x14ac:dyDescent="0.3">
      <c r="C742" t="s">
        <v>2295</v>
      </c>
      <c r="D742" t="s">
        <v>2267</v>
      </c>
      <c r="E742" t="s">
        <v>3701</v>
      </c>
      <c r="F742" t="s">
        <v>3702</v>
      </c>
      <c r="G742" s="425">
        <v>0</v>
      </c>
      <c r="H742" s="425">
        <v>0</v>
      </c>
      <c r="I742" s="425">
        <v>0</v>
      </c>
      <c r="J742" s="425">
        <v>0</v>
      </c>
      <c r="K742" s="425">
        <v>0</v>
      </c>
      <c r="L742" s="425">
        <v>0</v>
      </c>
      <c r="M742" s="425">
        <v>0</v>
      </c>
      <c r="N742" s="425">
        <v>0</v>
      </c>
      <c r="O742" s="425">
        <v>0</v>
      </c>
    </row>
    <row r="743" spans="3:15" hidden="1" x14ac:dyDescent="0.3">
      <c r="C743" t="s">
        <v>2295</v>
      </c>
      <c r="D743" t="s">
        <v>2267</v>
      </c>
      <c r="E743" t="s">
        <v>3703</v>
      </c>
      <c r="F743" t="s">
        <v>3704</v>
      </c>
      <c r="G743" s="425">
        <v>0</v>
      </c>
      <c r="H743" s="425">
        <v>0</v>
      </c>
      <c r="I743" s="425">
        <v>0</v>
      </c>
      <c r="J743" s="425">
        <v>0</v>
      </c>
      <c r="K743" s="425">
        <v>0</v>
      </c>
      <c r="L743" s="425">
        <v>0</v>
      </c>
      <c r="M743" s="425">
        <v>0</v>
      </c>
      <c r="N743" s="425">
        <v>0</v>
      </c>
      <c r="O743" s="425">
        <v>0</v>
      </c>
    </row>
    <row r="744" spans="3:15" hidden="1" x14ac:dyDescent="0.3">
      <c r="C744" t="s">
        <v>2295</v>
      </c>
      <c r="D744" t="s">
        <v>2267</v>
      </c>
      <c r="E744" t="s">
        <v>3705</v>
      </c>
      <c r="F744" t="s">
        <v>3706</v>
      </c>
      <c r="G744" s="425">
        <v>0</v>
      </c>
      <c r="H744" s="425">
        <v>0</v>
      </c>
      <c r="I744" s="425">
        <v>0</v>
      </c>
      <c r="J744" s="425">
        <v>0</v>
      </c>
      <c r="K744" s="425">
        <v>0</v>
      </c>
      <c r="L744" s="425">
        <v>0</v>
      </c>
      <c r="M744" s="425">
        <v>0</v>
      </c>
      <c r="N744" s="425">
        <v>0</v>
      </c>
      <c r="O744" s="425">
        <v>0</v>
      </c>
    </row>
    <row r="745" spans="3:15" hidden="1" x14ac:dyDescent="0.3">
      <c r="C745" t="s">
        <v>2295</v>
      </c>
      <c r="D745" t="s">
        <v>2267</v>
      </c>
      <c r="E745" t="s">
        <v>3707</v>
      </c>
      <c r="F745" t="s">
        <v>3708</v>
      </c>
      <c r="G745" s="425">
        <v>0</v>
      </c>
      <c r="H745" s="425">
        <v>0</v>
      </c>
      <c r="I745" s="425">
        <v>0</v>
      </c>
      <c r="J745" s="425">
        <v>0</v>
      </c>
      <c r="K745" s="425">
        <v>0</v>
      </c>
      <c r="L745" s="425">
        <v>0</v>
      </c>
      <c r="M745" s="425">
        <v>0</v>
      </c>
      <c r="N745" s="425">
        <v>0</v>
      </c>
      <c r="O745" s="425">
        <v>0</v>
      </c>
    </row>
    <row r="746" spans="3:15" hidden="1" x14ac:dyDescent="0.3">
      <c r="C746" t="s">
        <v>2295</v>
      </c>
      <c r="D746" t="s">
        <v>2267</v>
      </c>
      <c r="E746" t="s">
        <v>3709</v>
      </c>
      <c r="F746" t="s">
        <v>3710</v>
      </c>
      <c r="G746" s="425">
        <v>0</v>
      </c>
      <c r="H746" s="425">
        <v>0</v>
      </c>
      <c r="I746" s="425">
        <v>0</v>
      </c>
      <c r="J746" s="425">
        <v>0</v>
      </c>
      <c r="K746" s="425">
        <v>0</v>
      </c>
      <c r="L746" s="425">
        <v>0</v>
      </c>
      <c r="M746" s="425">
        <v>0</v>
      </c>
      <c r="N746" s="425">
        <v>0</v>
      </c>
      <c r="O746" s="425">
        <v>0</v>
      </c>
    </row>
    <row r="747" spans="3:15" hidden="1" x14ac:dyDescent="0.3">
      <c r="C747" t="s">
        <v>2295</v>
      </c>
      <c r="D747" t="s">
        <v>2267</v>
      </c>
      <c r="E747" t="s">
        <v>3711</v>
      </c>
      <c r="F747" t="s">
        <v>3712</v>
      </c>
      <c r="G747" s="425">
        <v>0</v>
      </c>
      <c r="H747" s="425">
        <v>0</v>
      </c>
      <c r="I747" s="425">
        <v>0</v>
      </c>
      <c r="J747" s="425">
        <v>0</v>
      </c>
      <c r="K747" s="425">
        <v>0</v>
      </c>
      <c r="L747" s="425">
        <v>0</v>
      </c>
      <c r="M747" s="425">
        <v>0</v>
      </c>
      <c r="N747" s="425">
        <v>0</v>
      </c>
      <c r="O747" s="425">
        <v>0</v>
      </c>
    </row>
    <row r="748" spans="3:15" hidden="1" x14ac:dyDescent="0.3">
      <c r="C748" t="s">
        <v>2295</v>
      </c>
      <c r="D748" t="s">
        <v>2267</v>
      </c>
      <c r="E748" t="s">
        <v>3713</v>
      </c>
      <c r="F748" t="s">
        <v>3714</v>
      </c>
      <c r="G748" s="425">
        <v>0</v>
      </c>
      <c r="H748" s="425">
        <v>0</v>
      </c>
      <c r="I748" s="425">
        <v>0</v>
      </c>
      <c r="J748" s="425">
        <v>0</v>
      </c>
      <c r="K748" s="425">
        <v>0</v>
      </c>
      <c r="L748" s="425">
        <v>0</v>
      </c>
      <c r="M748" s="425">
        <v>0</v>
      </c>
      <c r="N748" s="425">
        <v>0</v>
      </c>
      <c r="O748" s="425">
        <v>0</v>
      </c>
    </row>
    <row r="749" spans="3:15" hidden="1" x14ac:dyDescent="0.3">
      <c r="C749" t="s">
        <v>2295</v>
      </c>
      <c r="D749" t="s">
        <v>2267</v>
      </c>
      <c r="E749" t="s">
        <v>3715</v>
      </c>
      <c r="F749" t="s">
        <v>3716</v>
      </c>
      <c r="G749" s="425">
        <v>0</v>
      </c>
      <c r="H749" s="425">
        <v>0</v>
      </c>
      <c r="I749" s="425">
        <v>0</v>
      </c>
      <c r="J749" s="425">
        <v>0</v>
      </c>
      <c r="K749" s="425">
        <v>0</v>
      </c>
      <c r="L749" s="425">
        <v>0</v>
      </c>
      <c r="M749" s="425">
        <v>0</v>
      </c>
      <c r="N749" s="425">
        <v>0</v>
      </c>
      <c r="O749" s="425">
        <v>0</v>
      </c>
    </row>
    <row r="750" spans="3:15" hidden="1" x14ac:dyDescent="0.3">
      <c r="C750" t="s">
        <v>2295</v>
      </c>
      <c r="D750" t="s">
        <v>2267</v>
      </c>
      <c r="E750" t="s">
        <v>3717</v>
      </c>
      <c r="F750" t="s">
        <v>3718</v>
      </c>
      <c r="G750" s="425">
        <v>0</v>
      </c>
      <c r="H750" s="425">
        <v>0</v>
      </c>
      <c r="I750" s="425">
        <v>0</v>
      </c>
      <c r="J750" s="425">
        <v>0</v>
      </c>
      <c r="K750" s="425">
        <v>0</v>
      </c>
      <c r="L750" s="425">
        <v>0</v>
      </c>
      <c r="M750" s="425">
        <v>0</v>
      </c>
      <c r="N750" s="425">
        <v>0</v>
      </c>
      <c r="O750" s="425">
        <v>0</v>
      </c>
    </row>
    <row r="751" spans="3:15" hidden="1" x14ac:dyDescent="0.3">
      <c r="C751" t="s">
        <v>2295</v>
      </c>
      <c r="D751" t="s">
        <v>2267</v>
      </c>
      <c r="E751" t="s">
        <v>3719</v>
      </c>
      <c r="F751" t="s">
        <v>3720</v>
      </c>
      <c r="G751" s="425">
        <v>0</v>
      </c>
      <c r="H751" s="425">
        <v>0</v>
      </c>
      <c r="I751" s="425">
        <v>0</v>
      </c>
      <c r="J751" s="425">
        <v>0</v>
      </c>
      <c r="K751" s="425">
        <v>0</v>
      </c>
      <c r="L751" s="425">
        <v>0</v>
      </c>
      <c r="M751" s="425">
        <v>0</v>
      </c>
      <c r="N751" s="425">
        <v>0</v>
      </c>
      <c r="O751" s="425">
        <v>0</v>
      </c>
    </row>
    <row r="752" spans="3:15" hidden="1" x14ac:dyDescent="0.3">
      <c r="C752" t="s">
        <v>2295</v>
      </c>
      <c r="D752" t="s">
        <v>2267</v>
      </c>
      <c r="E752" t="s">
        <v>3721</v>
      </c>
      <c r="F752" t="s">
        <v>3722</v>
      </c>
      <c r="G752" s="425">
        <v>0</v>
      </c>
      <c r="H752" s="425">
        <v>0</v>
      </c>
      <c r="I752" s="425">
        <v>0</v>
      </c>
      <c r="J752" s="425">
        <v>0</v>
      </c>
      <c r="K752" s="425">
        <v>0</v>
      </c>
      <c r="L752" s="425">
        <v>0</v>
      </c>
      <c r="M752" s="425">
        <v>0</v>
      </c>
      <c r="N752" s="425">
        <v>0</v>
      </c>
      <c r="O752" s="425">
        <v>0</v>
      </c>
    </row>
    <row r="753" spans="3:15" hidden="1" x14ac:dyDescent="0.3">
      <c r="C753" t="s">
        <v>2295</v>
      </c>
      <c r="D753" t="s">
        <v>2267</v>
      </c>
      <c r="E753" t="s">
        <v>3723</v>
      </c>
      <c r="F753" t="s">
        <v>3724</v>
      </c>
      <c r="G753" s="425">
        <v>0</v>
      </c>
      <c r="H753" s="425">
        <v>0</v>
      </c>
      <c r="I753" s="425">
        <v>0</v>
      </c>
      <c r="J753" s="425">
        <v>0</v>
      </c>
      <c r="K753" s="425">
        <v>0</v>
      </c>
      <c r="L753" s="425">
        <v>0</v>
      </c>
      <c r="M753" s="425">
        <v>0</v>
      </c>
      <c r="N753" s="425">
        <v>0</v>
      </c>
      <c r="O753" s="425">
        <v>0</v>
      </c>
    </row>
    <row r="754" spans="3:15" hidden="1" x14ac:dyDescent="0.3">
      <c r="C754" t="s">
        <v>2295</v>
      </c>
      <c r="D754" t="s">
        <v>2267</v>
      </c>
      <c r="E754" t="s">
        <v>3725</v>
      </c>
      <c r="F754" t="s">
        <v>3726</v>
      </c>
      <c r="G754" s="425">
        <v>0</v>
      </c>
      <c r="H754" s="425">
        <v>0</v>
      </c>
      <c r="I754" s="425">
        <v>0</v>
      </c>
      <c r="J754" s="425">
        <v>0</v>
      </c>
      <c r="K754" s="425">
        <v>0</v>
      </c>
      <c r="L754" s="425">
        <v>0</v>
      </c>
      <c r="M754" s="425">
        <v>0</v>
      </c>
      <c r="N754" s="425">
        <v>0</v>
      </c>
      <c r="O754" s="425">
        <v>0</v>
      </c>
    </row>
    <row r="755" spans="3:15" hidden="1" x14ac:dyDescent="0.3">
      <c r="C755" t="s">
        <v>2295</v>
      </c>
      <c r="D755" t="s">
        <v>2267</v>
      </c>
      <c r="E755" t="s">
        <v>3727</v>
      </c>
      <c r="F755" t="s">
        <v>3728</v>
      </c>
      <c r="G755" s="425">
        <v>0</v>
      </c>
      <c r="H755" s="425">
        <v>0</v>
      </c>
      <c r="I755" s="425">
        <v>0</v>
      </c>
      <c r="J755" s="425">
        <v>0</v>
      </c>
      <c r="K755" s="425">
        <v>0</v>
      </c>
      <c r="L755" s="425">
        <v>0</v>
      </c>
      <c r="M755" s="425">
        <v>0</v>
      </c>
      <c r="N755" s="425">
        <v>0</v>
      </c>
      <c r="O755" s="425">
        <v>0</v>
      </c>
    </row>
    <row r="756" spans="3:15" hidden="1" x14ac:dyDescent="0.3">
      <c r="C756" t="s">
        <v>2295</v>
      </c>
      <c r="D756" t="s">
        <v>2267</v>
      </c>
      <c r="E756" t="s">
        <v>3729</v>
      </c>
      <c r="F756" t="s">
        <v>3730</v>
      </c>
      <c r="G756" s="425">
        <v>0</v>
      </c>
      <c r="H756" s="425">
        <v>0</v>
      </c>
      <c r="I756" s="425">
        <v>0</v>
      </c>
      <c r="J756" s="425">
        <v>0</v>
      </c>
      <c r="K756" s="425">
        <v>0</v>
      </c>
      <c r="L756" s="425">
        <v>0</v>
      </c>
      <c r="M756" s="425">
        <v>0</v>
      </c>
      <c r="N756" s="425">
        <v>0</v>
      </c>
      <c r="O756" s="425">
        <v>0</v>
      </c>
    </row>
    <row r="757" spans="3:15" hidden="1" x14ac:dyDescent="0.3">
      <c r="C757" t="s">
        <v>2295</v>
      </c>
      <c r="D757" t="s">
        <v>2267</v>
      </c>
      <c r="E757" t="s">
        <v>3731</v>
      </c>
      <c r="F757" t="s">
        <v>3732</v>
      </c>
      <c r="G757" s="425">
        <v>0</v>
      </c>
      <c r="H757" s="425">
        <v>0</v>
      </c>
      <c r="I757" s="425">
        <v>0</v>
      </c>
      <c r="J757" s="425">
        <v>0</v>
      </c>
      <c r="K757" s="425">
        <v>0</v>
      </c>
      <c r="L757" s="425">
        <v>0</v>
      </c>
      <c r="M757" s="425">
        <v>0</v>
      </c>
      <c r="N757" s="425">
        <v>0</v>
      </c>
      <c r="O757" s="425">
        <v>0</v>
      </c>
    </row>
    <row r="758" spans="3:15" hidden="1" x14ac:dyDescent="0.3">
      <c r="C758" t="s">
        <v>2295</v>
      </c>
      <c r="D758" t="s">
        <v>2267</v>
      </c>
      <c r="E758" t="s">
        <v>3733</v>
      </c>
      <c r="F758" t="s">
        <v>3734</v>
      </c>
      <c r="G758" s="425">
        <v>0</v>
      </c>
      <c r="H758" s="425">
        <v>0</v>
      </c>
      <c r="I758" s="425">
        <v>0</v>
      </c>
      <c r="J758" s="425">
        <v>0</v>
      </c>
      <c r="K758" s="425">
        <v>0</v>
      </c>
      <c r="L758" s="425">
        <v>0</v>
      </c>
      <c r="M758" s="425">
        <v>0</v>
      </c>
      <c r="N758" s="425">
        <v>0</v>
      </c>
      <c r="O758" s="425">
        <v>0</v>
      </c>
    </row>
    <row r="759" spans="3:15" hidden="1" x14ac:dyDescent="0.3">
      <c r="C759" t="s">
        <v>2295</v>
      </c>
      <c r="D759" t="s">
        <v>2267</v>
      </c>
      <c r="E759" t="s">
        <v>3735</v>
      </c>
      <c r="F759" t="s">
        <v>3736</v>
      </c>
      <c r="G759" s="425">
        <v>0</v>
      </c>
      <c r="H759" s="425">
        <v>0</v>
      </c>
      <c r="I759" s="425">
        <v>0</v>
      </c>
      <c r="J759" s="425">
        <v>0</v>
      </c>
      <c r="K759" s="425">
        <v>0</v>
      </c>
      <c r="L759" s="425">
        <v>0</v>
      </c>
      <c r="M759" s="425">
        <v>0</v>
      </c>
      <c r="N759" s="425">
        <v>0</v>
      </c>
      <c r="O759" s="425">
        <v>0</v>
      </c>
    </row>
    <row r="760" spans="3:15" hidden="1" x14ac:dyDescent="0.3">
      <c r="C760" t="s">
        <v>2295</v>
      </c>
      <c r="D760" t="s">
        <v>2267</v>
      </c>
      <c r="E760" t="s">
        <v>3737</v>
      </c>
      <c r="F760" t="s">
        <v>3738</v>
      </c>
      <c r="G760" s="425">
        <v>0</v>
      </c>
      <c r="H760" s="425">
        <v>0</v>
      </c>
      <c r="I760" s="425">
        <v>0</v>
      </c>
      <c r="J760" s="425">
        <v>0</v>
      </c>
      <c r="K760" s="425">
        <v>0</v>
      </c>
      <c r="L760" s="425">
        <v>0</v>
      </c>
      <c r="M760" s="425">
        <v>0</v>
      </c>
      <c r="N760" s="425">
        <v>0</v>
      </c>
      <c r="O760" s="425">
        <v>0</v>
      </c>
    </row>
    <row r="761" spans="3:15" hidden="1" x14ac:dyDescent="0.3">
      <c r="C761" t="s">
        <v>2295</v>
      </c>
      <c r="D761" t="s">
        <v>2267</v>
      </c>
      <c r="E761" t="s">
        <v>3739</v>
      </c>
      <c r="F761" t="s">
        <v>3740</v>
      </c>
      <c r="G761" s="425">
        <v>0</v>
      </c>
      <c r="H761" s="425">
        <v>0</v>
      </c>
      <c r="I761" s="425">
        <v>0</v>
      </c>
      <c r="J761" s="425">
        <v>0</v>
      </c>
      <c r="K761" s="425">
        <v>0</v>
      </c>
      <c r="L761" s="425">
        <v>0</v>
      </c>
      <c r="M761" s="425">
        <v>0</v>
      </c>
      <c r="N761" s="425">
        <v>0</v>
      </c>
      <c r="O761" s="425">
        <v>0</v>
      </c>
    </row>
    <row r="762" spans="3:15" hidden="1" x14ac:dyDescent="0.3">
      <c r="C762" t="s">
        <v>2295</v>
      </c>
      <c r="D762" t="s">
        <v>2267</v>
      </c>
      <c r="E762" t="s">
        <v>3741</v>
      </c>
      <c r="F762" t="s">
        <v>3742</v>
      </c>
      <c r="G762" s="425">
        <v>0</v>
      </c>
      <c r="H762" s="425">
        <v>0</v>
      </c>
      <c r="I762" s="425">
        <v>0</v>
      </c>
      <c r="J762" s="425">
        <v>0</v>
      </c>
      <c r="K762" s="425">
        <v>0</v>
      </c>
      <c r="L762" s="425">
        <v>0</v>
      </c>
      <c r="M762" s="425">
        <v>0</v>
      </c>
      <c r="N762" s="425">
        <v>0</v>
      </c>
      <c r="O762" s="425">
        <v>0</v>
      </c>
    </row>
    <row r="763" spans="3:15" hidden="1" x14ac:dyDescent="0.3">
      <c r="C763" t="s">
        <v>2295</v>
      </c>
      <c r="D763" t="s">
        <v>2267</v>
      </c>
      <c r="E763" t="s">
        <v>3743</v>
      </c>
      <c r="F763" t="s">
        <v>3744</v>
      </c>
      <c r="G763" s="425">
        <v>0</v>
      </c>
      <c r="H763" s="425">
        <v>0</v>
      </c>
      <c r="I763" s="425">
        <v>0</v>
      </c>
      <c r="J763" s="425">
        <v>0</v>
      </c>
      <c r="K763" s="425">
        <v>0</v>
      </c>
      <c r="L763" s="425">
        <v>0</v>
      </c>
      <c r="M763" s="425">
        <v>0</v>
      </c>
      <c r="N763" s="425">
        <v>0</v>
      </c>
      <c r="O763" s="425">
        <v>0</v>
      </c>
    </row>
    <row r="764" spans="3:15" hidden="1" x14ac:dyDescent="0.3">
      <c r="C764" t="s">
        <v>2295</v>
      </c>
      <c r="D764" t="s">
        <v>2267</v>
      </c>
      <c r="E764" t="s">
        <v>3745</v>
      </c>
      <c r="F764" t="s">
        <v>3746</v>
      </c>
      <c r="G764" s="425">
        <v>0</v>
      </c>
      <c r="H764" s="425">
        <v>0</v>
      </c>
      <c r="I764" s="425">
        <v>0</v>
      </c>
      <c r="J764" s="425">
        <v>0</v>
      </c>
      <c r="K764" s="425">
        <v>0</v>
      </c>
      <c r="L764" s="425">
        <v>0</v>
      </c>
      <c r="M764" s="425">
        <v>0</v>
      </c>
      <c r="N764" s="425">
        <v>0</v>
      </c>
      <c r="O764" s="425">
        <v>0</v>
      </c>
    </row>
    <row r="765" spans="3:15" hidden="1" x14ac:dyDescent="0.3">
      <c r="C765" t="s">
        <v>2295</v>
      </c>
      <c r="D765" t="s">
        <v>2267</v>
      </c>
      <c r="E765" t="s">
        <v>3747</v>
      </c>
      <c r="F765" t="s">
        <v>3748</v>
      </c>
      <c r="G765" s="425">
        <v>0</v>
      </c>
      <c r="H765" s="425">
        <v>0</v>
      </c>
      <c r="I765" s="425">
        <v>0</v>
      </c>
      <c r="J765" s="425">
        <v>0</v>
      </c>
      <c r="K765" s="425">
        <v>0</v>
      </c>
      <c r="L765" s="425">
        <v>0</v>
      </c>
      <c r="M765" s="425">
        <v>0</v>
      </c>
      <c r="N765" s="425">
        <v>0</v>
      </c>
      <c r="O765" s="425">
        <v>0</v>
      </c>
    </row>
    <row r="766" spans="3:15" hidden="1" x14ac:dyDescent="0.3">
      <c r="C766" t="s">
        <v>2295</v>
      </c>
      <c r="D766" t="s">
        <v>2267</v>
      </c>
      <c r="E766" t="s">
        <v>3749</v>
      </c>
      <c r="F766" t="s">
        <v>3750</v>
      </c>
      <c r="G766" s="425">
        <v>0</v>
      </c>
      <c r="H766" s="425">
        <v>0</v>
      </c>
      <c r="I766" s="425">
        <v>0</v>
      </c>
      <c r="J766" s="425">
        <v>0</v>
      </c>
      <c r="K766" s="425">
        <v>0</v>
      </c>
      <c r="L766" s="425">
        <v>0</v>
      </c>
      <c r="M766" s="425">
        <v>0</v>
      </c>
      <c r="N766" s="425">
        <v>0</v>
      </c>
      <c r="O766" s="425">
        <v>0</v>
      </c>
    </row>
    <row r="767" spans="3:15" hidden="1" x14ac:dyDescent="0.3">
      <c r="C767" t="s">
        <v>2295</v>
      </c>
      <c r="D767" t="s">
        <v>2267</v>
      </c>
      <c r="E767" t="s">
        <v>3751</v>
      </c>
      <c r="F767" t="s">
        <v>3752</v>
      </c>
      <c r="G767" s="425">
        <v>0</v>
      </c>
      <c r="H767" s="425">
        <v>0</v>
      </c>
      <c r="I767" s="425">
        <v>0</v>
      </c>
      <c r="J767" s="425">
        <v>0</v>
      </c>
      <c r="K767" s="425">
        <v>0</v>
      </c>
      <c r="L767" s="425">
        <v>0</v>
      </c>
      <c r="M767" s="425">
        <v>0</v>
      </c>
      <c r="N767" s="425">
        <v>0</v>
      </c>
      <c r="O767" s="425">
        <v>0</v>
      </c>
    </row>
    <row r="768" spans="3:15" hidden="1" x14ac:dyDescent="0.3">
      <c r="C768" t="s">
        <v>2295</v>
      </c>
      <c r="D768" t="s">
        <v>2267</v>
      </c>
      <c r="E768" t="s">
        <v>3753</v>
      </c>
      <c r="F768" t="s">
        <v>3754</v>
      </c>
      <c r="G768" s="425">
        <v>0</v>
      </c>
      <c r="H768" s="425">
        <v>0</v>
      </c>
      <c r="I768" s="425">
        <v>0</v>
      </c>
      <c r="J768" s="425">
        <v>0</v>
      </c>
      <c r="K768" s="425">
        <v>0</v>
      </c>
      <c r="L768" s="425">
        <v>0</v>
      </c>
      <c r="M768" s="425">
        <v>0</v>
      </c>
      <c r="N768" s="425">
        <v>0</v>
      </c>
      <c r="O768" s="425">
        <v>0</v>
      </c>
    </row>
    <row r="769" spans="3:15" hidden="1" x14ac:dyDescent="0.3">
      <c r="C769" t="s">
        <v>2295</v>
      </c>
      <c r="D769" t="s">
        <v>2267</v>
      </c>
      <c r="E769" t="s">
        <v>3755</v>
      </c>
      <c r="F769" t="s">
        <v>3756</v>
      </c>
      <c r="G769" s="425">
        <v>0</v>
      </c>
      <c r="H769" s="425">
        <v>0</v>
      </c>
      <c r="I769" s="425">
        <v>0</v>
      </c>
      <c r="J769" s="425">
        <v>0</v>
      </c>
      <c r="K769" s="425">
        <v>0</v>
      </c>
      <c r="L769" s="425">
        <v>0</v>
      </c>
      <c r="M769" s="425">
        <v>0</v>
      </c>
      <c r="N769" s="425">
        <v>0</v>
      </c>
      <c r="O769" s="425">
        <v>0</v>
      </c>
    </row>
    <row r="770" spans="3:15" hidden="1" x14ac:dyDescent="0.3">
      <c r="C770" t="s">
        <v>2295</v>
      </c>
      <c r="D770" t="s">
        <v>2267</v>
      </c>
      <c r="E770" t="s">
        <v>3757</v>
      </c>
      <c r="F770" t="s">
        <v>3758</v>
      </c>
      <c r="G770" s="425">
        <v>0</v>
      </c>
      <c r="H770" s="425">
        <v>0</v>
      </c>
      <c r="I770" s="425">
        <v>0</v>
      </c>
      <c r="J770" s="425">
        <v>0</v>
      </c>
      <c r="K770" s="425">
        <v>0</v>
      </c>
      <c r="L770" s="425">
        <v>0</v>
      </c>
      <c r="M770" s="425">
        <v>0</v>
      </c>
      <c r="N770" s="425">
        <v>0</v>
      </c>
      <c r="O770" s="425">
        <v>0</v>
      </c>
    </row>
    <row r="771" spans="3:15" hidden="1" x14ac:dyDescent="0.3">
      <c r="C771" t="s">
        <v>2295</v>
      </c>
      <c r="D771" t="s">
        <v>2267</v>
      </c>
      <c r="E771" t="s">
        <v>3759</v>
      </c>
      <c r="F771" t="s">
        <v>3760</v>
      </c>
      <c r="G771" s="425">
        <v>0</v>
      </c>
      <c r="H771" s="425">
        <v>0</v>
      </c>
      <c r="I771" s="425">
        <v>0</v>
      </c>
      <c r="J771" s="425">
        <v>0</v>
      </c>
      <c r="K771" s="425">
        <v>0</v>
      </c>
      <c r="L771" s="425">
        <v>0</v>
      </c>
      <c r="M771" s="425">
        <v>0</v>
      </c>
      <c r="N771" s="425">
        <v>0</v>
      </c>
      <c r="O771" s="425">
        <v>0</v>
      </c>
    </row>
    <row r="772" spans="3:15" hidden="1" x14ac:dyDescent="0.3">
      <c r="C772" t="s">
        <v>2295</v>
      </c>
      <c r="D772" t="s">
        <v>2267</v>
      </c>
      <c r="E772" t="s">
        <v>3761</v>
      </c>
      <c r="F772" t="s">
        <v>3762</v>
      </c>
      <c r="G772" s="425">
        <v>0</v>
      </c>
      <c r="H772" s="425">
        <v>0</v>
      </c>
      <c r="I772" s="425">
        <v>0</v>
      </c>
      <c r="J772" s="425">
        <v>0</v>
      </c>
      <c r="K772" s="425">
        <v>0</v>
      </c>
      <c r="L772" s="425">
        <v>0</v>
      </c>
      <c r="M772" s="425">
        <v>0</v>
      </c>
      <c r="N772" s="425">
        <v>0</v>
      </c>
      <c r="O772" s="425">
        <v>0</v>
      </c>
    </row>
    <row r="773" spans="3:15" hidden="1" x14ac:dyDescent="0.3">
      <c r="C773" t="s">
        <v>2295</v>
      </c>
      <c r="D773" t="s">
        <v>2267</v>
      </c>
      <c r="E773" t="s">
        <v>3763</v>
      </c>
      <c r="F773" t="s">
        <v>3764</v>
      </c>
      <c r="G773" s="425">
        <v>0</v>
      </c>
      <c r="H773" s="425">
        <v>0</v>
      </c>
      <c r="I773" s="425">
        <v>0</v>
      </c>
      <c r="J773" s="425">
        <v>0</v>
      </c>
      <c r="K773" s="425">
        <v>0</v>
      </c>
      <c r="L773" s="425">
        <v>0</v>
      </c>
      <c r="M773" s="425">
        <v>0</v>
      </c>
      <c r="N773" s="425">
        <v>0</v>
      </c>
      <c r="O773" s="425">
        <v>0</v>
      </c>
    </row>
    <row r="774" spans="3:15" hidden="1" x14ac:dyDescent="0.3">
      <c r="C774" t="s">
        <v>2295</v>
      </c>
      <c r="D774" t="s">
        <v>2267</v>
      </c>
      <c r="E774" t="s">
        <v>3765</v>
      </c>
      <c r="F774" t="s">
        <v>3766</v>
      </c>
      <c r="G774" s="425">
        <v>0</v>
      </c>
      <c r="H774" s="425">
        <v>0</v>
      </c>
      <c r="I774" s="425">
        <v>0</v>
      </c>
      <c r="J774" s="425">
        <v>0</v>
      </c>
      <c r="K774" s="425">
        <v>0</v>
      </c>
      <c r="L774" s="425">
        <v>0</v>
      </c>
      <c r="M774" s="425">
        <v>0</v>
      </c>
      <c r="N774" s="425">
        <v>0</v>
      </c>
      <c r="O774" s="425">
        <v>0</v>
      </c>
    </row>
    <row r="775" spans="3:15" hidden="1" x14ac:dyDescent="0.3">
      <c r="C775" t="s">
        <v>2295</v>
      </c>
      <c r="D775" t="s">
        <v>2267</v>
      </c>
      <c r="E775" t="s">
        <v>3767</v>
      </c>
      <c r="F775" t="s">
        <v>3768</v>
      </c>
      <c r="G775" s="425">
        <v>0</v>
      </c>
      <c r="H775" s="425">
        <v>0</v>
      </c>
      <c r="I775" s="425">
        <v>0</v>
      </c>
      <c r="J775" s="425">
        <v>0</v>
      </c>
      <c r="K775" s="425">
        <v>0</v>
      </c>
      <c r="L775" s="425">
        <v>0</v>
      </c>
      <c r="M775" s="425">
        <v>0</v>
      </c>
      <c r="N775" s="425">
        <v>0</v>
      </c>
      <c r="O775" s="425">
        <v>0</v>
      </c>
    </row>
    <row r="776" spans="3:15" hidden="1" x14ac:dyDescent="0.3">
      <c r="C776" t="s">
        <v>2295</v>
      </c>
      <c r="D776" t="s">
        <v>2267</v>
      </c>
      <c r="E776" t="s">
        <v>3769</v>
      </c>
      <c r="F776" t="s">
        <v>3770</v>
      </c>
      <c r="G776" s="425">
        <v>0</v>
      </c>
      <c r="H776" s="425">
        <v>0</v>
      </c>
      <c r="I776" s="425">
        <v>0</v>
      </c>
      <c r="J776" s="425">
        <v>0</v>
      </c>
      <c r="K776" s="425">
        <v>0</v>
      </c>
      <c r="L776" s="425">
        <v>0</v>
      </c>
      <c r="M776" s="425">
        <v>0</v>
      </c>
      <c r="N776" s="425">
        <v>0</v>
      </c>
      <c r="O776" s="425">
        <v>0</v>
      </c>
    </row>
    <row r="777" spans="3:15" hidden="1" x14ac:dyDescent="0.3">
      <c r="C777" t="s">
        <v>2295</v>
      </c>
      <c r="D777" t="s">
        <v>2267</v>
      </c>
      <c r="E777" t="s">
        <v>3771</v>
      </c>
      <c r="F777" t="s">
        <v>3772</v>
      </c>
      <c r="G777" s="425">
        <v>0</v>
      </c>
      <c r="H777" s="425">
        <v>0</v>
      </c>
      <c r="I777" s="425">
        <v>0</v>
      </c>
      <c r="J777" s="425">
        <v>0</v>
      </c>
      <c r="K777" s="425">
        <v>0</v>
      </c>
      <c r="L777" s="425">
        <v>0</v>
      </c>
      <c r="M777" s="425">
        <v>0</v>
      </c>
      <c r="N777" s="425">
        <v>0</v>
      </c>
      <c r="O777" s="425">
        <v>0</v>
      </c>
    </row>
    <row r="778" spans="3:15" hidden="1" x14ac:dyDescent="0.3">
      <c r="C778" t="s">
        <v>2295</v>
      </c>
      <c r="D778" t="s">
        <v>2267</v>
      </c>
      <c r="E778" t="s">
        <v>3773</v>
      </c>
      <c r="F778" t="s">
        <v>3774</v>
      </c>
      <c r="G778" s="425">
        <v>0</v>
      </c>
      <c r="H778" s="425">
        <v>0</v>
      </c>
      <c r="I778" s="425">
        <v>0</v>
      </c>
      <c r="J778" s="425">
        <v>0</v>
      </c>
      <c r="K778" s="425">
        <v>0</v>
      </c>
      <c r="L778" s="425">
        <v>0</v>
      </c>
      <c r="M778" s="425">
        <v>0</v>
      </c>
      <c r="N778" s="425">
        <v>0</v>
      </c>
      <c r="O778" s="425">
        <v>0</v>
      </c>
    </row>
    <row r="779" spans="3:15" hidden="1" x14ac:dyDescent="0.3">
      <c r="C779" t="s">
        <v>2295</v>
      </c>
      <c r="D779" t="s">
        <v>2267</v>
      </c>
      <c r="E779" t="s">
        <v>3775</v>
      </c>
      <c r="F779" t="s">
        <v>3776</v>
      </c>
      <c r="G779" s="425">
        <v>0</v>
      </c>
      <c r="H779" s="425">
        <v>0</v>
      </c>
      <c r="I779" s="425">
        <v>0</v>
      </c>
      <c r="J779" s="425">
        <v>0</v>
      </c>
      <c r="K779" s="425">
        <v>0</v>
      </c>
      <c r="L779" s="425">
        <v>0</v>
      </c>
      <c r="M779" s="425">
        <v>0</v>
      </c>
      <c r="N779" s="425">
        <v>0</v>
      </c>
      <c r="O779" s="425">
        <v>0</v>
      </c>
    </row>
    <row r="780" spans="3:15" hidden="1" x14ac:dyDescent="0.3">
      <c r="C780" t="s">
        <v>2295</v>
      </c>
      <c r="D780" t="s">
        <v>2267</v>
      </c>
      <c r="E780" t="s">
        <v>3777</v>
      </c>
      <c r="F780" t="s">
        <v>3778</v>
      </c>
      <c r="G780" s="425">
        <v>0</v>
      </c>
      <c r="H780" s="425">
        <v>0</v>
      </c>
      <c r="I780" s="425">
        <v>0</v>
      </c>
      <c r="J780" s="425">
        <v>0</v>
      </c>
      <c r="K780" s="425">
        <v>0</v>
      </c>
      <c r="L780" s="425">
        <v>0</v>
      </c>
      <c r="M780" s="425">
        <v>0</v>
      </c>
      <c r="N780" s="425">
        <v>0</v>
      </c>
      <c r="O780" s="425">
        <v>0</v>
      </c>
    </row>
    <row r="781" spans="3:15" hidden="1" x14ac:dyDescent="0.3">
      <c r="C781" t="s">
        <v>2295</v>
      </c>
      <c r="D781" t="s">
        <v>2267</v>
      </c>
      <c r="E781" t="s">
        <v>3779</v>
      </c>
      <c r="F781" t="s">
        <v>3780</v>
      </c>
      <c r="G781" s="425">
        <v>0</v>
      </c>
      <c r="H781" s="425">
        <v>0</v>
      </c>
      <c r="I781" s="425">
        <v>0</v>
      </c>
      <c r="J781" s="425">
        <v>0</v>
      </c>
      <c r="K781" s="425">
        <v>0</v>
      </c>
      <c r="L781" s="425">
        <v>0</v>
      </c>
      <c r="M781" s="425">
        <v>0</v>
      </c>
      <c r="N781" s="425">
        <v>0</v>
      </c>
      <c r="O781" s="425">
        <v>0</v>
      </c>
    </row>
    <row r="782" spans="3:15" hidden="1" x14ac:dyDescent="0.3">
      <c r="C782" t="s">
        <v>2295</v>
      </c>
      <c r="D782" t="s">
        <v>2267</v>
      </c>
      <c r="E782" t="s">
        <v>3781</v>
      </c>
      <c r="F782" t="s">
        <v>3782</v>
      </c>
      <c r="G782" s="425">
        <v>0</v>
      </c>
      <c r="H782" s="425">
        <v>0</v>
      </c>
      <c r="I782" s="425">
        <v>0</v>
      </c>
      <c r="J782" s="425">
        <v>0</v>
      </c>
      <c r="K782" s="425">
        <v>0</v>
      </c>
      <c r="L782" s="425">
        <v>0</v>
      </c>
      <c r="M782" s="425">
        <v>0</v>
      </c>
      <c r="N782" s="425">
        <v>0</v>
      </c>
      <c r="O782" s="425">
        <v>0</v>
      </c>
    </row>
    <row r="783" spans="3:15" hidden="1" x14ac:dyDescent="0.3">
      <c r="C783" t="s">
        <v>2295</v>
      </c>
      <c r="D783" t="s">
        <v>2267</v>
      </c>
      <c r="E783" t="s">
        <v>3783</v>
      </c>
      <c r="F783" t="s">
        <v>3784</v>
      </c>
      <c r="G783" s="425">
        <v>0</v>
      </c>
      <c r="H783" s="425">
        <v>0</v>
      </c>
      <c r="I783" s="425">
        <v>0</v>
      </c>
      <c r="J783" s="425">
        <v>0</v>
      </c>
      <c r="K783" s="425">
        <v>0</v>
      </c>
      <c r="L783" s="425">
        <v>0</v>
      </c>
      <c r="M783" s="425">
        <v>0</v>
      </c>
      <c r="N783" s="425">
        <v>0</v>
      </c>
      <c r="O783" s="425">
        <v>0</v>
      </c>
    </row>
    <row r="784" spans="3:15" hidden="1" x14ac:dyDescent="0.3">
      <c r="C784" t="s">
        <v>2295</v>
      </c>
      <c r="D784" t="s">
        <v>2267</v>
      </c>
      <c r="E784" t="s">
        <v>3785</v>
      </c>
      <c r="F784" t="s">
        <v>3786</v>
      </c>
      <c r="G784" s="425">
        <v>0</v>
      </c>
      <c r="H784" s="425">
        <v>0</v>
      </c>
      <c r="I784" s="425">
        <v>0</v>
      </c>
      <c r="J784" s="425">
        <v>0</v>
      </c>
      <c r="K784" s="425">
        <v>0</v>
      </c>
      <c r="L784" s="425">
        <v>0</v>
      </c>
      <c r="M784" s="425">
        <v>0</v>
      </c>
      <c r="N784" s="425">
        <v>0</v>
      </c>
      <c r="O784" s="425">
        <v>0</v>
      </c>
    </row>
    <row r="785" spans="3:15" hidden="1" x14ac:dyDescent="0.3">
      <c r="C785" t="s">
        <v>2295</v>
      </c>
      <c r="D785" t="s">
        <v>2267</v>
      </c>
      <c r="E785" t="s">
        <v>3787</v>
      </c>
      <c r="F785" t="s">
        <v>3788</v>
      </c>
      <c r="G785" s="425">
        <v>0</v>
      </c>
      <c r="H785" s="425">
        <v>0</v>
      </c>
      <c r="I785" s="425">
        <v>0</v>
      </c>
      <c r="J785" s="425">
        <v>0</v>
      </c>
      <c r="K785" s="425">
        <v>0</v>
      </c>
      <c r="L785" s="425">
        <v>0</v>
      </c>
      <c r="M785" s="425">
        <v>0</v>
      </c>
      <c r="N785" s="425">
        <v>0</v>
      </c>
      <c r="O785" s="425">
        <v>0</v>
      </c>
    </row>
    <row r="786" spans="3:15" hidden="1" x14ac:dyDescent="0.3">
      <c r="C786" t="s">
        <v>2295</v>
      </c>
      <c r="D786" t="s">
        <v>2267</v>
      </c>
      <c r="E786" t="s">
        <v>3789</v>
      </c>
      <c r="F786" t="s">
        <v>3790</v>
      </c>
      <c r="G786" s="425">
        <v>0</v>
      </c>
      <c r="H786" s="425">
        <v>0</v>
      </c>
      <c r="I786" s="425">
        <v>0</v>
      </c>
      <c r="J786" s="425">
        <v>0</v>
      </c>
      <c r="K786" s="425">
        <v>0</v>
      </c>
      <c r="L786" s="425">
        <v>0</v>
      </c>
      <c r="M786" s="425">
        <v>0</v>
      </c>
      <c r="N786" s="425">
        <v>0</v>
      </c>
      <c r="O786" s="425">
        <v>0</v>
      </c>
    </row>
    <row r="787" spans="3:15" hidden="1" x14ac:dyDescent="0.3">
      <c r="C787" t="s">
        <v>2295</v>
      </c>
      <c r="D787" t="s">
        <v>2267</v>
      </c>
      <c r="E787" t="s">
        <v>3791</v>
      </c>
      <c r="F787" t="s">
        <v>3792</v>
      </c>
      <c r="G787" s="425">
        <v>0</v>
      </c>
      <c r="H787" s="425">
        <v>0</v>
      </c>
      <c r="I787" s="425">
        <v>0</v>
      </c>
      <c r="J787" s="425">
        <v>0</v>
      </c>
      <c r="K787" s="425">
        <v>0</v>
      </c>
      <c r="L787" s="425">
        <v>0</v>
      </c>
      <c r="M787" s="425">
        <v>0</v>
      </c>
      <c r="N787" s="425">
        <v>0</v>
      </c>
      <c r="O787" s="425">
        <v>0</v>
      </c>
    </row>
    <row r="788" spans="3:15" hidden="1" x14ac:dyDescent="0.3">
      <c r="C788" t="s">
        <v>2295</v>
      </c>
      <c r="D788" t="s">
        <v>2267</v>
      </c>
      <c r="E788" t="s">
        <v>3793</v>
      </c>
      <c r="F788" t="s">
        <v>3794</v>
      </c>
      <c r="G788" s="425">
        <v>0</v>
      </c>
      <c r="H788" s="425">
        <v>0</v>
      </c>
      <c r="I788" s="425">
        <v>0</v>
      </c>
      <c r="J788" s="425">
        <v>0</v>
      </c>
      <c r="K788" s="425">
        <v>0</v>
      </c>
      <c r="L788" s="425">
        <v>0</v>
      </c>
      <c r="M788" s="425">
        <v>0</v>
      </c>
      <c r="N788" s="425">
        <v>0</v>
      </c>
      <c r="O788" s="425">
        <v>0</v>
      </c>
    </row>
    <row r="789" spans="3:15" hidden="1" x14ac:dyDescent="0.3">
      <c r="C789" t="s">
        <v>2295</v>
      </c>
      <c r="D789" t="s">
        <v>2267</v>
      </c>
      <c r="E789" t="s">
        <v>3795</v>
      </c>
      <c r="F789" t="s">
        <v>3796</v>
      </c>
      <c r="G789" s="425">
        <v>0</v>
      </c>
      <c r="H789" s="425">
        <v>0</v>
      </c>
      <c r="I789" s="425">
        <v>0</v>
      </c>
      <c r="J789" s="425">
        <v>0</v>
      </c>
      <c r="K789" s="425">
        <v>0</v>
      </c>
      <c r="L789" s="425">
        <v>0</v>
      </c>
      <c r="M789" s="425">
        <v>0</v>
      </c>
      <c r="N789" s="425">
        <v>0</v>
      </c>
      <c r="O789" s="425">
        <v>0</v>
      </c>
    </row>
    <row r="790" spans="3:15" hidden="1" x14ac:dyDescent="0.3">
      <c r="C790" t="s">
        <v>2295</v>
      </c>
      <c r="D790" t="s">
        <v>2267</v>
      </c>
      <c r="E790" t="s">
        <v>3797</v>
      </c>
      <c r="F790" t="s">
        <v>3798</v>
      </c>
      <c r="G790" s="425">
        <v>0</v>
      </c>
      <c r="H790" s="425">
        <v>0</v>
      </c>
      <c r="I790" s="425">
        <v>0</v>
      </c>
      <c r="J790" s="425">
        <v>0</v>
      </c>
      <c r="K790" s="425">
        <v>0</v>
      </c>
      <c r="L790" s="425">
        <v>0</v>
      </c>
      <c r="M790" s="425">
        <v>0</v>
      </c>
      <c r="N790" s="425">
        <v>0</v>
      </c>
      <c r="O790" s="425">
        <v>0</v>
      </c>
    </row>
    <row r="791" spans="3:15" hidden="1" x14ac:dyDescent="0.3">
      <c r="C791" t="s">
        <v>2295</v>
      </c>
      <c r="D791" t="s">
        <v>2267</v>
      </c>
      <c r="E791" t="s">
        <v>3799</v>
      </c>
      <c r="F791" t="s">
        <v>3800</v>
      </c>
      <c r="G791" s="425">
        <v>0</v>
      </c>
      <c r="H791" s="425">
        <v>0</v>
      </c>
      <c r="I791" s="425">
        <v>0</v>
      </c>
      <c r="J791" s="425">
        <v>0</v>
      </c>
      <c r="K791" s="425">
        <v>0</v>
      </c>
      <c r="L791" s="425">
        <v>0</v>
      </c>
      <c r="M791" s="425">
        <v>0</v>
      </c>
      <c r="N791" s="425">
        <v>0</v>
      </c>
      <c r="O791" s="425">
        <v>0</v>
      </c>
    </row>
    <row r="792" spans="3:15" hidden="1" x14ac:dyDescent="0.3">
      <c r="C792" t="s">
        <v>2295</v>
      </c>
      <c r="D792" t="s">
        <v>2267</v>
      </c>
      <c r="E792" t="s">
        <v>3801</v>
      </c>
      <c r="F792" t="s">
        <v>3802</v>
      </c>
      <c r="G792" s="425">
        <v>0</v>
      </c>
      <c r="H792" s="425">
        <v>0</v>
      </c>
      <c r="I792" s="425">
        <v>0</v>
      </c>
      <c r="J792" s="425">
        <v>0</v>
      </c>
      <c r="K792" s="425">
        <v>0</v>
      </c>
      <c r="L792" s="425">
        <v>0</v>
      </c>
      <c r="M792" s="425">
        <v>0</v>
      </c>
      <c r="N792" s="425">
        <v>0</v>
      </c>
      <c r="O792" s="425">
        <v>0</v>
      </c>
    </row>
    <row r="793" spans="3:15" hidden="1" x14ac:dyDescent="0.3">
      <c r="C793" t="s">
        <v>2295</v>
      </c>
      <c r="D793" t="s">
        <v>2267</v>
      </c>
      <c r="E793" t="s">
        <v>3803</v>
      </c>
      <c r="F793" t="s">
        <v>3804</v>
      </c>
      <c r="G793" s="425">
        <v>0</v>
      </c>
      <c r="H793" s="425">
        <v>0</v>
      </c>
      <c r="I793" s="425">
        <v>0</v>
      </c>
      <c r="J793" s="425">
        <v>0</v>
      </c>
      <c r="K793" s="425">
        <v>0</v>
      </c>
      <c r="L793" s="425">
        <v>0</v>
      </c>
      <c r="M793" s="425">
        <v>0</v>
      </c>
      <c r="N793" s="425">
        <v>0</v>
      </c>
      <c r="O793" s="425">
        <v>0</v>
      </c>
    </row>
    <row r="794" spans="3:15" hidden="1" x14ac:dyDescent="0.3">
      <c r="C794" t="s">
        <v>2295</v>
      </c>
      <c r="D794" t="s">
        <v>2267</v>
      </c>
      <c r="E794" t="s">
        <v>3805</v>
      </c>
      <c r="F794" t="s">
        <v>3806</v>
      </c>
      <c r="G794" s="425">
        <v>0</v>
      </c>
      <c r="H794" s="425">
        <v>0</v>
      </c>
      <c r="I794" s="425">
        <v>0</v>
      </c>
      <c r="J794" s="425">
        <v>0</v>
      </c>
      <c r="K794" s="425">
        <v>0</v>
      </c>
      <c r="L794" s="425">
        <v>0</v>
      </c>
      <c r="M794" s="425">
        <v>0</v>
      </c>
      <c r="N794" s="425">
        <v>0</v>
      </c>
      <c r="O794" s="425">
        <v>0</v>
      </c>
    </row>
    <row r="795" spans="3:15" hidden="1" x14ac:dyDescent="0.3">
      <c r="C795" t="s">
        <v>2295</v>
      </c>
      <c r="D795" t="s">
        <v>2267</v>
      </c>
      <c r="E795" t="s">
        <v>3807</v>
      </c>
      <c r="F795" t="s">
        <v>3808</v>
      </c>
      <c r="G795" s="425">
        <v>0</v>
      </c>
      <c r="H795" s="425">
        <v>0</v>
      </c>
      <c r="I795" s="425">
        <v>0</v>
      </c>
      <c r="J795" s="425">
        <v>0</v>
      </c>
      <c r="K795" s="425">
        <v>0</v>
      </c>
      <c r="L795" s="425">
        <v>0</v>
      </c>
      <c r="M795" s="425">
        <v>0</v>
      </c>
      <c r="N795" s="425">
        <v>0</v>
      </c>
      <c r="O795" s="425">
        <v>0</v>
      </c>
    </row>
    <row r="796" spans="3:15" hidden="1" x14ac:dyDescent="0.3">
      <c r="C796" t="s">
        <v>2295</v>
      </c>
      <c r="D796" t="s">
        <v>2267</v>
      </c>
      <c r="E796" t="s">
        <v>3809</v>
      </c>
      <c r="F796" t="s">
        <v>3810</v>
      </c>
      <c r="G796" s="425">
        <v>0</v>
      </c>
      <c r="H796" s="425">
        <v>0</v>
      </c>
      <c r="I796" s="425">
        <v>0</v>
      </c>
      <c r="J796" s="425">
        <v>0</v>
      </c>
      <c r="K796" s="425">
        <v>0</v>
      </c>
      <c r="L796" s="425">
        <v>0</v>
      </c>
      <c r="M796" s="425">
        <v>0</v>
      </c>
      <c r="N796" s="425">
        <v>0</v>
      </c>
      <c r="O796" s="425">
        <v>0</v>
      </c>
    </row>
    <row r="797" spans="3:15" hidden="1" x14ac:dyDescent="0.3">
      <c r="C797" t="s">
        <v>2295</v>
      </c>
      <c r="D797" t="s">
        <v>2267</v>
      </c>
      <c r="E797" t="s">
        <v>3811</v>
      </c>
      <c r="F797" t="s">
        <v>3812</v>
      </c>
      <c r="G797" s="425">
        <v>0</v>
      </c>
      <c r="H797" s="425">
        <v>0</v>
      </c>
      <c r="I797" s="425">
        <v>0</v>
      </c>
      <c r="J797" s="425">
        <v>0</v>
      </c>
      <c r="K797" s="425">
        <v>0</v>
      </c>
      <c r="L797" s="425">
        <v>0</v>
      </c>
      <c r="M797" s="425">
        <v>0</v>
      </c>
      <c r="N797" s="425">
        <v>0</v>
      </c>
      <c r="O797" s="425">
        <v>0</v>
      </c>
    </row>
    <row r="798" spans="3:15" hidden="1" x14ac:dyDescent="0.3">
      <c r="C798" t="s">
        <v>2295</v>
      </c>
      <c r="D798" t="s">
        <v>2267</v>
      </c>
      <c r="E798" t="s">
        <v>3813</v>
      </c>
      <c r="F798" t="s">
        <v>3814</v>
      </c>
      <c r="G798" s="425">
        <v>0</v>
      </c>
      <c r="H798" s="425">
        <v>0</v>
      </c>
      <c r="I798" s="425">
        <v>0</v>
      </c>
      <c r="J798" s="425">
        <v>0</v>
      </c>
      <c r="K798" s="425">
        <v>0</v>
      </c>
      <c r="L798" s="425">
        <v>0</v>
      </c>
      <c r="M798" s="425">
        <v>0</v>
      </c>
      <c r="N798" s="425">
        <v>0</v>
      </c>
      <c r="O798" s="425">
        <v>0</v>
      </c>
    </row>
    <row r="799" spans="3:15" hidden="1" x14ac:dyDescent="0.3">
      <c r="C799" t="s">
        <v>2295</v>
      </c>
      <c r="D799" t="s">
        <v>2267</v>
      </c>
      <c r="E799" t="s">
        <v>3815</v>
      </c>
      <c r="F799" t="s">
        <v>3816</v>
      </c>
      <c r="G799" s="425">
        <v>0</v>
      </c>
      <c r="H799" s="425">
        <v>0</v>
      </c>
      <c r="I799" s="425">
        <v>0</v>
      </c>
      <c r="J799" s="425">
        <v>0</v>
      </c>
      <c r="K799" s="425">
        <v>0</v>
      </c>
      <c r="L799" s="425">
        <v>0</v>
      </c>
      <c r="M799" s="425">
        <v>0</v>
      </c>
      <c r="N799" s="425">
        <v>0</v>
      </c>
      <c r="O799" s="425">
        <v>0</v>
      </c>
    </row>
    <row r="800" spans="3:15" hidden="1" x14ac:dyDescent="0.3">
      <c r="C800" t="s">
        <v>2295</v>
      </c>
      <c r="D800" t="s">
        <v>2267</v>
      </c>
      <c r="E800" t="s">
        <v>3817</v>
      </c>
      <c r="F800" t="s">
        <v>3818</v>
      </c>
      <c r="G800" s="425">
        <v>0</v>
      </c>
      <c r="H800" s="425">
        <v>0</v>
      </c>
      <c r="I800" s="425">
        <v>0</v>
      </c>
      <c r="J800" s="425">
        <v>0</v>
      </c>
      <c r="K800" s="425">
        <v>0</v>
      </c>
      <c r="L800" s="425">
        <v>0</v>
      </c>
      <c r="M800" s="425">
        <v>0</v>
      </c>
      <c r="N800" s="425">
        <v>0</v>
      </c>
      <c r="O800" s="425">
        <v>0</v>
      </c>
    </row>
    <row r="801" spans="3:15" hidden="1" x14ac:dyDescent="0.3">
      <c r="C801" t="s">
        <v>2295</v>
      </c>
      <c r="D801" t="s">
        <v>2267</v>
      </c>
      <c r="E801" t="s">
        <v>3819</v>
      </c>
      <c r="F801" t="s">
        <v>3820</v>
      </c>
      <c r="G801" s="425">
        <v>0</v>
      </c>
      <c r="H801" s="425">
        <v>0</v>
      </c>
      <c r="I801" s="425">
        <v>0</v>
      </c>
      <c r="J801" s="425">
        <v>0</v>
      </c>
      <c r="K801" s="425">
        <v>0</v>
      </c>
      <c r="L801" s="425">
        <v>0</v>
      </c>
      <c r="M801" s="425">
        <v>0</v>
      </c>
      <c r="N801" s="425">
        <v>0</v>
      </c>
      <c r="O801" s="425">
        <v>0</v>
      </c>
    </row>
    <row r="802" spans="3:15" hidden="1" x14ac:dyDescent="0.3">
      <c r="C802" t="s">
        <v>2295</v>
      </c>
      <c r="D802" t="s">
        <v>2267</v>
      </c>
      <c r="E802" t="s">
        <v>3821</v>
      </c>
      <c r="F802" t="s">
        <v>3822</v>
      </c>
      <c r="G802" s="425">
        <v>0</v>
      </c>
      <c r="H802" s="425">
        <v>0</v>
      </c>
      <c r="I802" s="425">
        <v>0</v>
      </c>
      <c r="J802" s="425">
        <v>0</v>
      </c>
      <c r="K802" s="425">
        <v>0</v>
      </c>
      <c r="L802" s="425">
        <v>0</v>
      </c>
      <c r="M802" s="425">
        <v>0</v>
      </c>
      <c r="N802" s="425">
        <v>0</v>
      </c>
      <c r="O802" s="425">
        <v>0</v>
      </c>
    </row>
    <row r="803" spans="3:15" hidden="1" x14ac:dyDescent="0.3">
      <c r="C803" t="s">
        <v>2295</v>
      </c>
      <c r="D803" t="s">
        <v>2267</v>
      </c>
      <c r="E803" t="s">
        <v>3823</v>
      </c>
      <c r="F803" t="s">
        <v>3824</v>
      </c>
      <c r="G803" s="425">
        <v>0</v>
      </c>
      <c r="H803" s="425">
        <v>0</v>
      </c>
      <c r="I803" s="425">
        <v>0</v>
      </c>
      <c r="J803" s="425">
        <v>0</v>
      </c>
      <c r="K803" s="425">
        <v>0</v>
      </c>
      <c r="L803" s="425">
        <v>0</v>
      </c>
      <c r="M803" s="425">
        <v>0</v>
      </c>
      <c r="N803" s="425">
        <v>0</v>
      </c>
      <c r="O803" s="425">
        <v>0</v>
      </c>
    </row>
    <row r="804" spans="3:15" hidden="1" x14ac:dyDescent="0.3">
      <c r="C804" t="s">
        <v>2295</v>
      </c>
      <c r="D804" t="s">
        <v>2267</v>
      </c>
      <c r="E804" t="s">
        <v>3825</v>
      </c>
      <c r="F804" t="s">
        <v>3826</v>
      </c>
      <c r="G804" s="425">
        <v>0</v>
      </c>
      <c r="H804" s="425">
        <v>0</v>
      </c>
      <c r="I804" s="425">
        <v>0</v>
      </c>
      <c r="J804" s="425">
        <v>0</v>
      </c>
      <c r="K804" s="425">
        <v>0</v>
      </c>
      <c r="L804" s="425">
        <v>0</v>
      </c>
      <c r="M804" s="425">
        <v>0</v>
      </c>
      <c r="N804" s="425">
        <v>0</v>
      </c>
      <c r="O804" s="425">
        <v>0</v>
      </c>
    </row>
    <row r="805" spans="3:15" hidden="1" x14ac:dyDescent="0.3">
      <c r="C805" t="s">
        <v>2295</v>
      </c>
      <c r="D805" t="s">
        <v>2267</v>
      </c>
      <c r="E805" t="s">
        <v>3827</v>
      </c>
      <c r="F805" t="s">
        <v>3828</v>
      </c>
      <c r="G805" s="425">
        <v>0</v>
      </c>
      <c r="H805" s="425">
        <v>0</v>
      </c>
      <c r="I805" s="425">
        <v>0</v>
      </c>
      <c r="J805" s="425">
        <v>0</v>
      </c>
      <c r="K805" s="425">
        <v>0</v>
      </c>
      <c r="L805" s="425">
        <v>0</v>
      </c>
      <c r="M805" s="425">
        <v>0</v>
      </c>
      <c r="N805" s="425">
        <v>0</v>
      </c>
      <c r="O805" s="425">
        <v>0</v>
      </c>
    </row>
    <row r="806" spans="3:15" hidden="1" x14ac:dyDescent="0.3">
      <c r="C806" t="s">
        <v>2295</v>
      </c>
      <c r="D806" t="s">
        <v>2267</v>
      </c>
      <c r="E806" t="s">
        <v>3829</v>
      </c>
      <c r="F806" t="s">
        <v>3830</v>
      </c>
      <c r="G806" s="425">
        <v>0</v>
      </c>
      <c r="H806" s="425">
        <v>0</v>
      </c>
      <c r="I806" s="425">
        <v>0</v>
      </c>
      <c r="J806" s="425">
        <v>0</v>
      </c>
      <c r="K806" s="425">
        <v>0</v>
      </c>
      <c r="L806" s="425">
        <v>0</v>
      </c>
      <c r="M806" s="425">
        <v>0</v>
      </c>
      <c r="N806" s="425">
        <v>0</v>
      </c>
      <c r="O806" s="425">
        <v>0</v>
      </c>
    </row>
    <row r="807" spans="3:15" hidden="1" x14ac:dyDescent="0.3">
      <c r="C807" t="s">
        <v>2295</v>
      </c>
      <c r="D807" t="s">
        <v>2267</v>
      </c>
      <c r="E807" t="s">
        <v>3831</v>
      </c>
      <c r="F807" t="s">
        <v>3832</v>
      </c>
      <c r="G807" s="425">
        <v>0</v>
      </c>
      <c r="H807" s="425">
        <v>0</v>
      </c>
      <c r="I807" s="425">
        <v>0</v>
      </c>
      <c r="J807" s="425">
        <v>0</v>
      </c>
      <c r="K807" s="425">
        <v>0</v>
      </c>
      <c r="L807" s="425">
        <v>0</v>
      </c>
      <c r="M807" s="425">
        <v>0</v>
      </c>
      <c r="N807" s="425">
        <v>0</v>
      </c>
      <c r="O807" s="425">
        <v>0</v>
      </c>
    </row>
    <row r="808" spans="3:15" hidden="1" x14ac:dyDescent="0.3">
      <c r="C808" t="s">
        <v>2295</v>
      </c>
      <c r="D808" t="s">
        <v>2267</v>
      </c>
      <c r="E808" t="s">
        <v>3833</v>
      </c>
      <c r="F808" t="s">
        <v>3834</v>
      </c>
      <c r="G808" s="425">
        <v>0</v>
      </c>
      <c r="H808" s="425">
        <v>0</v>
      </c>
      <c r="I808" s="425">
        <v>0</v>
      </c>
      <c r="J808" s="425">
        <v>0</v>
      </c>
      <c r="K808" s="425">
        <v>0</v>
      </c>
      <c r="L808" s="425">
        <v>0</v>
      </c>
      <c r="M808" s="425">
        <v>0</v>
      </c>
      <c r="N808" s="425">
        <v>0</v>
      </c>
      <c r="O808" s="425">
        <v>0</v>
      </c>
    </row>
    <row r="809" spans="3:15" hidden="1" x14ac:dyDescent="0.3">
      <c r="C809" t="s">
        <v>2295</v>
      </c>
      <c r="D809" t="s">
        <v>2267</v>
      </c>
      <c r="E809" t="s">
        <v>3835</v>
      </c>
      <c r="F809" t="s">
        <v>3836</v>
      </c>
      <c r="G809" s="425">
        <v>0</v>
      </c>
      <c r="H809" s="425">
        <v>0</v>
      </c>
      <c r="I809" s="425">
        <v>0</v>
      </c>
      <c r="J809" s="425">
        <v>0</v>
      </c>
      <c r="K809" s="425">
        <v>0</v>
      </c>
      <c r="L809" s="425">
        <v>0</v>
      </c>
      <c r="M809" s="425">
        <v>0</v>
      </c>
      <c r="N809" s="425">
        <v>0</v>
      </c>
      <c r="O809" s="425">
        <v>0</v>
      </c>
    </row>
    <row r="810" spans="3:15" hidden="1" x14ac:dyDescent="0.3">
      <c r="C810" t="s">
        <v>2295</v>
      </c>
      <c r="D810" t="s">
        <v>2267</v>
      </c>
      <c r="E810" t="s">
        <v>3837</v>
      </c>
      <c r="F810" t="s">
        <v>3838</v>
      </c>
      <c r="G810" s="425">
        <v>0</v>
      </c>
      <c r="H810" s="425">
        <v>0</v>
      </c>
      <c r="I810" s="425">
        <v>0</v>
      </c>
      <c r="J810" s="425">
        <v>0</v>
      </c>
      <c r="K810" s="425">
        <v>0</v>
      </c>
      <c r="L810" s="425">
        <v>0</v>
      </c>
      <c r="M810" s="425">
        <v>0</v>
      </c>
      <c r="N810" s="425">
        <v>0</v>
      </c>
      <c r="O810" s="425">
        <v>0</v>
      </c>
    </row>
    <row r="811" spans="3:15" hidden="1" x14ac:dyDescent="0.3">
      <c r="C811" t="s">
        <v>2295</v>
      </c>
      <c r="D811" t="s">
        <v>2267</v>
      </c>
      <c r="E811" t="s">
        <v>3839</v>
      </c>
      <c r="F811" t="s">
        <v>3840</v>
      </c>
      <c r="G811" s="425">
        <v>0</v>
      </c>
      <c r="H811" s="425">
        <v>0</v>
      </c>
      <c r="I811" s="425">
        <v>0</v>
      </c>
      <c r="J811" s="425">
        <v>0</v>
      </c>
      <c r="K811" s="425">
        <v>0</v>
      </c>
      <c r="L811" s="425">
        <v>0</v>
      </c>
      <c r="M811" s="425">
        <v>0</v>
      </c>
      <c r="N811" s="425">
        <v>0</v>
      </c>
      <c r="O811" s="425">
        <v>0</v>
      </c>
    </row>
    <row r="812" spans="3:15" hidden="1" x14ac:dyDescent="0.3">
      <c r="C812" t="s">
        <v>2295</v>
      </c>
      <c r="D812" t="s">
        <v>2267</v>
      </c>
      <c r="E812" t="s">
        <v>3841</v>
      </c>
      <c r="F812" t="s">
        <v>3842</v>
      </c>
      <c r="G812" s="425">
        <v>0</v>
      </c>
      <c r="H812" s="425">
        <v>0</v>
      </c>
      <c r="I812" s="425">
        <v>0</v>
      </c>
      <c r="J812" s="425">
        <v>0</v>
      </c>
      <c r="K812" s="425">
        <v>0</v>
      </c>
      <c r="L812" s="425">
        <v>0</v>
      </c>
      <c r="M812" s="425">
        <v>0</v>
      </c>
      <c r="N812" s="425">
        <v>0</v>
      </c>
      <c r="O812" s="425">
        <v>0</v>
      </c>
    </row>
    <row r="813" spans="3:15" hidden="1" x14ac:dyDescent="0.3">
      <c r="C813" t="s">
        <v>2295</v>
      </c>
      <c r="D813" t="s">
        <v>2267</v>
      </c>
      <c r="E813" t="s">
        <v>3843</v>
      </c>
      <c r="F813" t="s">
        <v>3844</v>
      </c>
      <c r="G813" s="425">
        <v>0</v>
      </c>
      <c r="H813" s="425">
        <v>0</v>
      </c>
      <c r="I813" s="425">
        <v>0</v>
      </c>
      <c r="J813" s="425">
        <v>0</v>
      </c>
      <c r="K813" s="425">
        <v>0</v>
      </c>
      <c r="L813" s="425">
        <v>0</v>
      </c>
      <c r="M813" s="425">
        <v>0</v>
      </c>
      <c r="N813" s="425">
        <v>0</v>
      </c>
      <c r="O813" s="425">
        <v>0</v>
      </c>
    </row>
    <row r="814" spans="3:15" hidden="1" x14ac:dyDescent="0.3">
      <c r="C814" t="s">
        <v>2295</v>
      </c>
      <c r="D814" t="s">
        <v>2267</v>
      </c>
      <c r="E814" t="s">
        <v>3845</v>
      </c>
      <c r="F814" t="s">
        <v>3846</v>
      </c>
      <c r="G814" s="425">
        <v>0</v>
      </c>
      <c r="H814" s="425">
        <v>0</v>
      </c>
      <c r="I814" s="425">
        <v>0</v>
      </c>
      <c r="J814" s="425">
        <v>0</v>
      </c>
      <c r="K814" s="425">
        <v>0</v>
      </c>
      <c r="L814" s="425">
        <v>0</v>
      </c>
      <c r="M814" s="425">
        <v>0</v>
      </c>
      <c r="N814" s="425">
        <v>0</v>
      </c>
      <c r="O814" s="425">
        <v>0</v>
      </c>
    </row>
    <row r="815" spans="3:15" hidden="1" x14ac:dyDescent="0.3">
      <c r="C815" t="s">
        <v>2295</v>
      </c>
      <c r="D815" t="s">
        <v>2267</v>
      </c>
      <c r="E815" t="s">
        <v>3847</v>
      </c>
      <c r="F815" t="s">
        <v>3848</v>
      </c>
      <c r="G815" s="425">
        <v>0</v>
      </c>
      <c r="H815" s="425">
        <v>0</v>
      </c>
      <c r="I815" s="425">
        <v>0</v>
      </c>
      <c r="J815" s="425">
        <v>0</v>
      </c>
      <c r="K815" s="425">
        <v>0</v>
      </c>
      <c r="L815" s="425">
        <v>0</v>
      </c>
      <c r="M815" s="425">
        <v>0</v>
      </c>
      <c r="N815" s="425">
        <v>0</v>
      </c>
      <c r="O815" s="425">
        <v>0</v>
      </c>
    </row>
    <row r="816" spans="3:15" hidden="1" x14ac:dyDescent="0.3">
      <c r="C816" t="s">
        <v>2295</v>
      </c>
      <c r="D816" t="s">
        <v>2267</v>
      </c>
      <c r="E816" t="s">
        <v>3849</v>
      </c>
      <c r="F816" t="s">
        <v>3850</v>
      </c>
      <c r="G816" s="425">
        <v>0</v>
      </c>
      <c r="H816" s="425">
        <v>0</v>
      </c>
      <c r="I816" s="425">
        <v>0</v>
      </c>
      <c r="J816" s="425">
        <v>0</v>
      </c>
      <c r="K816" s="425">
        <v>0</v>
      </c>
      <c r="L816" s="425">
        <v>0</v>
      </c>
      <c r="M816" s="425">
        <v>0</v>
      </c>
      <c r="N816" s="425">
        <v>0</v>
      </c>
      <c r="O816" s="425">
        <v>0</v>
      </c>
    </row>
    <row r="817" spans="3:15" hidden="1" x14ac:dyDescent="0.3">
      <c r="C817" t="s">
        <v>2295</v>
      </c>
      <c r="D817" t="s">
        <v>2267</v>
      </c>
      <c r="E817" t="s">
        <v>3851</v>
      </c>
      <c r="F817" t="s">
        <v>3852</v>
      </c>
      <c r="G817" s="425">
        <v>0</v>
      </c>
      <c r="H817" s="425">
        <v>0</v>
      </c>
      <c r="I817" s="425">
        <v>0</v>
      </c>
      <c r="J817" s="425">
        <v>0</v>
      </c>
      <c r="K817" s="425">
        <v>0</v>
      </c>
      <c r="L817" s="425">
        <v>0</v>
      </c>
      <c r="M817" s="425">
        <v>0</v>
      </c>
      <c r="N817" s="425">
        <v>0</v>
      </c>
      <c r="O817" s="425">
        <v>0</v>
      </c>
    </row>
    <row r="818" spans="3:15" hidden="1" x14ac:dyDescent="0.3">
      <c r="C818" t="s">
        <v>2295</v>
      </c>
      <c r="D818" t="s">
        <v>2267</v>
      </c>
      <c r="E818" t="s">
        <v>3853</v>
      </c>
      <c r="F818" t="s">
        <v>3854</v>
      </c>
      <c r="G818" s="425">
        <v>0</v>
      </c>
      <c r="H818" s="425">
        <v>0</v>
      </c>
      <c r="I818" s="425">
        <v>0</v>
      </c>
      <c r="J818" s="425">
        <v>0</v>
      </c>
      <c r="K818" s="425">
        <v>0</v>
      </c>
      <c r="L818" s="425">
        <v>0</v>
      </c>
      <c r="M818" s="425">
        <v>0</v>
      </c>
      <c r="N818" s="425">
        <v>0</v>
      </c>
      <c r="O818" s="425">
        <v>0</v>
      </c>
    </row>
    <row r="819" spans="3:15" hidden="1" x14ac:dyDescent="0.3">
      <c r="C819" t="s">
        <v>2295</v>
      </c>
      <c r="D819" t="s">
        <v>2267</v>
      </c>
      <c r="E819" t="s">
        <v>3855</v>
      </c>
      <c r="F819" t="s">
        <v>3856</v>
      </c>
      <c r="G819" s="425">
        <v>0</v>
      </c>
      <c r="H819" s="425">
        <v>0</v>
      </c>
      <c r="I819" s="425">
        <v>0</v>
      </c>
      <c r="J819" s="425">
        <v>0</v>
      </c>
      <c r="K819" s="425">
        <v>0</v>
      </c>
      <c r="L819" s="425">
        <v>0</v>
      </c>
      <c r="M819" s="425">
        <v>0</v>
      </c>
      <c r="N819" s="425">
        <v>0</v>
      </c>
      <c r="O819" s="425">
        <v>0</v>
      </c>
    </row>
    <row r="820" spans="3:15" hidden="1" x14ac:dyDescent="0.3">
      <c r="C820" t="s">
        <v>2295</v>
      </c>
      <c r="D820" t="s">
        <v>2267</v>
      </c>
      <c r="E820" t="s">
        <v>3857</v>
      </c>
      <c r="F820" t="s">
        <v>3858</v>
      </c>
      <c r="G820" s="425">
        <v>0</v>
      </c>
      <c r="H820" s="425">
        <v>0</v>
      </c>
      <c r="I820" s="425">
        <v>0</v>
      </c>
      <c r="J820" s="425">
        <v>0</v>
      </c>
      <c r="K820" s="425">
        <v>0</v>
      </c>
      <c r="L820" s="425">
        <v>0</v>
      </c>
      <c r="M820" s="425">
        <v>0</v>
      </c>
      <c r="N820" s="425">
        <v>0</v>
      </c>
      <c r="O820" s="425">
        <v>0</v>
      </c>
    </row>
    <row r="821" spans="3:15" hidden="1" x14ac:dyDescent="0.3">
      <c r="C821" t="s">
        <v>2295</v>
      </c>
      <c r="D821" t="s">
        <v>2267</v>
      </c>
      <c r="E821" t="s">
        <v>3859</v>
      </c>
      <c r="F821" t="s">
        <v>3860</v>
      </c>
      <c r="G821" s="425">
        <v>0</v>
      </c>
      <c r="H821" s="425">
        <v>0</v>
      </c>
      <c r="I821" s="425">
        <v>0</v>
      </c>
      <c r="J821" s="425">
        <v>0</v>
      </c>
      <c r="K821" s="425">
        <v>0</v>
      </c>
      <c r="L821" s="425">
        <v>0</v>
      </c>
      <c r="M821" s="425">
        <v>0</v>
      </c>
      <c r="N821" s="425">
        <v>0</v>
      </c>
      <c r="O821" s="425">
        <v>0</v>
      </c>
    </row>
    <row r="822" spans="3:15" hidden="1" x14ac:dyDescent="0.3">
      <c r="C822" t="s">
        <v>2295</v>
      </c>
      <c r="D822" t="s">
        <v>2267</v>
      </c>
      <c r="E822" t="s">
        <v>3861</v>
      </c>
      <c r="F822" t="s">
        <v>3862</v>
      </c>
      <c r="G822" s="425">
        <v>0</v>
      </c>
      <c r="H822" s="425">
        <v>0</v>
      </c>
      <c r="I822" s="425">
        <v>0</v>
      </c>
      <c r="J822" s="425">
        <v>0</v>
      </c>
      <c r="K822" s="425">
        <v>0</v>
      </c>
      <c r="L822" s="425">
        <v>0</v>
      </c>
      <c r="M822" s="425">
        <v>0</v>
      </c>
      <c r="N822" s="425">
        <v>0</v>
      </c>
      <c r="O822" s="425">
        <v>0</v>
      </c>
    </row>
    <row r="823" spans="3:15" hidden="1" x14ac:dyDescent="0.3">
      <c r="C823" t="s">
        <v>2295</v>
      </c>
      <c r="D823" t="s">
        <v>2267</v>
      </c>
      <c r="E823" t="s">
        <v>3863</v>
      </c>
      <c r="F823" t="s">
        <v>3864</v>
      </c>
      <c r="G823" s="425">
        <v>0</v>
      </c>
      <c r="H823" s="425">
        <v>0</v>
      </c>
      <c r="I823" s="425">
        <v>0</v>
      </c>
      <c r="J823" s="425">
        <v>0</v>
      </c>
      <c r="K823" s="425">
        <v>0</v>
      </c>
      <c r="L823" s="425">
        <v>0</v>
      </c>
      <c r="M823" s="425">
        <v>0</v>
      </c>
      <c r="N823" s="425">
        <v>0</v>
      </c>
      <c r="O823" s="425">
        <v>0</v>
      </c>
    </row>
    <row r="824" spans="3:15" hidden="1" x14ac:dyDescent="0.3">
      <c r="C824" t="s">
        <v>2295</v>
      </c>
      <c r="D824" t="s">
        <v>2267</v>
      </c>
      <c r="E824" t="s">
        <v>3865</v>
      </c>
      <c r="F824" t="s">
        <v>3866</v>
      </c>
      <c r="G824" s="425">
        <v>0</v>
      </c>
      <c r="H824" s="425">
        <v>0</v>
      </c>
      <c r="I824" s="425">
        <v>0</v>
      </c>
      <c r="J824" s="425">
        <v>0</v>
      </c>
      <c r="K824" s="425">
        <v>0</v>
      </c>
      <c r="L824" s="425">
        <v>0</v>
      </c>
      <c r="M824" s="425">
        <v>0</v>
      </c>
      <c r="N824" s="425">
        <v>0</v>
      </c>
      <c r="O824" s="425">
        <v>0</v>
      </c>
    </row>
    <row r="825" spans="3:15" hidden="1" x14ac:dyDescent="0.3">
      <c r="C825" t="s">
        <v>2295</v>
      </c>
      <c r="D825" t="s">
        <v>2267</v>
      </c>
      <c r="E825" t="s">
        <v>3867</v>
      </c>
      <c r="F825" t="s">
        <v>3868</v>
      </c>
      <c r="G825" s="425">
        <v>0</v>
      </c>
      <c r="H825" s="425">
        <v>0</v>
      </c>
      <c r="I825" s="425">
        <v>0</v>
      </c>
      <c r="J825" s="425">
        <v>0</v>
      </c>
      <c r="K825" s="425">
        <v>0</v>
      </c>
      <c r="L825" s="425">
        <v>0</v>
      </c>
      <c r="M825" s="425">
        <v>0</v>
      </c>
      <c r="N825" s="425">
        <v>0</v>
      </c>
      <c r="O825" s="425">
        <v>0</v>
      </c>
    </row>
    <row r="826" spans="3:15" hidden="1" x14ac:dyDescent="0.3">
      <c r="C826" t="s">
        <v>2295</v>
      </c>
      <c r="D826" t="s">
        <v>2267</v>
      </c>
      <c r="E826" t="s">
        <v>3869</v>
      </c>
      <c r="F826" t="s">
        <v>3870</v>
      </c>
      <c r="G826" s="425">
        <v>0</v>
      </c>
      <c r="H826" s="425">
        <v>0</v>
      </c>
      <c r="I826" s="425">
        <v>0</v>
      </c>
      <c r="J826" s="425">
        <v>0</v>
      </c>
      <c r="K826" s="425">
        <v>0</v>
      </c>
      <c r="L826" s="425">
        <v>0</v>
      </c>
      <c r="M826" s="425">
        <v>0</v>
      </c>
      <c r="N826" s="425">
        <v>0</v>
      </c>
      <c r="O826" s="425">
        <v>0</v>
      </c>
    </row>
    <row r="827" spans="3:15" hidden="1" x14ac:dyDescent="0.3">
      <c r="C827" t="s">
        <v>2295</v>
      </c>
      <c r="D827" t="s">
        <v>2267</v>
      </c>
      <c r="E827" t="s">
        <v>3871</v>
      </c>
      <c r="F827" t="s">
        <v>3872</v>
      </c>
      <c r="G827" s="425">
        <v>0</v>
      </c>
      <c r="H827" s="425">
        <v>0</v>
      </c>
      <c r="I827" s="425">
        <v>0</v>
      </c>
      <c r="J827" s="425">
        <v>0</v>
      </c>
      <c r="K827" s="425">
        <v>0</v>
      </c>
      <c r="L827" s="425">
        <v>0</v>
      </c>
      <c r="M827" s="425">
        <v>0</v>
      </c>
      <c r="N827" s="425">
        <v>0</v>
      </c>
      <c r="O827" s="425">
        <v>0</v>
      </c>
    </row>
    <row r="828" spans="3:15" hidden="1" x14ac:dyDescent="0.3">
      <c r="C828" t="s">
        <v>2295</v>
      </c>
      <c r="D828" t="s">
        <v>2267</v>
      </c>
      <c r="E828" t="s">
        <v>3873</v>
      </c>
      <c r="F828" t="s">
        <v>3874</v>
      </c>
      <c r="G828" s="425">
        <v>0</v>
      </c>
      <c r="H828" s="425">
        <v>0</v>
      </c>
      <c r="I828" s="425">
        <v>0</v>
      </c>
      <c r="J828" s="425">
        <v>0</v>
      </c>
      <c r="K828" s="425">
        <v>0</v>
      </c>
      <c r="L828" s="425">
        <v>0</v>
      </c>
      <c r="M828" s="425">
        <v>0</v>
      </c>
      <c r="N828" s="425">
        <v>0</v>
      </c>
      <c r="O828" s="425">
        <v>0</v>
      </c>
    </row>
    <row r="829" spans="3:15" hidden="1" x14ac:dyDescent="0.3">
      <c r="C829" t="s">
        <v>2295</v>
      </c>
      <c r="D829" t="s">
        <v>2267</v>
      </c>
      <c r="E829" t="s">
        <v>3875</v>
      </c>
      <c r="F829" t="s">
        <v>3876</v>
      </c>
      <c r="G829" s="425">
        <v>0</v>
      </c>
      <c r="H829" s="425">
        <v>0</v>
      </c>
      <c r="I829" s="425">
        <v>0</v>
      </c>
      <c r="J829" s="425">
        <v>0</v>
      </c>
      <c r="K829" s="425">
        <v>0</v>
      </c>
      <c r="L829" s="425">
        <v>0</v>
      </c>
      <c r="M829" s="425">
        <v>0</v>
      </c>
      <c r="N829" s="425">
        <v>0</v>
      </c>
      <c r="O829" s="425">
        <v>0</v>
      </c>
    </row>
    <row r="830" spans="3:15" hidden="1" x14ac:dyDescent="0.3">
      <c r="C830" t="s">
        <v>2295</v>
      </c>
      <c r="D830" t="s">
        <v>2267</v>
      </c>
      <c r="E830" t="s">
        <v>3877</v>
      </c>
      <c r="F830" t="s">
        <v>3878</v>
      </c>
      <c r="G830" s="425">
        <v>0</v>
      </c>
      <c r="H830" s="425">
        <v>0</v>
      </c>
      <c r="I830" s="425">
        <v>0</v>
      </c>
      <c r="J830" s="425">
        <v>0</v>
      </c>
      <c r="K830" s="425">
        <v>0</v>
      </c>
      <c r="L830" s="425">
        <v>0</v>
      </c>
      <c r="M830" s="425">
        <v>0</v>
      </c>
      <c r="N830" s="425">
        <v>0</v>
      </c>
      <c r="O830" s="425">
        <v>0</v>
      </c>
    </row>
    <row r="831" spans="3:15" hidden="1" x14ac:dyDescent="0.3">
      <c r="C831" t="s">
        <v>2295</v>
      </c>
      <c r="D831" t="s">
        <v>2267</v>
      </c>
      <c r="E831" t="s">
        <v>3879</v>
      </c>
      <c r="F831" t="s">
        <v>3880</v>
      </c>
      <c r="G831" s="425">
        <v>0</v>
      </c>
      <c r="H831" s="425">
        <v>0</v>
      </c>
      <c r="I831" s="425">
        <v>0</v>
      </c>
      <c r="J831" s="425">
        <v>0</v>
      </c>
      <c r="K831" s="425">
        <v>0</v>
      </c>
      <c r="L831" s="425">
        <v>0</v>
      </c>
      <c r="M831" s="425">
        <v>0</v>
      </c>
      <c r="N831" s="425">
        <v>0</v>
      </c>
      <c r="O831" s="425">
        <v>0</v>
      </c>
    </row>
    <row r="832" spans="3:15" hidden="1" x14ac:dyDescent="0.3">
      <c r="C832" t="s">
        <v>2295</v>
      </c>
      <c r="D832" t="s">
        <v>2267</v>
      </c>
      <c r="E832" t="s">
        <v>3881</v>
      </c>
      <c r="F832" t="s">
        <v>3882</v>
      </c>
      <c r="G832" s="425">
        <v>0</v>
      </c>
      <c r="H832" s="425">
        <v>0</v>
      </c>
      <c r="I832" s="425">
        <v>0</v>
      </c>
      <c r="J832" s="425">
        <v>0</v>
      </c>
      <c r="K832" s="425">
        <v>0</v>
      </c>
      <c r="L832" s="425">
        <v>0</v>
      </c>
      <c r="M832" s="425">
        <v>0</v>
      </c>
      <c r="N832" s="425">
        <v>0</v>
      </c>
      <c r="O832" s="425">
        <v>0</v>
      </c>
    </row>
    <row r="833" spans="3:15" hidden="1" x14ac:dyDescent="0.3">
      <c r="C833" t="s">
        <v>2295</v>
      </c>
      <c r="D833" t="s">
        <v>2267</v>
      </c>
      <c r="E833" t="s">
        <v>3883</v>
      </c>
      <c r="F833" t="s">
        <v>3884</v>
      </c>
      <c r="G833" s="425">
        <v>0</v>
      </c>
      <c r="H833" s="425">
        <v>0</v>
      </c>
      <c r="I833" s="425">
        <v>0</v>
      </c>
      <c r="J833" s="425">
        <v>0</v>
      </c>
      <c r="K833" s="425">
        <v>0</v>
      </c>
      <c r="L833" s="425">
        <v>0</v>
      </c>
      <c r="M833" s="425">
        <v>0</v>
      </c>
      <c r="N833" s="425">
        <v>0</v>
      </c>
      <c r="O833" s="425">
        <v>0</v>
      </c>
    </row>
    <row r="834" spans="3:15" hidden="1" x14ac:dyDescent="0.3">
      <c r="C834" t="s">
        <v>2295</v>
      </c>
      <c r="D834" t="s">
        <v>2267</v>
      </c>
      <c r="E834" t="s">
        <v>3885</v>
      </c>
      <c r="F834" t="s">
        <v>3886</v>
      </c>
      <c r="G834" s="425">
        <v>0</v>
      </c>
      <c r="H834" s="425">
        <v>0</v>
      </c>
      <c r="I834" s="425">
        <v>0</v>
      </c>
      <c r="J834" s="425">
        <v>0</v>
      </c>
      <c r="K834" s="425">
        <v>0</v>
      </c>
      <c r="L834" s="425">
        <v>0</v>
      </c>
      <c r="M834" s="425">
        <v>0</v>
      </c>
      <c r="N834" s="425">
        <v>0</v>
      </c>
      <c r="O834" s="425">
        <v>0</v>
      </c>
    </row>
    <row r="835" spans="3:15" hidden="1" x14ac:dyDescent="0.3">
      <c r="C835" t="s">
        <v>2295</v>
      </c>
      <c r="D835" t="s">
        <v>2267</v>
      </c>
      <c r="E835" t="s">
        <v>3887</v>
      </c>
      <c r="F835" t="s">
        <v>3888</v>
      </c>
      <c r="G835" s="425">
        <v>0</v>
      </c>
      <c r="H835" s="425">
        <v>0</v>
      </c>
      <c r="I835" s="425">
        <v>0</v>
      </c>
      <c r="J835" s="425">
        <v>0</v>
      </c>
      <c r="K835" s="425">
        <v>0</v>
      </c>
      <c r="L835" s="425">
        <v>0</v>
      </c>
      <c r="M835" s="425">
        <v>0</v>
      </c>
      <c r="N835" s="425">
        <v>0</v>
      </c>
      <c r="O835" s="425">
        <v>0</v>
      </c>
    </row>
    <row r="836" spans="3:15" hidden="1" x14ac:dyDescent="0.3">
      <c r="C836" t="s">
        <v>2295</v>
      </c>
      <c r="D836" t="s">
        <v>2267</v>
      </c>
      <c r="E836" t="s">
        <v>3889</v>
      </c>
      <c r="F836" t="s">
        <v>3890</v>
      </c>
      <c r="G836" s="425">
        <v>0</v>
      </c>
      <c r="H836" s="425">
        <v>0</v>
      </c>
      <c r="I836" s="425">
        <v>0</v>
      </c>
      <c r="J836" s="425">
        <v>0</v>
      </c>
      <c r="K836" s="425">
        <v>0</v>
      </c>
      <c r="L836" s="425">
        <v>0</v>
      </c>
      <c r="M836" s="425">
        <v>0</v>
      </c>
      <c r="N836" s="425">
        <v>0</v>
      </c>
      <c r="O836" s="425">
        <v>0</v>
      </c>
    </row>
    <row r="837" spans="3:15" hidden="1" x14ac:dyDescent="0.3">
      <c r="C837" t="s">
        <v>2295</v>
      </c>
      <c r="D837" t="s">
        <v>2267</v>
      </c>
      <c r="E837" t="s">
        <v>3891</v>
      </c>
      <c r="F837" t="s">
        <v>3892</v>
      </c>
      <c r="G837" s="425">
        <v>0</v>
      </c>
      <c r="H837" s="425">
        <v>0</v>
      </c>
      <c r="I837" s="425">
        <v>0</v>
      </c>
      <c r="J837" s="425">
        <v>0</v>
      </c>
      <c r="K837" s="425">
        <v>0</v>
      </c>
      <c r="L837" s="425">
        <v>0</v>
      </c>
      <c r="M837" s="425">
        <v>0</v>
      </c>
      <c r="N837" s="425">
        <v>0</v>
      </c>
      <c r="O837" s="425">
        <v>0</v>
      </c>
    </row>
    <row r="838" spans="3:15" hidden="1" x14ac:dyDescent="0.3">
      <c r="C838" t="s">
        <v>2295</v>
      </c>
      <c r="D838" t="s">
        <v>2267</v>
      </c>
      <c r="E838" t="s">
        <v>3893</v>
      </c>
      <c r="F838" t="s">
        <v>3894</v>
      </c>
      <c r="G838" s="425">
        <v>0</v>
      </c>
      <c r="H838" s="425">
        <v>0</v>
      </c>
      <c r="I838" s="425">
        <v>0</v>
      </c>
      <c r="J838" s="425">
        <v>0</v>
      </c>
      <c r="K838" s="425">
        <v>0</v>
      </c>
      <c r="L838" s="425">
        <v>0</v>
      </c>
      <c r="M838" s="425">
        <v>0</v>
      </c>
      <c r="N838" s="425">
        <v>0</v>
      </c>
      <c r="O838" s="425">
        <v>0</v>
      </c>
    </row>
    <row r="839" spans="3:15" hidden="1" x14ac:dyDescent="0.3">
      <c r="C839" t="s">
        <v>2295</v>
      </c>
      <c r="D839" t="s">
        <v>2267</v>
      </c>
      <c r="E839" t="s">
        <v>3895</v>
      </c>
      <c r="F839" t="s">
        <v>3896</v>
      </c>
      <c r="G839" s="425">
        <v>0</v>
      </c>
      <c r="H839" s="425">
        <v>0</v>
      </c>
      <c r="I839" s="425">
        <v>0</v>
      </c>
      <c r="J839" s="425">
        <v>0</v>
      </c>
      <c r="K839" s="425">
        <v>0</v>
      </c>
      <c r="L839" s="425">
        <v>0</v>
      </c>
      <c r="M839" s="425">
        <v>0</v>
      </c>
      <c r="N839" s="425">
        <v>0</v>
      </c>
      <c r="O839" s="425">
        <v>0</v>
      </c>
    </row>
    <row r="840" spans="3:15" hidden="1" x14ac:dyDescent="0.3">
      <c r="C840" t="s">
        <v>2295</v>
      </c>
      <c r="D840" t="s">
        <v>2267</v>
      </c>
      <c r="E840" t="s">
        <v>3897</v>
      </c>
      <c r="F840" t="s">
        <v>3898</v>
      </c>
      <c r="G840" s="425">
        <v>0</v>
      </c>
      <c r="H840" s="425">
        <v>0</v>
      </c>
      <c r="I840" s="425">
        <v>0</v>
      </c>
      <c r="J840" s="425">
        <v>0</v>
      </c>
      <c r="K840" s="425">
        <v>0</v>
      </c>
      <c r="L840" s="425">
        <v>0</v>
      </c>
      <c r="M840" s="425">
        <v>0</v>
      </c>
      <c r="N840" s="425">
        <v>0</v>
      </c>
      <c r="O840" s="425">
        <v>0</v>
      </c>
    </row>
    <row r="841" spans="3:15" hidden="1" x14ac:dyDescent="0.3">
      <c r="C841" t="s">
        <v>2295</v>
      </c>
      <c r="D841" t="s">
        <v>2267</v>
      </c>
      <c r="E841" t="s">
        <v>3899</v>
      </c>
      <c r="F841" t="s">
        <v>3900</v>
      </c>
      <c r="G841" s="425">
        <v>0</v>
      </c>
      <c r="H841" s="425">
        <v>0</v>
      </c>
      <c r="I841" s="425">
        <v>0</v>
      </c>
      <c r="J841" s="425">
        <v>0</v>
      </c>
      <c r="K841" s="425">
        <v>0</v>
      </c>
      <c r="L841" s="425">
        <v>0</v>
      </c>
      <c r="M841" s="425">
        <v>0</v>
      </c>
      <c r="N841" s="425">
        <v>0</v>
      </c>
      <c r="O841" s="425">
        <v>0</v>
      </c>
    </row>
    <row r="842" spans="3:15" hidden="1" x14ac:dyDescent="0.3">
      <c r="C842" t="s">
        <v>2295</v>
      </c>
      <c r="D842" t="s">
        <v>2267</v>
      </c>
      <c r="E842" t="s">
        <v>3901</v>
      </c>
      <c r="F842" t="s">
        <v>3902</v>
      </c>
      <c r="G842" s="425">
        <v>0</v>
      </c>
      <c r="H842" s="425">
        <v>0</v>
      </c>
      <c r="I842" s="425">
        <v>0</v>
      </c>
      <c r="J842" s="425">
        <v>0</v>
      </c>
      <c r="K842" s="425">
        <v>0</v>
      </c>
      <c r="L842" s="425">
        <v>0</v>
      </c>
      <c r="M842" s="425">
        <v>0</v>
      </c>
      <c r="N842" s="425">
        <v>0</v>
      </c>
      <c r="O842" s="425">
        <v>0</v>
      </c>
    </row>
    <row r="843" spans="3:15" hidden="1" x14ac:dyDescent="0.3">
      <c r="C843" t="s">
        <v>2295</v>
      </c>
      <c r="D843" t="s">
        <v>2267</v>
      </c>
      <c r="E843" t="s">
        <v>3903</v>
      </c>
      <c r="F843" t="s">
        <v>3904</v>
      </c>
      <c r="G843" s="425">
        <v>0</v>
      </c>
      <c r="H843" s="425">
        <v>0</v>
      </c>
      <c r="I843" s="425">
        <v>0</v>
      </c>
      <c r="J843" s="425">
        <v>0</v>
      </c>
      <c r="K843" s="425">
        <v>0</v>
      </c>
      <c r="L843" s="425">
        <v>0</v>
      </c>
      <c r="M843" s="425">
        <v>0</v>
      </c>
      <c r="N843" s="425">
        <v>0</v>
      </c>
      <c r="O843" s="425">
        <v>0</v>
      </c>
    </row>
    <row r="844" spans="3:15" hidden="1" x14ac:dyDescent="0.3">
      <c r="C844" t="s">
        <v>2295</v>
      </c>
      <c r="D844" t="s">
        <v>2267</v>
      </c>
      <c r="E844" t="s">
        <v>3905</v>
      </c>
      <c r="F844" t="s">
        <v>3906</v>
      </c>
      <c r="G844" s="425">
        <v>0</v>
      </c>
      <c r="H844" s="425">
        <v>0</v>
      </c>
      <c r="I844" s="425">
        <v>0</v>
      </c>
      <c r="J844" s="425">
        <v>0</v>
      </c>
      <c r="K844" s="425">
        <v>0</v>
      </c>
      <c r="L844" s="425">
        <v>0</v>
      </c>
      <c r="M844" s="425">
        <v>0</v>
      </c>
      <c r="N844" s="425">
        <v>0</v>
      </c>
      <c r="O844" s="425">
        <v>0</v>
      </c>
    </row>
    <row r="845" spans="3:15" hidden="1" x14ac:dyDescent="0.3">
      <c r="C845" t="s">
        <v>2295</v>
      </c>
      <c r="D845" t="s">
        <v>2267</v>
      </c>
      <c r="E845" t="s">
        <v>3907</v>
      </c>
      <c r="F845" t="s">
        <v>3908</v>
      </c>
      <c r="G845" s="425">
        <v>0</v>
      </c>
      <c r="H845" s="425">
        <v>0</v>
      </c>
      <c r="I845" s="425">
        <v>0</v>
      </c>
      <c r="J845" s="425">
        <v>0</v>
      </c>
      <c r="K845" s="425">
        <v>0</v>
      </c>
      <c r="L845" s="425">
        <v>0</v>
      </c>
      <c r="M845" s="425">
        <v>0</v>
      </c>
      <c r="N845" s="425">
        <v>0</v>
      </c>
      <c r="O845" s="425">
        <v>0</v>
      </c>
    </row>
    <row r="846" spans="3:15" hidden="1" x14ac:dyDescent="0.3">
      <c r="C846" t="s">
        <v>2295</v>
      </c>
      <c r="D846" t="s">
        <v>2267</v>
      </c>
      <c r="E846" t="s">
        <v>3909</v>
      </c>
      <c r="F846" t="s">
        <v>3910</v>
      </c>
      <c r="G846" s="425">
        <v>0</v>
      </c>
      <c r="H846" s="425">
        <v>0</v>
      </c>
      <c r="I846" s="425">
        <v>0</v>
      </c>
      <c r="J846" s="425">
        <v>0</v>
      </c>
      <c r="K846" s="425">
        <v>0</v>
      </c>
      <c r="L846" s="425">
        <v>0</v>
      </c>
      <c r="M846" s="425">
        <v>0</v>
      </c>
      <c r="N846" s="425">
        <v>0</v>
      </c>
      <c r="O846" s="425">
        <v>0</v>
      </c>
    </row>
    <row r="847" spans="3:15" hidden="1" x14ac:dyDescent="0.3">
      <c r="C847" t="s">
        <v>2295</v>
      </c>
      <c r="D847" t="s">
        <v>2267</v>
      </c>
      <c r="E847" t="s">
        <v>3911</v>
      </c>
      <c r="F847" t="s">
        <v>3912</v>
      </c>
      <c r="G847" s="425">
        <v>0</v>
      </c>
      <c r="H847" s="425">
        <v>0</v>
      </c>
      <c r="I847" s="425">
        <v>0</v>
      </c>
      <c r="J847" s="425">
        <v>0</v>
      </c>
      <c r="K847" s="425">
        <v>0</v>
      </c>
      <c r="L847" s="425">
        <v>0</v>
      </c>
      <c r="M847" s="425">
        <v>0</v>
      </c>
      <c r="N847" s="425">
        <v>0</v>
      </c>
      <c r="O847" s="425">
        <v>0</v>
      </c>
    </row>
    <row r="848" spans="3:15" hidden="1" x14ac:dyDescent="0.3">
      <c r="C848" t="s">
        <v>2295</v>
      </c>
      <c r="D848" t="s">
        <v>2267</v>
      </c>
      <c r="E848" t="s">
        <v>3913</v>
      </c>
      <c r="F848" t="s">
        <v>3914</v>
      </c>
      <c r="G848" s="425">
        <v>0</v>
      </c>
      <c r="H848" s="425">
        <v>0</v>
      </c>
      <c r="I848" s="425">
        <v>0</v>
      </c>
      <c r="J848" s="425">
        <v>0</v>
      </c>
      <c r="K848" s="425">
        <v>0</v>
      </c>
      <c r="L848" s="425">
        <v>0</v>
      </c>
      <c r="M848" s="425">
        <v>0</v>
      </c>
      <c r="N848" s="425">
        <v>0</v>
      </c>
      <c r="O848" s="425">
        <v>0</v>
      </c>
    </row>
    <row r="849" spans="3:15" hidden="1" x14ac:dyDescent="0.3">
      <c r="C849" t="s">
        <v>2295</v>
      </c>
      <c r="D849" t="s">
        <v>2267</v>
      </c>
      <c r="E849" t="s">
        <v>3915</v>
      </c>
      <c r="F849" t="s">
        <v>3916</v>
      </c>
      <c r="G849" s="425">
        <v>0</v>
      </c>
      <c r="H849" s="425">
        <v>0</v>
      </c>
      <c r="I849" s="425">
        <v>0</v>
      </c>
      <c r="J849" s="425">
        <v>0</v>
      </c>
      <c r="K849" s="425">
        <v>0</v>
      </c>
      <c r="L849" s="425">
        <v>0</v>
      </c>
      <c r="M849" s="425">
        <v>0</v>
      </c>
      <c r="N849" s="425">
        <v>0</v>
      </c>
      <c r="O849" s="425">
        <v>0</v>
      </c>
    </row>
    <row r="850" spans="3:15" hidden="1" x14ac:dyDescent="0.3">
      <c r="C850" t="s">
        <v>2295</v>
      </c>
      <c r="D850" t="s">
        <v>2267</v>
      </c>
      <c r="E850" t="s">
        <v>3917</v>
      </c>
      <c r="F850" t="s">
        <v>3918</v>
      </c>
      <c r="G850" s="425">
        <v>0</v>
      </c>
      <c r="H850" s="425">
        <v>0</v>
      </c>
      <c r="I850" s="425">
        <v>0</v>
      </c>
      <c r="J850" s="425">
        <v>0</v>
      </c>
      <c r="K850" s="425">
        <v>0</v>
      </c>
      <c r="L850" s="425">
        <v>0</v>
      </c>
      <c r="M850" s="425">
        <v>0</v>
      </c>
      <c r="N850" s="425">
        <v>0</v>
      </c>
      <c r="O850" s="425">
        <v>0</v>
      </c>
    </row>
    <row r="851" spans="3:15" hidden="1" x14ac:dyDescent="0.3">
      <c r="C851" t="s">
        <v>2295</v>
      </c>
      <c r="D851" t="s">
        <v>2267</v>
      </c>
      <c r="E851" t="s">
        <v>3919</v>
      </c>
      <c r="F851" t="s">
        <v>3920</v>
      </c>
      <c r="G851" s="425">
        <v>0</v>
      </c>
      <c r="H851" s="425">
        <v>0</v>
      </c>
      <c r="I851" s="425">
        <v>0</v>
      </c>
      <c r="J851" s="425">
        <v>0</v>
      </c>
      <c r="K851" s="425">
        <v>0</v>
      </c>
      <c r="L851" s="425">
        <v>0</v>
      </c>
      <c r="M851" s="425">
        <v>0</v>
      </c>
      <c r="N851" s="425">
        <v>0</v>
      </c>
      <c r="O851" s="425">
        <v>0</v>
      </c>
    </row>
    <row r="852" spans="3:15" hidden="1" x14ac:dyDescent="0.3">
      <c r="C852" t="s">
        <v>2295</v>
      </c>
      <c r="D852" t="s">
        <v>2267</v>
      </c>
      <c r="E852" t="s">
        <v>3921</v>
      </c>
      <c r="F852" t="s">
        <v>3922</v>
      </c>
      <c r="G852" s="425">
        <v>0</v>
      </c>
      <c r="H852" s="425">
        <v>0</v>
      </c>
      <c r="I852" s="425">
        <v>0</v>
      </c>
      <c r="J852" s="425">
        <v>0</v>
      </c>
      <c r="K852" s="425">
        <v>0</v>
      </c>
      <c r="L852" s="425">
        <v>0</v>
      </c>
      <c r="M852" s="425">
        <v>0</v>
      </c>
      <c r="N852" s="425">
        <v>0</v>
      </c>
      <c r="O852" s="425">
        <v>0</v>
      </c>
    </row>
    <row r="853" spans="3:15" hidden="1" x14ac:dyDescent="0.3">
      <c r="C853" t="s">
        <v>2295</v>
      </c>
      <c r="D853" t="s">
        <v>2267</v>
      </c>
      <c r="E853" t="s">
        <v>3923</v>
      </c>
      <c r="F853" t="s">
        <v>3924</v>
      </c>
      <c r="G853" s="425">
        <v>0</v>
      </c>
      <c r="H853" s="425">
        <v>0</v>
      </c>
      <c r="I853" s="425">
        <v>0</v>
      </c>
      <c r="J853" s="425">
        <v>0</v>
      </c>
      <c r="K853" s="425">
        <v>0</v>
      </c>
      <c r="L853" s="425">
        <v>0</v>
      </c>
      <c r="M853" s="425">
        <v>0</v>
      </c>
      <c r="N853" s="425">
        <v>0</v>
      </c>
      <c r="O853" s="425">
        <v>0</v>
      </c>
    </row>
    <row r="854" spans="3:15" hidden="1" x14ac:dyDescent="0.3">
      <c r="C854" t="s">
        <v>2295</v>
      </c>
      <c r="D854" t="s">
        <v>2267</v>
      </c>
      <c r="E854" t="s">
        <v>3925</v>
      </c>
      <c r="F854" t="s">
        <v>3926</v>
      </c>
      <c r="G854" s="425">
        <v>0</v>
      </c>
      <c r="H854" s="425">
        <v>0</v>
      </c>
      <c r="I854" s="425">
        <v>0</v>
      </c>
      <c r="J854" s="425">
        <v>0</v>
      </c>
      <c r="K854" s="425">
        <v>0</v>
      </c>
      <c r="L854" s="425">
        <v>0</v>
      </c>
      <c r="M854" s="425">
        <v>0</v>
      </c>
      <c r="N854" s="425">
        <v>0</v>
      </c>
      <c r="O854" s="425">
        <v>0</v>
      </c>
    </row>
    <row r="855" spans="3:15" hidden="1" x14ac:dyDescent="0.3">
      <c r="C855" t="s">
        <v>2295</v>
      </c>
      <c r="D855" t="s">
        <v>2267</v>
      </c>
      <c r="E855" t="s">
        <v>3927</v>
      </c>
      <c r="F855" t="s">
        <v>3928</v>
      </c>
      <c r="G855" s="425">
        <v>0</v>
      </c>
      <c r="H855" s="425">
        <v>0</v>
      </c>
      <c r="I855" s="425">
        <v>0</v>
      </c>
      <c r="J855" s="425">
        <v>0</v>
      </c>
      <c r="K855" s="425">
        <v>0</v>
      </c>
      <c r="L855" s="425">
        <v>0</v>
      </c>
      <c r="M855" s="425">
        <v>0</v>
      </c>
      <c r="N855" s="425">
        <v>0</v>
      </c>
      <c r="O855" s="425">
        <v>0</v>
      </c>
    </row>
    <row r="856" spans="3:15" hidden="1" x14ac:dyDescent="0.3">
      <c r="C856" t="s">
        <v>2295</v>
      </c>
      <c r="D856" t="s">
        <v>2267</v>
      </c>
      <c r="E856" t="s">
        <v>3929</v>
      </c>
      <c r="F856" t="s">
        <v>3930</v>
      </c>
      <c r="G856" s="425">
        <v>0</v>
      </c>
      <c r="H856" s="425">
        <v>0</v>
      </c>
      <c r="I856" s="425">
        <v>0</v>
      </c>
      <c r="J856" s="425">
        <v>0</v>
      </c>
      <c r="K856" s="425">
        <v>0</v>
      </c>
      <c r="L856" s="425">
        <v>0</v>
      </c>
      <c r="M856" s="425">
        <v>0</v>
      </c>
      <c r="N856" s="425">
        <v>0</v>
      </c>
      <c r="O856" s="425">
        <v>0</v>
      </c>
    </row>
    <row r="857" spans="3:15" hidden="1" x14ac:dyDescent="0.3">
      <c r="C857" t="s">
        <v>2295</v>
      </c>
      <c r="D857" t="s">
        <v>2267</v>
      </c>
      <c r="E857" t="s">
        <v>3931</v>
      </c>
      <c r="F857" t="s">
        <v>3932</v>
      </c>
      <c r="G857" s="425">
        <v>0</v>
      </c>
      <c r="H857" s="425">
        <v>0</v>
      </c>
      <c r="I857" s="425">
        <v>0</v>
      </c>
      <c r="J857" s="425">
        <v>0</v>
      </c>
      <c r="K857" s="425">
        <v>0</v>
      </c>
      <c r="L857" s="425">
        <v>0</v>
      </c>
      <c r="M857" s="425">
        <v>0</v>
      </c>
      <c r="N857" s="425">
        <v>0</v>
      </c>
      <c r="O857" s="425">
        <v>0</v>
      </c>
    </row>
    <row r="858" spans="3:15" hidden="1" x14ac:dyDescent="0.3">
      <c r="C858" t="s">
        <v>2295</v>
      </c>
      <c r="D858" t="s">
        <v>2267</v>
      </c>
      <c r="E858" t="s">
        <v>3933</v>
      </c>
      <c r="F858" t="s">
        <v>3934</v>
      </c>
      <c r="G858" s="425">
        <v>0</v>
      </c>
      <c r="H858" s="425">
        <v>0</v>
      </c>
      <c r="I858" s="425">
        <v>0</v>
      </c>
      <c r="J858" s="425">
        <v>0</v>
      </c>
      <c r="K858" s="425">
        <v>0</v>
      </c>
      <c r="L858" s="425">
        <v>0</v>
      </c>
      <c r="M858" s="425">
        <v>0</v>
      </c>
      <c r="N858" s="425">
        <v>0</v>
      </c>
      <c r="O858" s="425">
        <v>0</v>
      </c>
    </row>
    <row r="859" spans="3:15" hidden="1" x14ac:dyDescent="0.3">
      <c r="C859" t="s">
        <v>2295</v>
      </c>
      <c r="D859" t="s">
        <v>2267</v>
      </c>
      <c r="E859" t="s">
        <v>3935</v>
      </c>
      <c r="F859" t="s">
        <v>3936</v>
      </c>
      <c r="G859" s="425">
        <v>0</v>
      </c>
      <c r="H859" s="425">
        <v>0</v>
      </c>
      <c r="I859" s="425">
        <v>0</v>
      </c>
      <c r="J859" s="425">
        <v>0</v>
      </c>
      <c r="K859" s="425">
        <v>0</v>
      </c>
      <c r="L859" s="425">
        <v>0</v>
      </c>
      <c r="M859" s="425">
        <v>0</v>
      </c>
      <c r="N859" s="425">
        <v>0</v>
      </c>
      <c r="O859" s="425">
        <v>0</v>
      </c>
    </row>
    <row r="860" spans="3:15" hidden="1" x14ac:dyDescent="0.3">
      <c r="C860" t="s">
        <v>2295</v>
      </c>
      <c r="D860" t="s">
        <v>2267</v>
      </c>
      <c r="E860" t="s">
        <v>3937</v>
      </c>
      <c r="F860" t="s">
        <v>3938</v>
      </c>
      <c r="G860" s="425">
        <v>0</v>
      </c>
      <c r="H860" s="425">
        <v>0</v>
      </c>
      <c r="I860" s="425">
        <v>0</v>
      </c>
      <c r="J860" s="425">
        <v>0</v>
      </c>
      <c r="K860" s="425">
        <v>0</v>
      </c>
      <c r="L860" s="425">
        <v>0</v>
      </c>
      <c r="M860" s="425">
        <v>0</v>
      </c>
      <c r="N860" s="425">
        <v>0</v>
      </c>
      <c r="O860" s="425">
        <v>0</v>
      </c>
    </row>
    <row r="861" spans="3:15" hidden="1" x14ac:dyDescent="0.3">
      <c r="C861" t="s">
        <v>2295</v>
      </c>
      <c r="D861" t="s">
        <v>2267</v>
      </c>
      <c r="E861" t="s">
        <v>3939</v>
      </c>
      <c r="F861" t="s">
        <v>3940</v>
      </c>
      <c r="G861" s="425">
        <v>0</v>
      </c>
      <c r="H861" s="425">
        <v>0</v>
      </c>
      <c r="I861" s="425">
        <v>0</v>
      </c>
      <c r="J861" s="425">
        <v>0</v>
      </c>
      <c r="K861" s="425">
        <v>0</v>
      </c>
      <c r="L861" s="425">
        <v>0</v>
      </c>
      <c r="M861" s="425">
        <v>0</v>
      </c>
      <c r="N861" s="425">
        <v>0</v>
      </c>
      <c r="O861" s="425">
        <v>0</v>
      </c>
    </row>
    <row r="862" spans="3:15" hidden="1" x14ac:dyDescent="0.3">
      <c r="C862" t="s">
        <v>2295</v>
      </c>
      <c r="D862" t="s">
        <v>2267</v>
      </c>
      <c r="E862" t="s">
        <v>3941</v>
      </c>
      <c r="F862" t="s">
        <v>3942</v>
      </c>
      <c r="G862" s="425">
        <v>0</v>
      </c>
      <c r="H862" s="425">
        <v>0</v>
      </c>
      <c r="I862" s="425">
        <v>0</v>
      </c>
      <c r="J862" s="425">
        <v>0</v>
      </c>
      <c r="K862" s="425">
        <v>0</v>
      </c>
      <c r="L862" s="425">
        <v>0</v>
      </c>
      <c r="M862" s="425">
        <v>0</v>
      </c>
      <c r="N862" s="425">
        <v>0</v>
      </c>
      <c r="O862" s="425">
        <v>0</v>
      </c>
    </row>
    <row r="863" spans="3:15" hidden="1" x14ac:dyDescent="0.3">
      <c r="C863" t="s">
        <v>2295</v>
      </c>
      <c r="D863" t="s">
        <v>2267</v>
      </c>
      <c r="E863" t="s">
        <v>3943</v>
      </c>
      <c r="F863" t="s">
        <v>3944</v>
      </c>
      <c r="G863" s="425">
        <v>0</v>
      </c>
      <c r="H863" s="425">
        <v>0</v>
      </c>
      <c r="I863" s="425">
        <v>0</v>
      </c>
      <c r="J863" s="425">
        <v>0</v>
      </c>
      <c r="K863" s="425">
        <v>0</v>
      </c>
      <c r="L863" s="425">
        <v>0</v>
      </c>
      <c r="M863" s="425">
        <v>0</v>
      </c>
      <c r="N863" s="425">
        <v>0</v>
      </c>
      <c r="O863" s="425">
        <v>0</v>
      </c>
    </row>
    <row r="864" spans="3:15" hidden="1" x14ac:dyDescent="0.3">
      <c r="C864" t="s">
        <v>2295</v>
      </c>
      <c r="D864" t="s">
        <v>2267</v>
      </c>
      <c r="E864" t="s">
        <v>3945</v>
      </c>
      <c r="F864" t="s">
        <v>3946</v>
      </c>
      <c r="G864" s="425">
        <v>0</v>
      </c>
      <c r="H864" s="425">
        <v>0</v>
      </c>
      <c r="I864" s="425">
        <v>0</v>
      </c>
      <c r="J864" s="425">
        <v>0</v>
      </c>
      <c r="K864" s="425">
        <v>0</v>
      </c>
      <c r="L864" s="425">
        <v>0</v>
      </c>
      <c r="M864" s="425">
        <v>0</v>
      </c>
      <c r="N864" s="425">
        <v>0</v>
      </c>
      <c r="O864" s="425">
        <v>0</v>
      </c>
    </row>
    <row r="865" spans="3:15" hidden="1" x14ac:dyDescent="0.3">
      <c r="C865" t="s">
        <v>2295</v>
      </c>
      <c r="D865" t="s">
        <v>2267</v>
      </c>
      <c r="E865" t="s">
        <v>3947</v>
      </c>
      <c r="F865" t="s">
        <v>3948</v>
      </c>
      <c r="G865" s="425">
        <v>0</v>
      </c>
      <c r="H865" s="425">
        <v>0</v>
      </c>
      <c r="I865" s="425">
        <v>0</v>
      </c>
      <c r="J865" s="425">
        <v>0</v>
      </c>
      <c r="K865" s="425">
        <v>0</v>
      </c>
      <c r="L865" s="425">
        <v>0</v>
      </c>
      <c r="M865" s="425">
        <v>0</v>
      </c>
      <c r="N865" s="425">
        <v>0</v>
      </c>
      <c r="O865" s="425">
        <v>0</v>
      </c>
    </row>
    <row r="866" spans="3:15" hidden="1" x14ac:dyDescent="0.3">
      <c r="C866" t="s">
        <v>2295</v>
      </c>
      <c r="D866" t="s">
        <v>2267</v>
      </c>
      <c r="E866" t="s">
        <v>3949</v>
      </c>
      <c r="F866" t="s">
        <v>3950</v>
      </c>
      <c r="G866" s="425">
        <v>0</v>
      </c>
      <c r="H866" s="425">
        <v>0</v>
      </c>
      <c r="I866" s="425">
        <v>0</v>
      </c>
      <c r="J866" s="425">
        <v>0</v>
      </c>
      <c r="K866" s="425">
        <v>0</v>
      </c>
      <c r="L866" s="425">
        <v>0</v>
      </c>
      <c r="M866" s="425">
        <v>0</v>
      </c>
      <c r="N866" s="425">
        <v>0</v>
      </c>
      <c r="O866" s="425">
        <v>0</v>
      </c>
    </row>
    <row r="867" spans="3:15" hidden="1" x14ac:dyDescent="0.3">
      <c r="C867" t="s">
        <v>2295</v>
      </c>
      <c r="D867" t="s">
        <v>2267</v>
      </c>
      <c r="E867" t="s">
        <v>3951</v>
      </c>
      <c r="F867" t="s">
        <v>3952</v>
      </c>
      <c r="G867" s="425">
        <v>0</v>
      </c>
      <c r="H867" s="425">
        <v>0</v>
      </c>
      <c r="I867" s="425">
        <v>0</v>
      </c>
      <c r="J867" s="425">
        <v>0</v>
      </c>
      <c r="K867" s="425">
        <v>0</v>
      </c>
      <c r="L867" s="425">
        <v>0</v>
      </c>
      <c r="M867" s="425">
        <v>0</v>
      </c>
      <c r="N867" s="425">
        <v>0</v>
      </c>
      <c r="O867" s="425">
        <v>0</v>
      </c>
    </row>
    <row r="868" spans="3:15" hidden="1" x14ac:dyDescent="0.3">
      <c r="C868" t="s">
        <v>2295</v>
      </c>
      <c r="D868" t="s">
        <v>2267</v>
      </c>
      <c r="E868" t="s">
        <v>3953</v>
      </c>
      <c r="F868" t="s">
        <v>3954</v>
      </c>
      <c r="G868" s="425">
        <v>0</v>
      </c>
      <c r="H868" s="425">
        <v>0</v>
      </c>
      <c r="I868" s="425">
        <v>0</v>
      </c>
      <c r="J868" s="425">
        <v>0</v>
      </c>
      <c r="K868" s="425">
        <v>0</v>
      </c>
      <c r="L868" s="425">
        <v>0</v>
      </c>
      <c r="M868" s="425">
        <v>0</v>
      </c>
      <c r="N868" s="425">
        <v>0</v>
      </c>
      <c r="O868" s="425">
        <v>0</v>
      </c>
    </row>
    <row r="869" spans="3:15" hidden="1" x14ac:dyDescent="0.3">
      <c r="C869" t="s">
        <v>2295</v>
      </c>
      <c r="D869" t="s">
        <v>2267</v>
      </c>
      <c r="E869" t="s">
        <v>3699</v>
      </c>
      <c r="F869" t="s">
        <v>3955</v>
      </c>
      <c r="G869" s="425">
        <v>0</v>
      </c>
      <c r="H869" s="425">
        <v>0</v>
      </c>
      <c r="I869" s="425">
        <v>0</v>
      </c>
      <c r="J869" s="425">
        <v>0</v>
      </c>
      <c r="K869" s="425">
        <v>0</v>
      </c>
      <c r="L869" s="425">
        <v>0</v>
      </c>
      <c r="M869" s="425">
        <v>0</v>
      </c>
      <c r="N869" s="425">
        <v>0</v>
      </c>
      <c r="O869" s="425">
        <v>0</v>
      </c>
    </row>
    <row r="870" spans="3:15" hidden="1" x14ac:dyDescent="0.3">
      <c r="C870" t="s">
        <v>2295</v>
      </c>
      <c r="D870" t="s">
        <v>2267</v>
      </c>
      <c r="E870" t="s">
        <v>3956</v>
      </c>
      <c r="F870" t="s">
        <v>3957</v>
      </c>
      <c r="G870" s="425">
        <v>0</v>
      </c>
      <c r="H870" s="425">
        <v>0</v>
      </c>
      <c r="I870" s="425">
        <v>0</v>
      </c>
      <c r="J870" s="425">
        <v>0</v>
      </c>
      <c r="K870" s="425">
        <v>0</v>
      </c>
      <c r="L870" s="425">
        <v>0</v>
      </c>
      <c r="M870" s="425">
        <v>0</v>
      </c>
      <c r="N870" s="425">
        <v>0</v>
      </c>
      <c r="O870" s="425">
        <v>0</v>
      </c>
    </row>
    <row r="871" spans="3:15" hidden="1" x14ac:dyDescent="0.3">
      <c r="C871" t="s">
        <v>2295</v>
      </c>
      <c r="D871" t="s">
        <v>2267</v>
      </c>
      <c r="E871" t="s">
        <v>3958</v>
      </c>
      <c r="F871" t="s">
        <v>3959</v>
      </c>
      <c r="G871" s="425">
        <v>0</v>
      </c>
      <c r="H871" s="425">
        <v>0</v>
      </c>
      <c r="I871" s="425">
        <v>0</v>
      </c>
      <c r="J871" s="425">
        <v>0</v>
      </c>
      <c r="K871" s="425">
        <v>0</v>
      </c>
      <c r="L871" s="425">
        <v>0</v>
      </c>
      <c r="M871" s="425">
        <v>0</v>
      </c>
      <c r="N871" s="425">
        <v>0</v>
      </c>
      <c r="O871" s="425">
        <v>0</v>
      </c>
    </row>
    <row r="872" spans="3:15" hidden="1" x14ac:dyDescent="0.3">
      <c r="C872" t="s">
        <v>2295</v>
      </c>
      <c r="D872" t="s">
        <v>2267</v>
      </c>
      <c r="E872" t="s">
        <v>3960</v>
      </c>
      <c r="F872" t="s">
        <v>3961</v>
      </c>
      <c r="G872" s="425">
        <v>0</v>
      </c>
      <c r="H872" s="425">
        <v>0</v>
      </c>
      <c r="I872" s="425">
        <v>0</v>
      </c>
      <c r="J872" s="425">
        <v>0</v>
      </c>
      <c r="K872" s="425">
        <v>0</v>
      </c>
      <c r="L872" s="425">
        <v>0</v>
      </c>
      <c r="M872" s="425">
        <v>0</v>
      </c>
      <c r="N872" s="425">
        <v>0</v>
      </c>
      <c r="O872" s="425">
        <v>0</v>
      </c>
    </row>
    <row r="873" spans="3:15" hidden="1" x14ac:dyDescent="0.3">
      <c r="C873" t="s">
        <v>2295</v>
      </c>
      <c r="D873" t="s">
        <v>2267</v>
      </c>
      <c r="E873" t="s">
        <v>3962</v>
      </c>
      <c r="F873" t="s">
        <v>3963</v>
      </c>
      <c r="G873" s="425">
        <v>0</v>
      </c>
      <c r="H873" s="425">
        <v>0</v>
      </c>
      <c r="I873" s="425">
        <v>0</v>
      </c>
      <c r="J873" s="425">
        <v>0</v>
      </c>
      <c r="K873" s="425">
        <v>0</v>
      </c>
      <c r="L873" s="425">
        <v>0</v>
      </c>
      <c r="M873" s="425">
        <v>0</v>
      </c>
      <c r="N873" s="425">
        <v>0</v>
      </c>
      <c r="O873" s="425">
        <v>0</v>
      </c>
    </row>
    <row r="874" spans="3:15" hidden="1" x14ac:dyDescent="0.3">
      <c r="C874" t="s">
        <v>2295</v>
      </c>
      <c r="D874" t="s">
        <v>2267</v>
      </c>
      <c r="E874" t="s">
        <v>3964</v>
      </c>
      <c r="F874" t="s">
        <v>3965</v>
      </c>
      <c r="G874" s="425">
        <v>0</v>
      </c>
      <c r="H874" s="425">
        <v>0</v>
      </c>
      <c r="I874" s="425">
        <v>0</v>
      </c>
      <c r="J874" s="425">
        <v>0</v>
      </c>
      <c r="K874" s="425">
        <v>0</v>
      </c>
      <c r="L874" s="425">
        <v>0</v>
      </c>
      <c r="M874" s="425">
        <v>0</v>
      </c>
      <c r="N874" s="425">
        <v>0</v>
      </c>
      <c r="O874" s="425">
        <v>0</v>
      </c>
    </row>
    <row r="875" spans="3:15" hidden="1" x14ac:dyDescent="0.3">
      <c r="C875" t="s">
        <v>2295</v>
      </c>
      <c r="D875" t="s">
        <v>2267</v>
      </c>
      <c r="E875" t="s">
        <v>3966</v>
      </c>
      <c r="F875" t="s">
        <v>3967</v>
      </c>
      <c r="G875" s="425">
        <v>0</v>
      </c>
      <c r="H875" s="425">
        <v>0</v>
      </c>
      <c r="I875" s="425">
        <v>0</v>
      </c>
      <c r="J875" s="425">
        <v>0</v>
      </c>
      <c r="K875" s="425">
        <v>0</v>
      </c>
      <c r="L875" s="425">
        <v>0</v>
      </c>
      <c r="M875" s="425">
        <v>0</v>
      </c>
      <c r="N875" s="425">
        <v>0</v>
      </c>
      <c r="O875" s="425">
        <v>0</v>
      </c>
    </row>
    <row r="876" spans="3:15" hidden="1" x14ac:dyDescent="0.3">
      <c r="C876" t="s">
        <v>2295</v>
      </c>
      <c r="D876" t="s">
        <v>2267</v>
      </c>
      <c r="E876" t="s">
        <v>3968</v>
      </c>
      <c r="F876" t="s">
        <v>3969</v>
      </c>
      <c r="G876" s="425">
        <v>0</v>
      </c>
      <c r="H876" s="425">
        <v>0</v>
      </c>
      <c r="I876" s="425">
        <v>0</v>
      </c>
      <c r="J876" s="425">
        <v>0</v>
      </c>
      <c r="K876" s="425">
        <v>0</v>
      </c>
      <c r="L876" s="425">
        <v>0</v>
      </c>
      <c r="M876" s="425">
        <v>0</v>
      </c>
      <c r="N876" s="425">
        <v>0</v>
      </c>
      <c r="O876" s="425">
        <v>0</v>
      </c>
    </row>
    <row r="877" spans="3:15" hidden="1" x14ac:dyDescent="0.3">
      <c r="C877" t="s">
        <v>2295</v>
      </c>
      <c r="D877" t="s">
        <v>2267</v>
      </c>
      <c r="E877" t="s">
        <v>3970</v>
      </c>
      <c r="F877" t="s">
        <v>3971</v>
      </c>
      <c r="G877" s="425">
        <v>0</v>
      </c>
      <c r="H877" s="425">
        <v>0</v>
      </c>
      <c r="I877" s="425">
        <v>0</v>
      </c>
      <c r="J877" s="425">
        <v>0</v>
      </c>
      <c r="K877" s="425">
        <v>0</v>
      </c>
      <c r="L877" s="425">
        <v>0</v>
      </c>
      <c r="M877" s="425">
        <v>0</v>
      </c>
      <c r="N877" s="425">
        <v>0</v>
      </c>
      <c r="O877" s="425">
        <v>0</v>
      </c>
    </row>
    <row r="878" spans="3:15" hidden="1" x14ac:dyDescent="0.3">
      <c r="C878" t="s">
        <v>2295</v>
      </c>
      <c r="D878" t="s">
        <v>2267</v>
      </c>
      <c r="E878" t="s">
        <v>3972</v>
      </c>
      <c r="F878" t="s">
        <v>3973</v>
      </c>
      <c r="G878" s="425">
        <v>0</v>
      </c>
      <c r="H878" s="425">
        <v>0</v>
      </c>
      <c r="I878" s="425">
        <v>0</v>
      </c>
      <c r="J878" s="425">
        <v>0</v>
      </c>
      <c r="K878" s="425">
        <v>0</v>
      </c>
      <c r="L878" s="425">
        <v>0</v>
      </c>
      <c r="M878" s="425">
        <v>0</v>
      </c>
      <c r="N878" s="425">
        <v>0</v>
      </c>
      <c r="O878" s="425">
        <v>0</v>
      </c>
    </row>
    <row r="879" spans="3:15" hidden="1" x14ac:dyDescent="0.3">
      <c r="C879" t="s">
        <v>2295</v>
      </c>
      <c r="D879" t="s">
        <v>2267</v>
      </c>
      <c r="E879" t="s">
        <v>3974</v>
      </c>
      <c r="F879" t="s">
        <v>3975</v>
      </c>
      <c r="G879" s="425">
        <v>0</v>
      </c>
      <c r="H879" s="425">
        <v>0</v>
      </c>
      <c r="I879" s="425">
        <v>0</v>
      </c>
      <c r="J879" s="425">
        <v>0</v>
      </c>
      <c r="K879" s="425">
        <v>0</v>
      </c>
      <c r="L879" s="425">
        <v>0</v>
      </c>
      <c r="M879" s="425">
        <v>0</v>
      </c>
      <c r="N879" s="425">
        <v>0</v>
      </c>
      <c r="O879" s="425">
        <v>0</v>
      </c>
    </row>
    <row r="880" spans="3:15" hidden="1" x14ac:dyDescent="0.3">
      <c r="C880" t="s">
        <v>2295</v>
      </c>
      <c r="D880" t="s">
        <v>2267</v>
      </c>
      <c r="E880" t="s">
        <v>3976</v>
      </c>
      <c r="F880" t="s">
        <v>3977</v>
      </c>
      <c r="G880" s="425">
        <v>0</v>
      </c>
      <c r="H880" s="425">
        <v>0</v>
      </c>
      <c r="I880" s="425">
        <v>0</v>
      </c>
      <c r="J880" s="425">
        <v>0</v>
      </c>
      <c r="K880" s="425">
        <v>0</v>
      </c>
      <c r="L880" s="425">
        <v>0</v>
      </c>
      <c r="M880" s="425">
        <v>0</v>
      </c>
      <c r="N880" s="425">
        <v>0</v>
      </c>
      <c r="O880" s="425">
        <v>0</v>
      </c>
    </row>
    <row r="881" spans="3:15" hidden="1" x14ac:dyDescent="0.3">
      <c r="C881" t="s">
        <v>2295</v>
      </c>
      <c r="D881" t="s">
        <v>2267</v>
      </c>
      <c r="E881" t="s">
        <v>3978</v>
      </c>
      <c r="F881" t="s">
        <v>3979</v>
      </c>
      <c r="G881" s="425">
        <v>0</v>
      </c>
      <c r="H881" s="425">
        <v>0</v>
      </c>
      <c r="I881" s="425">
        <v>0</v>
      </c>
      <c r="J881" s="425">
        <v>0</v>
      </c>
      <c r="K881" s="425">
        <v>0</v>
      </c>
      <c r="L881" s="425">
        <v>0</v>
      </c>
      <c r="M881" s="425">
        <v>0</v>
      </c>
      <c r="N881" s="425">
        <v>0</v>
      </c>
      <c r="O881" s="425">
        <v>0</v>
      </c>
    </row>
    <row r="882" spans="3:15" hidden="1" x14ac:dyDescent="0.3">
      <c r="C882" t="s">
        <v>2295</v>
      </c>
      <c r="D882" t="s">
        <v>2267</v>
      </c>
      <c r="E882" t="s">
        <v>3980</v>
      </c>
      <c r="F882" t="s">
        <v>3981</v>
      </c>
      <c r="G882" s="425">
        <v>0</v>
      </c>
      <c r="H882" s="425">
        <v>0</v>
      </c>
      <c r="I882" s="425">
        <v>0</v>
      </c>
      <c r="J882" s="425">
        <v>0</v>
      </c>
      <c r="K882" s="425">
        <v>0</v>
      </c>
      <c r="L882" s="425">
        <v>0</v>
      </c>
      <c r="M882" s="425">
        <v>0</v>
      </c>
      <c r="N882" s="425">
        <v>0</v>
      </c>
      <c r="O882" s="425">
        <v>0</v>
      </c>
    </row>
    <row r="883" spans="3:15" hidden="1" x14ac:dyDescent="0.3">
      <c r="C883" t="s">
        <v>2295</v>
      </c>
      <c r="D883" t="s">
        <v>2267</v>
      </c>
      <c r="E883" t="s">
        <v>3982</v>
      </c>
      <c r="F883" t="s">
        <v>3983</v>
      </c>
      <c r="G883" s="425">
        <v>0</v>
      </c>
      <c r="H883" s="425">
        <v>0</v>
      </c>
      <c r="I883" s="425">
        <v>0</v>
      </c>
      <c r="J883" s="425">
        <v>0</v>
      </c>
      <c r="K883" s="425">
        <v>0</v>
      </c>
      <c r="L883" s="425">
        <v>0</v>
      </c>
      <c r="M883" s="425">
        <v>0</v>
      </c>
      <c r="N883" s="425">
        <v>0</v>
      </c>
      <c r="O883" s="425">
        <v>0</v>
      </c>
    </row>
    <row r="884" spans="3:15" hidden="1" x14ac:dyDescent="0.3">
      <c r="C884" t="s">
        <v>2295</v>
      </c>
      <c r="D884" t="s">
        <v>2267</v>
      </c>
      <c r="E884" t="s">
        <v>3984</v>
      </c>
      <c r="F884" t="s">
        <v>3985</v>
      </c>
      <c r="G884" s="425">
        <v>0</v>
      </c>
      <c r="H884" s="425">
        <v>0</v>
      </c>
      <c r="I884" s="425">
        <v>0</v>
      </c>
      <c r="J884" s="425">
        <v>0</v>
      </c>
      <c r="K884" s="425">
        <v>0</v>
      </c>
      <c r="L884" s="425">
        <v>0</v>
      </c>
      <c r="M884" s="425">
        <v>0</v>
      </c>
      <c r="N884" s="425">
        <v>0</v>
      </c>
      <c r="O884" s="425">
        <v>0</v>
      </c>
    </row>
    <row r="885" spans="3:15" hidden="1" x14ac:dyDescent="0.3">
      <c r="C885" t="s">
        <v>2295</v>
      </c>
      <c r="D885" t="s">
        <v>2267</v>
      </c>
      <c r="E885" t="s">
        <v>3986</v>
      </c>
      <c r="F885" t="s">
        <v>3987</v>
      </c>
      <c r="G885" s="425">
        <v>0</v>
      </c>
      <c r="H885" s="425">
        <v>0</v>
      </c>
      <c r="I885" s="425">
        <v>0</v>
      </c>
      <c r="J885" s="425">
        <v>0</v>
      </c>
      <c r="K885" s="425">
        <v>0</v>
      </c>
      <c r="L885" s="425">
        <v>0</v>
      </c>
      <c r="M885" s="425">
        <v>0</v>
      </c>
      <c r="N885" s="425">
        <v>0</v>
      </c>
      <c r="O885" s="425">
        <v>0</v>
      </c>
    </row>
    <row r="886" spans="3:15" hidden="1" x14ac:dyDescent="0.3">
      <c r="C886" t="s">
        <v>2295</v>
      </c>
      <c r="D886" t="s">
        <v>2267</v>
      </c>
      <c r="E886" t="s">
        <v>3988</v>
      </c>
      <c r="F886" t="s">
        <v>3989</v>
      </c>
      <c r="G886" s="425">
        <v>0</v>
      </c>
      <c r="H886" s="425">
        <v>0</v>
      </c>
      <c r="I886" s="425">
        <v>0</v>
      </c>
      <c r="J886" s="425">
        <v>0</v>
      </c>
      <c r="K886" s="425">
        <v>0</v>
      </c>
      <c r="L886" s="425">
        <v>0</v>
      </c>
      <c r="M886" s="425">
        <v>0</v>
      </c>
      <c r="N886" s="425">
        <v>0</v>
      </c>
      <c r="O886" s="425">
        <v>0</v>
      </c>
    </row>
    <row r="887" spans="3:15" hidden="1" x14ac:dyDescent="0.3">
      <c r="C887" t="s">
        <v>2295</v>
      </c>
      <c r="D887" t="s">
        <v>2267</v>
      </c>
      <c r="E887" t="s">
        <v>3990</v>
      </c>
      <c r="F887" t="s">
        <v>3991</v>
      </c>
      <c r="G887" s="425">
        <v>0</v>
      </c>
      <c r="H887" s="425">
        <v>0</v>
      </c>
      <c r="I887" s="425">
        <v>0</v>
      </c>
      <c r="J887" s="425">
        <v>0</v>
      </c>
      <c r="K887" s="425">
        <v>0</v>
      </c>
      <c r="L887" s="425">
        <v>0</v>
      </c>
      <c r="M887" s="425">
        <v>0</v>
      </c>
      <c r="N887" s="425">
        <v>0</v>
      </c>
      <c r="O887" s="425">
        <v>0</v>
      </c>
    </row>
    <row r="888" spans="3:15" hidden="1" x14ac:dyDescent="0.3">
      <c r="C888" t="s">
        <v>2295</v>
      </c>
      <c r="D888" t="s">
        <v>2267</v>
      </c>
      <c r="E888" t="s">
        <v>3992</v>
      </c>
      <c r="F888" t="s">
        <v>3993</v>
      </c>
      <c r="G888" s="425">
        <v>0</v>
      </c>
      <c r="H888" s="425">
        <v>0</v>
      </c>
      <c r="I888" s="425">
        <v>0</v>
      </c>
      <c r="J888" s="425">
        <v>0</v>
      </c>
      <c r="K888" s="425">
        <v>0</v>
      </c>
      <c r="L888" s="425">
        <v>0</v>
      </c>
      <c r="M888" s="425">
        <v>0</v>
      </c>
      <c r="N888" s="425">
        <v>0</v>
      </c>
      <c r="O888" s="425">
        <v>0</v>
      </c>
    </row>
    <row r="889" spans="3:15" hidden="1" x14ac:dyDescent="0.3">
      <c r="C889" t="s">
        <v>2295</v>
      </c>
      <c r="D889" t="s">
        <v>2267</v>
      </c>
      <c r="E889" t="s">
        <v>3994</v>
      </c>
      <c r="F889" t="s">
        <v>3995</v>
      </c>
      <c r="G889" s="425">
        <v>0</v>
      </c>
      <c r="H889" s="425">
        <v>0</v>
      </c>
      <c r="I889" s="425">
        <v>0</v>
      </c>
      <c r="J889" s="425">
        <v>0</v>
      </c>
      <c r="K889" s="425">
        <v>0</v>
      </c>
      <c r="L889" s="425">
        <v>0</v>
      </c>
      <c r="M889" s="425">
        <v>0</v>
      </c>
      <c r="N889" s="425">
        <v>0</v>
      </c>
      <c r="O889" s="425">
        <v>0</v>
      </c>
    </row>
    <row r="890" spans="3:15" hidden="1" x14ac:dyDescent="0.3">
      <c r="C890" t="s">
        <v>2295</v>
      </c>
      <c r="D890" t="s">
        <v>2267</v>
      </c>
      <c r="E890" t="s">
        <v>3996</v>
      </c>
      <c r="F890" t="s">
        <v>3997</v>
      </c>
      <c r="G890" s="425">
        <v>0</v>
      </c>
      <c r="H890" s="425">
        <v>0</v>
      </c>
      <c r="I890" s="425">
        <v>0</v>
      </c>
      <c r="J890" s="425">
        <v>0</v>
      </c>
      <c r="K890" s="425">
        <v>0</v>
      </c>
      <c r="L890" s="425">
        <v>0</v>
      </c>
      <c r="M890" s="425">
        <v>0</v>
      </c>
      <c r="N890" s="425">
        <v>0</v>
      </c>
      <c r="O890" s="425">
        <v>0</v>
      </c>
    </row>
    <row r="891" spans="3:15" hidden="1" x14ac:dyDescent="0.3">
      <c r="C891" t="s">
        <v>2295</v>
      </c>
      <c r="D891" t="s">
        <v>2267</v>
      </c>
      <c r="E891" t="s">
        <v>3998</v>
      </c>
      <c r="F891" t="s">
        <v>3999</v>
      </c>
      <c r="G891" s="425">
        <v>0</v>
      </c>
      <c r="H891" s="425">
        <v>0</v>
      </c>
      <c r="I891" s="425">
        <v>0</v>
      </c>
      <c r="J891" s="425">
        <v>0</v>
      </c>
      <c r="K891" s="425">
        <v>0</v>
      </c>
      <c r="L891" s="425">
        <v>0</v>
      </c>
      <c r="M891" s="425">
        <v>0</v>
      </c>
      <c r="N891" s="425">
        <v>0</v>
      </c>
      <c r="O891" s="425">
        <v>0</v>
      </c>
    </row>
    <row r="892" spans="3:15" hidden="1" x14ac:dyDescent="0.3">
      <c r="C892" t="s">
        <v>2295</v>
      </c>
      <c r="D892" t="s">
        <v>2267</v>
      </c>
      <c r="E892" t="s">
        <v>4000</v>
      </c>
      <c r="F892" t="s">
        <v>4001</v>
      </c>
      <c r="G892" s="425">
        <v>0</v>
      </c>
      <c r="H892" s="425">
        <v>0</v>
      </c>
      <c r="I892" s="425">
        <v>0</v>
      </c>
      <c r="J892" s="425">
        <v>0</v>
      </c>
      <c r="K892" s="425">
        <v>0</v>
      </c>
      <c r="L892" s="425">
        <v>0</v>
      </c>
      <c r="M892" s="425">
        <v>0</v>
      </c>
      <c r="N892" s="425">
        <v>0</v>
      </c>
      <c r="O892" s="425">
        <v>0</v>
      </c>
    </row>
    <row r="893" spans="3:15" hidden="1" x14ac:dyDescent="0.3">
      <c r="C893" t="s">
        <v>2295</v>
      </c>
      <c r="D893" t="s">
        <v>2267</v>
      </c>
      <c r="E893" t="s">
        <v>4002</v>
      </c>
      <c r="F893" t="s">
        <v>4003</v>
      </c>
      <c r="G893" s="425">
        <v>0</v>
      </c>
      <c r="H893" s="425">
        <v>0</v>
      </c>
      <c r="I893" s="425">
        <v>0</v>
      </c>
      <c r="J893" s="425">
        <v>0</v>
      </c>
      <c r="K893" s="425">
        <v>0</v>
      </c>
      <c r="L893" s="425">
        <v>0</v>
      </c>
      <c r="M893" s="425">
        <v>0</v>
      </c>
      <c r="N893" s="425">
        <v>0</v>
      </c>
      <c r="O893" s="425">
        <v>0</v>
      </c>
    </row>
    <row r="894" spans="3:15" hidden="1" x14ac:dyDescent="0.3">
      <c r="C894" t="s">
        <v>2295</v>
      </c>
      <c r="D894" t="s">
        <v>2267</v>
      </c>
      <c r="E894" t="s">
        <v>4004</v>
      </c>
      <c r="F894" t="s">
        <v>4005</v>
      </c>
      <c r="G894" s="425">
        <v>0</v>
      </c>
      <c r="H894" s="425">
        <v>0</v>
      </c>
      <c r="I894" s="425">
        <v>0</v>
      </c>
      <c r="J894" s="425">
        <v>0</v>
      </c>
      <c r="K894" s="425">
        <v>0</v>
      </c>
      <c r="L894" s="425">
        <v>0</v>
      </c>
      <c r="M894" s="425">
        <v>0</v>
      </c>
      <c r="N894" s="425">
        <v>0</v>
      </c>
      <c r="O894" s="425">
        <v>0</v>
      </c>
    </row>
    <row r="895" spans="3:15" hidden="1" x14ac:dyDescent="0.3">
      <c r="C895" t="s">
        <v>2295</v>
      </c>
      <c r="D895" t="s">
        <v>2267</v>
      </c>
      <c r="E895" t="s">
        <v>4006</v>
      </c>
      <c r="F895" t="s">
        <v>4007</v>
      </c>
      <c r="G895" s="425">
        <v>0</v>
      </c>
      <c r="H895" s="425">
        <v>0</v>
      </c>
      <c r="I895" s="425">
        <v>0</v>
      </c>
      <c r="J895" s="425">
        <v>0</v>
      </c>
      <c r="K895" s="425">
        <v>0</v>
      </c>
      <c r="L895" s="425">
        <v>0</v>
      </c>
      <c r="M895" s="425">
        <v>0</v>
      </c>
      <c r="N895" s="425">
        <v>0</v>
      </c>
      <c r="O895" s="425">
        <v>0</v>
      </c>
    </row>
    <row r="896" spans="3:15" hidden="1" x14ac:dyDescent="0.3">
      <c r="C896" t="s">
        <v>2295</v>
      </c>
      <c r="D896" t="s">
        <v>2267</v>
      </c>
      <c r="E896" t="s">
        <v>4008</v>
      </c>
      <c r="F896" t="s">
        <v>4009</v>
      </c>
      <c r="G896" s="425">
        <v>160170</v>
      </c>
      <c r="H896" s="425">
        <v>0</v>
      </c>
      <c r="I896" s="425">
        <v>160170</v>
      </c>
      <c r="J896" s="425">
        <v>0</v>
      </c>
      <c r="K896" s="425">
        <v>0</v>
      </c>
      <c r="L896" s="425">
        <v>0</v>
      </c>
      <c r="M896" s="425">
        <v>0</v>
      </c>
      <c r="N896" s="425">
        <v>0</v>
      </c>
      <c r="O896" s="425">
        <v>0</v>
      </c>
    </row>
    <row r="897" spans="3:15" hidden="1" x14ac:dyDescent="0.3">
      <c r="C897" t="s">
        <v>2295</v>
      </c>
      <c r="D897" t="s">
        <v>2267</v>
      </c>
      <c r="E897" t="s">
        <v>4010</v>
      </c>
      <c r="F897" t="s">
        <v>4011</v>
      </c>
      <c r="G897" s="425">
        <v>0</v>
      </c>
      <c r="H897" s="425">
        <v>0</v>
      </c>
      <c r="I897" s="425">
        <v>0</v>
      </c>
      <c r="J897" s="425">
        <v>0</v>
      </c>
      <c r="K897" s="425">
        <v>0</v>
      </c>
      <c r="L897" s="425">
        <v>0</v>
      </c>
      <c r="M897" s="425">
        <v>0</v>
      </c>
      <c r="N897" s="425">
        <v>0</v>
      </c>
      <c r="O897" s="425">
        <v>0</v>
      </c>
    </row>
    <row r="898" spans="3:15" hidden="1" x14ac:dyDescent="0.3">
      <c r="C898" t="s">
        <v>2295</v>
      </c>
      <c r="D898" t="s">
        <v>2267</v>
      </c>
      <c r="E898" t="s">
        <v>4012</v>
      </c>
      <c r="F898" t="s">
        <v>4013</v>
      </c>
      <c r="G898" s="425">
        <v>0</v>
      </c>
      <c r="H898" s="425">
        <v>0</v>
      </c>
      <c r="I898" s="425">
        <v>0</v>
      </c>
      <c r="J898" s="425">
        <v>0</v>
      </c>
      <c r="K898" s="425">
        <v>0</v>
      </c>
      <c r="L898" s="425">
        <v>0</v>
      </c>
      <c r="M898" s="425">
        <v>0</v>
      </c>
      <c r="N898" s="425">
        <v>0</v>
      </c>
      <c r="O898" s="425">
        <v>0</v>
      </c>
    </row>
    <row r="899" spans="3:15" hidden="1" x14ac:dyDescent="0.3">
      <c r="C899" t="s">
        <v>2295</v>
      </c>
      <c r="D899" t="s">
        <v>2267</v>
      </c>
      <c r="E899" t="s">
        <v>4014</v>
      </c>
      <c r="F899" t="s">
        <v>4015</v>
      </c>
      <c r="G899" s="425">
        <v>0</v>
      </c>
      <c r="H899" s="425">
        <v>0</v>
      </c>
      <c r="I899" s="425">
        <v>0</v>
      </c>
      <c r="J899" s="425">
        <v>0</v>
      </c>
      <c r="K899" s="425">
        <v>0</v>
      </c>
      <c r="L899" s="425">
        <v>0</v>
      </c>
      <c r="M899" s="425">
        <v>0</v>
      </c>
      <c r="N899" s="425">
        <v>0</v>
      </c>
      <c r="O899" s="425">
        <v>0</v>
      </c>
    </row>
    <row r="900" spans="3:15" hidden="1" x14ac:dyDescent="0.3">
      <c r="C900" t="s">
        <v>2295</v>
      </c>
      <c r="D900" t="s">
        <v>2267</v>
      </c>
      <c r="E900" t="s">
        <v>4016</v>
      </c>
      <c r="F900" t="s">
        <v>4017</v>
      </c>
      <c r="G900" s="425">
        <v>0</v>
      </c>
      <c r="H900" s="425">
        <v>0</v>
      </c>
      <c r="I900" s="425">
        <v>0</v>
      </c>
      <c r="J900" s="425">
        <v>0</v>
      </c>
      <c r="K900" s="425">
        <v>0</v>
      </c>
      <c r="L900" s="425">
        <v>0</v>
      </c>
      <c r="M900" s="425">
        <v>0</v>
      </c>
      <c r="N900" s="425">
        <v>0</v>
      </c>
      <c r="O900" s="425">
        <v>0</v>
      </c>
    </row>
    <row r="901" spans="3:15" hidden="1" x14ac:dyDescent="0.3">
      <c r="C901" t="s">
        <v>2295</v>
      </c>
      <c r="D901" t="s">
        <v>2267</v>
      </c>
      <c r="E901" t="s">
        <v>4018</v>
      </c>
      <c r="F901" t="s">
        <v>4019</v>
      </c>
      <c r="G901" s="425">
        <v>0</v>
      </c>
      <c r="H901" s="425">
        <v>0</v>
      </c>
      <c r="I901" s="425">
        <v>0</v>
      </c>
      <c r="J901" s="425">
        <v>0</v>
      </c>
      <c r="K901" s="425">
        <v>0</v>
      </c>
      <c r="L901" s="425">
        <v>0</v>
      </c>
      <c r="M901" s="425">
        <v>0</v>
      </c>
      <c r="N901" s="425">
        <v>0</v>
      </c>
      <c r="O901" s="425">
        <v>0</v>
      </c>
    </row>
    <row r="902" spans="3:15" hidden="1" x14ac:dyDescent="0.3">
      <c r="C902" t="s">
        <v>2295</v>
      </c>
      <c r="D902" t="s">
        <v>2267</v>
      </c>
      <c r="E902" t="s">
        <v>4020</v>
      </c>
      <c r="F902" t="s">
        <v>4021</v>
      </c>
      <c r="G902" s="425">
        <v>0</v>
      </c>
      <c r="H902" s="425">
        <v>0</v>
      </c>
      <c r="I902" s="425">
        <v>0</v>
      </c>
      <c r="J902" s="425">
        <v>0</v>
      </c>
      <c r="K902" s="425">
        <v>0</v>
      </c>
      <c r="L902" s="425">
        <v>0</v>
      </c>
      <c r="M902" s="425">
        <v>0</v>
      </c>
      <c r="N902" s="425">
        <v>0</v>
      </c>
      <c r="O902" s="425">
        <v>0</v>
      </c>
    </row>
    <row r="903" spans="3:15" hidden="1" x14ac:dyDescent="0.3">
      <c r="C903" t="s">
        <v>2295</v>
      </c>
      <c r="D903" t="s">
        <v>2267</v>
      </c>
      <c r="E903" t="s">
        <v>4022</v>
      </c>
      <c r="F903" t="s">
        <v>4023</v>
      </c>
      <c r="G903" s="425">
        <v>0</v>
      </c>
      <c r="H903" s="425">
        <v>0</v>
      </c>
      <c r="I903" s="425">
        <v>0</v>
      </c>
      <c r="J903" s="425">
        <v>0</v>
      </c>
      <c r="K903" s="425">
        <v>0</v>
      </c>
      <c r="L903" s="425">
        <v>0</v>
      </c>
      <c r="M903" s="425">
        <v>0</v>
      </c>
      <c r="N903" s="425">
        <v>0</v>
      </c>
      <c r="O903" s="425">
        <v>0</v>
      </c>
    </row>
    <row r="904" spans="3:15" hidden="1" x14ac:dyDescent="0.3">
      <c r="C904" t="s">
        <v>2295</v>
      </c>
      <c r="D904" t="s">
        <v>2267</v>
      </c>
      <c r="E904" t="s">
        <v>4024</v>
      </c>
      <c r="F904" t="s">
        <v>4025</v>
      </c>
      <c r="G904" s="425">
        <v>0</v>
      </c>
      <c r="H904" s="425">
        <v>0</v>
      </c>
      <c r="I904" s="425">
        <v>0</v>
      </c>
      <c r="J904" s="425">
        <v>0</v>
      </c>
      <c r="K904" s="425">
        <v>0</v>
      </c>
      <c r="L904" s="425">
        <v>0</v>
      </c>
      <c r="M904" s="425">
        <v>0</v>
      </c>
      <c r="N904" s="425">
        <v>0</v>
      </c>
      <c r="O904" s="425">
        <v>0</v>
      </c>
    </row>
    <row r="905" spans="3:15" hidden="1" x14ac:dyDescent="0.3">
      <c r="C905" t="s">
        <v>2295</v>
      </c>
      <c r="D905" t="s">
        <v>2267</v>
      </c>
      <c r="E905" t="s">
        <v>4026</v>
      </c>
      <c r="F905" t="s">
        <v>4027</v>
      </c>
      <c r="G905" s="425">
        <v>0</v>
      </c>
      <c r="H905" s="425">
        <v>0</v>
      </c>
      <c r="I905" s="425">
        <v>0</v>
      </c>
      <c r="J905" s="425">
        <v>0</v>
      </c>
      <c r="K905" s="425">
        <v>0</v>
      </c>
      <c r="L905" s="425">
        <v>0</v>
      </c>
      <c r="M905" s="425">
        <v>0</v>
      </c>
      <c r="N905" s="425">
        <v>0</v>
      </c>
      <c r="O905" s="425">
        <v>0</v>
      </c>
    </row>
    <row r="906" spans="3:15" hidden="1" x14ac:dyDescent="0.3">
      <c r="C906" t="s">
        <v>2295</v>
      </c>
      <c r="D906" t="s">
        <v>2267</v>
      </c>
      <c r="E906" t="s">
        <v>4028</v>
      </c>
      <c r="F906" t="s">
        <v>4029</v>
      </c>
      <c r="G906" s="425">
        <v>0</v>
      </c>
      <c r="H906" s="425">
        <v>0</v>
      </c>
      <c r="I906" s="425">
        <v>0</v>
      </c>
      <c r="J906" s="425">
        <v>0</v>
      </c>
      <c r="K906" s="425">
        <v>0</v>
      </c>
      <c r="L906" s="425">
        <v>0</v>
      </c>
      <c r="M906" s="425">
        <v>0</v>
      </c>
      <c r="N906" s="425">
        <v>0</v>
      </c>
      <c r="O906" s="425">
        <v>0</v>
      </c>
    </row>
    <row r="907" spans="3:15" hidden="1" x14ac:dyDescent="0.3">
      <c r="C907" t="s">
        <v>2295</v>
      </c>
      <c r="D907" t="s">
        <v>2267</v>
      </c>
      <c r="E907" t="s">
        <v>4030</v>
      </c>
      <c r="F907" t="s">
        <v>4031</v>
      </c>
      <c r="G907" s="425">
        <v>0</v>
      </c>
      <c r="H907" s="425">
        <v>0</v>
      </c>
      <c r="I907" s="425">
        <v>0</v>
      </c>
      <c r="J907" s="425">
        <v>0</v>
      </c>
      <c r="K907" s="425">
        <v>0</v>
      </c>
      <c r="L907" s="425">
        <v>0</v>
      </c>
      <c r="M907" s="425">
        <v>0</v>
      </c>
      <c r="N907" s="425">
        <v>0</v>
      </c>
      <c r="O907" s="425">
        <v>0</v>
      </c>
    </row>
    <row r="908" spans="3:15" hidden="1" x14ac:dyDescent="0.3">
      <c r="C908" t="s">
        <v>2295</v>
      </c>
      <c r="D908" t="s">
        <v>2267</v>
      </c>
      <c r="E908" t="s">
        <v>4032</v>
      </c>
      <c r="F908" t="s">
        <v>4033</v>
      </c>
      <c r="G908" s="425">
        <v>0</v>
      </c>
      <c r="H908" s="425">
        <v>0</v>
      </c>
      <c r="I908" s="425">
        <v>0</v>
      </c>
      <c r="J908" s="425">
        <v>0</v>
      </c>
      <c r="K908" s="425">
        <v>0</v>
      </c>
      <c r="L908" s="425">
        <v>0</v>
      </c>
      <c r="M908" s="425">
        <v>0</v>
      </c>
      <c r="N908" s="425">
        <v>0</v>
      </c>
      <c r="O908" s="425">
        <v>0</v>
      </c>
    </row>
    <row r="909" spans="3:15" hidden="1" x14ac:dyDescent="0.3">
      <c r="C909" t="s">
        <v>2295</v>
      </c>
      <c r="D909" t="s">
        <v>2267</v>
      </c>
      <c r="E909" t="s">
        <v>4034</v>
      </c>
      <c r="F909" t="s">
        <v>4035</v>
      </c>
      <c r="G909" s="425">
        <v>0</v>
      </c>
      <c r="H909" s="425">
        <v>0</v>
      </c>
      <c r="I909" s="425">
        <v>0</v>
      </c>
      <c r="J909" s="425">
        <v>0</v>
      </c>
      <c r="K909" s="425">
        <v>0</v>
      </c>
      <c r="L909" s="425">
        <v>0</v>
      </c>
      <c r="M909" s="425">
        <v>0</v>
      </c>
      <c r="N909" s="425">
        <v>0</v>
      </c>
      <c r="O909" s="425">
        <v>0</v>
      </c>
    </row>
    <row r="910" spans="3:15" hidden="1" x14ac:dyDescent="0.3">
      <c r="C910" t="s">
        <v>2295</v>
      </c>
      <c r="D910" t="s">
        <v>2267</v>
      </c>
      <c r="E910" t="s">
        <v>4036</v>
      </c>
      <c r="F910" t="s">
        <v>4037</v>
      </c>
      <c r="G910" s="425">
        <v>0</v>
      </c>
      <c r="H910" s="425">
        <v>0</v>
      </c>
      <c r="I910" s="425">
        <v>0</v>
      </c>
      <c r="J910" s="425">
        <v>0</v>
      </c>
      <c r="K910" s="425">
        <v>0</v>
      </c>
      <c r="L910" s="425">
        <v>0</v>
      </c>
      <c r="M910" s="425">
        <v>0</v>
      </c>
      <c r="N910" s="425">
        <v>0</v>
      </c>
      <c r="O910" s="425">
        <v>0</v>
      </c>
    </row>
    <row r="911" spans="3:15" hidden="1" x14ac:dyDescent="0.3">
      <c r="C911" t="s">
        <v>2295</v>
      </c>
      <c r="D911" t="s">
        <v>2267</v>
      </c>
      <c r="E911" t="s">
        <v>4038</v>
      </c>
      <c r="F911" t="s">
        <v>4039</v>
      </c>
      <c r="G911" s="425">
        <v>0</v>
      </c>
      <c r="H911" s="425">
        <v>0</v>
      </c>
      <c r="I911" s="425">
        <v>0</v>
      </c>
      <c r="J911" s="425">
        <v>0</v>
      </c>
      <c r="K911" s="425">
        <v>0</v>
      </c>
      <c r="L911" s="425">
        <v>0</v>
      </c>
      <c r="M911" s="425">
        <v>0</v>
      </c>
      <c r="N911" s="425">
        <v>0</v>
      </c>
      <c r="O911" s="425">
        <v>0</v>
      </c>
    </row>
    <row r="912" spans="3:15" hidden="1" x14ac:dyDescent="0.3">
      <c r="C912" t="s">
        <v>2295</v>
      </c>
      <c r="D912" t="s">
        <v>2267</v>
      </c>
      <c r="E912" t="s">
        <v>4040</v>
      </c>
      <c r="F912" t="s">
        <v>4041</v>
      </c>
      <c r="G912" s="425">
        <v>0</v>
      </c>
      <c r="H912" s="425">
        <v>0</v>
      </c>
      <c r="I912" s="425">
        <v>0</v>
      </c>
      <c r="J912" s="425">
        <v>0</v>
      </c>
      <c r="K912" s="425">
        <v>0</v>
      </c>
      <c r="L912" s="425">
        <v>0</v>
      </c>
      <c r="M912" s="425">
        <v>0</v>
      </c>
      <c r="N912" s="425">
        <v>0</v>
      </c>
      <c r="O912" s="425">
        <v>0</v>
      </c>
    </row>
    <row r="913" spans="3:15" hidden="1" x14ac:dyDescent="0.3">
      <c r="C913" t="s">
        <v>2295</v>
      </c>
      <c r="D913" t="s">
        <v>2267</v>
      </c>
      <c r="E913" t="s">
        <v>4042</v>
      </c>
      <c r="F913" t="s">
        <v>4043</v>
      </c>
      <c r="G913" s="425">
        <v>0</v>
      </c>
      <c r="H913" s="425">
        <v>0</v>
      </c>
      <c r="I913" s="425">
        <v>0</v>
      </c>
      <c r="J913" s="425">
        <v>0</v>
      </c>
      <c r="K913" s="425">
        <v>0</v>
      </c>
      <c r="L913" s="425">
        <v>0</v>
      </c>
      <c r="M913" s="425">
        <v>0</v>
      </c>
      <c r="N913" s="425">
        <v>0</v>
      </c>
      <c r="O913" s="425">
        <v>0</v>
      </c>
    </row>
    <row r="914" spans="3:15" hidden="1" x14ac:dyDescent="0.3">
      <c r="C914" t="s">
        <v>2295</v>
      </c>
      <c r="D914" t="s">
        <v>2267</v>
      </c>
      <c r="E914" t="s">
        <v>4044</v>
      </c>
      <c r="F914" t="s">
        <v>4045</v>
      </c>
      <c r="G914" s="425">
        <v>0</v>
      </c>
      <c r="H914" s="425">
        <v>0</v>
      </c>
      <c r="I914" s="425">
        <v>0</v>
      </c>
      <c r="J914" s="425">
        <v>0</v>
      </c>
      <c r="K914" s="425">
        <v>0</v>
      </c>
      <c r="L914" s="425">
        <v>0</v>
      </c>
      <c r="M914" s="425">
        <v>0</v>
      </c>
      <c r="N914" s="425">
        <v>0</v>
      </c>
      <c r="O914" s="425">
        <v>0</v>
      </c>
    </row>
    <row r="915" spans="3:15" hidden="1" x14ac:dyDescent="0.3">
      <c r="C915" t="s">
        <v>2295</v>
      </c>
      <c r="D915" t="s">
        <v>2267</v>
      </c>
      <c r="E915" t="s">
        <v>4046</v>
      </c>
      <c r="F915" t="s">
        <v>4047</v>
      </c>
      <c r="G915" s="425">
        <v>0</v>
      </c>
      <c r="H915" s="425">
        <v>0</v>
      </c>
      <c r="I915" s="425">
        <v>0</v>
      </c>
      <c r="J915" s="425">
        <v>0</v>
      </c>
      <c r="K915" s="425">
        <v>0</v>
      </c>
      <c r="L915" s="425">
        <v>0</v>
      </c>
      <c r="M915" s="425">
        <v>0</v>
      </c>
      <c r="N915" s="425">
        <v>0</v>
      </c>
      <c r="O915" s="425">
        <v>0</v>
      </c>
    </row>
    <row r="916" spans="3:15" hidden="1" x14ac:dyDescent="0.3">
      <c r="C916" t="s">
        <v>2295</v>
      </c>
      <c r="D916" t="s">
        <v>2267</v>
      </c>
      <c r="E916" t="s">
        <v>4048</v>
      </c>
      <c r="F916" t="s">
        <v>4049</v>
      </c>
      <c r="G916" s="425">
        <v>0</v>
      </c>
      <c r="H916" s="425">
        <v>0</v>
      </c>
      <c r="I916" s="425">
        <v>0</v>
      </c>
      <c r="J916" s="425">
        <v>0</v>
      </c>
      <c r="K916" s="425">
        <v>0</v>
      </c>
      <c r="L916" s="425">
        <v>0</v>
      </c>
      <c r="M916" s="425">
        <v>0</v>
      </c>
      <c r="N916" s="425">
        <v>0</v>
      </c>
      <c r="O916" s="425">
        <v>0</v>
      </c>
    </row>
    <row r="917" spans="3:15" hidden="1" x14ac:dyDescent="0.3">
      <c r="C917" t="s">
        <v>2295</v>
      </c>
      <c r="D917" t="s">
        <v>2267</v>
      </c>
      <c r="E917" t="s">
        <v>4050</v>
      </c>
      <c r="F917" t="s">
        <v>4051</v>
      </c>
      <c r="G917" s="425">
        <v>0</v>
      </c>
      <c r="H917" s="425">
        <v>0</v>
      </c>
      <c r="I917" s="425">
        <v>0</v>
      </c>
      <c r="J917" s="425">
        <v>0</v>
      </c>
      <c r="K917" s="425">
        <v>0</v>
      </c>
      <c r="L917" s="425">
        <v>0</v>
      </c>
      <c r="M917" s="425">
        <v>0</v>
      </c>
      <c r="N917" s="425">
        <v>0</v>
      </c>
      <c r="O917" s="425">
        <v>0</v>
      </c>
    </row>
    <row r="918" spans="3:15" hidden="1" x14ac:dyDescent="0.3">
      <c r="C918" t="s">
        <v>2295</v>
      </c>
      <c r="D918" t="s">
        <v>2267</v>
      </c>
      <c r="E918" t="s">
        <v>4052</v>
      </c>
      <c r="F918" t="s">
        <v>4053</v>
      </c>
      <c r="G918" s="425">
        <v>0</v>
      </c>
      <c r="H918" s="425">
        <v>0</v>
      </c>
      <c r="I918" s="425">
        <v>0</v>
      </c>
      <c r="J918" s="425">
        <v>0</v>
      </c>
      <c r="K918" s="425">
        <v>0</v>
      </c>
      <c r="L918" s="425">
        <v>0</v>
      </c>
      <c r="M918" s="425">
        <v>0</v>
      </c>
      <c r="N918" s="425">
        <v>0</v>
      </c>
      <c r="O918" s="425">
        <v>0</v>
      </c>
    </row>
    <row r="919" spans="3:15" hidden="1" x14ac:dyDescent="0.3">
      <c r="C919" t="s">
        <v>2295</v>
      </c>
      <c r="D919" t="s">
        <v>2267</v>
      </c>
      <c r="E919" t="s">
        <v>4054</v>
      </c>
      <c r="F919" t="s">
        <v>4055</v>
      </c>
      <c r="G919" s="425">
        <v>0</v>
      </c>
      <c r="H919" s="425">
        <v>0</v>
      </c>
      <c r="I919" s="425">
        <v>0</v>
      </c>
      <c r="J919" s="425">
        <v>0</v>
      </c>
      <c r="K919" s="425">
        <v>0</v>
      </c>
      <c r="L919" s="425">
        <v>0</v>
      </c>
      <c r="M919" s="425">
        <v>0</v>
      </c>
      <c r="N919" s="425">
        <v>0</v>
      </c>
      <c r="O919" s="425">
        <v>0</v>
      </c>
    </row>
    <row r="920" spans="3:15" hidden="1" x14ac:dyDescent="0.3">
      <c r="C920" t="s">
        <v>2295</v>
      </c>
      <c r="D920" t="s">
        <v>2267</v>
      </c>
      <c r="E920" t="s">
        <v>4056</v>
      </c>
      <c r="F920" t="s">
        <v>4057</v>
      </c>
      <c r="G920" s="425">
        <v>0</v>
      </c>
      <c r="H920" s="425">
        <v>0</v>
      </c>
      <c r="I920" s="425">
        <v>0</v>
      </c>
      <c r="J920" s="425">
        <v>0</v>
      </c>
      <c r="K920" s="425">
        <v>0</v>
      </c>
      <c r="L920" s="425">
        <v>0</v>
      </c>
      <c r="M920" s="425">
        <v>0</v>
      </c>
      <c r="N920" s="425">
        <v>0</v>
      </c>
      <c r="O920" s="425">
        <v>0</v>
      </c>
    </row>
    <row r="921" spans="3:15" hidden="1" x14ac:dyDescent="0.3">
      <c r="C921" t="s">
        <v>2295</v>
      </c>
      <c r="D921" t="s">
        <v>2267</v>
      </c>
      <c r="E921" t="s">
        <v>4058</v>
      </c>
      <c r="F921" t="s">
        <v>4059</v>
      </c>
      <c r="G921" s="425">
        <v>0</v>
      </c>
      <c r="H921" s="425">
        <v>0</v>
      </c>
      <c r="I921" s="425">
        <v>0</v>
      </c>
      <c r="J921" s="425">
        <v>0</v>
      </c>
      <c r="K921" s="425">
        <v>0</v>
      </c>
      <c r="L921" s="425">
        <v>0</v>
      </c>
      <c r="M921" s="425">
        <v>0</v>
      </c>
      <c r="N921" s="425">
        <v>0</v>
      </c>
      <c r="O921" s="425">
        <v>0</v>
      </c>
    </row>
    <row r="922" spans="3:15" hidden="1" x14ac:dyDescent="0.3">
      <c r="C922" t="s">
        <v>2295</v>
      </c>
      <c r="D922" t="s">
        <v>2267</v>
      </c>
      <c r="E922" t="s">
        <v>4060</v>
      </c>
      <c r="F922" t="s">
        <v>4061</v>
      </c>
      <c r="G922" s="425">
        <v>0</v>
      </c>
      <c r="H922" s="425">
        <v>0</v>
      </c>
      <c r="I922" s="425">
        <v>0</v>
      </c>
      <c r="J922" s="425">
        <v>0</v>
      </c>
      <c r="K922" s="425">
        <v>0</v>
      </c>
      <c r="L922" s="425">
        <v>0</v>
      </c>
      <c r="M922" s="425">
        <v>0</v>
      </c>
      <c r="N922" s="425">
        <v>0</v>
      </c>
      <c r="O922" s="425">
        <v>0</v>
      </c>
    </row>
    <row r="923" spans="3:15" hidden="1" x14ac:dyDescent="0.3">
      <c r="C923" t="s">
        <v>2295</v>
      </c>
      <c r="D923" t="s">
        <v>2267</v>
      </c>
      <c r="E923" t="s">
        <v>4062</v>
      </c>
      <c r="F923" t="s">
        <v>4063</v>
      </c>
      <c r="G923" s="425">
        <v>0</v>
      </c>
      <c r="H923" s="425">
        <v>0</v>
      </c>
      <c r="I923" s="425">
        <v>0</v>
      </c>
      <c r="J923" s="425">
        <v>0</v>
      </c>
      <c r="K923" s="425">
        <v>0</v>
      </c>
      <c r="L923" s="425">
        <v>0</v>
      </c>
      <c r="M923" s="425">
        <v>0</v>
      </c>
      <c r="N923" s="425">
        <v>0</v>
      </c>
      <c r="O923" s="425">
        <v>0</v>
      </c>
    </row>
    <row r="924" spans="3:15" hidden="1" x14ac:dyDescent="0.3">
      <c r="C924" t="s">
        <v>2295</v>
      </c>
      <c r="D924" t="s">
        <v>2267</v>
      </c>
      <c r="E924" t="s">
        <v>4064</v>
      </c>
      <c r="F924" t="s">
        <v>4065</v>
      </c>
      <c r="G924" s="425">
        <v>0</v>
      </c>
      <c r="H924" s="425">
        <v>0</v>
      </c>
      <c r="I924" s="425">
        <v>0</v>
      </c>
      <c r="J924" s="425">
        <v>0</v>
      </c>
      <c r="K924" s="425">
        <v>0</v>
      </c>
      <c r="L924" s="425">
        <v>0</v>
      </c>
      <c r="M924" s="425">
        <v>0</v>
      </c>
      <c r="N924" s="425">
        <v>0</v>
      </c>
      <c r="O924" s="425">
        <v>0</v>
      </c>
    </row>
    <row r="925" spans="3:15" hidden="1" x14ac:dyDescent="0.3">
      <c r="C925" t="s">
        <v>2295</v>
      </c>
      <c r="D925" t="s">
        <v>2267</v>
      </c>
      <c r="E925" t="s">
        <v>4066</v>
      </c>
      <c r="F925" t="s">
        <v>4067</v>
      </c>
      <c r="G925" s="425">
        <v>0</v>
      </c>
      <c r="H925" s="425">
        <v>0</v>
      </c>
      <c r="I925" s="425">
        <v>0</v>
      </c>
      <c r="J925" s="425">
        <v>0</v>
      </c>
      <c r="K925" s="425">
        <v>0</v>
      </c>
      <c r="L925" s="425">
        <v>0</v>
      </c>
      <c r="M925" s="425">
        <v>0</v>
      </c>
      <c r="N925" s="425">
        <v>0</v>
      </c>
      <c r="O925" s="425">
        <v>0</v>
      </c>
    </row>
    <row r="926" spans="3:15" hidden="1" x14ac:dyDescent="0.3">
      <c r="C926" t="s">
        <v>2295</v>
      </c>
      <c r="D926" t="s">
        <v>2267</v>
      </c>
      <c r="E926" t="s">
        <v>4068</v>
      </c>
      <c r="F926" t="s">
        <v>4069</v>
      </c>
      <c r="G926" s="425">
        <v>0</v>
      </c>
      <c r="H926" s="425">
        <v>0</v>
      </c>
      <c r="I926" s="425">
        <v>0</v>
      </c>
      <c r="J926" s="425">
        <v>0</v>
      </c>
      <c r="K926" s="425">
        <v>0</v>
      </c>
      <c r="L926" s="425">
        <v>0</v>
      </c>
      <c r="M926" s="425">
        <v>0</v>
      </c>
      <c r="N926" s="425">
        <v>0</v>
      </c>
      <c r="O926" s="425">
        <v>0</v>
      </c>
    </row>
    <row r="927" spans="3:15" hidden="1" x14ac:dyDescent="0.3">
      <c r="C927" t="s">
        <v>2295</v>
      </c>
      <c r="D927" t="s">
        <v>2267</v>
      </c>
      <c r="E927" t="s">
        <v>4070</v>
      </c>
      <c r="F927" t="s">
        <v>4071</v>
      </c>
      <c r="G927" s="425">
        <v>0</v>
      </c>
      <c r="H927" s="425">
        <v>0</v>
      </c>
      <c r="I927" s="425">
        <v>0</v>
      </c>
      <c r="J927" s="425">
        <v>0</v>
      </c>
      <c r="K927" s="425">
        <v>0</v>
      </c>
      <c r="L927" s="425">
        <v>0</v>
      </c>
      <c r="M927" s="425">
        <v>0</v>
      </c>
      <c r="N927" s="425">
        <v>0</v>
      </c>
      <c r="O927" s="425">
        <v>0</v>
      </c>
    </row>
    <row r="928" spans="3:15" hidden="1" x14ac:dyDescent="0.3">
      <c r="C928" t="s">
        <v>2295</v>
      </c>
      <c r="D928" t="s">
        <v>2267</v>
      </c>
      <c r="E928" t="s">
        <v>4072</v>
      </c>
      <c r="F928" t="s">
        <v>4073</v>
      </c>
      <c r="G928" s="425">
        <v>0</v>
      </c>
      <c r="H928" s="425">
        <v>0</v>
      </c>
      <c r="I928" s="425">
        <v>0</v>
      </c>
      <c r="J928" s="425">
        <v>0</v>
      </c>
      <c r="K928" s="425">
        <v>0</v>
      </c>
      <c r="L928" s="425">
        <v>0</v>
      </c>
      <c r="M928" s="425">
        <v>0</v>
      </c>
      <c r="N928" s="425">
        <v>0</v>
      </c>
      <c r="O928" s="425">
        <v>0</v>
      </c>
    </row>
    <row r="929" spans="3:15" hidden="1" x14ac:dyDescent="0.3">
      <c r="C929" t="s">
        <v>2295</v>
      </c>
      <c r="D929" t="s">
        <v>2267</v>
      </c>
      <c r="E929" t="s">
        <v>4074</v>
      </c>
      <c r="F929" t="s">
        <v>4075</v>
      </c>
      <c r="G929" s="425">
        <v>0</v>
      </c>
      <c r="H929" s="425">
        <v>0</v>
      </c>
      <c r="I929" s="425">
        <v>0</v>
      </c>
      <c r="J929" s="425">
        <v>0</v>
      </c>
      <c r="K929" s="425">
        <v>0</v>
      </c>
      <c r="L929" s="425">
        <v>0</v>
      </c>
      <c r="M929" s="425">
        <v>0</v>
      </c>
      <c r="N929" s="425">
        <v>0</v>
      </c>
      <c r="O929" s="425">
        <v>0</v>
      </c>
    </row>
    <row r="930" spans="3:15" hidden="1" x14ac:dyDescent="0.3">
      <c r="C930" t="s">
        <v>2295</v>
      </c>
      <c r="D930" t="s">
        <v>2267</v>
      </c>
      <c r="E930" t="s">
        <v>4076</v>
      </c>
      <c r="F930" t="s">
        <v>4077</v>
      </c>
      <c r="G930" s="425">
        <v>0</v>
      </c>
      <c r="H930" s="425">
        <v>0</v>
      </c>
      <c r="I930" s="425">
        <v>0</v>
      </c>
      <c r="J930" s="425">
        <v>0</v>
      </c>
      <c r="K930" s="425">
        <v>0</v>
      </c>
      <c r="L930" s="425">
        <v>0</v>
      </c>
      <c r="M930" s="425">
        <v>0</v>
      </c>
      <c r="N930" s="425">
        <v>0</v>
      </c>
      <c r="O930" s="425">
        <v>0</v>
      </c>
    </row>
    <row r="931" spans="3:15" hidden="1" x14ac:dyDescent="0.3">
      <c r="C931" t="s">
        <v>2295</v>
      </c>
      <c r="D931" t="s">
        <v>2267</v>
      </c>
      <c r="E931" t="s">
        <v>3817</v>
      </c>
      <c r="F931" t="s">
        <v>4078</v>
      </c>
      <c r="G931" s="425">
        <v>0</v>
      </c>
      <c r="H931" s="425">
        <v>0</v>
      </c>
      <c r="I931" s="425">
        <v>0</v>
      </c>
      <c r="J931" s="425">
        <v>0</v>
      </c>
      <c r="K931" s="425">
        <v>0</v>
      </c>
      <c r="L931" s="425">
        <v>0</v>
      </c>
      <c r="M931" s="425">
        <v>0</v>
      </c>
      <c r="N931" s="425">
        <v>0</v>
      </c>
      <c r="O931" s="425">
        <v>0</v>
      </c>
    </row>
    <row r="932" spans="3:15" hidden="1" x14ac:dyDescent="0.3">
      <c r="C932" t="s">
        <v>2295</v>
      </c>
      <c r="D932" t="s">
        <v>2267</v>
      </c>
      <c r="E932" t="s">
        <v>4079</v>
      </c>
      <c r="F932" t="s">
        <v>4080</v>
      </c>
      <c r="G932" s="425">
        <v>0</v>
      </c>
      <c r="H932" s="425">
        <v>0</v>
      </c>
      <c r="I932" s="425">
        <v>0</v>
      </c>
      <c r="J932" s="425">
        <v>0</v>
      </c>
      <c r="K932" s="425">
        <v>0</v>
      </c>
      <c r="L932" s="425">
        <v>0</v>
      </c>
      <c r="M932" s="425">
        <v>0</v>
      </c>
      <c r="N932" s="425">
        <v>0</v>
      </c>
      <c r="O932" s="425">
        <v>0</v>
      </c>
    </row>
    <row r="933" spans="3:15" hidden="1" x14ac:dyDescent="0.3">
      <c r="C933" t="s">
        <v>2295</v>
      </c>
      <c r="D933" t="s">
        <v>2267</v>
      </c>
      <c r="E933" t="s">
        <v>4081</v>
      </c>
      <c r="F933" t="s">
        <v>4082</v>
      </c>
      <c r="G933" s="425">
        <v>0</v>
      </c>
      <c r="H933" s="425">
        <v>0</v>
      </c>
      <c r="I933" s="425">
        <v>0</v>
      </c>
      <c r="J933" s="425">
        <v>0</v>
      </c>
      <c r="K933" s="425">
        <v>0</v>
      </c>
      <c r="L933" s="425">
        <v>0</v>
      </c>
      <c r="M933" s="425">
        <v>0</v>
      </c>
      <c r="N933" s="425">
        <v>0</v>
      </c>
      <c r="O933" s="425">
        <v>0</v>
      </c>
    </row>
    <row r="934" spans="3:15" hidden="1" x14ac:dyDescent="0.3">
      <c r="C934" t="s">
        <v>2295</v>
      </c>
      <c r="D934" t="s">
        <v>2267</v>
      </c>
      <c r="E934" t="s">
        <v>4083</v>
      </c>
      <c r="F934" t="s">
        <v>4084</v>
      </c>
      <c r="G934" s="425">
        <v>0</v>
      </c>
      <c r="H934" s="425">
        <v>0</v>
      </c>
      <c r="I934" s="425">
        <v>0</v>
      </c>
      <c r="J934" s="425">
        <v>0</v>
      </c>
      <c r="K934" s="425">
        <v>0</v>
      </c>
      <c r="L934" s="425">
        <v>0</v>
      </c>
      <c r="M934" s="425">
        <v>0</v>
      </c>
      <c r="N934" s="425">
        <v>0</v>
      </c>
      <c r="O934" s="425">
        <v>0</v>
      </c>
    </row>
    <row r="935" spans="3:15" hidden="1" x14ac:dyDescent="0.3">
      <c r="C935" t="s">
        <v>2295</v>
      </c>
      <c r="D935" t="s">
        <v>2267</v>
      </c>
      <c r="E935" t="s">
        <v>4085</v>
      </c>
      <c r="F935" t="s">
        <v>4086</v>
      </c>
      <c r="G935" s="425">
        <v>0</v>
      </c>
      <c r="H935" s="425">
        <v>0</v>
      </c>
      <c r="I935" s="425">
        <v>0</v>
      </c>
      <c r="J935" s="425">
        <v>0</v>
      </c>
      <c r="K935" s="425">
        <v>0</v>
      </c>
      <c r="L935" s="425">
        <v>0</v>
      </c>
      <c r="M935" s="425">
        <v>0</v>
      </c>
      <c r="N935" s="425">
        <v>0</v>
      </c>
      <c r="O935" s="425">
        <v>0</v>
      </c>
    </row>
    <row r="936" spans="3:15" hidden="1" x14ac:dyDescent="0.3">
      <c r="C936" t="s">
        <v>2295</v>
      </c>
      <c r="D936" t="s">
        <v>2267</v>
      </c>
      <c r="E936" t="s">
        <v>4087</v>
      </c>
      <c r="F936" t="s">
        <v>4088</v>
      </c>
      <c r="G936" s="425">
        <v>0</v>
      </c>
      <c r="H936" s="425">
        <v>0</v>
      </c>
      <c r="I936" s="425">
        <v>0</v>
      </c>
      <c r="J936" s="425">
        <v>0</v>
      </c>
      <c r="K936" s="425">
        <v>0</v>
      </c>
      <c r="L936" s="425">
        <v>0</v>
      </c>
      <c r="M936" s="425">
        <v>0</v>
      </c>
      <c r="N936" s="425">
        <v>0</v>
      </c>
      <c r="O936" s="425">
        <v>0</v>
      </c>
    </row>
    <row r="937" spans="3:15" hidden="1" x14ac:dyDescent="0.3">
      <c r="C937" t="s">
        <v>2295</v>
      </c>
      <c r="D937" t="s">
        <v>2267</v>
      </c>
      <c r="E937" t="s">
        <v>4089</v>
      </c>
      <c r="F937" t="s">
        <v>4090</v>
      </c>
      <c r="G937" s="425">
        <v>0</v>
      </c>
      <c r="H937" s="425">
        <v>0</v>
      </c>
      <c r="I937" s="425">
        <v>0</v>
      </c>
      <c r="J937" s="425">
        <v>0</v>
      </c>
      <c r="K937" s="425">
        <v>0</v>
      </c>
      <c r="L937" s="425">
        <v>0</v>
      </c>
      <c r="M937" s="425">
        <v>0</v>
      </c>
      <c r="N937" s="425">
        <v>0</v>
      </c>
      <c r="O937" s="425">
        <v>0</v>
      </c>
    </row>
    <row r="938" spans="3:15" hidden="1" x14ac:dyDescent="0.3">
      <c r="C938" t="s">
        <v>2295</v>
      </c>
      <c r="D938" t="s">
        <v>2267</v>
      </c>
      <c r="E938" t="s">
        <v>4091</v>
      </c>
      <c r="F938" t="s">
        <v>4092</v>
      </c>
      <c r="G938" s="425">
        <v>0</v>
      </c>
      <c r="H938" s="425">
        <v>0</v>
      </c>
      <c r="I938" s="425">
        <v>0</v>
      </c>
      <c r="J938" s="425">
        <v>0</v>
      </c>
      <c r="K938" s="425">
        <v>0</v>
      </c>
      <c r="L938" s="425">
        <v>0</v>
      </c>
      <c r="M938" s="425">
        <v>0</v>
      </c>
      <c r="N938" s="425">
        <v>0</v>
      </c>
      <c r="O938" s="425">
        <v>0</v>
      </c>
    </row>
    <row r="939" spans="3:15" hidden="1" x14ac:dyDescent="0.3">
      <c r="C939" t="s">
        <v>2295</v>
      </c>
      <c r="D939" t="s">
        <v>2267</v>
      </c>
      <c r="E939" t="s">
        <v>4093</v>
      </c>
      <c r="F939" t="s">
        <v>4094</v>
      </c>
      <c r="G939" s="425">
        <v>0</v>
      </c>
      <c r="H939" s="425">
        <v>0</v>
      </c>
      <c r="I939" s="425">
        <v>0</v>
      </c>
      <c r="J939" s="425">
        <v>0</v>
      </c>
      <c r="K939" s="425">
        <v>0</v>
      </c>
      <c r="L939" s="425">
        <v>0</v>
      </c>
      <c r="M939" s="425">
        <v>0</v>
      </c>
      <c r="N939" s="425">
        <v>0</v>
      </c>
      <c r="O939" s="425">
        <v>0</v>
      </c>
    </row>
    <row r="940" spans="3:15" hidden="1" x14ac:dyDescent="0.3">
      <c r="C940" t="s">
        <v>2295</v>
      </c>
      <c r="D940" t="s">
        <v>2267</v>
      </c>
      <c r="E940" t="s">
        <v>4095</v>
      </c>
      <c r="F940" t="s">
        <v>4096</v>
      </c>
      <c r="G940" s="425">
        <v>0</v>
      </c>
      <c r="H940" s="425">
        <v>0</v>
      </c>
      <c r="I940" s="425">
        <v>0</v>
      </c>
      <c r="J940" s="425">
        <v>0</v>
      </c>
      <c r="K940" s="425">
        <v>0</v>
      </c>
      <c r="L940" s="425">
        <v>0</v>
      </c>
      <c r="M940" s="425">
        <v>0</v>
      </c>
      <c r="N940" s="425">
        <v>0</v>
      </c>
      <c r="O940" s="425">
        <v>0</v>
      </c>
    </row>
    <row r="941" spans="3:15" hidden="1" x14ac:dyDescent="0.3">
      <c r="C941" t="s">
        <v>2295</v>
      </c>
      <c r="D941" t="s">
        <v>2267</v>
      </c>
      <c r="E941" t="s">
        <v>4097</v>
      </c>
      <c r="F941" t="s">
        <v>4098</v>
      </c>
      <c r="G941" s="425">
        <v>0</v>
      </c>
      <c r="H941" s="425">
        <v>0</v>
      </c>
      <c r="I941" s="425">
        <v>0</v>
      </c>
      <c r="J941" s="425">
        <v>0</v>
      </c>
      <c r="K941" s="425">
        <v>0</v>
      </c>
      <c r="L941" s="425">
        <v>0</v>
      </c>
      <c r="M941" s="425">
        <v>0</v>
      </c>
      <c r="N941" s="425">
        <v>0</v>
      </c>
      <c r="O941" s="425">
        <v>0</v>
      </c>
    </row>
    <row r="942" spans="3:15" hidden="1" x14ac:dyDescent="0.3">
      <c r="C942" t="s">
        <v>2295</v>
      </c>
      <c r="D942" t="s">
        <v>2267</v>
      </c>
      <c r="E942" t="s">
        <v>4099</v>
      </c>
      <c r="F942" t="s">
        <v>4100</v>
      </c>
      <c r="G942" s="425">
        <v>0</v>
      </c>
      <c r="H942" s="425">
        <v>0</v>
      </c>
      <c r="I942" s="425">
        <v>0</v>
      </c>
      <c r="J942" s="425">
        <v>0</v>
      </c>
      <c r="K942" s="425">
        <v>0</v>
      </c>
      <c r="L942" s="425">
        <v>0</v>
      </c>
      <c r="M942" s="425">
        <v>0</v>
      </c>
      <c r="N942" s="425">
        <v>0</v>
      </c>
      <c r="O942" s="425">
        <v>0</v>
      </c>
    </row>
    <row r="943" spans="3:15" hidden="1" x14ac:dyDescent="0.3">
      <c r="C943" t="s">
        <v>2295</v>
      </c>
      <c r="D943" t="s">
        <v>2267</v>
      </c>
      <c r="E943" t="s">
        <v>4101</v>
      </c>
      <c r="F943" t="s">
        <v>4102</v>
      </c>
      <c r="G943" s="425">
        <v>0</v>
      </c>
      <c r="H943" s="425">
        <v>0</v>
      </c>
      <c r="I943" s="425">
        <v>0</v>
      </c>
      <c r="J943" s="425">
        <v>0</v>
      </c>
      <c r="K943" s="425">
        <v>0</v>
      </c>
      <c r="L943" s="425">
        <v>0</v>
      </c>
      <c r="M943" s="425">
        <v>0</v>
      </c>
      <c r="N943" s="425">
        <v>0</v>
      </c>
      <c r="O943" s="425">
        <v>0</v>
      </c>
    </row>
    <row r="944" spans="3:15" hidden="1" x14ac:dyDescent="0.3">
      <c r="C944" t="s">
        <v>2295</v>
      </c>
      <c r="D944" t="s">
        <v>2267</v>
      </c>
      <c r="E944" t="s">
        <v>4103</v>
      </c>
      <c r="F944" t="s">
        <v>4104</v>
      </c>
      <c r="G944" s="425">
        <v>0</v>
      </c>
      <c r="H944" s="425">
        <v>0</v>
      </c>
      <c r="I944" s="425">
        <v>0</v>
      </c>
      <c r="J944" s="425">
        <v>0</v>
      </c>
      <c r="K944" s="425">
        <v>0</v>
      </c>
      <c r="L944" s="425">
        <v>0</v>
      </c>
      <c r="M944" s="425">
        <v>0</v>
      </c>
      <c r="N944" s="425">
        <v>0</v>
      </c>
      <c r="O944" s="425">
        <v>0</v>
      </c>
    </row>
    <row r="945" spans="3:15" hidden="1" x14ac:dyDescent="0.3">
      <c r="C945" t="s">
        <v>2295</v>
      </c>
      <c r="D945" t="s">
        <v>2267</v>
      </c>
      <c r="E945" t="s">
        <v>4105</v>
      </c>
      <c r="F945" t="s">
        <v>4106</v>
      </c>
      <c r="G945" s="425">
        <v>0</v>
      </c>
      <c r="H945" s="425">
        <v>0</v>
      </c>
      <c r="I945" s="425">
        <v>0</v>
      </c>
      <c r="J945" s="425">
        <v>0</v>
      </c>
      <c r="K945" s="425">
        <v>0</v>
      </c>
      <c r="L945" s="425">
        <v>0</v>
      </c>
      <c r="M945" s="425">
        <v>0</v>
      </c>
      <c r="N945" s="425">
        <v>0</v>
      </c>
      <c r="O945" s="425">
        <v>0</v>
      </c>
    </row>
    <row r="946" spans="3:15" hidden="1" x14ac:dyDescent="0.3">
      <c r="C946" t="s">
        <v>2295</v>
      </c>
      <c r="D946" t="s">
        <v>2267</v>
      </c>
      <c r="E946" t="s">
        <v>4107</v>
      </c>
      <c r="F946" t="s">
        <v>4108</v>
      </c>
      <c r="G946" s="425">
        <v>0</v>
      </c>
      <c r="H946" s="425">
        <v>0</v>
      </c>
      <c r="I946" s="425">
        <v>0</v>
      </c>
      <c r="J946" s="425">
        <v>0</v>
      </c>
      <c r="K946" s="425">
        <v>0</v>
      </c>
      <c r="L946" s="425">
        <v>0</v>
      </c>
      <c r="M946" s="425">
        <v>0</v>
      </c>
      <c r="N946" s="425">
        <v>0</v>
      </c>
      <c r="O946" s="425">
        <v>0</v>
      </c>
    </row>
    <row r="947" spans="3:15" hidden="1" x14ac:dyDescent="0.3">
      <c r="C947" t="s">
        <v>2295</v>
      </c>
      <c r="D947" t="s">
        <v>2267</v>
      </c>
      <c r="E947" t="s">
        <v>4109</v>
      </c>
      <c r="F947" t="s">
        <v>4110</v>
      </c>
      <c r="G947" s="425">
        <v>0</v>
      </c>
      <c r="H947" s="425">
        <v>0</v>
      </c>
      <c r="I947" s="425">
        <v>0</v>
      </c>
      <c r="J947" s="425">
        <v>0</v>
      </c>
      <c r="K947" s="425">
        <v>0</v>
      </c>
      <c r="L947" s="425">
        <v>0</v>
      </c>
      <c r="M947" s="425">
        <v>0</v>
      </c>
      <c r="N947" s="425">
        <v>0</v>
      </c>
      <c r="O947" s="425">
        <v>0</v>
      </c>
    </row>
    <row r="948" spans="3:15" hidden="1" x14ac:dyDescent="0.3">
      <c r="C948" t="s">
        <v>2295</v>
      </c>
      <c r="D948" t="s">
        <v>2267</v>
      </c>
      <c r="E948" t="s">
        <v>4111</v>
      </c>
      <c r="F948" t="s">
        <v>4112</v>
      </c>
      <c r="G948" s="425">
        <v>0</v>
      </c>
      <c r="H948" s="425">
        <v>0</v>
      </c>
      <c r="I948" s="425">
        <v>0</v>
      </c>
      <c r="J948" s="425">
        <v>0</v>
      </c>
      <c r="K948" s="425">
        <v>0</v>
      </c>
      <c r="L948" s="425">
        <v>0</v>
      </c>
      <c r="M948" s="425">
        <v>0</v>
      </c>
      <c r="N948" s="425">
        <v>0</v>
      </c>
      <c r="O948" s="425">
        <v>0</v>
      </c>
    </row>
    <row r="949" spans="3:15" hidden="1" x14ac:dyDescent="0.3">
      <c r="C949" t="s">
        <v>2295</v>
      </c>
      <c r="D949" t="s">
        <v>2267</v>
      </c>
      <c r="E949" t="s">
        <v>4113</v>
      </c>
      <c r="F949" t="s">
        <v>4114</v>
      </c>
      <c r="G949" s="425">
        <v>0</v>
      </c>
      <c r="H949" s="425">
        <v>0</v>
      </c>
      <c r="I949" s="425">
        <v>0</v>
      </c>
      <c r="J949" s="425">
        <v>0</v>
      </c>
      <c r="K949" s="425">
        <v>0</v>
      </c>
      <c r="L949" s="425">
        <v>0</v>
      </c>
      <c r="M949" s="425">
        <v>0</v>
      </c>
      <c r="N949" s="425">
        <v>0</v>
      </c>
      <c r="O949" s="425">
        <v>0</v>
      </c>
    </row>
    <row r="950" spans="3:15" hidden="1" x14ac:dyDescent="0.3">
      <c r="C950" t="s">
        <v>2295</v>
      </c>
      <c r="D950" t="s">
        <v>2267</v>
      </c>
      <c r="E950" t="s">
        <v>4115</v>
      </c>
      <c r="F950" t="s">
        <v>4116</v>
      </c>
      <c r="G950" s="425">
        <v>0</v>
      </c>
      <c r="H950" s="425">
        <v>0</v>
      </c>
      <c r="I950" s="425">
        <v>0</v>
      </c>
      <c r="J950" s="425">
        <v>0</v>
      </c>
      <c r="K950" s="425">
        <v>0</v>
      </c>
      <c r="L950" s="425">
        <v>0</v>
      </c>
      <c r="M950" s="425">
        <v>0</v>
      </c>
      <c r="N950" s="425">
        <v>0</v>
      </c>
      <c r="O950" s="425">
        <v>0</v>
      </c>
    </row>
    <row r="951" spans="3:15" hidden="1" x14ac:dyDescent="0.3">
      <c r="C951" t="s">
        <v>2295</v>
      </c>
      <c r="D951" t="s">
        <v>2267</v>
      </c>
      <c r="E951" t="s">
        <v>4117</v>
      </c>
      <c r="F951" t="s">
        <v>4118</v>
      </c>
      <c r="G951" s="425">
        <v>0</v>
      </c>
      <c r="H951" s="425">
        <v>0</v>
      </c>
      <c r="I951" s="425">
        <v>0</v>
      </c>
      <c r="J951" s="425">
        <v>0</v>
      </c>
      <c r="K951" s="425">
        <v>0</v>
      </c>
      <c r="L951" s="425">
        <v>0</v>
      </c>
      <c r="M951" s="425">
        <v>0</v>
      </c>
      <c r="N951" s="425">
        <v>0</v>
      </c>
      <c r="O951" s="425">
        <v>0</v>
      </c>
    </row>
    <row r="952" spans="3:15" hidden="1" x14ac:dyDescent="0.3">
      <c r="C952" t="s">
        <v>2295</v>
      </c>
      <c r="D952" t="s">
        <v>2267</v>
      </c>
      <c r="E952" t="s">
        <v>4119</v>
      </c>
      <c r="F952" t="s">
        <v>4120</v>
      </c>
      <c r="G952" s="425">
        <v>0</v>
      </c>
      <c r="H952" s="425">
        <v>0</v>
      </c>
      <c r="I952" s="425">
        <v>0</v>
      </c>
      <c r="J952" s="425">
        <v>0</v>
      </c>
      <c r="K952" s="425">
        <v>0</v>
      </c>
      <c r="L952" s="425">
        <v>0</v>
      </c>
      <c r="M952" s="425">
        <v>0</v>
      </c>
      <c r="N952" s="425">
        <v>0</v>
      </c>
      <c r="O952" s="425">
        <v>0</v>
      </c>
    </row>
    <row r="953" spans="3:15" hidden="1" x14ac:dyDescent="0.3">
      <c r="C953" t="s">
        <v>2295</v>
      </c>
      <c r="D953" t="s">
        <v>2267</v>
      </c>
      <c r="E953" t="s">
        <v>4121</v>
      </c>
      <c r="F953" t="s">
        <v>4122</v>
      </c>
      <c r="G953" s="425">
        <v>0</v>
      </c>
      <c r="H953" s="425">
        <v>0</v>
      </c>
      <c r="I953" s="425">
        <v>0</v>
      </c>
      <c r="J953" s="425">
        <v>0</v>
      </c>
      <c r="K953" s="425">
        <v>0</v>
      </c>
      <c r="L953" s="425">
        <v>0</v>
      </c>
      <c r="M953" s="425">
        <v>0</v>
      </c>
      <c r="N953" s="425">
        <v>0</v>
      </c>
      <c r="O953" s="425">
        <v>0</v>
      </c>
    </row>
    <row r="954" spans="3:15" hidden="1" x14ac:dyDescent="0.3">
      <c r="C954" t="s">
        <v>2295</v>
      </c>
      <c r="D954" t="s">
        <v>2267</v>
      </c>
      <c r="E954" t="s">
        <v>4123</v>
      </c>
      <c r="F954" t="s">
        <v>4124</v>
      </c>
      <c r="G954" s="425">
        <v>0</v>
      </c>
      <c r="H954" s="425">
        <v>0</v>
      </c>
      <c r="I954" s="425">
        <v>0</v>
      </c>
      <c r="J954" s="425">
        <v>0</v>
      </c>
      <c r="K954" s="425">
        <v>0</v>
      </c>
      <c r="L954" s="425">
        <v>0</v>
      </c>
      <c r="M954" s="425">
        <v>0</v>
      </c>
      <c r="N954" s="425">
        <v>0</v>
      </c>
      <c r="O954" s="425">
        <v>0</v>
      </c>
    </row>
    <row r="955" spans="3:15" hidden="1" x14ac:dyDescent="0.3">
      <c r="C955" t="s">
        <v>2295</v>
      </c>
      <c r="D955" t="s">
        <v>2267</v>
      </c>
      <c r="E955" t="s">
        <v>4125</v>
      </c>
      <c r="F955" t="s">
        <v>4126</v>
      </c>
      <c r="G955" s="425">
        <v>0</v>
      </c>
      <c r="H955" s="425">
        <v>0</v>
      </c>
      <c r="I955" s="425">
        <v>0</v>
      </c>
      <c r="J955" s="425">
        <v>0</v>
      </c>
      <c r="K955" s="425">
        <v>0</v>
      </c>
      <c r="L955" s="425">
        <v>0</v>
      </c>
      <c r="M955" s="425">
        <v>0</v>
      </c>
      <c r="N955" s="425">
        <v>0</v>
      </c>
      <c r="O955" s="425">
        <v>0</v>
      </c>
    </row>
    <row r="956" spans="3:15" hidden="1" x14ac:dyDescent="0.3">
      <c r="C956" t="s">
        <v>2295</v>
      </c>
      <c r="D956" t="s">
        <v>2267</v>
      </c>
      <c r="E956" t="s">
        <v>4127</v>
      </c>
      <c r="F956" t="s">
        <v>4128</v>
      </c>
      <c r="G956" s="425">
        <v>0</v>
      </c>
      <c r="H956" s="425">
        <v>0</v>
      </c>
      <c r="I956" s="425">
        <v>0</v>
      </c>
      <c r="J956" s="425">
        <v>0</v>
      </c>
      <c r="K956" s="425">
        <v>0</v>
      </c>
      <c r="L956" s="425">
        <v>0</v>
      </c>
      <c r="M956" s="425">
        <v>0</v>
      </c>
      <c r="N956" s="425">
        <v>0</v>
      </c>
      <c r="O956" s="425">
        <v>0</v>
      </c>
    </row>
    <row r="957" spans="3:15" hidden="1" x14ac:dyDescent="0.3">
      <c r="C957" t="s">
        <v>2295</v>
      </c>
      <c r="D957" t="s">
        <v>2267</v>
      </c>
      <c r="E957" t="s">
        <v>4129</v>
      </c>
      <c r="F957" t="s">
        <v>4130</v>
      </c>
      <c r="G957" s="425">
        <v>0</v>
      </c>
      <c r="H957" s="425">
        <v>0</v>
      </c>
      <c r="I957" s="425">
        <v>0</v>
      </c>
      <c r="J957" s="425">
        <v>0</v>
      </c>
      <c r="K957" s="425">
        <v>0</v>
      </c>
      <c r="L957" s="425">
        <v>0</v>
      </c>
      <c r="M957" s="425">
        <v>0</v>
      </c>
      <c r="N957" s="425">
        <v>0</v>
      </c>
      <c r="O957" s="425">
        <v>0</v>
      </c>
    </row>
    <row r="958" spans="3:15" hidden="1" x14ac:dyDescent="0.3">
      <c r="C958" t="s">
        <v>2295</v>
      </c>
      <c r="D958" t="s">
        <v>2267</v>
      </c>
      <c r="E958" t="s">
        <v>4131</v>
      </c>
      <c r="F958" t="s">
        <v>4132</v>
      </c>
      <c r="G958" s="425">
        <v>0</v>
      </c>
      <c r="H958" s="425">
        <v>0</v>
      </c>
      <c r="I958" s="425">
        <v>0</v>
      </c>
      <c r="J958" s="425">
        <v>0</v>
      </c>
      <c r="K958" s="425">
        <v>0</v>
      </c>
      <c r="L958" s="425">
        <v>0</v>
      </c>
      <c r="M958" s="425">
        <v>0</v>
      </c>
      <c r="N958" s="425">
        <v>0</v>
      </c>
      <c r="O958" s="425">
        <v>0</v>
      </c>
    </row>
    <row r="959" spans="3:15" hidden="1" x14ac:dyDescent="0.3">
      <c r="C959" t="s">
        <v>2295</v>
      </c>
      <c r="D959" t="s">
        <v>2267</v>
      </c>
      <c r="E959" t="s">
        <v>4133</v>
      </c>
      <c r="F959" t="s">
        <v>4134</v>
      </c>
      <c r="G959" s="425">
        <v>0</v>
      </c>
      <c r="H959" s="425">
        <v>0</v>
      </c>
      <c r="I959" s="425">
        <v>0</v>
      </c>
      <c r="J959" s="425">
        <v>0</v>
      </c>
      <c r="K959" s="425">
        <v>0</v>
      </c>
      <c r="L959" s="425">
        <v>0</v>
      </c>
      <c r="M959" s="425">
        <v>0</v>
      </c>
      <c r="N959" s="425">
        <v>0</v>
      </c>
      <c r="O959" s="425">
        <v>0</v>
      </c>
    </row>
    <row r="960" spans="3:15" hidden="1" x14ac:dyDescent="0.3">
      <c r="C960" t="s">
        <v>2295</v>
      </c>
      <c r="D960" t="s">
        <v>2267</v>
      </c>
      <c r="E960" t="s">
        <v>4135</v>
      </c>
      <c r="F960" t="s">
        <v>4136</v>
      </c>
      <c r="G960" s="425">
        <v>0</v>
      </c>
      <c r="H960" s="425">
        <v>0</v>
      </c>
      <c r="I960" s="425">
        <v>0</v>
      </c>
      <c r="J960" s="425">
        <v>0</v>
      </c>
      <c r="K960" s="425">
        <v>0</v>
      </c>
      <c r="L960" s="425">
        <v>0</v>
      </c>
      <c r="M960" s="425">
        <v>0</v>
      </c>
      <c r="N960" s="425">
        <v>0</v>
      </c>
      <c r="O960" s="425">
        <v>0</v>
      </c>
    </row>
    <row r="961" spans="3:15" hidden="1" x14ac:dyDescent="0.3">
      <c r="C961" t="s">
        <v>2295</v>
      </c>
      <c r="D961" t="s">
        <v>2267</v>
      </c>
      <c r="E961" t="s">
        <v>4137</v>
      </c>
      <c r="F961" t="s">
        <v>4138</v>
      </c>
      <c r="G961" s="425">
        <v>0</v>
      </c>
      <c r="H961" s="425">
        <v>0</v>
      </c>
      <c r="I961" s="425">
        <v>0</v>
      </c>
      <c r="J961" s="425">
        <v>0</v>
      </c>
      <c r="K961" s="425">
        <v>0</v>
      </c>
      <c r="L961" s="425">
        <v>0</v>
      </c>
      <c r="M961" s="425">
        <v>0</v>
      </c>
      <c r="N961" s="425">
        <v>0</v>
      </c>
      <c r="O961" s="425">
        <v>0</v>
      </c>
    </row>
    <row r="962" spans="3:15" hidden="1" x14ac:dyDescent="0.3">
      <c r="C962" t="s">
        <v>2295</v>
      </c>
      <c r="D962" t="s">
        <v>2267</v>
      </c>
      <c r="E962" t="s">
        <v>4139</v>
      </c>
      <c r="F962" t="s">
        <v>4140</v>
      </c>
      <c r="G962" s="425">
        <v>619280</v>
      </c>
      <c r="H962" s="425">
        <v>0</v>
      </c>
      <c r="I962" s="425">
        <v>619280</v>
      </c>
      <c r="J962" s="425">
        <v>0</v>
      </c>
      <c r="K962" s="425">
        <v>0</v>
      </c>
      <c r="L962" s="425">
        <v>0</v>
      </c>
      <c r="M962" s="425">
        <v>0</v>
      </c>
      <c r="N962" s="425">
        <v>0</v>
      </c>
      <c r="O962" s="425">
        <v>0</v>
      </c>
    </row>
    <row r="963" spans="3:15" hidden="1" x14ac:dyDescent="0.3">
      <c r="C963" t="s">
        <v>2295</v>
      </c>
      <c r="D963" t="s">
        <v>2267</v>
      </c>
      <c r="E963" t="s">
        <v>4141</v>
      </c>
      <c r="F963" t="s">
        <v>4142</v>
      </c>
      <c r="G963" s="425">
        <v>0</v>
      </c>
      <c r="H963" s="425">
        <v>0</v>
      </c>
      <c r="I963" s="425">
        <v>0</v>
      </c>
      <c r="J963" s="425">
        <v>0</v>
      </c>
      <c r="K963" s="425">
        <v>0</v>
      </c>
      <c r="L963" s="425">
        <v>0</v>
      </c>
      <c r="M963" s="425">
        <v>0</v>
      </c>
      <c r="N963" s="425">
        <v>0</v>
      </c>
      <c r="O963" s="425">
        <v>0</v>
      </c>
    </row>
    <row r="964" spans="3:15" hidden="1" x14ac:dyDescent="0.3">
      <c r="C964" t="s">
        <v>2295</v>
      </c>
      <c r="D964" t="s">
        <v>2267</v>
      </c>
      <c r="E964" t="s">
        <v>4143</v>
      </c>
      <c r="F964" t="s">
        <v>4144</v>
      </c>
      <c r="G964" s="425">
        <v>0</v>
      </c>
      <c r="H964" s="425">
        <v>0</v>
      </c>
      <c r="I964" s="425">
        <v>0</v>
      </c>
      <c r="J964" s="425">
        <v>0</v>
      </c>
      <c r="K964" s="425">
        <v>0</v>
      </c>
      <c r="L964" s="425">
        <v>0</v>
      </c>
      <c r="M964" s="425">
        <v>0</v>
      </c>
      <c r="N964" s="425">
        <v>0</v>
      </c>
      <c r="O964" s="425">
        <v>0</v>
      </c>
    </row>
    <row r="965" spans="3:15" hidden="1" x14ac:dyDescent="0.3">
      <c r="C965" t="s">
        <v>2295</v>
      </c>
      <c r="D965" t="s">
        <v>2267</v>
      </c>
      <c r="E965" t="s">
        <v>4145</v>
      </c>
      <c r="F965" t="s">
        <v>4146</v>
      </c>
      <c r="G965" s="425">
        <v>0</v>
      </c>
      <c r="H965" s="425">
        <v>0</v>
      </c>
      <c r="I965" s="425">
        <v>0</v>
      </c>
      <c r="J965" s="425">
        <v>0</v>
      </c>
      <c r="K965" s="425">
        <v>0</v>
      </c>
      <c r="L965" s="425">
        <v>0</v>
      </c>
      <c r="M965" s="425">
        <v>0</v>
      </c>
      <c r="N965" s="425">
        <v>0</v>
      </c>
      <c r="O965" s="425">
        <v>0</v>
      </c>
    </row>
    <row r="966" spans="3:15" hidden="1" x14ac:dyDescent="0.3">
      <c r="C966" t="s">
        <v>2295</v>
      </c>
      <c r="D966" t="s">
        <v>2267</v>
      </c>
      <c r="E966" t="s">
        <v>4147</v>
      </c>
      <c r="F966" t="s">
        <v>4148</v>
      </c>
      <c r="G966" s="425">
        <v>0</v>
      </c>
      <c r="H966" s="425">
        <v>0</v>
      </c>
      <c r="I966" s="425">
        <v>0</v>
      </c>
      <c r="J966" s="425">
        <v>0</v>
      </c>
      <c r="K966" s="425">
        <v>0</v>
      </c>
      <c r="L966" s="425">
        <v>0</v>
      </c>
      <c r="M966" s="425">
        <v>0</v>
      </c>
      <c r="N966" s="425">
        <v>0</v>
      </c>
      <c r="O966" s="425">
        <v>0</v>
      </c>
    </row>
    <row r="967" spans="3:15" hidden="1" x14ac:dyDescent="0.3">
      <c r="C967" t="s">
        <v>2295</v>
      </c>
      <c r="D967" t="s">
        <v>2267</v>
      </c>
      <c r="E967" t="s">
        <v>4149</v>
      </c>
      <c r="F967" t="s">
        <v>4150</v>
      </c>
      <c r="G967" s="425">
        <v>0</v>
      </c>
      <c r="H967" s="425">
        <v>0</v>
      </c>
      <c r="I967" s="425">
        <v>0</v>
      </c>
      <c r="J967" s="425">
        <v>0</v>
      </c>
      <c r="K967" s="425">
        <v>0</v>
      </c>
      <c r="L967" s="425">
        <v>0</v>
      </c>
      <c r="M967" s="425">
        <v>0</v>
      </c>
      <c r="N967" s="425">
        <v>0</v>
      </c>
      <c r="O967" s="425">
        <v>0</v>
      </c>
    </row>
    <row r="968" spans="3:15" hidden="1" x14ac:dyDescent="0.3">
      <c r="C968" t="s">
        <v>2295</v>
      </c>
      <c r="D968" t="s">
        <v>2267</v>
      </c>
      <c r="E968" t="s">
        <v>4151</v>
      </c>
      <c r="F968" t="s">
        <v>4152</v>
      </c>
      <c r="G968" s="425">
        <v>0</v>
      </c>
      <c r="H968" s="425">
        <v>0</v>
      </c>
      <c r="I968" s="425">
        <v>0</v>
      </c>
      <c r="J968" s="425">
        <v>0</v>
      </c>
      <c r="K968" s="425">
        <v>0</v>
      </c>
      <c r="L968" s="425">
        <v>0</v>
      </c>
      <c r="M968" s="425">
        <v>0</v>
      </c>
      <c r="N968" s="425">
        <v>0</v>
      </c>
      <c r="O968" s="425">
        <v>0</v>
      </c>
    </row>
    <row r="969" spans="3:15" hidden="1" x14ac:dyDescent="0.3">
      <c r="C969" t="s">
        <v>2295</v>
      </c>
      <c r="D969" t="s">
        <v>2267</v>
      </c>
      <c r="E969" t="s">
        <v>4153</v>
      </c>
      <c r="F969" t="s">
        <v>4154</v>
      </c>
      <c r="G969" s="425">
        <v>0</v>
      </c>
      <c r="H969" s="425">
        <v>0</v>
      </c>
      <c r="I969" s="425">
        <v>0</v>
      </c>
      <c r="J969" s="425">
        <v>0</v>
      </c>
      <c r="K969" s="425">
        <v>0</v>
      </c>
      <c r="L969" s="425">
        <v>0</v>
      </c>
      <c r="M969" s="425">
        <v>0</v>
      </c>
      <c r="N969" s="425">
        <v>0</v>
      </c>
      <c r="O969" s="425">
        <v>0</v>
      </c>
    </row>
    <row r="970" spans="3:15" hidden="1" x14ac:dyDescent="0.3">
      <c r="C970" t="s">
        <v>2295</v>
      </c>
      <c r="D970" t="s">
        <v>2267</v>
      </c>
      <c r="E970" t="s">
        <v>4155</v>
      </c>
      <c r="F970" t="s">
        <v>4156</v>
      </c>
      <c r="G970" s="425">
        <v>0</v>
      </c>
      <c r="H970" s="425">
        <v>0</v>
      </c>
      <c r="I970" s="425">
        <v>0</v>
      </c>
      <c r="J970" s="425">
        <v>0</v>
      </c>
      <c r="K970" s="425">
        <v>0</v>
      </c>
      <c r="L970" s="425">
        <v>0</v>
      </c>
      <c r="M970" s="425">
        <v>0</v>
      </c>
      <c r="N970" s="425">
        <v>0</v>
      </c>
      <c r="O970" s="425">
        <v>0</v>
      </c>
    </row>
    <row r="971" spans="3:15" hidden="1" x14ac:dyDescent="0.3">
      <c r="C971" t="s">
        <v>2295</v>
      </c>
      <c r="D971" t="s">
        <v>2267</v>
      </c>
      <c r="E971" t="s">
        <v>4157</v>
      </c>
      <c r="F971" t="s">
        <v>4158</v>
      </c>
      <c r="G971" s="425">
        <v>0</v>
      </c>
      <c r="H971" s="425">
        <v>0</v>
      </c>
      <c r="I971" s="425">
        <v>0</v>
      </c>
      <c r="J971" s="425">
        <v>0</v>
      </c>
      <c r="K971" s="425">
        <v>0</v>
      </c>
      <c r="L971" s="425">
        <v>0</v>
      </c>
      <c r="M971" s="425">
        <v>0</v>
      </c>
      <c r="N971" s="425">
        <v>0</v>
      </c>
      <c r="O971" s="425">
        <v>0</v>
      </c>
    </row>
    <row r="972" spans="3:15" hidden="1" x14ac:dyDescent="0.3">
      <c r="C972" t="s">
        <v>2295</v>
      </c>
      <c r="D972" t="s">
        <v>2267</v>
      </c>
      <c r="E972" t="s">
        <v>4159</v>
      </c>
      <c r="F972" t="s">
        <v>4160</v>
      </c>
      <c r="G972" s="425">
        <v>0</v>
      </c>
      <c r="H972" s="425">
        <v>0</v>
      </c>
      <c r="I972" s="425">
        <v>0</v>
      </c>
      <c r="J972" s="425">
        <v>0</v>
      </c>
      <c r="K972" s="425">
        <v>0</v>
      </c>
      <c r="L972" s="425">
        <v>0</v>
      </c>
      <c r="M972" s="425">
        <v>0</v>
      </c>
      <c r="N972" s="425">
        <v>0</v>
      </c>
      <c r="O972" s="425">
        <v>0</v>
      </c>
    </row>
    <row r="973" spans="3:15" hidden="1" x14ac:dyDescent="0.3">
      <c r="C973" t="s">
        <v>2295</v>
      </c>
      <c r="D973" t="s">
        <v>2267</v>
      </c>
      <c r="E973" t="s">
        <v>4161</v>
      </c>
      <c r="F973" t="s">
        <v>4162</v>
      </c>
      <c r="G973" s="425">
        <v>0</v>
      </c>
      <c r="H973" s="425">
        <v>0</v>
      </c>
      <c r="I973" s="425">
        <v>0</v>
      </c>
      <c r="J973" s="425">
        <v>0</v>
      </c>
      <c r="K973" s="425">
        <v>0</v>
      </c>
      <c r="L973" s="425">
        <v>0</v>
      </c>
      <c r="M973" s="425">
        <v>0</v>
      </c>
      <c r="N973" s="425">
        <v>0</v>
      </c>
      <c r="O973" s="425">
        <v>0</v>
      </c>
    </row>
    <row r="974" spans="3:15" hidden="1" x14ac:dyDescent="0.3">
      <c r="C974" t="s">
        <v>2295</v>
      </c>
      <c r="D974" t="s">
        <v>2267</v>
      </c>
      <c r="E974" t="s">
        <v>4163</v>
      </c>
      <c r="F974" t="s">
        <v>4164</v>
      </c>
      <c r="G974" s="425">
        <v>0</v>
      </c>
      <c r="H974" s="425">
        <v>0</v>
      </c>
      <c r="I974" s="425">
        <v>0</v>
      </c>
      <c r="J974" s="425">
        <v>0</v>
      </c>
      <c r="K974" s="425">
        <v>0</v>
      </c>
      <c r="L974" s="425">
        <v>0</v>
      </c>
      <c r="M974" s="425">
        <v>0</v>
      </c>
      <c r="N974" s="425">
        <v>0</v>
      </c>
      <c r="O974" s="425">
        <v>0</v>
      </c>
    </row>
    <row r="975" spans="3:15" hidden="1" x14ac:dyDescent="0.3">
      <c r="C975" t="s">
        <v>2295</v>
      </c>
      <c r="D975" t="s">
        <v>2267</v>
      </c>
      <c r="E975" t="s">
        <v>4165</v>
      </c>
      <c r="F975" t="s">
        <v>4166</v>
      </c>
      <c r="G975" s="425">
        <v>0</v>
      </c>
      <c r="H975" s="425">
        <v>0</v>
      </c>
      <c r="I975" s="425">
        <v>0</v>
      </c>
      <c r="J975" s="425">
        <v>0</v>
      </c>
      <c r="K975" s="425">
        <v>0</v>
      </c>
      <c r="L975" s="425">
        <v>0</v>
      </c>
      <c r="M975" s="425">
        <v>0</v>
      </c>
      <c r="N975" s="425">
        <v>0</v>
      </c>
      <c r="O975" s="425">
        <v>0</v>
      </c>
    </row>
    <row r="976" spans="3:15" hidden="1" x14ac:dyDescent="0.3">
      <c r="C976" t="s">
        <v>2295</v>
      </c>
      <c r="D976" t="s">
        <v>2267</v>
      </c>
      <c r="E976" t="s">
        <v>4167</v>
      </c>
      <c r="F976" t="s">
        <v>4168</v>
      </c>
      <c r="G976" s="425">
        <v>0</v>
      </c>
      <c r="H976" s="425">
        <v>0</v>
      </c>
      <c r="I976" s="425">
        <v>0</v>
      </c>
      <c r="J976" s="425">
        <v>0</v>
      </c>
      <c r="K976" s="425">
        <v>0</v>
      </c>
      <c r="L976" s="425">
        <v>0</v>
      </c>
      <c r="M976" s="425">
        <v>0</v>
      </c>
      <c r="N976" s="425">
        <v>0</v>
      </c>
      <c r="O976" s="425">
        <v>0</v>
      </c>
    </row>
    <row r="977" spans="3:15" hidden="1" x14ac:dyDescent="0.3">
      <c r="C977" t="s">
        <v>2295</v>
      </c>
      <c r="D977" t="s">
        <v>2267</v>
      </c>
      <c r="E977" t="s">
        <v>4169</v>
      </c>
      <c r="F977" t="s">
        <v>4170</v>
      </c>
      <c r="G977" s="425">
        <v>0</v>
      </c>
      <c r="H977" s="425">
        <v>0</v>
      </c>
      <c r="I977" s="425">
        <v>0</v>
      </c>
      <c r="J977" s="425">
        <v>0</v>
      </c>
      <c r="K977" s="425">
        <v>0</v>
      </c>
      <c r="L977" s="425">
        <v>0</v>
      </c>
      <c r="M977" s="425">
        <v>0</v>
      </c>
      <c r="N977" s="425">
        <v>0</v>
      </c>
      <c r="O977" s="425">
        <v>0</v>
      </c>
    </row>
    <row r="978" spans="3:15" hidden="1" x14ac:dyDescent="0.3">
      <c r="C978" t="s">
        <v>2295</v>
      </c>
      <c r="D978" t="s">
        <v>2267</v>
      </c>
      <c r="E978" t="s">
        <v>4171</v>
      </c>
      <c r="F978" t="s">
        <v>4172</v>
      </c>
      <c r="G978" s="425">
        <v>0</v>
      </c>
      <c r="H978" s="425">
        <v>0</v>
      </c>
      <c r="I978" s="425">
        <v>0</v>
      </c>
      <c r="J978" s="425">
        <v>0</v>
      </c>
      <c r="K978" s="425">
        <v>0</v>
      </c>
      <c r="L978" s="425">
        <v>0</v>
      </c>
      <c r="M978" s="425">
        <v>0</v>
      </c>
      <c r="N978" s="425">
        <v>0</v>
      </c>
      <c r="O978" s="425">
        <v>0</v>
      </c>
    </row>
    <row r="979" spans="3:15" hidden="1" x14ac:dyDescent="0.3">
      <c r="C979" t="s">
        <v>2295</v>
      </c>
      <c r="D979" t="s">
        <v>2267</v>
      </c>
      <c r="E979" t="s">
        <v>4173</v>
      </c>
      <c r="F979" t="s">
        <v>4174</v>
      </c>
      <c r="G979" s="425">
        <v>0</v>
      </c>
      <c r="H979" s="425">
        <v>0</v>
      </c>
      <c r="I979" s="425">
        <v>0</v>
      </c>
      <c r="J979" s="425">
        <v>0</v>
      </c>
      <c r="K979" s="425">
        <v>0</v>
      </c>
      <c r="L979" s="425">
        <v>0</v>
      </c>
      <c r="M979" s="425">
        <v>0</v>
      </c>
      <c r="N979" s="425">
        <v>0</v>
      </c>
      <c r="O979" s="425">
        <v>0</v>
      </c>
    </row>
    <row r="980" spans="3:15" hidden="1" x14ac:dyDescent="0.3">
      <c r="C980" t="s">
        <v>2295</v>
      </c>
      <c r="D980" t="s">
        <v>2267</v>
      </c>
      <c r="E980" t="s">
        <v>4175</v>
      </c>
      <c r="F980" t="s">
        <v>4176</v>
      </c>
      <c r="G980" s="425">
        <v>0</v>
      </c>
      <c r="H980" s="425">
        <v>0</v>
      </c>
      <c r="I980" s="425">
        <v>0</v>
      </c>
      <c r="J980" s="425">
        <v>0</v>
      </c>
      <c r="K980" s="425">
        <v>0</v>
      </c>
      <c r="L980" s="425">
        <v>0</v>
      </c>
      <c r="M980" s="425">
        <v>0</v>
      </c>
      <c r="N980" s="425">
        <v>0</v>
      </c>
      <c r="O980" s="425">
        <v>0</v>
      </c>
    </row>
    <row r="981" spans="3:15" hidden="1" x14ac:dyDescent="0.3">
      <c r="C981" t="s">
        <v>2295</v>
      </c>
      <c r="D981" t="s">
        <v>2267</v>
      </c>
      <c r="E981" t="s">
        <v>4177</v>
      </c>
      <c r="F981" t="s">
        <v>4178</v>
      </c>
      <c r="G981" s="425">
        <v>0</v>
      </c>
      <c r="H981" s="425">
        <v>0</v>
      </c>
      <c r="I981" s="425">
        <v>0</v>
      </c>
      <c r="J981" s="425">
        <v>0</v>
      </c>
      <c r="K981" s="425">
        <v>0</v>
      </c>
      <c r="L981" s="425">
        <v>0</v>
      </c>
      <c r="M981" s="425">
        <v>0</v>
      </c>
      <c r="N981" s="425">
        <v>0</v>
      </c>
      <c r="O981" s="425">
        <v>0</v>
      </c>
    </row>
    <row r="982" spans="3:15" hidden="1" x14ac:dyDescent="0.3">
      <c r="C982" t="s">
        <v>2295</v>
      </c>
      <c r="D982" t="s">
        <v>2267</v>
      </c>
      <c r="E982" t="s">
        <v>4179</v>
      </c>
      <c r="F982" t="s">
        <v>4180</v>
      </c>
      <c r="G982" s="425">
        <v>0</v>
      </c>
      <c r="H982" s="425">
        <v>0</v>
      </c>
      <c r="I982" s="425">
        <v>0</v>
      </c>
      <c r="J982" s="425">
        <v>0</v>
      </c>
      <c r="K982" s="425">
        <v>0</v>
      </c>
      <c r="L982" s="425">
        <v>0</v>
      </c>
      <c r="M982" s="425">
        <v>0</v>
      </c>
      <c r="N982" s="425">
        <v>0</v>
      </c>
      <c r="O982" s="425">
        <v>0</v>
      </c>
    </row>
    <row r="983" spans="3:15" hidden="1" x14ac:dyDescent="0.3">
      <c r="C983" t="s">
        <v>2295</v>
      </c>
      <c r="D983" t="s">
        <v>2267</v>
      </c>
      <c r="E983" t="s">
        <v>4181</v>
      </c>
      <c r="F983" t="s">
        <v>4182</v>
      </c>
      <c r="G983" s="425">
        <v>0</v>
      </c>
      <c r="H983" s="425">
        <v>0</v>
      </c>
      <c r="I983" s="425">
        <v>0</v>
      </c>
      <c r="J983" s="425">
        <v>0</v>
      </c>
      <c r="K983" s="425">
        <v>0</v>
      </c>
      <c r="L983" s="425">
        <v>0</v>
      </c>
      <c r="M983" s="425">
        <v>0</v>
      </c>
      <c r="N983" s="425">
        <v>0</v>
      </c>
      <c r="O983" s="425">
        <v>0</v>
      </c>
    </row>
    <row r="984" spans="3:15" hidden="1" x14ac:dyDescent="0.3">
      <c r="C984" t="s">
        <v>2295</v>
      </c>
      <c r="D984" t="s">
        <v>2267</v>
      </c>
      <c r="E984" t="s">
        <v>4183</v>
      </c>
      <c r="F984" t="s">
        <v>4184</v>
      </c>
      <c r="G984" s="425">
        <v>0</v>
      </c>
      <c r="H984" s="425">
        <v>0</v>
      </c>
      <c r="I984" s="425">
        <v>0</v>
      </c>
      <c r="J984" s="425">
        <v>0</v>
      </c>
      <c r="K984" s="425">
        <v>0</v>
      </c>
      <c r="L984" s="425">
        <v>0</v>
      </c>
      <c r="M984" s="425">
        <v>0</v>
      </c>
      <c r="N984" s="425">
        <v>0</v>
      </c>
      <c r="O984" s="425">
        <v>0</v>
      </c>
    </row>
    <row r="985" spans="3:15" hidden="1" x14ac:dyDescent="0.3">
      <c r="C985" t="s">
        <v>2295</v>
      </c>
      <c r="D985" t="s">
        <v>2267</v>
      </c>
      <c r="E985" t="s">
        <v>4185</v>
      </c>
      <c r="F985" t="s">
        <v>4186</v>
      </c>
      <c r="G985" s="425">
        <v>0</v>
      </c>
      <c r="H985" s="425">
        <v>0</v>
      </c>
      <c r="I985" s="425">
        <v>0</v>
      </c>
      <c r="J985" s="425">
        <v>0</v>
      </c>
      <c r="K985" s="425">
        <v>0</v>
      </c>
      <c r="L985" s="425">
        <v>0</v>
      </c>
      <c r="M985" s="425">
        <v>0</v>
      </c>
      <c r="N985" s="425">
        <v>0</v>
      </c>
      <c r="O985" s="425">
        <v>0</v>
      </c>
    </row>
    <row r="986" spans="3:15" hidden="1" x14ac:dyDescent="0.3">
      <c r="C986" t="s">
        <v>2295</v>
      </c>
      <c r="D986" t="s">
        <v>2267</v>
      </c>
      <c r="E986" t="s">
        <v>4187</v>
      </c>
      <c r="F986" t="s">
        <v>4188</v>
      </c>
      <c r="G986" s="425">
        <v>0</v>
      </c>
      <c r="H986" s="425">
        <v>0</v>
      </c>
      <c r="I986" s="425">
        <v>0</v>
      </c>
      <c r="J986" s="425">
        <v>0</v>
      </c>
      <c r="K986" s="425">
        <v>0</v>
      </c>
      <c r="L986" s="425">
        <v>0</v>
      </c>
      <c r="M986" s="425">
        <v>0</v>
      </c>
      <c r="N986" s="425">
        <v>0</v>
      </c>
      <c r="O986" s="425">
        <v>0</v>
      </c>
    </row>
    <row r="987" spans="3:15" hidden="1" x14ac:dyDescent="0.3">
      <c r="C987" t="s">
        <v>2295</v>
      </c>
      <c r="D987" t="s">
        <v>2267</v>
      </c>
      <c r="E987" t="s">
        <v>4189</v>
      </c>
      <c r="F987" t="s">
        <v>4190</v>
      </c>
      <c r="G987" s="425">
        <v>0</v>
      </c>
      <c r="H987" s="425">
        <v>0</v>
      </c>
      <c r="I987" s="425">
        <v>0</v>
      </c>
      <c r="J987" s="425">
        <v>0</v>
      </c>
      <c r="K987" s="425">
        <v>0</v>
      </c>
      <c r="L987" s="425">
        <v>0</v>
      </c>
      <c r="M987" s="425">
        <v>0</v>
      </c>
      <c r="N987" s="425">
        <v>0</v>
      </c>
      <c r="O987" s="425">
        <v>0</v>
      </c>
    </row>
    <row r="988" spans="3:15" hidden="1" x14ac:dyDescent="0.3">
      <c r="C988" t="s">
        <v>2295</v>
      </c>
      <c r="D988" t="s">
        <v>2267</v>
      </c>
      <c r="E988" t="s">
        <v>4191</v>
      </c>
      <c r="F988" t="s">
        <v>4192</v>
      </c>
      <c r="G988" s="425">
        <v>0</v>
      </c>
      <c r="H988" s="425">
        <v>0</v>
      </c>
      <c r="I988" s="425">
        <v>0</v>
      </c>
      <c r="J988" s="425">
        <v>0</v>
      </c>
      <c r="K988" s="425">
        <v>0</v>
      </c>
      <c r="L988" s="425">
        <v>0</v>
      </c>
      <c r="M988" s="425">
        <v>0</v>
      </c>
      <c r="N988" s="425">
        <v>0</v>
      </c>
      <c r="O988" s="425">
        <v>0</v>
      </c>
    </row>
    <row r="989" spans="3:15" hidden="1" x14ac:dyDescent="0.3">
      <c r="C989" t="s">
        <v>2295</v>
      </c>
      <c r="D989" t="s">
        <v>2267</v>
      </c>
      <c r="E989" t="s">
        <v>4193</v>
      </c>
      <c r="F989" t="s">
        <v>4194</v>
      </c>
      <c r="G989" s="425">
        <v>0</v>
      </c>
      <c r="H989" s="425">
        <v>0</v>
      </c>
      <c r="I989" s="425">
        <v>0</v>
      </c>
      <c r="J989" s="425">
        <v>0</v>
      </c>
      <c r="K989" s="425">
        <v>0</v>
      </c>
      <c r="L989" s="425">
        <v>0</v>
      </c>
      <c r="M989" s="425">
        <v>0</v>
      </c>
      <c r="N989" s="425">
        <v>0</v>
      </c>
      <c r="O989" s="425">
        <v>0</v>
      </c>
    </row>
    <row r="990" spans="3:15" hidden="1" x14ac:dyDescent="0.3">
      <c r="C990" t="s">
        <v>2295</v>
      </c>
      <c r="D990" t="s">
        <v>2267</v>
      </c>
      <c r="E990" t="s">
        <v>4195</v>
      </c>
      <c r="F990" t="s">
        <v>4196</v>
      </c>
      <c r="G990" s="425">
        <v>0</v>
      </c>
      <c r="H990" s="425">
        <v>0</v>
      </c>
      <c r="I990" s="425">
        <v>0</v>
      </c>
      <c r="J990" s="425">
        <v>0</v>
      </c>
      <c r="K990" s="425">
        <v>0</v>
      </c>
      <c r="L990" s="425">
        <v>0</v>
      </c>
      <c r="M990" s="425">
        <v>0</v>
      </c>
      <c r="N990" s="425">
        <v>0</v>
      </c>
      <c r="O990" s="425">
        <v>0</v>
      </c>
    </row>
    <row r="991" spans="3:15" hidden="1" x14ac:dyDescent="0.3">
      <c r="C991" t="s">
        <v>2295</v>
      </c>
      <c r="D991" t="s">
        <v>2267</v>
      </c>
      <c r="E991" t="s">
        <v>4197</v>
      </c>
      <c r="F991" t="s">
        <v>4198</v>
      </c>
      <c r="G991" s="425">
        <v>0</v>
      </c>
      <c r="H991" s="425">
        <v>0</v>
      </c>
      <c r="I991" s="425">
        <v>0</v>
      </c>
      <c r="J991" s="425">
        <v>0</v>
      </c>
      <c r="K991" s="425">
        <v>0</v>
      </c>
      <c r="L991" s="425">
        <v>0</v>
      </c>
      <c r="M991" s="425">
        <v>0</v>
      </c>
      <c r="N991" s="425">
        <v>0</v>
      </c>
      <c r="O991" s="425">
        <v>0</v>
      </c>
    </row>
    <row r="992" spans="3:15" hidden="1" x14ac:dyDescent="0.3">
      <c r="C992" t="s">
        <v>2295</v>
      </c>
      <c r="D992" t="s">
        <v>2267</v>
      </c>
      <c r="E992" t="s">
        <v>4199</v>
      </c>
      <c r="F992" t="s">
        <v>4200</v>
      </c>
      <c r="G992" s="425">
        <v>0</v>
      </c>
      <c r="H992" s="425">
        <v>0</v>
      </c>
      <c r="I992" s="425">
        <v>0</v>
      </c>
      <c r="J992" s="425">
        <v>0</v>
      </c>
      <c r="K992" s="425">
        <v>0</v>
      </c>
      <c r="L992" s="425">
        <v>0</v>
      </c>
      <c r="M992" s="425">
        <v>0</v>
      </c>
      <c r="N992" s="425">
        <v>0</v>
      </c>
      <c r="O992" s="425">
        <v>0</v>
      </c>
    </row>
    <row r="993" spans="3:15" hidden="1" x14ac:dyDescent="0.3">
      <c r="C993" t="s">
        <v>2295</v>
      </c>
      <c r="D993" t="s">
        <v>2267</v>
      </c>
      <c r="E993" t="s">
        <v>4201</v>
      </c>
      <c r="F993" t="s">
        <v>4202</v>
      </c>
      <c r="G993" s="425">
        <v>0</v>
      </c>
      <c r="H993" s="425">
        <v>0</v>
      </c>
      <c r="I993" s="425">
        <v>0</v>
      </c>
      <c r="J993" s="425">
        <v>0</v>
      </c>
      <c r="K993" s="425">
        <v>0</v>
      </c>
      <c r="L993" s="425">
        <v>0</v>
      </c>
      <c r="M993" s="425">
        <v>0</v>
      </c>
      <c r="N993" s="425">
        <v>0</v>
      </c>
      <c r="O993" s="425">
        <v>0</v>
      </c>
    </row>
    <row r="994" spans="3:15" hidden="1" x14ac:dyDescent="0.3">
      <c r="C994" t="s">
        <v>2295</v>
      </c>
      <c r="D994" t="s">
        <v>2267</v>
      </c>
      <c r="E994" t="s">
        <v>4203</v>
      </c>
      <c r="F994" t="s">
        <v>4204</v>
      </c>
      <c r="G994" s="425">
        <v>0</v>
      </c>
      <c r="H994" s="425">
        <v>0</v>
      </c>
      <c r="I994" s="425">
        <v>0</v>
      </c>
      <c r="J994" s="425">
        <v>0</v>
      </c>
      <c r="K994" s="425">
        <v>0</v>
      </c>
      <c r="L994" s="425">
        <v>0</v>
      </c>
      <c r="M994" s="425">
        <v>0</v>
      </c>
      <c r="N994" s="425">
        <v>0</v>
      </c>
      <c r="O994" s="425">
        <v>0</v>
      </c>
    </row>
    <row r="995" spans="3:15" hidden="1" x14ac:dyDescent="0.3">
      <c r="C995" t="s">
        <v>2295</v>
      </c>
      <c r="D995" t="s">
        <v>2267</v>
      </c>
      <c r="E995" t="s">
        <v>4205</v>
      </c>
      <c r="F995" t="s">
        <v>4206</v>
      </c>
      <c r="G995" s="425">
        <v>0</v>
      </c>
      <c r="H995" s="425">
        <v>0</v>
      </c>
      <c r="I995" s="425">
        <v>0</v>
      </c>
      <c r="J995" s="425">
        <v>0</v>
      </c>
      <c r="K995" s="425">
        <v>0</v>
      </c>
      <c r="L995" s="425">
        <v>0</v>
      </c>
      <c r="M995" s="425">
        <v>0</v>
      </c>
      <c r="N995" s="425">
        <v>0</v>
      </c>
      <c r="O995" s="425">
        <v>0</v>
      </c>
    </row>
    <row r="996" spans="3:15" hidden="1" x14ac:dyDescent="0.3">
      <c r="C996" t="s">
        <v>2295</v>
      </c>
      <c r="D996" t="s">
        <v>2267</v>
      </c>
      <c r="E996" t="s">
        <v>4207</v>
      </c>
      <c r="F996" t="s">
        <v>4208</v>
      </c>
      <c r="G996" s="425">
        <v>0</v>
      </c>
      <c r="H996" s="425">
        <v>0</v>
      </c>
      <c r="I996" s="425">
        <v>0</v>
      </c>
      <c r="J996" s="425">
        <v>0</v>
      </c>
      <c r="K996" s="425">
        <v>0</v>
      </c>
      <c r="L996" s="425">
        <v>0</v>
      </c>
      <c r="M996" s="425">
        <v>0</v>
      </c>
      <c r="N996" s="425">
        <v>0</v>
      </c>
      <c r="O996" s="425">
        <v>0</v>
      </c>
    </row>
    <row r="997" spans="3:15" hidden="1" x14ac:dyDescent="0.3">
      <c r="C997" t="s">
        <v>2295</v>
      </c>
      <c r="D997" t="s">
        <v>2267</v>
      </c>
      <c r="E997" t="s">
        <v>4209</v>
      </c>
      <c r="F997" t="s">
        <v>4210</v>
      </c>
      <c r="G997" s="425">
        <v>0</v>
      </c>
      <c r="H997" s="425">
        <v>0</v>
      </c>
      <c r="I997" s="425">
        <v>0</v>
      </c>
      <c r="J997" s="425">
        <v>0</v>
      </c>
      <c r="K997" s="425">
        <v>0</v>
      </c>
      <c r="L997" s="425">
        <v>0</v>
      </c>
      <c r="M997" s="425">
        <v>0</v>
      </c>
      <c r="N997" s="425">
        <v>0</v>
      </c>
      <c r="O997" s="425">
        <v>0</v>
      </c>
    </row>
    <row r="998" spans="3:15" hidden="1" x14ac:dyDescent="0.3">
      <c r="C998" t="s">
        <v>2295</v>
      </c>
      <c r="D998" t="s">
        <v>2267</v>
      </c>
      <c r="E998" t="s">
        <v>4211</v>
      </c>
      <c r="F998" t="s">
        <v>4212</v>
      </c>
      <c r="G998" s="425">
        <v>0</v>
      </c>
      <c r="H998" s="425">
        <v>0</v>
      </c>
      <c r="I998" s="425">
        <v>0</v>
      </c>
      <c r="J998" s="425">
        <v>0</v>
      </c>
      <c r="K998" s="425">
        <v>0</v>
      </c>
      <c r="L998" s="425">
        <v>0</v>
      </c>
      <c r="M998" s="425">
        <v>0</v>
      </c>
      <c r="N998" s="425">
        <v>0</v>
      </c>
      <c r="O998" s="425">
        <v>0</v>
      </c>
    </row>
    <row r="999" spans="3:15" hidden="1" x14ac:dyDescent="0.3">
      <c r="C999" t="s">
        <v>2295</v>
      </c>
      <c r="D999" t="s">
        <v>2267</v>
      </c>
      <c r="E999" t="s">
        <v>4213</v>
      </c>
      <c r="F999" t="s">
        <v>4214</v>
      </c>
      <c r="G999" s="425">
        <v>0</v>
      </c>
      <c r="H999" s="425">
        <v>0</v>
      </c>
      <c r="I999" s="425">
        <v>0</v>
      </c>
      <c r="J999" s="425">
        <v>0</v>
      </c>
      <c r="K999" s="425">
        <v>0</v>
      </c>
      <c r="L999" s="425">
        <v>0</v>
      </c>
      <c r="M999" s="425">
        <v>0</v>
      </c>
      <c r="N999" s="425">
        <v>0</v>
      </c>
      <c r="O999" s="425">
        <v>0</v>
      </c>
    </row>
    <row r="1000" spans="3:15" hidden="1" x14ac:dyDescent="0.3">
      <c r="C1000" t="s">
        <v>2295</v>
      </c>
      <c r="D1000" t="s">
        <v>2267</v>
      </c>
      <c r="E1000" t="s">
        <v>4215</v>
      </c>
      <c r="F1000" t="s">
        <v>4216</v>
      </c>
      <c r="G1000" s="425">
        <v>0</v>
      </c>
      <c r="H1000" s="425">
        <v>0</v>
      </c>
      <c r="I1000" s="425">
        <v>0</v>
      </c>
      <c r="J1000" s="425">
        <v>0</v>
      </c>
      <c r="K1000" s="425">
        <v>0</v>
      </c>
      <c r="L1000" s="425">
        <v>0</v>
      </c>
      <c r="M1000" s="425">
        <v>0</v>
      </c>
      <c r="N1000" s="425">
        <v>0</v>
      </c>
      <c r="O1000" s="425">
        <v>0</v>
      </c>
    </row>
    <row r="1001" spans="3:15" hidden="1" x14ac:dyDescent="0.3">
      <c r="C1001" t="s">
        <v>2295</v>
      </c>
      <c r="D1001" t="s">
        <v>2267</v>
      </c>
      <c r="E1001" t="s">
        <v>4217</v>
      </c>
      <c r="F1001" t="s">
        <v>4218</v>
      </c>
      <c r="G1001" s="425">
        <v>0</v>
      </c>
      <c r="H1001" s="425">
        <v>0</v>
      </c>
      <c r="I1001" s="425">
        <v>0</v>
      </c>
      <c r="J1001" s="425">
        <v>0</v>
      </c>
      <c r="K1001" s="425">
        <v>0</v>
      </c>
      <c r="L1001" s="425">
        <v>0</v>
      </c>
      <c r="M1001" s="425">
        <v>0</v>
      </c>
      <c r="N1001" s="425">
        <v>0</v>
      </c>
      <c r="O1001" s="425">
        <v>0</v>
      </c>
    </row>
    <row r="1002" spans="3:15" hidden="1" x14ac:dyDescent="0.3">
      <c r="C1002" t="s">
        <v>2295</v>
      </c>
      <c r="D1002" t="s">
        <v>2267</v>
      </c>
      <c r="E1002" t="s">
        <v>4219</v>
      </c>
      <c r="F1002" t="s">
        <v>4220</v>
      </c>
      <c r="G1002" s="425">
        <v>0</v>
      </c>
      <c r="H1002" s="425">
        <v>0</v>
      </c>
      <c r="I1002" s="425">
        <v>0</v>
      </c>
      <c r="J1002" s="425">
        <v>0</v>
      </c>
      <c r="K1002" s="425">
        <v>0</v>
      </c>
      <c r="L1002" s="425">
        <v>0</v>
      </c>
      <c r="M1002" s="425">
        <v>0</v>
      </c>
      <c r="N1002" s="425">
        <v>0</v>
      </c>
      <c r="O1002" s="425">
        <v>0</v>
      </c>
    </row>
    <row r="1003" spans="3:15" hidden="1" x14ac:dyDescent="0.3">
      <c r="C1003" t="s">
        <v>2295</v>
      </c>
      <c r="D1003" t="s">
        <v>2267</v>
      </c>
      <c r="E1003" t="s">
        <v>4221</v>
      </c>
      <c r="F1003" t="s">
        <v>4222</v>
      </c>
      <c r="G1003" s="425">
        <v>0</v>
      </c>
      <c r="H1003" s="425">
        <v>0</v>
      </c>
      <c r="I1003" s="425">
        <v>0</v>
      </c>
      <c r="J1003" s="425">
        <v>0</v>
      </c>
      <c r="K1003" s="425">
        <v>0</v>
      </c>
      <c r="L1003" s="425">
        <v>0</v>
      </c>
      <c r="M1003" s="425">
        <v>0</v>
      </c>
      <c r="N1003" s="425">
        <v>0</v>
      </c>
      <c r="O1003" s="425">
        <v>0</v>
      </c>
    </row>
    <row r="1004" spans="3:15" hidden="1" x14ac:dyDescent="0.3">
      <c r="C1004" t="s">
        <v>2295</v>
      </c>
      <c r="D1004" t="s">
        <v>2267</v>
      </c>
      <c r="E1004" t="s">
        <v>4223</v>
      </c>
      <c r="F1004" t="s">
        <v>4224</v>
      </c>
      <c r="G1004" s="425">
        <v>0</v>
      </c>
      <c r="H1004" s="425">
        <v>0</v>
      </c>
      <c r="I1004" s="425">
        <v>0</v>
      </c>
      <c r="J1004" s="425">
        <v>0</v>
      </c>
      <c r="K1004" s="425">
        <v>0</v>
      </c>
      <c r="L1004" s="425">
        <v>0</v>
      </c>
      <c r="M1004" s="425">
        <v>0</v>
      </c>
      <c r="N1004" s="425">
        <v>0</v>
      </c>
      <c r="O1004" s="425">
        <v>0</v>
      </c>
    </row>
    <row r="1005" spans="3:15" hidden="1" x14ac:dyDescent="0.3">
      <c r="C1005" t="s">
        <v>2295</v>
      </c>
      <c r="D1005" t="s">
        <v>2267</v>
      </c>
      <c r="E1005" t="s">
        <v>4225</v>
      </c>
      <c r="F1005" t="s">
        <v>4226</v>
      </c>
      <c r="G1005" s="425">
        <v>0</v>
      </c>
      <c r="H1005" s="425">
        <v>0</v>
      </c>
      <c r="I1005" s="425">
        <v>0</v>
      </c>
      <c r="J1005" s="425">
        <v>0</v>
      </c>
      <c r="K1005" s="425">
        <v>0</v>
      </c>
      <c r="L1005" s="425">
        <v>0</v>
      </c>
      <c r="M1005" s="425">
        <v>0</v>
      </c>
      <c r="N1005" s="425">
        <v>0</v>
      </c>
      <c r="O1005" s="425">
        <v>0</v>
      </c>
    </row>
    <row r="1006" spans="3:15" hidden="1" x14ac:dyDescent="0.3">
      <c r="C1006" t="s">
        <v>2295</v>
      </c>
      <c r="D1006" t="s">
        <v>2267</v>
      </c>
      <c r="E1006" t="s">
        <v>4227</v>
      </c>
      <c r="F1006" t="s">
        <v>4228</v>
      </c>
      <c r="G1006" s="425">
        <v>0</v>
      </c>
      <c r="H1006" s="425">
        <v>0</v>
      </c>
      <c r="I1006" s="425">
        <v>0</v>
      </c>
      <c r="J1006" s="425">
        <v>0</v>
      </c>
      <c r="K1006" s="425">
        <v>0</v>
      </c>
      <c r="L1006" s="425">
        <v>0</v>
      </c>
      <c r="M1006" s="425">
        <v>0</v>
      </c>
      <c r="N1006" s="425">
        <v>0</v>
      </c>
      <c r="O1006" s="425">
        <v>0</v>
      </c>
    </row>
    <row r="1007" spans="3:15" hidden="1" x14ac:dyDescent="0.3">
      <c r="C1007" t="s">
        <v>2295</v>
      </c>
      <c r="D1007" t="s">
        <v>2267</v>
      </c>
      <c r="E1007" t="s">
        <v>4229</v>
      </c>
      <c r="F1007" t="s">
        <v>4230</v>
      </c>
      <c r="G1007" s="425">
        <v>0</v>
      </c>
      <c r="H1007" s="425">
        <v>0</v>
      </c>
      <c r="I1007" s="425">
        <v>0</v>
      </c>
      <c r="J1007" s="425">
        <v>0</v>
      </c>
      <c r="K1007" s="425">
        <v>0</v>
      </c>
      <c r="L1007" s="425">
        <v>0</v>
      </c>
      <c r="M1007" s="425">
        <v>0</v>
      </c>
      <c r="N1007" s="425">
        <v>0</v>
      </c>
      <c r="O1007" s="425">
        <v>0</v>
      </c>
    </row>
    <row r="1008" spans="3:15" hidden="1" x14ac:dyDescent="0.3">
      <c r="C1008" t="s">
        <v>2295</v>
      </c>
      <c r="D1008" t="s">
        <v>2267</v>
      </c>
      <c r="E1008" t="s">
        <v>4231</v>
      </c>
      <c r="F1008" t="s">
        <v>4232</v>
      </c>
      <c r="G1008" s="425">
        <v>0</v>
      </c>
      <c r="H1008" s="425">
        <v>0</v>
      </c>
      <c r="I1008" s="425">
        <v>0</v>
      </c>
      <c r="J1008" s="425">
        <v>0</v>
      </c>
      <c r="K1008" s="425">
        <v>0</v>
      </c>
      <c r="L1008" s="425">
        <v>0</v>
      </c>
      <c r="M1008" s="425">
        <v>0</v>
      </c>
      <c r="N1008" s="425">
        <v>0</v>
      </c>
      <c r="O1008" s="425">
        <v>0</v>
      </c>
    </row>
    <row r="1009" spans="3:15" hidden="1" x14ac:dyDescent="0.3">
      <c r="C1009" t="s">
        <v>2295</v>
      </c>
      <c r="D1009" t="s">
        <v>2267</v>
      </c>
      <c r="E1009" t="s">
        <v>4233</v>
      </c>
      <c r="F1009" t="s">
        <v>4234</v>
      </c>
      <c r="G1009" s="425">
        <v>0</v>
      </c>
      <c r="H1009" s="425">
        <v>0</v>
      </c>
      <c r="I1009" s="425">
        <v>0</v>
      </c>
      <c r="J1009" s="425">
        <v>0</v>
      </c>
      <c r="K1009" s="425">
        <v>0</v>
      </c>
      <c r="L1009" s="425">
        <v>0</v>
      </c>
      <c r="M1009" s="425">
        <v>0</v>
      </c>
      <c r="N1009" s="425">
        <v>0</v>
      </c>
      <c r="O1009" s="425">
        <v>0</v>
      </c>
    </row>
    <row r="1010" spans="3:15" hidden="1" x14ac:dyDescent="0.3">
      <c r="C1010" t="s">
        <v>2295</v>
      </c>
      <c r="D1010" t="s">
        <v>2267</v>
      </c>
      <c r="E1010" t="s">
        <v>4235</v>
      </c>
      <c r="F1010" t="s">
        <v>4236</v>
      </c>
      <c r="G1010" s="425">
        <v>0</v>
      </c>
      <c r="H1010" s="425">
        <v>0</v>
      </c>
      <c r="I1010" s="425">
        <v>0</v>
      </c>
      <c r="J1010" s="425">
        <v>0</v>
      </c>
      <c r="K1010" s="425">
        <v>0</v>
      </c>
      <c r="L1010" s="425">
        <v>0</v>
      </c>
      <c r="M1010" s="425">
        <v>0</v>
      </c>
      <c r="N1010" s="425">
        <v>0</v>
      </c>
      <c r="O1010" s="425">
        <v>0</v>
      </c>
    </row>
    <row r="1011" spans="3:15" hidden="1" x14ac:dyDescent="0.3">
      <c r="C1011" t="s">
        <v>2295</v>
      </c>
      <c r="D1011" t="s">
        <v>2267</v>
      </c>
      <c r="E1011" t="s">
        <v>4237</v>
      </c>
      <c r="F1011" t="s">
        <v>4238</v>
      </c>
      <c r="G1011" s="425">
        <v>0</v>
      </c>
      <c r="H1011" s="425">
        <v>0</v>
      </c>
      <c r="I1011" s="425">
        <v>0</v>
      </c>
      <c r="J1011" s="425">
        <v>0</v>
      </c>
      <c r="K1011" s="425">
        <v>0</v>
      </c>
      <c r="L1011" s="425">
        <v>0</v>
      </c>
      <c r="M1011" s="425">
        <v>0</v>
      </c>
      <c r="N1011" s="425">
        <v>0</v>
      </c>
      <c r="O1011" s="425">
        <v>0</v>
      </c>
    </row>
    <row r="1012" spans="3:15" hidden="1" x14ac:dyDescent="0.3">
      <c r="C1012" t="s">
        <v>2295</v>
      </c>
      <c r="D1012" t="s">
        <v>2267</v>
      </c>
      <c r="E1012" t="s">
        <v>4239</v>
      </c>
      <c r="F1012" t="s">
        <v>4240</v>
      </c>
      <c r="G1012" s="425">
        <v>0</v>
      </c>
      <c r="H1012" s="425">
        <v>0</v>
      </c>
      <c r="I1012" s="425">
        <v>0</v>
      </c>
      <c r="J1012" s="425">
        <v>0</v>
      </c>
      <c r="K1012" s="425">
        <v>0</v>
      </c>
      <c r="L1012" s="425">
        <v>0</v>
      </c>
      <c r="M1012" s="425">
        <v>0</v>
      </c>
      <c r="N1012" s="425">
        <v>0</v>
      </c>
      <c r="O1012" s="425">
        <v>0</v>
      </c>
    </row>
    <row r="1013" spans="3:15" hidden="1" x14ac:dyDescent="0.3">
      <c r="C1013" t="s">
        <v>2295</v>
      </c>
      <c r="D1013" t="s">
        <v>2267</v>
      </c>
      <c r="E1013" t="s">
        <v>4241</v>
      </c>
      <c r="F1013" t="s">
        <v>4242</v>
      </c>
      <c r="G1013" s="425">
        <v>0</v>
      </c>
      <c r="H1013" s="425">
        <v>0</v>
      </c>
      <c r="I1013" s="425">
        <v>0</v>
      </c>
      <c r="J1013" s="425">
        <v>0</v>
      </c>
      <c r="K1013" s="425">
        <v>0</v>
      </c>
      <c r="L1013" s="425">
        <v>0</v>
      </c>
      <c r="M1013" s="425">
        <v>0</v>
      </c>
      <c r="N1013" s="425">
        <v>0</v>
      </c>
      <c r="O1013" s="425">
        <v>0</v>
      </c>
    </row>
    <row r="1014" spans="3:15" hidden="1" x14ac:dyDescent="0.3">
      <c r="C1014" t="s">
        <v>2295</v>
      </c>
      <c r="D1014" t="s">
        <v>2267</v>
      </c>
      <c r="E1014" t="s">
        <v>4243</v>
      </c>
      <c r="F1014" t="s">
        <v>4244</v>
      </c>
      <c r="G1014" s="425">
        <v>0</v>
      </c>
      <c r="H1014" s="425">
        <v>0</v>
      </c>
      <c r="I1014" s="425">
        <v>0</v>
      </c>
      <c r="J1014" s="425">
        <v>0</v>
      </c>
      <c r="K1014" s="425">
        <v>0</v>
      </c>
      <c r="L1014" s="425">
        <v>0</v>
      </c>
      <c r="M1014" s="425">
        <v>0</v>
      </c>
      <c r="N1014" s="425">
        <v>0</v>
      </c>
      <c r="O1014" s="425">
        <v>0</v>
      </c>
    </row>
    <row r="1015" spans="3:15" hidden="1" x14ac:dyDescent="0.3">
      <c r="C1015" t="s">
        <v>2295</v>
      </c>
      <c r="D1015" t="s">
        <v>2267</v>
      </c>
      <c r="E1015" t="s">
        <v>4245</v>
      </c>
      <c r="F1015" t="s">
        <v>4246</v>
      </c>
      <c r="G1015" s="425">
        <v>0</v>
      </c>
      <c r="H1015" s="425">
        <v>0</v>
      </c>
      <c r="I1015" s="425">
        <v>0</v>
      </c>
      <c r="J1015" s="425">
        <v>0</v>
      </c>
      <c r="K1015" s="425">
        <v>0</v>
      </c>
      <c r="L1015" s="425">
        <v>0</v>
      </c>
      <c r="M1015" s="425">
        <v>0</v>
      </c>
      <c r="N1015" s="425">
        <v>0</v>
      </c>
      <c r="O1015" s="425">
        <v>0</v>
      </c>
    </row>
    <row r="1016" spans="3:15" hidden="1" x14ac:dyDescent="0.3">
      <c r="C1016" t="s">
        <v>2295</v>
      </c>
      <c r="D1016" t="s">
        <v>2267</v>
      </c>
      <c r="E1016" t="s">
        <v>4247</v>
      </c>
      <c r="F1016" t="s">
        <v>4248</v>
      </c>
      <c r="G1016" s="425">
        <v>0</v>
      </c>
      <c r="H1016" s="425">
        <v>0</v>
      </c>
      <c r="I1016" s="425">
        <v>0</v>
      </c>
      <c r="J1016" s="425">
        <v>0</v>
      </c>
      <c r="K1016" s="425">
        <v>0</v>
      </c>
      <c r="L1016" s="425">
        <v>0</v>
      </c>
      <c r="M1016" s="425">
        <v>0</v>
      </c>
      <c r="N1016" s="425">
        <v>0</v>
      </c>
      <c r="O1016" s="425">
        <v>0</v>
      </c>
    </row>
    <row r="1017" spans="3:15" hidden="1" x14ac:dyDescent="0.3">
      <c r="C1017" t="s">
        <v>2295</v>
      </c>
      <c r="D1017" t="s">
        <v>2267</v>
      </c>
      <c r="E1017" t="s">
        <v>4249</v>
      </c>
      <c r="F1017" t="s">
        <v>4250</v>
      </c>
      <c r="G1017" s="425">
        <v>0</v>
      </c>
      <c r="H1017" s="425">
        <v>0</v>
      </c>
      <c r="I1017" s="425">
        <v>0</v>
      </c>
      <c r="J1017" s="425">
        <v>0</v>
      </c>
      <c r="K1017" s="425">
        <v>0</v>
      </c>
      <c r="L1017" s="425">
        <v>0</v>
      </c>
      <c r="M1017" s="425">
        <v>0</v>
      </c>
      <c r="N1017" s="425">
        <v>0</v>
      </c>
      <c r="O1017" s="425">
        <v>0</v>
      </c>
    </row>
    <row r="1018" spans="3:15" hidden="1" x14ac:dyDescent="0.3">
      <c r="C1018" t="s">
        <v>2295</v>
      </c>
      <c r="D1018" t="s">
        <v>2267</v>
      </c>
      <c r="E1018" t="s">
        <v>4251</v>
      </c>
      <c r="F1018" t="s">
        <v>4252</v>
      </c>
      <c r="G1018" s="425">
        <v>876950</v>
      </c>
      <c r="H1018" s="425">
        <v>0</v>
      </c>
      <c r="I1018" s="425">
        <v>876950</v>
      </c>
      <c r="J1018" s="425">
        <v>0</v>
      </c>
      <c r="K1018" s="425">
        <v>0</v>
      </c>
      <c r="L1018" s="425">
        <v>0</v>
      </c>
      <c r="M1018" s="425">
        <v>0</v>
      </c>
      <c r="N1018" s="425">
        <v>0</v>
      </c>
      <c r="O1018" s="425">
        <v>0</v>
      </c>
    </row>
    <row r="1019" spans="3:15" hidden="1" x14ac:dyDescent="0.3">
      <c r="C1019" t="s">
        <v>2295</v>
      </c>
      <c r="D1019" t="s">
        <v>2267</v>
      </c>
      <c r="E1019" t="s">
        <v>4253</v>
      </c>
      <c r="F1019" t="s">
        <v>4254</v>
      </c>
      <c r="G1019" s="425">
        <v>0</v>
      </c>
      <c r="H1019" s="425">
        <v>0</v>
      </c>
      <c r="I1019" s="425">
        <v>0</v>
      </c>
      <c r="J1019" s="425">
        <v>0</v>
      </c>
      <c r="K1019" s="425">
        <v>0</v>
      </c>
      <c r="L1019" s="425">
        <v>0</v>
      </c>
      <c r="M1019" s="425">
        <v>0</v>
      </c>
      <c r="N1019" s="425">
        <v>0</v>
      </c>
      <c r="O1019" s="425">
        <v>0</v>
      </c>
    </row>
    <row r="1020" spans="3:15" hidden="1" x14ac:dyDescent="0.3">
      <c r="C1020" t="s">
        <v>2295</v>
      </c>
      <c r="D1020" t="s">
        <v>2267</v>
      </c>
      <c r="E1020" t="s">
        <v>4255</v>
      </c>
      <c r="F1020" t="s">
        <v>4256</v>
      </c>
      <c r="G1020" s="425">
        <v>0</v>
      </c>
      <c r="H1020" s="425">
        <v>0</v>
      </c>
      <c r="I1020" s="425">
        <v>0</v>
      </c>
      <c r="J1020" s="425">
        <v>0</v>
      </c>
      <c r="K1020" s="425">
        <v>0</v>
      </c>
      <c r="L1020" s="425">
        <v>0</v>
      </c>
      <c r="M1020" s="425">
        <v>0</v>
      </c>
      <c r="N1020" s="425">
        <v>0</v>
      </c>
      <c r="O1020" s="425">
        <v>0</v>
      </c>
    </row>
    <row r="1021" spans="3:15" hidden="1" x14ac:dyDescent="0.3">
      <c r="C1021" t="s">
        <v>2295</v>
      </c>
      <c r="D1021" t="s">
        <v>2267</v>
      </c>
      <c r="E1021" t="s">
        <v>4257</v>
      </c>
      <c r="F1021" t="s">
        <v>4258</v>
      </c>
      <c r="G1021" s="425">
        <v>612990</v>
      </c>
      <c r="H1021" s="425">
        <v>0</v>
      </c>
      <c r="I1021" s="425">
        <v>612990</v>
      </c>
      <c r="J1021" s="425">
        <v>0</v>
      </c>
      <c r="K1021" s="425">
        <v>0</v>
      </c>
      <c r="L1021" s="425">
        <v>0</v>
      </c>
      <c r="M1021" s="425">
        <v>0</v>
      </c>
      <c r="N1021" s="425">
        <v>0</v>
      </c>
      <c r="O1021" s="425">
        <v>0</v>
      </c>
    </row>
    <row r="1022" spans="3:15" hidden="1" x14ac:dyDescent="0.3">
      <c r="C1022" t="s">
        <v>2295</v>
      </c>
      <c r="D1022" t="s">
        <v>2267</v>
      </c>
      <c r="E1022" t="s">
        <v>4259</v>
      </c>
      <c r="F1022" t="s">
        <v>4260</v>
      </c>
      <c r="G1022" s="425">
        <v>0</v>
      </c>
      <c r="H1022" s="425">
        <v>0</v>
      </c>
      <c r="I1022" s="425">
        <v>0</v>
      </c>
      <c r="J1022" s="425">
        <v>0</v>
      </c>
      <c r="K1022" s="425">
        <v>0</v>
      </c>
      <c r="L1022" s="425">
        <v>0</v>
      </c>
      <c r="M1022" s="425">
        <v>0</v>
      </c>
      <c r="N1022" s="425">
        <v>0</v>
      </c>
      <c r="O1022" s="425">
        <v>0</v>
      </c>
    </row>
    <row r="1023" spans="3:15" hidden="1" x14ac:dyDescent="0.3">
      <c r="C1023" t="s">
        <v>2295</v>
      </c>
      <c r="D1023" t="s">
        <v>2267</v>
      </c>
      <c r="E1023" t="s">
        <v>4261</v>
      </c>
      <c r="F1023" t="s">
        <v>4262</v>
      </c>
      <c r="G1023" s="425">
        <v>0</v>
      </c>
      <c r="H1023" s="425">
        <v>0</v>
      </c>
      <c r="I1023" s="425">
        <v>0</v>
      </c>
      <c r="J1023" s="425">
        <v>0</v>
      </c>
      <c r="K1023" s="425">
        <v>0</v>
      </c>
      <c r="L1023" s="425">
        <v>0</v>
      </c>
      <c r="M1023" s="425">
        <v>0</v>
      </c>
      <c r="N1023" s="425">
        <v>0</v>
      </c>
      <c r="O1023" s="425">
        <v>0</v>
      </c>
    </row>
    <row r="1024" spans="3:15" hidden="1" x14ac:dyDescent="0.3">
      <c r="C1024" t="s">
        <v>2295</v>
      </c>
      <c r="D1024" t="s">
        <v>2267</v>
      </c>
      <c r="E1024" t="s">
        <v>4263</v>
      </c>
      <c r="F1024" t="s">
        <v>4264</v>
      </c>
      <c r="G1024" s="425">
        <v>0</v>
      </c>
      <c r="H1024" s="425">
        <v>0</v>
      </c>
      <c r="I1024" s="425">
        <v>0</v>
      </c>
      <c r="J1024" s="425">
        <v>0</v>
      </c>
      <c r="K1024" s="425">
        <v>0</v>
      </c>
      <c r="L1024" s="425">
        <v>0</v>
      </c>
      <c r="M1024" s="425">
        <v>0</v>
      </c>
      <c r="N1024" s="425">
        <v>0</v>
      </c>
      <c r="O1024" s="425">
        <v>0</v>
      </c>
    </row>
    <row r="1025" spans="3:15" hidden="1" x14ac:dyDescent="0.3">
      <c r="C1025" t="s">
        <v>2295</v>
      </c>
      <c r="D1025" t="s">
        <v>2267</v>
      </c>
      <c r="E1025" t="s">
        <v>4265</v>
      </c>
      <c r="F1025" t="s">
        <v>4266</v>
      </c>
      <c r="G1025" s="425">
        <v>0</v>
      </c>
      <c r="H1025" s="425">
        <v>0</v>
      </c>
      <c r="I1025" s="425">
        <v>0</v>
      </c>
      <c r="J1025" s="425">
        <v>0</v>
      </c>
      <c r="K1025" s="425">
        <v>0</v>
      </c>
      <c r="L1025" s="425">
        <v>0</v>
      </c>
      <c r="M1025" s="425">
        <v>0</v>
      </c>
      <c r="N1025" s="425">
        <v>0</v>
      </c>
      <c r="O1025" s="425">
        <v>0</v>
      </c>
    </row>
    <row r="1026" spans="3:15" hidden="1" x14ac:dyDescent="0.3">
      <c r="C1026" t="s">
        <v>2295</v>
      </c>
      <c r="D1026" t="s">
        <v>2267</v>
      </c>
      <c r="E1026" t="s">
        <v>4267</v>
      </c>
      <c r="F1026" t="s">
        <v>4268</v>
      </c>
      <c r="G1026" s="425">
        <v>0</v>
      </c>
      <c r="H1026" s="425">
        <v>0</v>
      </c>
      <c r="I1026" s="425">
        <v>0</v>
      </c>
      <c r="J1026" s="425">
        <v>0</v>
      </c>
      <c r="K1026" s="425">
        <v>0</v>
      </c>
      <c r="L1026" s="425">
        <v>0</v>
      </c>
      <c r="M1026" s="425">
        <v>0</v>
      </c>
      <c r="N1026" s="425">
        <v>0</v>
      </c>
      <c r="O1026" s="425">
        <v>0</v>
      </c>
    </row>
    <row r="1027" spans="3:15" hidden="1" x14ac:dyDescent="0.3">
      <c r="C1027" t="s">
        <v>2295</v>
      </c>
      <c r="D1027" t="s">
        <v>2267</v>
      </c>
      <c r="E1027" t="s">
        <v>4269</v>
      </c>
      <c r="F1027" t="s">
        <v>4270</v>
      </c>
      <c r="G1027" s="425">
        <v>0</v>
      </c>
      <c r="H1027" s="425">
        <v>0</v>
      </c>
      <c r="I1027" s="425">
        <v>0</v>
      </c>
      <c r="J1027" s="425">
        <v>0</v>
      </c>
      <c r="K1027" s="425">
        <v>0</v>
      </c>
      <c r="L1027" s="425">
        <v>0</v>
      </c>
      <c r="M1027" s="425">
        <v>0</v>
      </c>
      <c r="N1027" s="425">
        <v>0</v>
      </c>
      <c r="O1027" s="425">
        <v>0</v>
      </c>
    </row>
    <row r="1028" spans="3:15" hidden="1" x14ac:dyDescent="0.3">
      <c r="C1028" t="s">
        <v>2295</v>
      </c>
      <c r="D1028" t="s">
        <v>2267</v>
      </c>
      <c r="E1028" t="s">
        <v>4271</v>
      </c>
      <c r="F1028" t="s">
        <v>4272</v>
      </c>
      <c r="G1028" s="425">
        <v>0</v>
      </c>
      <c r="H1028" s="425">
        <v>0</v>
      </c>
      <c r="I1028" s="425">
        <v>0</v>
      </c>
      <c r="J1028" s="425">
        <v>0</v>
      </c>
      <c r="K1028" s="425">
        <v>0</v>
      </c>
      <c r="L1028" s="425">
        <v>0</v>
      </c>
      <c r="M1028" s="425">
        <v>0</v>
      </c>
      <c r="N1028" s="425">
        <v>0</v>
      </c>
      <c r="O1028" s="425">
        <v>0</v>
      </c>
    </row>
    <row r="1029" spans="3:15" hidden="1" x14ac:dyDescent="0.3">
      <c r="C1029" t="s">
        <v>2295</v>
      </c>
      <c r="D1029" t="s">
        <v>2267</v>
      </c>
      <c r="E1029" t="s">
        <v>4273</v>
      </c>
      <c r="F1029" t="s">
        <v>4274</v>
      </c>
      <c r="G1029" s="425">
        <v>0</v>
      </c>
      <c r="H1029" s="425">
        <v>0</v>
      </c>
      <c r="I1029" s="425">
        <v>0</v>
      </c>
      <c r="J1029" s="425">
        <v>0</v>
      </c>
      <c r="K1029" s="425">
        <v>0</v>
      </c>
      <c r="L1029" s="425">
        <v>0</v>
      </c>
      <c r="M1029" s="425">
        <v>0</v>
      </c>
      <c r="N1029" s="425">
        <v>0</v>
      </c>
      <c r="O1029" s="425">
        <v>0</v>
      </c>
    </row>
    <row r="1030" spans="3:15" hidden="1" x14ac:dyDescent="0.3">
      <c r="C1030" t="s">
        <v>2295</v>
      </c>
      <c r="D1030" t="s">
        <v>2267</v>
      </c>
      <c r="E1030" t="s">
        <v>4275</v>
      </c>
      <c r="F1030" t="s">
        <v>4276</v>
      </c>
      <c r="G1030" s="425">
        <v>0</v>
      </c>
      <c r="H1030" s="425">
        <v>0</v>
      </c>
      <c r="I1030" s="425">
        <v>0</v>
      </c>
      <c r="J1030" s="425">
        <v>0</v>
      </c>
      <c r="K1030" s="425">
        <v>0</v>
      </c>
      <c r="L1030" s="425">
        <v>0</v>
      </c>
      <c r="M1030" s="425">
        <v>0</v>
      </c>
      <c r="N1030" s="425">
        <v>0</v>
      </c>
      <c r="O1030" s="425">
        <v>0</v>
      </c>
    </row>
    <row r="1031" spans="3:15" hidden="1" x14ac:dyDescent="0.3">
      <c r="C1031" t="s">
        <v>2295</v>
      </c>
      <c r="D1031" t="s">
        <v>2267</v>
      </c>
      <c r="E1031" t="s">
        <v>4277</v>
      </c>
      <c r="F1031" t="s">
        <v>4278</v>
      </c>
      <c r="G1031" s="425">
        <v>0</v>
      </c>
      <c r="H1031" s="425">
        <v>0</v>
      </c>
      <c r="I1031" s="425">
        <v>0</v>
      </c>
      <c r="J1031" s="425">
        <v>0</v>
      </c>
      <c r="K1031" s="425">
        <v>0</v>
      </c>
      <c r="L1031" s="425">
        <v>0</v>
      </c>
      <c r="M1031" s="425">
        <v>0</v>
      </c>
      <c r="N1031" s="425">
        <v>0</v>
      </c>
      <c r="O1031" s="425">
        <v>0</v>
      </c>
    </row>
    <row r="1032" spans="3:15" hidden="1" x14ac:dyDescent="0.3">
      <c r="C1032" t="s">
        <v>2295</v>
      </c>
      <c r="D1032" t="s">
        <v>2267</v>
      </c>
      <c r="E1032" t="s">
        <v>4279</v>
      </c>
      <c r="F1032" t="s">
        <v>4280</v>
      </c>
      <c r="G1032" s="425">
        <v>0</v>
      </c>
      <c r="H1032" s="425">
        <v>0</v>
      </c>
      <c r="I1032" s="425">
        <v>0</v>
      </c>
      <c r="J1032" s="425">
        <v>0</v>
      </c>
      <c r="K1032" s="425">
        <v>0</v>
      </c>
      <c r="L1032" s="425">
        <v>0</v>
      </c>
      <c r="M1032" s="425">
        <v>0</v>
      </c>
      <c r="N1032" s="425">
        <v>0</v>
      </c>
      <c r="O1032" s="425">
        <v>0</v>
      </c>
    </row>
    <row r="1033" spans="3:15" hidden="1" x14ac:dyDescent="0.3">
      <c r="C1033" t="s">
        <v>2295</v>
      </c>
      <c r="D1033" t="s">
        <v>2267</v>
      </c>
      <c r="E1033" t="s">
        <v>4281</v>
      </c>
      <c r="F1033" t="s">
        <v>4282</v>
      </c>
      <c r="G1033" s="425">
        <v>0</v>
      </c>
      <c r="H1033" s="425">
        <v>0</v>
      </c>
      <c r="I1033" s="425">
        <v>0</v>
      </c>
      <c r="J1033" s="425">
        <v>0</v>
      </c>
      <c r="K1033" s="425">
        <v>0</v>
      </c>
      <c r="L1033" s="425">
        <v>0</v>
      </c>
      <c r="M1033" s="425">
        <v>0</v>
      </c>
      <c r="N1033" s="425">
        <v>0</v>
      </c>
      <c r="O1033" s="425">
        <v>0</v>
      </c>
    </row>
    <row r="1034" spans="3:15" hidden="1" x14ac:dyDescent="0.3">
      <c r="C1034" t="s">
        <v>2295</v>
      </c>
      <c r="D1034" t="s">
        <v>2267</v>
      </c>
      <c r="E1034" t="s">
        <v>4283</v>
      </c>
      <c r="F1034" t="s">
        <v>4284</v>
      </c>
      <c r="G1034" s="425">
        <v>0</v>
      </c>
      <c r="H1034" s="425">
        <v>0</v>
      </c>
      <c r="I1034" s="425">
        <v>0</v>
      </c>
      <c r="J1034" s="425">
        <v>0</v>
      </c>
      <c r="K1034" s="425">
        <v>0</v>
      </c>
      <c r="L1034" s="425">
        <v>0</v>
      </c>
      <c r="M1034" s="425">
        <v>0</v>
      </c>
      <c r="N1034" s="425">
        <v>0</v>
      </c>
      <c r="O1034" s="425">
        <v>0</v>
      </c>
    </row>
    <row r="1035" spans="3:15" hidden="1" x14ac:dyDescent="0.3">
      <c r="C1035" t="s">
        <v>2295</v>
      </c>
      <c r="D1035" t="s">
        <v>2267</v>
      </c>
      <c r="E1035" t="s">
        <v>4285</v>
      </c>
      <c r="F1035" t="s">
        <v>4286</v>
      </c>
      <c r="G1035" s="425">
        <v>0</v>
      </c>
      <c r="H1035" s="425">
        <v>0</v>
      </c>
      <c r="I1035" s="425">
        <v>0</v>
      </c>
      <c r="J1035" s="425">
        <v>0</v>
      </c>
      <c r="K1035" s="425">
        <v>0</v>
      </c>
      <c r="L1035" s="425">
        <v>0</v>
      </c>
      <c r="M1035" s="425">
        <v>0</v>
      </c>
      <c r="N1035" s="425">
        <v>0</v>
      </c>
      <c r="O1035" s="425">
        <v>0</v>
      </c>
    </row>
    <row r="1036" spans="3:15" hidden="1" x14ac:dyDescent="0.3">
      <c r="C1036" t="s">
        <v>2295</v>
      </c>
      <c r="D1036" t="s">
        <v>2267</v>
      </c>
      <c r="E1036" t="s">
        <v>4287</v>
      </c>
      <c r="F1036" t="s">
        <v>4288</v>
      </c>
      <c r="G1036" s="425">
        <v>1321760</v>
      </c>
      <c r="H1036" s="425">
        <v>0</v>
      </c>
      <c r="I1036" s="425">
        <v>1321760</v>
      </c>
      <c r="J1036" s="425">
        <v>0</v>
      </c>
      <c r="K1036" s="425">
        <v>0</v>
      </c>
      <c r="L1036" s="425">
        <v>0</v>
      </c>
      <c r="M1036" s="425">
        <v>0</v>
      </c>
      <c r="N1036" s="425">
        <v>0</v>
      </c>
      <c r="O1036" s="425">
        <v>0</v>
      </c>
    </row>
    <row r="1037" spans="3:15" hidden="1" x14ac:dyDescent="0.3">
      <c r="C1037" t="s">
        <v>2295</v>
      </c>
      <c r="D1037" t="s">
        <v>2267</v>
      </c>
      <c r="E1037" t="s">
        <v>4289</v>
      </c>
      <c r="F1037" t="s">
        <v>4290</v>
      </c>
      <c r="G1037" s="425">
        <v>0</v>
      </c>
      <c r="H1037" s="425">
        <v>0</v>
      </c>
      <c r="I1037" s="425">
        <v>0</v>
      </c>
      <c r="J1037" s="425">
        <v>0</v>
      </c>
      <c r="K1037" s="425">
        <v>0</v>
      </c>
      <c r="L1037" s="425">
        <v>0</v>
      </c>
      <c r="M1037" s="425">
        <v>0</v>
      </c>
      <c r="N1037" s="425">
        <v>0</v>
      </c>
      <c r="O1037" s="425">
        <v>0</v>
      </c>
    </row>
    <row r="1038" spans="3:15" hidden="1" x14ac:dyDescent="0.3">
      <c r="C1038" t="s">
        <v>2295</v>
      </c>
      <c r="D1038" t="s">
        <v>2267</v>
      </c>
      <c r="E1038" t="s">
        <v>4291</v>
      </c>
      <c r="F1038" t="s">
        <v>4292</v>
      </c>
      <c r="G1038" s="425">
        <v>0</v>
      </c>
      <c r="H1038" s="425">
        <v>0</v>
      </c>
      <c r="I1038" s="425">
        <v>0</v>
      </c>
      <c r="J1038" s="425">
        <v>0</v>
      </c>
      <c r="K1038" s="425">
        <v>0</v>
      </c>
      <c r="L1038" s="425">
        <v>0</v>
      </c>
      <c r="M1038" s="425">
        <v>0</v>
      </c>
      <c r="N1038" s="425">
        <v>0</v>
      </c>
      <c r="O1038" s="425">
        <v>0</v>
      </c>
    </row>
    <row r="1039" spans="3:15" hidden="1" x14ac:dyDescent="0.3">
      <c r="C1039" t="s">
        <v>2295</v>
      </c>
      <c r="D1039" t="s">
        <v>2267</v>
      </c>
      <c r="E1039" t="s">
        <v>4293</v>
      </c>
      <c r="F1039" t="s">
        <v>4294</v>
      </c>
      <c r="G1039" s="425">
        <v>0</v>
      </c>
      <c r="H1039" s="425">
        <v>0</v>
      </c>
      <c r="I1039" s="425">
        <v>0</v>
      </c>
      <c r="J1039" s="425">
        <v>0</v>
      </c>
      <c r="K1039" s="425">
        <v>0</v>
      </c>
      <c r="L1039" s="425">
        <v>0</v>
      </c>
      <c r="M1039" s="425">
        <v>0</v>
      </c>
      <c r="N1039" s="425">
        <v>0</v>
      </c>
      <c r="O1039" s="425">
        <v>0</v>
      </c>
    </row>
    <row r="1040" spans="3:15" hidden="1" x14ac:dyDescent="0.3">
      <c r="C1040" t="s">
        <v>2295</v>
      </c>
      <c r="D1040" t="s">
        <v>2267</v>
      </c>
      <c r="E1040" t="s">
        <v>4295</v>
      </c>
      <c r="F1040" t="s">
        <v>4296</v>
      </c>
      <c r="G1040" s="425">
        <v>0</v>
      </c>
      <c r="H1040" s="425">
        <v>0</v>
      </c>
      <c r="I1040" s="425">
        <v>0</v>
      </c>
      <c r="J1040" s="425">
        <v>0</v>
      </c>
      <c r="K1040" s="425">
        <v>0</v>
      </c>
      <c r="L1040" s="425">
        <v>0</v>
      </c>
      <c r="M1040" s="425">
        <v>0</v>
      </c>
      <c r="N1040" s="425">
        <v>0</v>
      </c>
      <c r="O1040" s="425">
        <v>0</v>
      </c>
    </row>
    <row r="1041" spans="3:15" hidden="1" x14ac:dyDescent="0.3">
      <c r="C1041" t="s">
        <v>2295</v>
      </c>
      <c r="D1041" t="s">
        <v>2267</v>
      </c>
      <c r="E1041" t="s">
        <v>4297</v>
      </c>
      <c r="F1041" t="s">
        <v>4298</v>
      </c>
      <c r="G1041" s="425">
        <v>0</v>
      </c>
      <c r="H1041" s="425">
        <v>0</v>
      </c>
      <c r="I1041" s="425">
        <v>0</v>
      </c>
      <c r="J1041" s="425">
        <v>0</v>
      </c>
      <c r="K1041" s="425">
        <v>0</v>
      </c>
      <c r="L1041" s="425">
        <v>0</v>
      </c>
      <c r="M1041" s="425">
        <v>0</v>
      </c>
      <c r="N1041" s="425">
        <v>0</v>
      </c>
      <c r="O1041" s="425">
        <v>0</v>
      </c>
    </row>
    <row r="1042" spans="3:15" hidden="1" x14ac:dyDescent="0.3">
      <c r="C1042" t="s">
        <v>2295</v>
      </c>
      <c r="D1042" t="s">
        <v>2267</v>
      </c>
      <c r="E1042" t="s">
        <v>4299</v>
      </c>
      <c r="F1042" t="s">
        <v>4300</v>
      </c>
      <c r="G1042" s="425">
        <v>0</v>
      </c>
      <c r="H1042" s="425">
        <v>0</v>
      </c>
      <c r="I1042" s="425">
        <v>0</v>
      </c>
      <c r="J1042" s="425">
        <v>0</v>
      </c>
      <c r="K1042" s="425">
        <v>0</v>
      </c>
      <c r="L1042" s="425">
        <v>0</v>
      </c>
      <c r="M1042" s="425">
        <v>0</v>
      </c>
      <c r="N1042" s="425">
        <v>0</v>
      </c>
      <c r="O1042" s="425">
        <v>0</v>
      </c>
    </row>
    <row r="1043" spans="3:15" hidden="1" x14ac:dyDescent="0.3">
      <c r="C1043" t="s">
        <v>2295</v>
      </c>
      <c r="D1043" t="s">
        <v>2267</v>
      </c>
      <c r="E1043" t="s">
        <v>4301</v>
      </c>
      <c r="F1043" t="s">
        <v>4302</v>
      </c>
      <c r="G1043" s="425">
        <v>0</v>
      </c>
      <c r="H1043" s="425">
        <v>0</v>
      </c>
      <c r="I1043" s="425">
        <v>0</v>
      </c>
      <c r="J1043" s="425">
        <v>0</v>
      </c>
      <c r="K1043" s="425">
        <v>0</v>
      </c>
      <c r="L1043" s="425">
        <v>0</v>
      </c>
      <c r="M1043" s="425">
        <v>0</v>
      </c>
      <c r="N1043" s="425">
        <v>0</v>
      </c>
      <c r="O1043" s="425">
        <v>0</v>
      </c>
    </row>
    <row r="1044" spans="3:15" hidden="1" x14ac:dyDescent="0.3">
      <c r="C1044" t="s">
        <v>2295</v>
      </c>
      <c r="D1044" t="s">
        <v>2267</v>
      </c>
      <c r="E1044" t="s">
        <v>4303</v>
      </c>
      <c r="F1044" t="s">
        <v>4304</v>
      </c>
      <c r="G1044" s="425">
        <v>0</v>
      </c>
      <c r="H1044" s="425">
        <v>0</v>
      </c>
      <c r="I1044" s="425">
        <v>0</v>
      </c>
      <c r="J1044" s="425">
        <v>0</v>
      </c>
      <c r="K1044" s="425">
        <v>0</v>
      </c>
      <c r="L1044" s="425">
        <v>0</v>
      </c>
      <c r="M1044" s="425">
        <v>0</v>
      </c>
      <c r="N1044" s="425">
        <v>0</v>
      </c>
      <c r="O1044" s="425">
        <v>0</v>
      </c>
    </row>
    <row r="1045" spans="3:15" hidden="1" x14ac:dyDescent="0.3">
      <c r="C1045" t="s">
        <v>2295</v>
      </c>
      <c r="D1045" t="s">
        <v>2267</v>
      </c>
      <c r="E1045" t="s">
        <v>4305</v>
      </c>
      <c r="F1045" t="s">
        <v>4306</v>
      </c>
      <c r="G1045" s="425">
        <v>0</v>
      </c>
      <c r="H1045" s="425">
        <v>0</v>
      </c>
      <c r="I1045" s="425">
        <v>0</v>
      </c>
      <c r="J1045" s="425">
        <v>0</v>
      </c>
      <c r="K1045" s="425">
        <v>0</v>
      </c>
      <c r="L1045" s="425">
        <v>0</v>
      </c>
      <c r="M1045" s="425">
        <v>0</v>
      </c>
      <c r="N1045" s="425">
        <v>0</v>
      </c>
      <c r="O1045" s="425">
        <v>0</v>
      </c>
    </row>
    <row r="1046" spans="3:15" hidden="1" x14ac:dyDescent="0.3">
      <c r="C1046" t="s">
        <v>2295</v>
      </c>
      <c r="D1046" t="s">
        <v>2267</v>
      </c>
      <c r="E1046" t="s">
        <v>4307</v>
      </c>
      <c r="F1046" t="s">
        <v>4308</v>
      </c>
      <c r="G1046" s="425">
        <v>0</v>
      </c>
      <c r="H1046" s="425">
        <v>0</v>
      </c>
      <c r="I1046" s="425">
        <v>0</v>
      </c>
      <c r="J1046" s="425">
        <v>0</v>
      </c>
      <c r="K1046" s="425">
        <v>0</v>
      </c>
      <c r="L1046" s="425">
        <v>0</v>
      </c>
      <c r="M1046" s="425">
        <v>0</v>
      </c>
      <c r="N1046" s="425">
        <v>0</v>
      </c>
      <c r="O1046" s="425">
        <v>0</v>
      </c>
    </row>
    <row r="1047" spans="3:15" hidden="1" x14ac:dyDescent="0.3">
      <c r="C1047" t="s">
        <v>2295</v>
      </c>
      <c r="D1047" t="s">
        <v>2267</v>
      </c>
      <c r="E1047" t="s">
        <v>4309</v>
      </c>
      <c r="F1047" t="s">
        <v>4310</v>
      </c>
      <c r="G1047" s="425">
        <v>0</v>
      </c>
      <c r="H1047" s="425">
        <v>0</v>
      </c>
      <c r="I1047" s="425">
        <v>0</v>
      </c>
      <c r="J1047" s="425">
        <v>0</v>
      </c>
      <c r="K1047" s="425">
        <v>0</v>
      </c>
      <c r="L1047" s="425">
        <v>0</v>
      </c>
      <c r="M1047" s="425">
        <v>0</v>
      </c>
      <c r="N1047" s="425">
        <v>0</v>
      </c>
      <c r="O1047" s="425">
        <v>0</v>
      </c>
    </row>
    <row r="1048" spans="3:15" hidden="1" x14ac:dyDescent="0.3">
      <c r="C1048" t="s">
        <v>2295</v>
      </c>
      <c r="D1048" t="s">
        <v>2267</v>
      </c>
      <c r="E1048" t="s">
        <v>4311</v>
      </c>
      <c r="F1048" t="s">
        <v>4312</v>
      </c>
      <c r="G1048" s="425">
        <v>0</v>
      </c>
      <c r="H1048" s="425">
        <v>0</v>
      </c>
      <c r="I1048" s="425">
        <v>0</v>
      </c>
      <c r="J1048" s="425">
        <v>0</v>
      </c>
      <c r="K1048" s="425">
        <v>0</v>
      </c>
      <c r="L1048" s="425">
        <v>0</v>
      </c>
      <c r="M1048" s="425">
        <v>0</v>
      </c>
      <c r="N1048" s="425">
        <v>0</v>
      </c>
      <c r="O1048" s="425">
        <v>0</v>
      </c>
    </row>
    <row r="1049" spans="3:15" hidden="1" x14ac:dyDescent="0.3">
      <c r="C1049" t="s">
        <v>2295</v>
      </c>
      <c r="D1049" t="s">
        <v>2267</v>
      </c>
      <c r="E1049" t="s">
        <v>4313</v>
      </c>
      <c r="F1049" t="s">
        <v>4314</v>
      </c>
      <c r="G1049" s="425">
        <v>0</v>
      </c>
      <c r="H1049" s="425">
        <v>0</v>
      </c>
      <c r="I1049" s="425">
        <v>0</v>
      </c>
      <c r="J1049" s="425">
        <v>0</v>
      </c>
      <c r="K1049" s="425">
        <v>0</v>
      </c>
      <c r="L1049" s="425">
        <v>0</v>
      </c>
      <c r="M1049" s="425">
        <v>0</v>
      </c>
      <c r="N1049" s="425">
        <v>0</v>
      </c>
      <c r="O1049" s="425">
        <v>0</v>
      </c>
    </row>
    <row r="1050" spans="3:15" hidden="1" x14ac:dyDescent="0.3">
      <c r="C1050" t="s">
        <v>2295</v>
      </c>
      <c r="D1050" t="s">
        <v>2267</v>
      </c>
      <c r="E1050" t="s">
        <v>4315</v>
      </c>
      <c r="F1050" t="s">
        <v>4316</v>
      </c>
      <c r="G1050" s="425">
        <v>0</v>
      </c>
      <c r="H1050" s="425">
        <v>0</v>
      </c>
      <c r="I1050" s="425">
        <v>0</v>
      </c>
      <c r="J1050" s="425">
        <v>0</v>
      </c>
      <c r="K1050" s="425">
        <v>0</v>
      </c>
      <c r="L1050" s="425">
        <v>0</v>
      </c>
      <c r="M1050" s="425">
        <v>0</v>
      </c>
      <c r="N1050" s="425">
        <v>0</v>
      </c>
      <c r="O1050" s="425">
        <v>0</v>
      </c>
    </row>
    <row r="1051" spans="3:15" hidden="1" x14ac:dyDescent="0.3">
      <c r="C1051" t="s">
        <v>2295</v>
      </c>
      <c r="D1051" t="s">
        <v>2267</v>
      </c>
      <c r="E1051" t="s">
        <v>4317</v>
      </c>
      <c r="F1051" t="s">
        <v>4318</v>
      </c>
      <c r="G1051" s="425">
        <v>0</v>
      </c>
      <c r="H1051" s="425">
        <v>0</v>
      </c>
      <c r="I1051" s="425">
        <v>0</v>
      </c>
      <c r="J1051" s="425">
        <v>0</v>
      </c>
      <c r="K1051" s="425">
        <v>0</v>
      </c>
      <c r="L1051" s="425">
        <v>0</v>
      </c>
      <c r="M1051" s="425">
        <v>0</v>
      </c>
      <c r="N1051" s="425">
        <v>0</v>
      </c>
      <c r="O1051" s="425">
        <v>0</v>
      </c>
    </row>
    <row r="1052" spans="3:15" hidden="1" x14ac:dyDescent="0.3">
      <c r="C1052" t="s">
        <v>2295</v>
      </c>
      <c r="D1052" t="s">
        <v>2267</v>
      </c>
      <c r="E1052" t="s">
        <v>4319</v>
      </c>
      <c r="F1052" t="s">
        <v>4320</v>
      </c>
      <c r="G1052" s="425">
        <v>0</v>
      </c>
      <c r="H1052" s="425">
        <v>0</v>
      </c>
      <c r="I1052" s="425">
        <v>0</v>
      </c>
      <c r="J1052" s="425">
        <v>0</v>
      </c>
      <c r="K1052" s="425">
        <v>0</v>
      </c>
      <c r="L1052" s="425">
        <v>0</v>
      </c>
      <c r="M1052" s="425">
        <v>0</v>
      </c>
      <c r="N1052" s="425">
        <v>0</v>
      </c>
      <c r="O1052" s="425">
        <v>0</v>
      </c>
    </row>
    <row r="1053" spans="3:15" hidden="1" x14ac:dyDescent="0.3">
      <c r="C1053" t="s">
        <v>2295</v>
      </c>
      <c r="D1053" t="s">
        <v>2267</v>
      </c>
      <c r="E1053" t="s">
        <v>4321</v>
      </c>
      <c r="F1053" t="s">
        <v>4322</v>
      </c>
      <c r="G1053" s="425">
        <v>0</v>
      </c>
      <c r="H1053" s="425">
        <v>0</v>
      </c>
      <c r="I1053" s="425">
        <v>0</v>
      </c>
      <c r="J1053" s="425">
        <v>0</v>
      </c>
      <c r="K1053" s="425">
        <v>0</v>
      </c>
      <c r="L1053" s="425">
        <v>0</v>
      </c>
      <c r="M1053" s="425">
        <v>0</v>
      </c>
      <c r="N1053" s="425">
        <v>0</v>
      </c>
      <c r="O1053" s="425">
        <v>0</v>
      </c>
    </row>
    <row r="1054" spans="3:15" hidden="1" x14ac:dyDescent="0.3">
      <c r="C1054" t="s">
        <v>2295</v>
      </c>
      <c r="D1054" t="s">
        <v>2267</v>
      </c>
      <c r="E1054" t="s">
        <v>4323</v>
      </c>
      <c r="F1054" t="s">
        <v>4324</v>
      </c>
      <c r="G1054" s="425">
        <v>0</v>
      </c>
      <c r="H1054" s="425">
        <v>0</v>
      </c>
      <c r="I1054" s="425">
        <v>0</v>
      </c>
      <c r="J1054" s="425">
        <v>0</v>
      </c>
      <c r="K1054" s="425">
        <v>0</v>
      </c>
      <c r="L1054" s="425">
        <v>0</v>
      </c>
      <c r="M1054" s="425">
        <v>0</v>
      </c>
      <c r="N1054" s="425">
        <v>0</v>
      </c>
      <c r="O1054" s="425">
        <v>0</v>
      </c>
    </row>
    <row r="1055" spans="3:15" hidden="1" x14ac:dyDescent="0.3">
      <c r="C1055" t="s">
        <v>2295</v>
      </c>
      <c r="D1055" t="s">
        <v>2267</v>
      </c>
      <c r="E1055" t="s">
        <v>4325</v>
      </c>
      <c r="F1055" t="s">
        <v>4326</v>
      </c>
      <c r="G1055" s="425">
        <v>0</v>
      </c>
      <c r="H1055" s="425">
        <v>0</v>
      </c>
      <c r="I1055" s="425">
        <v>0</v>
      </c>
      <c r="J1055" s="425">
        <v>0</v>
      </c>
      <c r="K1055" s="425">
        <v>0</v>
      </c>
      <c r="L1055" s="425">
        <v>0</v>
      </c>
      <c r="M1055" s="425">
        <v>0</v>
      </c>
      <c r="N1055" s="425">
        <v>0</v>
      </c>
      <c r="O1055" s="425">
        <v>0</v>
      </c>
    </row>
    <row r="1056" spans="3:15" hidden="1" x14ac:dyDescent="0.3">
      <c r="C1056" t="s">
        <v>2295</v>
      </c>
      <c r="D1056" t="s">
        <v>2267</v>
      </c>
      <c r="E1056" t="s">
        <v>4327</v>
      </c>
      <c r="F1056" t="s">
        <v>4328</v>
      </c>
      <c r="G1056" s="425">
        <v>0</v>
      </c>
      <c r="H1056" s="425">
        <v>0</v>
      </c>
      <c r="I1056" s="425">
        <v>0</v>
      </c>
      <c r="J1056" s="425">
        <v>0</v>
      </c>
      <c r="K1056" s="425">
        <v>0</v>
      </c>
      <c r="L1056" s="425">
        <v>0</v>
      </c>
      <c r="M1056" s="425">
        <v>0</v>
      </c>
      <c r="N1056" s="425">
        <v>0</v>
      </c>
      <c r="O1056" s="425">
        <v>0</v>
      </c>
    </row>
    <row r="1057" spans="3:15" hidden="1" x14ac:dyDescent="0.3">
      <c r="C1057" t="s">
        <v>2295</v>
      </c>
      <c r="D1057" t="s">
        <v>2267</v>
      </c>
      <c r="E1057" t="s">
        <v>4329</v>
      </c>
      <c r="F1057" t="s">
        <v>4330</v>
      </c>
      <c r="G1057" s="425">
        <v>0</v>
      </c>
      <c r="H1057" s="425">
        <v>0</v>
      </c>
      <c r="I1057" s="425">
        <v>0</v>
      </c>
      <c r="J1057" s="425">
        <v>0</v>
      </c>
      <c r="K1057" s="425">
        <v>0</v>
      </c>
      <c r="L1057" s="425">
        <v>0</v>
      </c>
      <c r="M1057" s="425">
        <v>0</v>
      </c>
      <c r="N1057" s="425">
        <v>0</v>
      </c>
      <c r="O1057" s="425">
        <v>0</v>
      </c>
    </row>
    <row r="1058" spans="3:15" hidden="1" x14ac:dyDescent="0.3">
      <c r="C1058" t="s">
        <v>2295</v>
      </c>
      <c r="D1058" t="s">
        <v>2267</v>
      </c>
      <c r="E1058" t="s">
        <v>4331</v>
      </c>
      <c r="F1058" t="s">
        <v>4332</v>
      </c>
      <c r="G1058" s="425">
        <v>0</v>
      </c>
      <c r="H1058" s="425">
        <v>0</v>
      </c>
      <c r="I1058" s="425">
        <v>0</v>
      </c>
      <c r="J1058" s="425">
        <v>0</v>
      </c>
      <c r="K1058" s="425">
        <v>0</v>
      </c>
      <c r="L1058" s="425">
        <v>0</v>
      </c>
      <c r="M1058" s="425">
        <v>0</v>
      </c>
      <c r="N1058" s="425">
        <v>0</v>
      </c>
      <c r="O1058" s="425">
        <v>0</v>
      </c>
    </row>
    <row r="1059" spans="3:15" hidden="1" x14ac:dyDescent="0.3">
      <c r="C1059" t="s">
        <v>2295</v>
      </c>
      <c r="D1059" t="s">
        <v>2267</v>
      </c>
      <c r="E1059" t="s">
        <v>4333</v>
      </c>
      <c r="F1059" t="s">
        <v>4334</v>
      </c>
      <c r="G1059" s="425">
        <v>0</v>
      </c>
      <c r="H1059" s="425">
        <v>0</v>
      </c>
      <c r="I1059" s="425">
        <v>0</v>
      </c>
      <c r="J1059" s="425">
        <v>0</v>
      </c>
      <c r="K1059" s="425">
        <v>0</v>
      </c>
      <c r="L1059" s="425">
        <v>0</v>
      </c>
      <c r="M1059" s="425">
        <v>0</v>
      </c>
      <c r="N1059" s="425">
        <v>0</v>
      </c>
      <c r="O1059" s="425">
        <v>0</v>
      </c>
    </row>
    <row r="1060" spans="3:15" hidden="1" x14ac:dyDescent="0.3">
      <c r="C1060" t="s">
        <v>2295</v>
      </c>
      <c r="D1060" t="s">
        <v>2267</v>
      </c>
      <c r="E1060" t="s">
        <v>4335</v>
      </c>
      <c r="F1060" t="s">
        <v>4336</v>
      </c>
      <c r="G1060" s="425">
        <v>0</v>
      </c>
      <c r="H1060" s="425">
        <v>0</v>
      </c>
      <c r="I1060" s="425">
        <v>0</v>
      </c>
      <c r="J1060" s="425">
        <v>0</v>
      </c>
      <c r="K1060" s="425">
        <v>0</v>
      </c>
      <c r="L1060" s="425">
        <v>0</v>
      </c>
      <c r="M1060" s="425">
        <v>0</v>
      </c>
      <c r="N1060" s="425">
        <v>0</v>
      </c>
      <c r="O1060" s="425">
        <v>0</v>
      </c>
    </row>
    <row r="1061" spans="3:15" hidden="1" x14ac:dyDescent="0.3">
      <c r="C1061" t="s">
        <v>2295</v>
      </c>
      <c r="D1061" t="s">
        <v>2267</v>
      </c>
      <c r="E1061" t="s">
        <v>4337</v>
      </c>
      <c r="F1061" t="s">
        <v>4338</v>
      </c>
      <c r="G1061" s="425">
        <v>0</v>
      </c>
      <c r="H1061" s="425">
        <v>0</v>
      </c>
      <c r="I1061" s="425">
        <v>0</v>
      </c>
      <c r="J1061" s="425">
        <v>0</v>
      </c>
      <c r="K1061" s="425">
        <v>0</v>
      </c>
      <c r="L1061" s="425">
        <v>0</v>
      </c>
      <c r="M1061" s="425">
        <v>0</v>
      </c>
      <c r="N1061" s="425">
        <v>0</v>
      </c>
      <c r="O1061" s="425">
        <v>0</v>
      </c>
    </row>
    <row r="1062" spans="3:15" hidden="1" x14ac:dyDescent="0.3">
      <c r="C1062" t="s">
        <v>2295</v>
      </c>
      <c r="D1062" t="s">
        <v>2267</v>
      </c>
      <c r="E1062" t="s">
        <v>4339</v>
      </c>
      <c r="F1062" t="s">
        <v>4340</v>
      </c>
      <c r="G1062" s="425">
        <v>0</v>
      </c>
      <c r="H1062" s="425">
        <v>0</v>
      </c>
      <c r="I1062" s="425">
        <v>0</v>
      </c>
      <c r="J1062" s="425">
        <v>0</v>
      </c>
      <c r="K1062" s="425">
        <v>0</v>
      </c>
      <c r="L1062" s="425">
        <v>0</v>
      </c>
      <c r="M1062" s="425">
        <v>0</v>
      </c>
      <c r="N1062" s="425">
        <v>0</v>
      </c>
      <c r="O1062" s="425">
        <v>0</v>
      </c>
    </row>
    <row r="1063" spans="3:15" hidden="1" x14ac:dyDescent="0.3">
      <c r="C1063" t="s">
        <v>2295</v>
      </c>
      <c r="D1063" t="s">
        <v>2267</v>
      </c>
      <c r="E1063" t="s">
        <v>4341</v>
      </c>
      <c r="F1063" t="s">
        <v>4342</v>
      </c>
      <c r="G1063" s="425">
        <v>0</v>
      </c>
      <c r="H1063" s="425">
        <v>0</v>
      </c>
      <c r="I1063" s="425">
        <v>0</v>
      </c>
      <c r="J1063" s="425">
        <v>0</v>
      </c>
      <c r="K1063" s="425">
        <v>0</v>
      </c>
      <c r="L1063" s="425">
        <v>0</v>
      </c>
      <c r="M1063" s="425">
        <v>0</v>
      </c>
      <c r="N1063" s="425">
        <v>0</v>
      </c>
      <c r="O1063" s="425">
        <v>0</v>
      </c>
    </row>
    <row r="1064" spans="3:15" hidden="1" x14ac:dyDescent="0.3">
      <c r="C1064" t="s">
        <v>2295</v>
      </c>
      <c r="D1064" t="s">
        <v>2267</v>
      </c>
      <c r="E1064" t="s">
        <v>4343</v>
      </c>
      <c r="F1064" t="s">
        <v>4344</v>
      </c>
      <c r="G1064" s="425">
        <v>0</v>
      </c>
      <c r="H1064" s="425">
        <v>0</v>
      </c>
      <c r="I1064" s="425">
        <v>0</v>
      </c>
      <c r="J1064" s="425">
        <v>0</v>
      </c>
      <c r="K1064" s="425">
        <v>0</v>
      </c>
      <c r="L1064" s="425">
        <v>0</v>
      </c>
      <c r="M1064" s="425">
        <v>0</v>
      </c>
      <c r="N1064" s="425">
        <v>0</v>
      </c>
      <c r="O1064" s="425">
        <v>0</v>
      </c>
    </row>
    <row r="1065" spans="3:15" hidden="1" x14ac:dyDescent="0.3">
      <c r="C1065" t="s">
        <v>2295</v>
      </c>
      <c r="D1065" t="s">
        <v>2267</v>
      </c>
      <c r="E1065" t="s">
        <v>4345</v>
      </c>
      <c r="F1065" t="s">
        <v>4346</v>
      </c>
      <c r="G1065" s="425">
        <v>0</v>
      </c>
      <c r="H1065" s="425">
        <v>0</v>
      </c>
      <c r="I1065" s="425">
        <v>0</v>
      </c>
      <c r="J1065" s="425">
        <v>0</v>
      </c>
      <c r="K1065" s="425">
        <v>0</v>
      </c>
      <c r="L1065" s="425">
        <v>0</v>
      </c>
      <c r="M1065" s="425">
        <v>0</v>
      </c>
      <c r="N1065" s="425">
        <v>0</v>
      </c>
      <c r="O1065" s="425">
        <v>0</v>
      </c>
    </row>
    <row r="1066" spans="3:15" hidden="1" x14ac:dyDescent="0.3">
      <c r="C1066" t="s">
        <v>2295</v>
      </c>
      <c r="D1066" t="s">
        <v>2267</v>
      </c>
      <c r="E1066" t="s">
        <v>4347</v>
      </c>
      <c r="F1066" t="s">
        <v>4348</v>
      </c>
      <c r="G1066" s="425">
        <v>0</v>
      </c>
      <c r="H1066" s="425">
        <v>0</v>
      </c>
      <c r="I1066" s="425">
        <v>0</v>
      </c>
      <c r="J1066" s="425">
        <v>0</v>
      </c>
      <c r="K1066" s="425">
        <v>0</v>
      </c>
      <c r="L1066" s="425">
        <v>0</v>
      </c>
      <c r="M1066" s="425">
        <v>0</v>
      </c>
      <c r="N1066" s="425">
        <v>0</v>
      </c>
      <c r="O1066" s="425">
        <v>0</v>
      </c>
    </row>
    <row r="1067" spans="3:15" hidden="1" x14ac:dyDescent="0.3">
      <c r="C1067" t="s">
        <v>2295</v>
      </c>
      <c r="D1067" t="s">
        <v>2267</v>
      </c>
      <c r="E1067" t="s">
        <v>4349</v>
      </c>
      <c r="F1067" t="s">
        <v>4350</v>
      </c>
      <c r="G1067" s="425">
        <v>0</v>
      </c>
      <c r="H1067" s="425">
        <v>0</v>
      </c>
      <c r="I1067" s="425">
        <v>0</v>
      </c>
      <c r="J1067" s="425">
        <v>0</v>
      </c>
      <c r="K1067" s="425">
        <v>0</v>
      </c>
      <c r="L1067" s="425">
        <v>0</v>
      </c>
      <c r="M1067" s="425">
        <v>0</v>
      </c>
      <c r="N1067" s="425">
        <v>0</v>
      </c>
      <c r="O1067" s="425">
        <v>0</v>
      </c>
    </row>
    <row r="1068" spans="3:15" hidden="1" x14ac:dyDescent="0.3">
      <c r="C1068" t="s">
        <v>2295</v>
      </c>
      <c r="D1068" t="s">
        <v>2267</v>
      </c>
      <c r="E1068" t="s">
        <v>4351</v>
      </c>
      <c r="F1068" t="s">
        <v>4352</v>
      </c>
      <c r="G1068" s="425">
        <v>0</v>
      </c>
      <c r="H1068" s="425">
        <v>0</v>
      </c>
      <c r="I1068" s="425">
        <v>0</v>
      </c>
      <c r="J1068" s="425">
        <v>0</v>
      </c>
      <c r="K1068" s="425">
        <v>0</v>
      </c>
      <c r="L1068" s="425">
        <v>0</v>
      </c>
      <c r="M1068" s="425">
        <v>0</v>
      </c>
      <c r="N1068" s="425">
        <v>0</v>
      </c>
      <c r="O1068" s="425">
        <v>0</v>
      </c>
    </row>
    <row r="1069" spans="3:15" hidden="1" x14ac:dyDescent="0.3">
      <c r="C1069" t="s">
        <v>2295</v>
      </c>
      <c r="D1069" t="s">
        <v>2267</v>
      </c>
      <c r="E1069" t="s">
        <v>4353</v>
      </c>
      <c r="F1069" t="s">
        <v>4354</v>
      </c>
      <c r="G1069" s="425">
        <v>0</v>
      </c>
      <c r="H1069" s="425">
        <v>0</v>
      </c>
      <c r="I1069" s="425">
        <v>0</v>
      </c>
      <c r="J1069" s="425">
        <v>0</v>
      </c>
      <c r="K1069" s="425">
        <v>0</v>
      </c>
      <c r="L1069" s="425">
        <v>0</v>
      </c>
      <c r="M1069" s="425">
        <v>0</v>
      </c>
      <c r="N1069" s="425">
        <v>0</v>
      </c>
      <c r="O1069" s="425">
        <v>0</v>
      </c>
    </row>
    <row r="1070" spans="3:15" hidden="1" x14ac:dyDescent="0.3">
      <c r="C1070" t="s">
        <v>2295</v>
      </c>
      <c r="D1070" t="s">
        <v>2267</v>
      </c>
      <c r="E1070" t="s">
        <v>4355</v>
      </c>
      <c r="F1070" t="s">
        <v>4356</v>
      </c>
      <c r="G1070" s="425">
        <v>0</v>
      </c>
      <c r="H1070" s="425">
        <v>0</v>
      </c>
      <c r="I1070" s="425">
        <v>0</v>
      </c>
      <c r="J1070" s="425">
        <v>0</v>
      </c>
      <c r="K1070" s="425">
        <v>0</v>
      </c>
      <c r="L1070" s="425">
        <v>0</v>
      </c>
      <c r="M1070" s="425">
        <v>0</v>
      </c>
      <c r="N1070" s="425">
        <v>0</v>
      </c>
      <c r="O1070" s="425">
        <v>0</v>
      </c>
    </row>
    <row r="1071" spans="3:15" hidden="1" x14ac:dyDescent="0.3">
      <c r="C1071" t="s">
        <v>2295</v>
      </c>
      <c r="D1071" t="s">
        <v>2267</v>
      </c>
      <c r="E1071" t="s">
        <v>4357</v>
      </c>
      <c r="F1071" t="s">
        <v>4358</v>
      </c>
      <c r="G1071" s="425">
        <v>600000</v>
      </c>
      <c r="H1071" s="425">
        <v>0</v>
      </c>
      <c r="I1071" s="425">
        <v>600000</v>
      </c>
      <c r="J1071" s="425">
        <v>0</v>
      </c>
      <c r="K1071" s="425">
        <v>0</v>
      </c>
      <c r="L1071" s="425">
        <v>0</v>
      </c>
      <c r="M1071" s="425">
        <v>0</v>
      </c>
      <c r="N1071" s="425">
        <v>0</v>
      </c>
      <c r="O1071" s="425">
        <v>0</v>
      </c>
    </row>
    <row r="1072" spans="3:15" hidden="1" x14ac:dyDescent="0.3">
      <c r="C1072" t="s">
        <v>2295</v>
      </c>
      <c r="D1072" t="s">
        <v>2267</v>
      </c>
      <c r="E1072" t="s">
        <v>4359</v>
      </c>
      <c r="F1072" t="s">
        <v>4360</v>
      </c>
      <c r="G1072" s="425">
        <v>0</v>
      </c>
      <c r="H1072" s="425">
        <v>0</v>
      </c>
      <c r="I1072" s="425">
        <v>0</v>
      </c>
      <c r="J1072" s="425">
        <v>0</v>
      </c>
      <c r="K1072" s="425">
        <v>0</v>
      </c>
      <c r="L1072" s="425">
        <v>0</v>
      </c>
      <c r="M1072" s="425">
        <v>0</v>
      </c>
      <c r="N1072" s="425">
        <v>0</v>
      </c>
      <c r="O1072" s="425">
        <v>0</v>
      </c>
    </row>
    <row r="1073" spans="3:15" hidden="1" x14ac:dyDescent="0.3">
      <c r="C1073" t="s">
        <v>2295</v>
      </c>
      <c r="D1073" t="s">
        <v>2267</v>
      </c>
      <c r="E1073" t="s">
        <v>4361</v>
      </c>
      <c r="F1073" t="s">
        <v>4362</v>
      </c>
      <c r="G1073" s="425">
        <v>0</v>
      </c>
      <c r="H1073" s="425">
        <v>0</v>
      </c>
      <c r="I1073" s="425">
        <v>0</v>
      </c>
      <c r="J1073" s="425">
        <v>0</v>
      </c>
      <c r="K1073" s="425">
        <v>0</v>
      </c>
      <c r="L1073" s="425">
        <v>0</v>
      </c>
      <c r="M1073" s="425">
        <v>0</v>
      </c>
      <c r="N1073" s="425">
        <v>0</v>
      </c>
      <c r="O1073" s="425">
        <v>0</v>
      </c>
    </row>
    <row r="1074" spans="3:15" hidden="1" x14ac:dyDescent="0.3">
      <c r="C1074" t="s">
        <v>2295</v>
      </c>
      <c r="D1074" t="s">
        <v>2267</v>
      </c>
      <c r="E1074" t="s">
        <v>4363</v>
      </c>
      <c r="F1074" t="s">
        <v>4364</v>
      </c>
      <c r="G1074" s="425">
        <v>0</v>
      </c>
      <c r="H1074" s="425">
        <v>0</v>
      </c>
      <c r="I1074" s="425">
        <v>0</v>
      </c>
      <c r="J1074" s="425">
        <v>0</v>
      </c>
      <c r="K1074" s="425">
        <v>0</v>
      </c>
      <c r="L1074" s="425">
        <v>0</v>
      </c>
      <c r="M1074" s="425">
        <v>0</v>
      </c>
      <c r="N1074" s="425">
        <v>0</v>
      </c>
      <c r="O1074" s="425">
        <v>0</v>
      </c>
    </row>
    <row r="1075" spans="3:15" hidden="1" x14ac:dyDescent="0.3">
      <c r="C1075" t="s">
        <v>2295</v>
      </c>
      <c r="D1075" t="s">
        <v>2267</v>
      </c>
      <c r="E1075" t="s">
        <v>4365</v>
      </c>
      <c r="F1075" t="s">
        <v>4366</v>
      </c>
      <c r="G1075" s="425">
        <v>0</v>
      </c>
      <c r="H1075" s="425">
        <v>0</v>
      </c>
      <c r="I1075" s="425">
        <v>0</v>
      </c>
      <c r="J1075" s="425">
        <v>0</v>
      </c>
      <c r="K1075" s="425">
        <v>0</v>
      </c>
      <c r="L1075" s="425">
        <v>0</v>
      </c>
      <c r="M1075" s="425">
        <v>0</v>
      </c>
      <c r="N1075" s="425">
        <v>0</v>
      </c>
      <c r="O1075" s="425">
        <v>0</v>
      </c>
    </row>
    <row r="1076" spans="3:15" hidden="1" x14ac:dyDescent="0.3">
      <c r="C1076" t="s">
        <v>2295</v>
      </c>
      <c r="D1076" t="s">
        <v>2267</v>
      </c>
      <c r="E1076" t="s">
        <v>4367</v>
      </c>
      <c r="F1076" t="s">
        <v>4368</v>
      </c>
      <c r="G1076" s="425">
        <v>0</v>
      </c>
      <c r="H1076" s="425">
        <v>0</v>
      </c>
      <c r="I1076" s="425">
        <v>0</v>
      </c>
      <c r="J1076" s="425">
        <v>0</v>
      </c>
      <c r="K1076" s="425">
        <v>0</v>
      </c>
      <c r="L1076" s="425">
        <v>0</v>
      </c>
      <c r="M1076" s="425">
        <v>0</v>
      </c>
      <c r="N1076" s="425">
        <v>0</v>
      </c>
      <c r="O1076" s="425">
        <v>0</v>
      </c>
    </row>
    <row r="1077" spans="3:15" hidden="1" x14ac:dyDescent="0.3">
      <c r="C1077" t="s">
        <v>2295</v>
      </c>
      <c r="D1077" t="s">
        <v>2267</v>
      </c>
      <c r="E1077" t="s">
        <v>4369</v>
      </c>
      <c r="F1077" t="s">
        <v>4370</v>
      </c>
      <c r="G1077" s="425">
        <v>0</v>
      </c>
      <c r="H1077" s="425">
        <v>0</v>
      </c>
      <c r="I1077" s="425">
        <v>0</v>
      </c>
      <c r="J1077" s="425">
        <v>0</v>
      </c>
      <c r="K1077" s="425">
        <v>0</v>
      </c>
      <c r="L1077" s="425">
        <v>0</v>
      </c>
      <c r="M1077" s="425">
        <v>0</v>
      </c>
      <c r="N1077" s="425">
        <v>0</v>
      </c>
      <c r="O1077" s="425">
        <v>0</v>
      </c>
    </row>
    <row r="1078" spans="3:15" hidden="1" x14ac:dyDescent="0.3">
      <c r="C1078" t="s">
        <v>2295</v>
      </c>
      <c r="D1078" t="s">
        <v>2267</v>
      </c>
      <c r="E1078" t="s">
        <v>4371</v>
      </c>
      <c r="F1078" t="s">
        <v>4372</v>
      </c>
      <c r="G1078" s="425">
        <v>0</v>
      </c>
      <c r="H1078" s="425">
        <v>0</v>
      </c>
      <c r="I1078" s="425">
        <v>0</v>
      </c>
      <c r="J1078" s="425">
        <v>0</v>
      </c>
      <c r="K1078" s="425">
        <v>0</v>
      </c>
      <c r="L1078" s="425">
        <v>0</v>
      </c>
      <c r="M1078" s="425">
        <v>0</v>
      </c>
      <c r="N1078" s="425">
        <v>0</v>
      </c>
      <c r="O1078" s="425">
        <v>0</v>
      </c>
    </row>
    <row r="1079" spans="3:15" hidden="1" x14ac:dyDescent="0.3">
      <c r="C1079" t="s">
        <v>2295</v>
      </c>
      <c r="D1079" t="s">
        <v>2267</v>
      </c>
      <c r="E1079" t="s">
        <v>4373</v>
      </c>
      <c r="F1079" t="s">
        <v>4374</v>
      </c>
      <c r="G1079" s="425">
        <v>0</v>
      </c>
      <c r="H1079" s="425">
        <v>0</v>
      </c>
      <c r="I1079" s="425">
        <v>0</v>
      </c>
      <c r="J1079" s="425">
        <v>0</v>
      </c>
      <c r="K1079" s="425">
        <v>0</v>
      </c>
      <c r="L1079" s="425">
        <v>0</v>
      </c>
      <c r="M1079" s="425">
        <v>0</v>
      </c>
      <c r="N1079" s="425">
        <v>0</v>
      </c>
      <c r="O1079" s="425">
        <v>0</v>
      </c>
    </row>
    <row r="1080" spans="3:15" hidden="1" x14ac:dyDescent="0.3">
      <c r="C1080" t="s">
        <v>2295</v>
      </c>
      <c r="D1080" t="s">
        <v>2267</v>
      </c>
      <c r="E1080" t="s">
        <v>4375</v>
      </c>
      <c r="F1080" t="s">
        <v>4376</v>
      </c>
      <c r="G1080" s="425">
        <v>0</v>
      </c>
      <c r="H1080" s="425">
        <v>0</v>
      </c>
      <c r="I1080" s="425">
        <v>0</v>
      </c>
      <c r="J1080" s="425">
        <v>0</v>
      </c>
      <c r="K1080" s="425">
        <v>0</v>
      </c>
      <c r="L1080" s="425">
        <v>0</v>
      </c>
      <c r="M1080" s="425">
        <v>0</v>
      </c>
      <c r="N1080" s="425">
        <v>0</v>
      </c>
      <c r="O1080" s="425">
        <v>0</v>
      </c>
    </row>
    <row r="1081" spans="3:15" hidden="1" x14ac:dyDescent="0.3">
      <c r="C1081" t="s">
        <v>2295</v>
      </c>
      <c r="D1081" t="s">
        <v>2267</v>
      </c>
      <c r="E1081" t="s">
        <v>4377</v>
      </c>
      <c r="F1081" t="s">
        <v>4378</v>
      </c>
      <c r="G1081" s="425">
        <v>0</v>
      </c>
      <c r="H1081" s="425">
        <v>0</v>
      </c>
      <c r="I1081" s="425">
        <v>0</v>
      </c>
      <c r="J1081" s="425">
        <v>0</v>
      </c>
      <c r="K1081" s="425">
        <v>0</v>
      </c>
      <c r="L1081" s="425">
        <v>0</v>
      </c>
      <c r="M1081" s="425">
        <v>0</v>
      </c>
      <c r="N1081" s="425">
        <v>0</v>
      </c>
      <c r="O1081" s="425">
        <v>0</v>
      </c>
    </row>
    <row r="1082" spans="3:15" hidden="1" x14ac:dyDescent="0.3">
      <c r="C1082" t="s">
        <v>2295</v>
      </c>
      <c r="D1082" t="s">
        <v>2267</v>
      </c>
      <c r="E1082" t="s">
        <v>4317</v>
      </c>
      <c r="F1082" t="s">
        <v>4379</v>
      </c>
      <c r="G1082" s="425">
        <v>0</v>
      </c>
      <c r="H1082" s="425">
        <v>0</v>
      </c>
      <c r="I1082" s="425">
        <v>0</v>
      </c>
      <c r="J1082" s="425">
        <v>0</v>
      </c>
      <c r="K1082" s="425">
        <v>0</v>
      </c>
      <c r="L1082" s="425">
        <v>0</v>
      </c>
      <c r="M1082" s="425">
        <v>0</v>
      </c>
      <c r="N1082" s="425">
        <v>0</v>
      </c>
      <c r="O1082" s="425">
        <v>0</v>
      </c>
    </row>
    <row r="1083" spans="3:15" hidden="1" x14ac:dyDescent="0.3">
      <c r="C1083" t="s">
        <v>2295</v>
      </c>
      <c r="D1083" t="s">
        <v>2267</v>
      </c>
      <c r="E1083" t="s">
        <v>4380</v>
      </c>
      <c r="F1083" t="s">
        <v>4381</v>
      </c>
      <c r="G1083" s="425">
        <v>0</v>
      </c>
      <c r="H1083" s="425">
        <v>0</v>
      </c>
      <c r="I1083" s="425">
        <v>0</v>
      </c>
      <c r="J1083" s="425">
        <v>0</v>
      </c>
      <c r="K1083" s="425">
        <v>0</v>
      </c>
      <c r="L1083" s="425">
        <v>0</v>
      </c>
      <c r="M1083" s="425">
        <v>0</v>
      </c>
      <c r="N1083" s="425">
        <v>0</v>
      </c>
      <c r="O1083" s="425">
        <v>0</v>
      </c>
    </row>
    <row r="1084" spans="3:15" hidden="1" x14ac:dyDescent="0.3">
      <c r="C1084" t="s">
        <v>2295</v>
      </c>
      <c r="D1084" t="s">
        <v>2267</v>
      </c>
      <c r="E1084" t="s">
        <v>4382</v>
      </c>
      <c r="F1084" t="s">
        <v>4383</v>
      </c>
      <c r="G1084" s="425">
        <v>0</v>
      </c>
      <c r="H1084" s="425">
        <v>0</v>
      </c>
      <c r="I1084" s="425">
        <v>0</v>
      </c>
      <c r="J1084" s="425">
        <v>0</v>
      </c>
      <c r="K1084" s="425">
        <v>0</v>
      </c>
      <c r="L1084" s="425">
        <v>0</v>
      </c>
      <c r="M1084" s="425">
        <v>0</v>
      </c>
      <c r="N1084" s="425">
        <v>0</v>
      </c>
      <c r="O1084" s="425">
        <v>0</v>
      </c>
    </row>
    <row r="1085" spans="3:15" hidden="1" x14ac:dyDescent="0.3">
      <c r="C1085" t="s">
        <v>2295</v>
      </c>
      <c r="D1085" t="s">
        <v>2267</v>
      </c>
      <c r="E1085" t="s">
        <v>4384</v>
      </c>
      <c r="F1085" t="s">
        <v>4385</v>
      </c>
      <c r="G1085" s="425">
        <v>0</v>
      </c>
      <c r="H1085" s="425">
        <v>0</v>
      </c>
      <c r="I1085" s="425">
        <v>0</v>
      </c>
      <c r="J1085" s="425">
        <v>0</v>
      </c>
      <c r="K1085" s="425">
        <v>0</v>
      </c>
      <c r="L1085" s="425">
        <v>0</v>
      </c>
      <c r="M1085" s="425">
        <v>0</v>
      </c>
      <c r="N1085" s="425">
        <v>0</v>
      </c>
      <c r="O1085" s="425">
        <v>0</v>
      </c>
    </row>
    <row r="1086" spans="3:15" hidden="1" x14ac:dyDescent="0.3">
      <c r="C1086" t="s">
        <v>2295</v>
      </c>
      <c r="D1086" t="s">
        <v>2267</v>
      </c>
      <c r="E1086" t="s">
        <v>4386</v>
      </c>
      <c r="F1086" t="s">
        <v>4387</v>
      </c>
      <c r="G1086" s="425">
        <v>0</v>
      </c>
      <c r="H1086" s="425">
        <v>0</v>
      </c>
      <c r="I1086" s="425">
        <v>0</v>
      </c>
      <c r="J1086" s="425">
        <v>0</v>
      </c>
      <c r="K1086" s="425">
        <v>0</v>
      </c>
      <c r="L1086" s="425">
        <v>0</v>
      </c>
      <c r="M1086" s="425">
        <v>0</v>
      </c>
      <c r="N1086" s="425">
        <v>0</v>
      </c>
      <c r="O1086" s="425">
        <v>0</v>
      </c>
    </row>
    <row r="1087" spans="3:15" hidden="1" x14ac:dyDescent="0.3">
      <c r="C1087" t="s">
        <v>2295</v>
      </c>
      <c r="D1087" t="s">
        <v>2267</v>
      </c>
      <c r="E1087" t="s">
        <v>4388</v>
      </c>
      <c r="F1087" t="s">
        <v>4389</v>
      </c>
      <c r="G1087" s="425">
        <v>0</v>
      </c>
      <c r="H1087" s="425">
        <v>0</v>
      </c>
      <c r="I1087" s="425">
        <v>0</v>
      </c>
      <c r="J1087" s="425">
        <v>0</v>
      </c>
      <c r="K1087" s="425">
        <v>0</v>
      </c>
      <c r="L1087" s="425">
        <v>0</v>
      </c>
      <c r="M1087" s="425">
        <v>0</v>
      </c>
      <c r="N1087" s="425">
        <v>0</v>
      </c>
      <c r="O1087" s="425">
        <v>0</v>
      </c>
    </row>
    <row r="1088" spans="3:15" hidden="1" x14ac:dyDescent="0.3">
      <c r="C1088" t="s">
        <v>2295</v>
      </c>
      <c r="D1088" t="s">
        <v>2267</v>
      </c>
      <c r="E1088" t="s">
        <v>4390</v>
      </c>
      <c r="F1088" t="s">
        <v>4391</v>
      </c>
      <c r="G1088" s="425">
        <v>0</v>
      </c>
      <c r="H1088" s="425">
        <v>0</v>
      </c>
      <c r="I1088" s="425">
        <v>0</v>
      </c>
      <c r="J1088" s="425">
        <v>0</v>
      </c>
      <c r="K1088" s="425">
        <v>0</v>
      </c>
      <c r="L1088" s="425">
        <v>0</v>
      </c>
      <c r="M1088" s="425">
        <v>0</v>
      </c>
      <c r="N1088" s="425">
        <v>0</v>
      </c>
      <c r="O1088" s="425">
        <v>0</v>
      </c>
    </row>
    <row r="1089" spans="3:15" hidden="1" x14ac:dyDescent="0.3">
      <c r="C1089" t="s">
        <v>2295</v>
      </c>
      <c r="D1089" t="s">
        <v>2267</v>
      </c>
      <c r="E1089" t="s">
        <v>4392</v>
      </c>
      <c r="F1089" t="s">
        <v>4393</v>
      </c>
      <c r="G1089" s="425">
        <v>0</v>
      </c>
      <c r="H1089" s="425">
        <v>0</v>
      </c>
      <c r="I1089" s="425">
        <v>0</v>
      </c>
      <c r="J1089" s="425">
        <v>0</v>
      </c>
      <c r="K1089" s="425">
        <v>0</v>
      </c>
      <c r="L1089" s="425">
        <v>0</v>
      </c>
      <c r="M1089" s="425">
        <v>0</v>
      </c>
      <c r="N1089" s="425">
        <v>0</v>
      </c>
      <c r="O1089" s="425">
        <v>0</v>
      </c>
    </row>
    <row r="1090" spans="3:15" hidden="1" x14ac:dyDescent="0.3">
      <c r="C1090" t="s">
        <v>2295</v>
      </c>
      <c r="D1090" t="s">
        <v>2267</v>
      </c>
      <c r="E1090" t="s">
        <v>4394</v>
      </c>
      <c r="F1090" t="s">
        <v>4395</v>
      </c>
      <c r="G1090" s="425">
        <v>0</v>
      </c>
      <c r="H1090" s="425">
        <v>0</v>
      </c>
      <c r="I1090" s="425">
        <v>0</v>
      </c>
      <c r="J1090" s="425">
        <v>0</v>
      </c>
      <c r="K1090" s="425">
        <v>0</v>
      </c>
      <c r="L1090" s="425">
        <v>0</v>
      </c>
      <c r="M1090" s="425">
        <v>0</v>
      </c>
      <c r="N1090" s="425">
        <v>0</v>
      </c>
      <c r="O1090" s="425">
        <v>0</v>
      </c>
    </row>
    <row r="1091" spans="3:15" hidden="1" x14ac:dyDescent="0.3">
      <c r="C1091" t="s">
        <v>2295</v>
      </c>
      <c r="D1091" t="s">
        <v>2267</v>
      </c>
      <c r="E1091" t="s">
        <v>4396</v>
      </c>
      <c r="F1091" t="s">
        <v>4397</v>
      </c>
      <c r="G1091" s="425">
        <v>0</v>
      </c>
      <c r="H1091" s="425">
        <v>0</v>
      </c>
      <c r="I1091" s="425">
        <v>0</v>
      </c>
      <c r="J1091" s="425">
        <v>0</v>
      </c>
      <c r="K1091" s="425">
        <v>0</v>
      </c>
      <c r="L1091" s="425">
        <v>0</v>
      </c>
      <c r="M1091" s="425">
        <v>0</v>
      </c>
      <c r="N1091" s="425">
        <v>0</v>
      </c>
      <c r="O1091" s="425">
        <v>0</v>
      </c>
    </row>
    <row r="1092" spans="3:15" hidden="1" x14ac:dyDescent="0.3">
      <c r="C1092" t="s">
        <v>2295</v>
      </c>
      <c r="D1092" t="s">
        <v>2267</v>
      </c>
      <c r="E1092" t="s">
        <v>4398</v>
      </c>
      <c r="F1092" t="s">
        <v>4399</v>
      </c>
      <c r="G1092" s="425">
        <v>0</v>
      </c>
      <c r="H1092" s="425">
        <v>0</v>
      </c>
      <c r="I1092" s="425">
        <v>0</v>
      </c>
      <c r="J1092" s="425">
        <v>0</v>
      </c>
      <c r="K1092" s="425">
        <v>0</v>
      </c>
      <c r="L1092" s="425">
        <v>0</v>
      </c>
      <c r="M1092" s="425">
        <v>0</v>
      </c>
      <c r="N1092" s="425">
        <v>0</v>
      </c>
      <c r="O1092" s="425">
        <v>0</v>
      </c>
    </row>
    <row r="1093" spans="3:15" hidden="1" x14ac:dyDescent="0.3">
      <c r="C1093" t="s">
        <v>2295</v>
      </c>
      <c r="D1093" t="s">
        <v>2267</v>
      </c>
      <c r="E1093" t="s">
        <v>4400</v>
      </c>
      <c r="F1093" t="s">
        <v>4401</v>
      </c>
      <c r="G1093" s="425">
        <v>0</v>
      </c>
      <c r="H1093" s="425">
        <v>0</v>
      </c>
      <c r="I1093" s="425">
        <v>0</v>
      </c>
      <c r="J1093" s="425">
        <v>0</v>
      </c>
      <c r="K1093" s="425">
        <v>0</v>
      </c>
      <c r="L1093" s="425">
        <v>0</v>
      </c>
      <c r="M1093" s="425">
        <v>0</v>
      </c>
      <c r="N1093" s="425">
        <v>0</v>
      </c>
      <c r="O1093" s="425">
        <v>0</v>
      </c>
    </row>
    <row r="1094" spans="3:15" hidden="1" x14ac:dyDescent="0.3">
      <c r="C1094" t="s">
        <v>2295</v>
      </c>
      <c r="D1094" t="s">
        <v>2267</v>
      </c>
      <c r="E1094" t="s">
        <v>4402</v>
      </c>
      <c r="F1094" t="s">
        <v>4403</v>
      </c>
      <c r="G1094" s="425">
        <v>0</v>
      </c>
      <c r="H1094" s="425">
        <v>0</v>
      </c>
      <c r="I1094" s="425">
        <v>0</v>
      </c>
      <c r="J1094" s="425">
        <v>0</v>
      </c>
      <c r="K1094" s="425">
        <v>0</v>
      </c>
      <c r="L1094" s="425">
        <v>0</v>
      </c>
      <c r="M1094" s="425">
        <v>0</v>
      </c>
      <c r="N1094" s="425">
        <v>0</v>
      </c>
      <c r="O1094" s="425">
        <v>0</v>
      </c>
    </row>
    <row r="1095" spans="3:15" hidden="1" x14ac:dyDescent="0.3">
      <c r="C1095" t="s">
        <v>2295</v>
      </c>
      <c r="D1095" t="s">
        <v>2267</v>
      </c>
      <c r="E1095" t="s">
        <v>4404</v>
      </c>
      <c r="F1095" t="s">
        <v>4405</v>
      </c>
      <c r="G1095" s="425">
        <v>0</v>
      </c>
      <c r="H1095" s="425">
        <v>0</v>
      </c>
      <c r="I1095" s="425">
        <v>0</v>
      </c>
      <c r="J1095" s="425">
        <v>0</v>
      </c>
      <c r="K1095" s="425">
        <v>0</v>
      </c>
      <c r="L1095" s="425">
        <v>0</v>
      </c>
      <c r="M1095" s="425">
        <v>0</v>
      </c>
      <c r="N1095" s="425">
        <v>0</v>
      </c>
      <c r="O1095" s="425">
        <v>0</v>
      </c>
    </row>
    <row r="1096" spans="3:15" hidden="1" x14ac:dyDescent="0.3">
      <c r="C1096" t="s">
        <v>2295</v>
      </c>
      <c r="D1096" t="s">
        <v>2267</v>
      </c>
      <c r="E1096" t="s">
        <v>4406</v>
      </c>
      <c r="F1096" t="s">
        <v>4407</v>
      </c>
      <c r="G1096" s="425">
        <v>0</v>
      </c>
      <c r="H1096" s="425">
        <v>0</v>
      </c>
      <c r="I1096" s="425">
        <v>0</v>
      </c>
      <c r="J1096" s="425">
        <v>0</v>
      </c>
      <c r="K1096" s="425">
        <v>0</v>
      </c>
      <c r="L1096" s="425">
        <v>0</v>
      </c>
      <c r="M1096" s="425">
        <v>0</v>
      </c>
      <c r="N1096" s="425">
        <v>0</v>
      </c>
      <c r="O1096" s="425">
        <v>0</v>
      </c>
    </row>
    <row r="1097" spans="3:15" hidden="1" x14ac:dyDescent="0.3">
      <c r="C1097" t="s">
        <v>2295</v>
      </c>
      <c r="D1097" t="s">
        <v>2267</v>
      </c>
      <c r="E1097" t="s">
        <v>4408</v>
      </c>
      <c r="F1097" t="s">
        <v>4409</v>
      </c>
      <c r="G1097" s="425">
        <v>0</v>
      </c>
      <c r="H1097" s="425">
        <v>0</v>
      </c>
      <c r="I1097" s="425">
        <v>0</v>
      </c>
      <c r="J1097" s="425">
        <v>0</v>
      </c>
      <c r="K1097" s="425">
        <v>0</v>
      </c>
      <c r="L1097" s="425">
        <v>0</v>
      </c>
      <c r="M1097" s="425">
        <v>0</v>
      </c>
      <c r="N1097" s="425">
        <v>0</v>
      </c>
      <c r="O1097" s="425">
        <v>0</v>
      </c>
    </row>
    <row r="1098" spans="3:15" hidden="1" x14ac:dyDescent="0.3">
      <c r="C1098" t="s">
        <v>2295</v>
      </c>
      <c r="D1098" t="s">
        <v>2267</v>
      </c>
      <c r="E1098" t="s">
        <v>4410</v>
      </c>
      <c r="F1098" t="s">
        <v>4411</v>
      </c>
      <c r="G1098" s="425">
        <v>0</v>
      </c>
      <c r="H1098" s="425">
        <v>0</v>
      </c>
      <c r="I1098" s="425">
        <v>0</v>
      </c>
      <c r="J1098" s="425">
        <v>0</v>
      </c>
      <c r="K1098" s="425">
        <v>0</v>
      </c>
      <c r="L1098" s="425">
        <v>0</v>
      </c>
      <c r="M1098" s="425">
        <v>0</v>
      </c>
      <c r="N1098" s="425">
        <v>0</v>
      </c>
      <c r="O1098" s="425">
        <v>0</v>
      </c>
    </row>
    <row r="1099" spans="3:15" hidden="1" x14ac:dyDescent="0.3">
      <c r="C1099" t="s">
        <v>2295</v>
      </c>
      <c r="D1099" t="s">
        <v>2267</v>
      </c>
      <c r="E1099" t="s">
        <v>4412</v>
      </c>
      <c r="F1099" t="s">
        <v>4413</v>
      </c>
      <c r="G1099" s="425">
        <v>0</v>
      </c>
      <c r="H1099" s="425">
        <v>0</v>
      </c>
      <c r="I1099" s="425">
        <v>0</v>
      </c>
      <c r="J1099" s="425">
        <v>0</v>
      </c>
      <c r="K1099" s="425">
        <v>0</v>
      </c>
      <c r="L1099" s="425">
        <v>0</v>
      </c>
      <c r="M1099" s="425">
        <v>0</v>
      </c>
      <c r="N1099" s="425">
        <v>0</v>
      </c>
      <c r="O1099" s="425">
        <v>0</v>
      </c>
    </row>
    <row r="1100" spans="3:15" hidden="1" x14ac:dyDescent="0.3">
      <c r="C1100" t="s">
        <v>2295</v>
      </c>
      <c r="D1100" t="s">
        <v>2267</v>
      </c>
      <c r="E1100" t="s">
        <v>4414</v>
      </c>
      <c r="F1100" t="s">
        <v>4415</v>
      </c>
      <c r="G1100" s="425">
        <v>0</v>
      </c>
      <c r="H1100" s="425">
        <v>0</v>
      </c>
      <c r="I1100" s="425">
        <v>0</v>
      </c>
      <c r="J1100" s="425">
        <v>0</v>
      </c>
      <c r="K1100" s="425">
        <v>0</v>
      </c>
      <c r="L1100" s="425">
        <v>0</v>
      </c>
      <c r="M1100" s="425">
        <v>0</v>
      </c>
      <c r="N1100" s="425">
        <v>0</v>
      </c>
      <c r="O1100" s="425">
        <v>0</v>
      </c>
    </row>
    <row r="1101" spans="3:15" hidden="1" x14ac:dyDescent="0.3">
      <c r="C1101" t="s">
        <v>2295</v>
      </c>
      <c r="D1101" t="s">
        <v>2267</v>
      </c>
      <c r="E1101" t="s">
        <v>4416</v>
      </c>
      <c r="F1101" t="s">
        <v>4417</v>
      </c>
      <c r="G1101" s="425">
        <v>0</v>
      </c>
      <c r="H1101" s="425">
        <v>0</v>
      </c>
      <c r="I1101" s="425">
        <v>0</v>
      </c>
      <c r="J1101" s="425">
        <v>0</v>
      </c>
      <c r="K1101" s="425">
        <v>0</v>
      </c>
      <c r="L1101" s="425">
        <v>0</v>
      </c>
      <c r="M1101" s="425">
        <v>0</v>
      </c>
      <c r="N1101" s="425">
        <v>0</v>
      </c>
      <c r="O1101" s="425">
        <v>0</v>
      </c>
    </row>
    <row r="1102" spans="3:15" hidden="1" x14ac:dyDescent="0.3">
      <c r="C1102" t="s">
        <v>2295</v>
      </c>
      <c r="D1102" t="s">
        <v>2267</v>
      </c>
      <c r="E1102" t="s">
        <v>4418</v>
      </c>
      <c r="F1102" t="s">
        <v>4419</v>
      </c>
      <c r="G1102" s="425">
        <v>0</v>
      </c>
      <c r="H1102" s="425">
        <v>0</v>
      </c>
      <c r="I1102" s="425">
        <v>0</v>
      </c>
      <c r="J1102" s="425">
        <v>0</v>
      </c>
      <c r="K1102" s="425">
        <v>0</v>
      </c>
      <c r="L1102" s="425">
        <v>0</v>
      </c>
      <c r="M1102" s="425">
        <v>0</v>
      </c>
      <c r="N1102" s="425">
        <v>0</v>
      </c>
      <c r="O1102" s="425">
        <v>0</v>
      </c>
    </row>
    <row r="1103" spans="3:15" hidden="1" x14ac:dyDescent="0.3">
      <c r="C1103" t="s">
        <v>2295</v>
      </c>
      <c r="D1103" t="s">
        <v>2267</v>
      </c>
      <c r="E1103" t="s">
        <v>4420</v>
      </c>
      <c r="F1103" t="s">
        <v>4421</v>
      </c>
      <c r="G1103" s="425">
        <v>0</v>
      </c>
      <c r="H1103" s="425">
        <v>0</v>
      </c>
      <c r="I1103" s="425">
        <v>0</v>
      </c>
      <c r="J1103" s="425">
        <v>0</v>
      </c>
      <c r="K1103" s="425">
        <v>0</v>
      </c>
      <c r="L1103" s="425">
        <v>0</v>
      </c>
      <c r="M1103" s="425">
        <v>0</v>
      </c>
      <c r="N1103" s="425">
        <v>0</v>
      </c>
      <c r="O1103" s="425">
        <v>0</v>
      </c>
    </row>
    <row r="1104" spans="3:15" hidden="1" x14ac:dyDescent="0.3">
      <c r="C1104" t="s">
        <v>2295</v>
      </c>
      <c r="D1104" t="s">
        <v>2267</v>
      </c>
      <c r="E1104" t="s">
        <v>4422</v>
      </c>
      <c r="F1104" t="s">
        <v>4423</v>
      </c>
      <c r="G1104" s="425">
        <v>0</v>
      </c>
      <c r="H1104" s="425">
        <v>0</v>
      </c>
      <c r="I1104" s="425">
        <v>0</v>
      </c>
      <c r="J1104" s="425">
        <v>0</v>
      </c>
      <c r="K1104" s="425">
        <v>0</v>
      </c>
      <c r="L1104" s="425">
        <v>0</v>
      </c>
      <c r="M1104" s="425">
        <v>0</v>
      </c>
      <c r="N1104" s="425">
        <v>0</v>
      </c>
      <c r="O1104" s="425">
        <v>0</v>
      </c>
    </row>
    <row r="1105" spans="3:15" hidden="1" x14ac:dyDescent="0.3">
      <c r="C1105" t="s">
        <v>2295</v>
      </c>
      <c r="D1105" t="s">
        <v>2267</v>
      </c>
      <c r="E1105" t="s">
        <v>4424</v>
      </c>
      <c r="F1105" t="s">
        <v>4425</v>
      </c>
      <c r="G1105" s="425">
        <v>0</v>
      </c>
      <c r="H1105" s="425">
        <v>0</v>
      </c>
      <c r="I1105" s="425">
        <v>0</v>
      </c>
      <c r="J1105" s="425">
        <v>0</v>
      </c>
      <c r="K1105" s="425">
        <v>0</v>
      </c>
      <c r="L1105" s="425">
        <v>0</v>
      </c>
      <c r="M1105" s="425">
        <v>0</v>
      </c>
      <c r="N1105" s="425">
        <v>0</v>
      </c>
      <c r="O1105" s="425">
        <v>0</v>
      </c>
    </row>
    <row r="1106" spans="3:15" hidden="1" x14ac:dyDescent="0.3">
      <c r="C1106" t="s">
        <v>2295</v>
      </c>
      <c r="D1106" t="s">
        <v>2267</v>
      </c>
      <c r="E1106" t="s">
        <v>4426</v>
      </c>
      <c r="F1106" t="s">
        <v>4427</v>
      </c>
      <c r="G1106" s="425">
        <v>0</v>
      </c>
      <c r="H1106" s="425">
        <v>0</v>
      </c>
      <c r="I1106" s="425">
        <v>0</v>
      </c>
      <c r="J1106" s="425">
        <v>0</v>
      </c>
      <c r="K1106" s="425">
        <v>0</v>
      </c>
      <c r="L1106" s="425">
        <v>0</v>
      </c>
      <c r="M1106" s="425">
        <v>0</v>
      </c>
      <c r="N1106" s="425">
        <v>0</v>
      </c>
      <c r="O1106" s="425">
        <v>0</v>
      </c>
    </row>
    <row r="1107" spans="3:15" hidden="1" x14ac:dyDescent="0.3">
      <c r="C1107" t="s">
        <v>2295</v>
      </c>
      <c r="D1107" t="s">
        <v>2267</v>
      </c>
      <c r="E1107" t="s">
        <v>4428</v>
      </c>
      <c r="F1107" t="s">
        <v>4429</v>
      </c>
      <c r="G1107" s="425">
        <v>0</v>
      </c>
      <c r="H1107" s="425">
        <v>0</v>
      </c>
      <c r="I1107" s="425">
        <v>0</v>
      </c>
      <c r="J1107" s="425">
        <v>0</v>
      </c>
      <c r="K1107" s="425">
        <v>0</v>
      </c>
      <c r="L1107" s="425">
        <v>0</v>
      </c>
      <c r="M1107" s="425">
        <v>0</v>
      </c>
      <c r="N1107" s="425">
        <v>0</v>
      </c>
      <c r="O1107" s="425">
        <v>0</v>
      </c>
    </row>
    <row r="1108" spans="3:15" hidden="1" x14ac:dyDescent="0.3">
      <c r="C1108" t="s">
        <v>2295</v>
      </c>
      <c r="D1108" t="s">
        <v>2267</v>
      </c>
      <c r="E1108" t="s">
        <v>4430</v>
      </c>
      <c r="F1108" t="s">
        <v>4431</v>
      </c>
      <c r="G1108" s="425">
        <v>0</v>
      </c>
      <c r="H1108" s="425">
        <v>0</v>
      </c>
      <c r="I1108" s="425">
        <v>0</v>
      </c>
      <c r="J1108" s="425">
        <v>0</v>
      </c>
      <c r="K1108" s="425">
        <v>0</v>
      </c>
      <c r="L1108" s="425">
        <v>0</v>
      </c>
      <c r="M1108" s="425">
        <v>0</v>
      </c>
      <c r="N1108" s="425">
        <v>0</v>
      </c>
      <c r="O1108" s="425">
        <v>0</v>
      </c>
    </row>
    <row r="1109" spans="3:15" hidden="1" x14ac:dyDescent="0.3">
      <c r="C1109" t="s">
        <v>2295</v>
      </c>
      <c r="D1109" t="s">
        <v>2267</v>
      </c>
      <c r="E1109" t="s">
        <v>4432</v>
      </c>
      <c r="F1109" t="s">
        <v>4433</v>
      </c>
      <c r="G1109" s="425">
        <v>0</v>
      </c>
      <c r="H1109" s="425">
        <v>0</v>
      </c>
      <c r="I1109" s="425">
        <v>0</v>
      </c>
      <c r="J1109" s="425">
        <v>0</v>
      </c>
      <c r="K1109" s="425">
        <v>0</v>
      </c>
      <c r="L1109" s="425">
        <v>0</v>
      </c>
      <c r="M1109" s="425">
        <v>0</v>
      </c>
      <c r="N1109" s="425">
        <v>0</v>
      </c>
      <c r="O1109" s="425">
        <v>0</v>
      </c>
    </row>
    <row r="1110" spans="3:15" hidden="1" x14ac:dyDescent="0.3">
      <c r="C1110" t="s">
        <v>2295</v>
      </c>
      <c r="D1110" t="s">
        <v>2267</v>
      </c>
      <c r="E1110" t="s">
        <v>4434</v>
      </c>
      <c r="F1110" t="s">
        <v>4435</v>
      </c>
      <c r="G1110" s="425">
        <v>0</v>
      </c>
      <c r="H1110" s="425">
        <v>0</v>
      </c>
      <c r="I1110" s="425">
        <v>0</v>
      </c>
      <c r="J1110" s="425">
        <v>0</v>
      </c>
      <c r="K1110" s="425">
        <v>0</v>
      </c>
      <c r="L1110" s="425">
        <v>0</v>
      </c>
      <c r="M1110" s="425">
        <v>0</v>
      </c>
      <c r="N1110" s="425">
        <v>0</v>
      </c>
      <c r="O1110" s="425">
        <v>0</v>
      </c>
    </row>
    <row r="1111" spans="3:15" hidden="1" x14ac:dyDescent="0.3">
      <c r="C1111" t="s">
        <v>2295</v>
      </c>
      <c r="D1111" t="s">
        <v>2267</v>
      </c>
      <c r="E1111" t="s">
        <v>4436</v>
      </c>
      <c r="F1111" t="s">
        <v>4437</v>
      </c>
      <c r="G1111" s="425">
        <v>0</v>
      </c>
      <c r="H1111" s="425">
        <v>0</v>
      </c>
      <c r="I1111" s="425">
        <v>0</v>
      </c>
      <c r="J1111" s="425">
        <v>0</v>
      </c>
      <c r="K1111" s="425">
        <v>0</v>
      </c>
      <c r="L1111" s="425">
        <v>0</v>
      </c>
      <c r="M1111" s="425">
        <v>0</v>
      </c>
      <c r="N1111" s="425">
        <v>0</v>
      </c>
      <c r="O1111" s="425">
        <v>0</v>
      </c>
    </row>
    <row r="1112" spans="3:15" hidden="1" x14ac:dyDescent="0.3">
      <c r="C1112" t="s">
        <v>2295</v>
      </c>
      <c r="D1112" t="s">
        <v>2267</v>
      </c>
      <c r="E1112" t="s">
        <v>4438</v>
      </c>
      <c r="F1112" t="s">
        <v>4439</v>
      </c>
      <c r="G1112" s="425">
        <v>0</v>
      </c>
      <c r="H1112" s="425">
        <v>0</v>
      </c>
      <c r="I1112" s="425">
        <v>0</v>
      </c>
      <c r="J1112" s="425">
        <v>0</v>
      </c>
      <c r="K1112" s="425">
        <v>0</v>
      </c>
      <c r="L1112" s="425">
        <v>0</v>
      </c>
      <c r="M1112" s="425">
        <v>0</v>
      </c>
      <c r="N1112" s="425">
        <v>0</v>
      </c>
      <c r="O1112" s="425">
        <v>0</v>
      </c>
    </row>
    <row r="1113" spans="3:15" hidden="1" x14ac:dyDescent="0.3">
      <c r="C1113" t="s">
        <v>2295</v>
      </c>
      <c r="D1113" t="s">
        <v>2267</v>
      </c>
      <c r="E1113" t="s">
        <v>4440</v>
      </c>
      <c r="F1113" t="s">
        <v>4441</v>
      </c>
      <c r="G1113" s="425">
        <v>0</v>
      </c>
      <c r="H1113" s="425">
        <v>0</v>
      </c>
      <c r="I1113" s="425">
        <v>0</v>
      </c>
      <c r="J1113" s="425">
        <v>0</v>
      </c>
      <c r="K1113" s="425">
        <v>0</v>
      </c>
      <c r="L1113" s="425">
        <v>0</v>
      </c>
      <c r="M1113" s="425">
        <v>0</v>
      </c>
      <c r="N1113" s="425">
        <v>0</v>
      </c>
      <c r="O1113" s="425">
        <v>0</v>
      </c>
    </row>
    <row r="1114" spans="3:15" hidden="1" x14ac:dyDescent="0.3">
      <c r="C1114" t="s">
        <v>2295</v>
      </c>
      <c r="D1114" t="s">
        <v>2267</v>
      </c>
      <c r="E1114" t="s">
        <v>4442</v>
      </c>
      <c r="F1114" t="s">
        <v>4443</v>
      </c>
      <c r="G1114" s="425">
        <v>0</v>
      </c>
      <c r="H1114" s="425">
        <v>0</v>
      </c>
      <c r="I1114" s="425">
        <v>0</v>
      </c>
      <c r="J1114" s="425">
        <v>0</v>
      </c>
      <c r="K1114" s="425">
        <v>0</v>
      </c>
      <c r="L1114" s="425">
        <v>0</v>
      </c>
      <c r="M1114" s="425">
        <v>0</v>
      </c>
      <c r="N1114" s="425">
        <v>0</v>
      </c>
      <c r="O1114" s="425">
        <v>0</v>
      </c>
    </row>
    <row r="1115" spans="3:15" hidden="1" x14ac:dyDescent="0.3">
      <c r="C1115" t="s">
        <v>2295</v>
      </c>
      <c r="D1115" t="s">
        <v>2267</v>
      </c>
      <c r="E1115" t="s">
        <v>4444</v>
      </c>
      <c r="F1115" t="s">
        <v>4445</v>
      </c>
      <c r="G1115" s="425">
        <v>0</v>
      </c>
      <c r="H1115" s="425">
        <v>0</v>
      </c>
      <c r="I1115" s="425">
        <v>0</v>
      </c>
      <c r="J1115" s="425">
        <v>0</v>
      </c>
      <c r="K1115" s="425">
        <v>0</v>
      </c>
      <c r="L1115" s="425">
        <v>0</v>
      </c>
      <c r="M1115" s="425">
        <v>0</v>
      </c>
      <c r="N1115" s="425">
        <v>0</v>
      </c>
      <c r="O1115" s="425">
        <v>0</v>
      </c>
    </row>
    <row r="1116" spans="3:15" hidden="1" x14ac:dyDescent="0.3">
      <c r="C1116" t="s">
        <v>2295</v>
      </c>
      <c r="D1116" t="s">
        <v>2267</v>
      </c>
      <c r="E1116" t="s">
        <v>4446</v>
      </c>
      <c r="F1116" t="s">
        <v>4447</v>
      </c>
      <c r="G1116" s="425">
        <v>0</v>
      </c>
      <c r="H1116" s="425">
        <v>0</v>
      </c>
      <c r="I1116" s="425">
        <v>0</v>
      </c>
      <c r="J1116" s="425">
        <v>0</v>
      </c>
      <c r="K1116" s="425">
        <v>0</v>
      </c>
      <c r="L1116" s="425">
        <v>0</v>
      </c>
      <c r="M1116" s="425">
        <v>0</v>
      </c>
      <c r="N1116" s="425">
        <v>0</v>
      </c>
      <c r="O1116" s="425">
        <v>0</v>
      </c>
    </row>
    <row r="1117" spans="3:15" hidden="1" x14ac:dyDescent="0.3">
      <c r="C1117" t="s">
        <v>2295</v>
      </c>
      <c r="D1117" t="s">
        <v>2267</v>
      </c>
      <c r="E1117" t="s">
        <v>4448</v>
      </c>
      <c r="F1117" t="s">
        <v>4449</v>
      </c>
      <c r="G1117" s="425">
        <v>0</v>
      </c>
      <c r="H1117" s="425">
        <v>0</v>
      </c>
      <c r="I1117" s="425">
        <v>0</v>
      </c>
      <c r="J1117" s="425">
        <v>0</v>
      </c>
      <c r="K1117" s="425">
        <v>0</v>
      </c>
      <c r="L1117" s="425">
        <v>0</v>
      </c>
      <c r="M1117" s="425">
        <v>0</v>
      </c>
      <c r="N1117" s="425">
        <v>0</v>
      </c>
      <c r="O1117" s="425">
        <v>0</v>
      </c>
    </row>
    <row r="1118" spans="3:15" hidden="1" x14ac:dyDescent="0.3">
      <c r="C1118" t="s">
        <v>2295</v>
      </c>
      <c r="D1118" t="s">
        <v>2267</v>
      </c>
      <c r="E1118" t="s">
        <v>4450</v>
      </c>
      <c r="F1118" t="s">
        <v>4451</v>
      </c>
      <c r="G1118" s="425">
        <v>0</v>
      </c>
      <c r="H1118" s="425">
        <v>0</v>
      </c>
      <c r="I1118" s="425">
        <v>0</v>
      </c>
      <c r="J1118" s="425">
        <v>0</v>
      </c>
      <c r="K1118" s="425">
        <v>0</v>
      </c>
      <c r="L1118" s="425">
        <v>0</v>
      </c>
      <c r="M1118" s="425">
        <v>0</v>
      </c>
      <c r="N1118" s="425">
        <v>0</v>
      </c>
      <c r="O1118" s="425">
        <v>0</v>
      </c>
    </row>
    <row r="1119" spans="3:15" hidden="1" x14ac:dyDescent="0.3">
      <c r="C1119" t="s">
        <v>2295</v>
      </c>
      <c r="D1119" t="s">
        <v>2267</v>
      </c>
      <c r="E1119" t="s">
        <v>4452</v>
      </c>
      <c r="F1119" t="s">
        <v>4453</v>
      </c>
      <c r="G1119" s="425">
        <v>0</v>
      </c>
      <c r="H1119" s="425">
        <v>0</v>
      </c>
      <c r="I1119" s="425">
        <v>0</v>
      </c>
      <c r="J1119" s="425">
        <v>0</v>
      </c>
      <c r="K1119" s="425">
        <v>0</v>
      </c>
      <c r="L1119" s="425">
        <v>0</v>
      </c>
      <c r="M1119" s="425">
        <v>0</v>
      </c>
      <c r="N1119" s="425">
        <v>0</v>
      </c>
      <c r="O1119" s="425">
        <v>0</v>
      </c>
    </row>
    <row r="1120" spans="3:15" hidden="1" x14ac:dyDescent="0.3">
      <c r="C1120" t="s">
        <v>2295</v>
      </c>
      <c r="D1120" t="s">
        <v>2267</v>
      </c>
      <c r="E1120" t="s">
        <v>4454</v>
      </c>
      <c r="F1120" t="s">
        <v>4455</v>
      </c>
      <c r="G1120" s="425">
        <v>0</v>
      </c>
      <c r="H1120" s="425">
        <v>0</v>
      </c>
      <c r="I1120" s="425">
        <v>0</v>
      </c>
      <c r="J1120" s="425">
        <v>0</v>
      </c>
      <c r="K1120" s="425">
        <v>0</v>
      </c>
      <c r="L1120" s="425">
        <v>0</v>
      </c>
      <c r="M1120" s="425">
        <v>0</v>
      </c>
      <c r="N1120" s="425">
        <v>0</v>
      </c>
      <c r="O1120" s="425">
        <v>0</v>
      </c>
    </row>
    <row r="1121" spans="3:15" hidden="1" x14ac:dyDescent="0.3">
      <c r="C1121" t="s">
        <v>2295</v>
      </c>
      <c r="D1121" t="s">
        <v>2267</v>
      </c>
      <c r="E1121" t="s">
        <v>4456</v>
      </c>
      <c r="F1121" t="s">
        <v>4457</v>
      </c>
      <c r="G1121" s="425">
        <v>0</v>
      </c>
      <c r="H1121" s="425">
        <v>0</v>
      </c>
      <c r="I1121" s="425">
        <v>0</v>
      </c>
      <c r="J1121" s="425">
        <v>0</v>
      </c>
      <c r="K1121" s="425">
        <v>0</v>
      </c>
      <c r="L1121" s="425">
        <v>0</v>
      </c>
      <c r="M1121" s="425">
        <v>0</v>
      </c>
      <c r="N1121" s="425">
        <v>0</v>
      </c>
      <c r="O1121" s="425">
        <v>0</v>
      </c>
    </row>
    <row r="1122" spans="3:15" hidden="1" x14ac:dyDescent="0.3">
      <c r="C1122" t="s">
        <v>2295</v>
      </c>
      <c r="D1122" t="s">
        <v>2267</v>
      </c>
      <c r="E1122" t="s">
        <v>4458</v>
      </c>
      <c r="F1122" t="s">
        <v>4459</v>
      </c>
      <c r="G1122" s="425">
        <v>0</v>
      </c>
      <c r="H1122" s="425">
        <v>0</v>
      </c>
      <c r="I1122" s="425">
        <v>0</v>
      </c>
      <c r="J1122" s="425">
        <v>0</v>
      </c>
      <c r="K1122" s="425">
        <v>0</v>
      </c>
      <c r="L1122" s="425">
        <v>0</v>
      </c>
      <c r="M1122" s="425">
        <v>0</v>
      </c>
      <c r="N1122" s="425">
        <v>0</v>
      </c>
      <c r="O1122" s="425">
        <v>0</v>
      </c>
    </row>
    <row r="1123" spans="3:15" hidden="1" x14ac:dyDescent="0.3">
      <c r="C1123" t="s">
        <v>2295</v>
      </c>
      <c r="D1123" t="s">
        <v>2267</v>
      </c>
      <c r="E1123" t="s">
        <v>4460</v>
      </c>
      <c r="F1123" t="s">
        <v>4461</v>
      </c>
      <c r="G1123" s="425">
        <v>0</v>
      </c>
      <c r="H1123" s="425">
        <v>0</v>
      </c>
      <c r="I1123" s="425">
        <v>0</v>
      </c>
      <c r="J1123" s="425">
        <v>0</v>
      </c>
      <c r="K1123" s="425">
        <v>0</v>
      </c>
      <c r="L1123" s="425">
        <v>0</v>
      </c>
      <c r="M1123" s="425">
        <v>0</v>
      </c>
      <c r="N1123" s="425">
        <v>0</v>
      </c>
      <c r="O1123" s="425">
        <v>0</v>
      </c>
    </row>
    <row r="1124" spans="3:15" hidden="1" x14ac:dyDescent="0.3">
      <c r="C1124" t="s">
        <v>2295</v>
      </c>
      <c r="D1124" t="s">
        <v>2267</v>
      </c>
      <c r="E1124" t="s">
        <v>4462</v>
      </c>
      <c r="F1124" t="s">
        <v>4463</v>
      </c>
      <c r="G1124" s="425">
        <v>0</v>
      </c>
      <c r="H1124" s="425">
        <v>0</v>
      </c>
      <c r="I1124" s="425">
        <v>0</v>
      </c>
      <c r="J1124" s="425">
        <v>0</v>
      </c>
      <c r="K1124" s="425">
        <v>0</v>
      </c>
      <c r="L1124" s="425">
        <v>0</v>
      </c>
      <c r="M1124" s="425">
        <v>0</v>
      </c>
      <c r="N1124" s="425">
        <v>0</v>
      </c>
      <c r="O1124" s="425">
        <v>0</v>
      </c>
    </row>
    <row r="1125" spans="3:15" hidden="1" x14ac:dyDescent="0.3">
      <c r="C1125" t="s">
        <v>2295</v>
      </c>
      <c r="D1125" t="s">
        <v>2267</v>
      </c>
      <c r="E1125" t="s">
        <v>4464</v>
      </c>
      <c r="F1125" t="s">
        <v>4465</v>
      </c>
      <c r="G1125" s="425">
        <v>0</v>
      </c>
      <c r="H1125" s="425">
        <v>0</v>
      </c>
      <c r="I1125" s="425">
        <v>0</v>
      </c>
      <c r="J1125" s="425">
        <v>0</v>
      </c>
      <c r="K1125" s="425">
        <v>0</v>
      </c>
      <c r="L1125" s="425">
        <v>0</v>
      </c>
      <c r="M1125" s="425">
        <v>0</v>
      </c>
      <c r="N1125" s="425">
        <v>0</v>
      </c>
      <c r="O1125" s="425">
        <v>0</v>
      </c>
    </row>
    <row r="1126" spans="3:15" hidden="1" x14ac:dyDescent="0.3">
      <c r="C1126" t="s">
        <v>2295</v>
      </c>
      <c r="D1126" t="s">
        <v>2267</v>
      </c>
      <c r="E1126" t="s">
        <v>4466</v>
      </c>
      <c r="F1126" t="s">
        <v>4467</v>
      </c>
      <c r="G1126" s="425">
        <v>0</v>
      </c>
      <c r="H1126" s="425">
        <v>0</v>
      </c>
      <c r="I1126" s="425">
        <v>0</v>
      </c>
      <c r="J1126" s="425">
        <v>0</v>
      </c>
      <c r="K1126" s="425">
        <v>0</v>
      </c>
      <c r="L1126" s="425">
        <v>0</v>
      </c>
      <c r="M1126" s="425">
        <v>0</v>
      </c>
      <c r="N1126" s="425">
        <v>0</v>
      </c>
      <c r="O1126" s="425">
        <v>0</v>
      </c>
    </row>
    <row r="1127" spans="3:15" hidden="1" x14ac:dyDescent="0.3">
      <c r="C1127" t="s">
        <v>2295</v>
      </c>
      <c r="D1127" t="s">
        <v>2267</v>
      </c>
      <c r="E1127" t="s">
        <v>4468</v>
      </c>
      <c r="F1127" t="s">
        <v>4469</v>
      </c>
      <c r="G1127" s="425">
        <v>0</v>
      </c>
      <c r="H1127" s="425">
        <v>0</v>
      </c>
      <c r="I1127" s="425">
        <v>0</v>
      </c>
      <c r="J1127" s="425">
        <v>0</v>
      </c>
      <c r="K1127" s="425">
        <v>0</v>
      </c>
      <c r="L1127" s="425">
        <v>0</v>
      </c>
      <c r="M1127" s="425">
        <v>0</v>
      </c>
      <c r="N1127" s="425">
        <v>0</v>
      </c>
      <c r="O1127" s="425">
        <v>0</v>
      </c>
    </row>
    <row r="1128" spans="3:15" hidden="1" x14ac:dyDescent="0.3">
      <c r="C1128" t="s">
        <v>2295</v>
      </c>
      <c r="D1128" t="s">
        <v>2267</v>
      </c>
      <c r="E1128" t="s">
        <v>4470</v>
      </c>
      <c r="F1128" t="s">
        <v>4471</v>
      </c>
      <c r="G1128" s="425">
        <v>0</v>
      </c>
      <c r="H1128" s="425">
        <v>0</v>
      </c>
      <c r="I1128" s="425">
        <v>0</v>
      </c>
      <c r="J1128" s="425">
        <v>0</v>
      </c>
      <c r="K1128" s="425">
        <v>0</v>
      </c>
      <c r="L1128" s="425">
        <v>0</v>
      </c>
      <c r="M1128" s="425">
        <v>0</v>
      </c>
      <c r="N1128" s="425">
        <v>0</v>
      </c>
      <c r="O1128" s="425">
        <v>0</v>
      </c>
    </row>
    <row r="1129" spans="3:15" hidden="1" x14ac:dyDescent="0.3">
      <c r="C1129" t="s">
        <v>2295</v>
      </c>
      <c r="D1129" t="s">
        <v>2267</v>
      </c>
      <c r="E1129" t="s">
        <v>4472</v>
      </c>
      <c r="F1129" t="s">
        <v>4473</v>
      </c>
      <c r="G1129" s="425">
        <v>0</v>
      </c>
      <c r="H1129" s="425">
        <v>0</v>
      </c>
      <c r="I1129" s="425">
        <v>0</v>
      </c>
      <c r="J1129" s="425">
        <v>0</v>
      </c>
      <c r="K1129" s="425">
        <v>0</v>
      </c>
      <c r="L1129" s="425">
        <v>0</v>
      </c>
      <c r="M1129" s="425">
        <v>0</v>
      </c>
      <c r="N1129" s="425">
        <v>0</v>
      </c>
      <c r="O1129" s="425">
        <v>0</v>
      </c>
    </row>
    <row r="1130" spans="3:15" hidden="1" x14ac:dyDescent="0.3">
      <c r="C1130" t="s">
        <v>2295</v>
      </c>
      <c r="D1130" t="s">
        <v>2267</v>
      </c>
      <c r="E1130" t="s">
        <v>4474</v>
      </c>
      <c r="F1130" t="s">
        <v>4475</v>
      </c>
      <c r="G1130" s="425">
        <v>0</v>
      </c>
      <c r="H1130" s="425">
        <v>0</v>
      </c>
      <c r="I1130" s="425">
        <v>0</v>
      </c>
      <c r="J1130" s="425">
        <v>0</v>
      </c>
      <c r="K1130" s="425">
        <v>0</v>
      </c>
      <c r="L1130" s="425">
        <v>0</v>
      </c>
      <c r="M1130" s="425">
        <v>0</v>
      </c>
      <c r="N1130" s="425">
        <v>0</v>
      </c>
      <c r="O1130" s="425">
        <v>0</v>
      </c>
    </row>
    <row r="1131" spans="3:15" hidden="1" x14ac:dyDescent="0.3">
      <c r="C1131" t="s">
        <v>2295</v>
      </c>
      <c r="D1131" t="s">
        <v>2267</v>
      </c>
      <c r="E1131" t="s">
        <v>4476</v>
      </c>
      <c r="F1131" t="s">
        <v>4477</v>
      </c>
      <c r="G1131" s="425">
        <v>0</v>
      </c>
      <c r="H1131" s="425">
        <v>0</v>
      </c>
      <c r="I1131" s="425">
        <v>0</v>
      </c>
      <c r="J1131" s="425">
        <v>0</v>
      </c>
      <c r="K1131" s="425">
        <v>0</v>
      </c>
      <c r="L1131" s="425">
        <v>0</v>
      </c>
      <c r="M1131" s="425">
        <v>0</v>
      </c>
      <c r="N1131" s="425">
        <v>0</v>
      </c>
      <c r="O1131" s="425">
        <v>0</v>
      </c>
    </row>
    <row r="1132" spans="3:15" hidden="1" x14ac:dyDescent="0.3">
      <c r="C1132" t="s">
        <v>2295</v>
      </c>
      <c r="D1132" t="s">
        <v>2267</v>
      </c>
      <c r="E1132" t="s">
        <v>4478</v>
      </c>
      <c r="F1132" t="s">
        <v>4479</v>
      </c>
      <c r="G1132" s="425">
        <v>0</v>
      </c>
      <c r="H1132" s="425">
        <v>0</v>
      </c>
      <c r="I1132" s="425">
        <v>0</v>
      </c>
      <c r="J1132" s="425">
        <v>0</v>
      </c>
      <c r="K1132" s="425">
        <v>0</v>
      </c>
      <c r="L1132" s="425">
        <v>0</v>
      </c>
      <c r="M1132" s="425">
        <v>0</v>
      </c>
      <c r="N1132" s="425">
        <v>0</v>
      </c>
      <c r="O1132" s="425">
        <v>0</v>
      </c>
    </row>
    <row r="1133" spans="3:15" hidden="1" x14ac:dyDescent="0.3">
      <c r="C1133" t="s">
        <v>2295</v>
      </c>
      <c r="D1133" t="s">
        <v>2267</v>
      </c>
      <c r="E1133" t="s">
        <v>4480</v>
      </c>
      <c r="F1133" t="s">
        <v>4481</v>
      </c>
      <c r="G1133" s="425">
        <v>0</v>
      </c>
      <c r="H1133" s="425">
        <v>0</v>
      </c>
      <c r="I1133" s="425">
        <v>0</v>
      </c>
      <c r="J1133" s="425">
        <v>0</v>
      </c>
      <c r="K1133" s="425">
        <v>0</v>
      </c>
      <c r="L1133" s="425">
        <v>0</v>
      </c>
      <c r="M1133" s="425">
        <v>0</v>
      </c>
      <c r="N1133" s="425">
        <v>0</v>
      </c>
      <c r="O1133" s="425">
        <v>0</v>
      </c>
    </row>
    <row r="1134" spans="3:15" hidden="1" x14ac:dyDescent="0.3">
      <c r="C1134" t="s">
        <v>2295</v>
      </c>
      <c r="D1134" t="s">
        <v>2267</v>
      </c>
      <c r="E1134" t="s">
        <v>4482</v>
      </c>
      <c r="F1134" t="s">
        <v>4483</v>
      </c>
      <c r="G1134" s="425">
        <v>0</v>
      </c>
      <c r="H1134" s="425">
        <v>0</v>
      </c>
      <c r="I1134" s="425">
        <v>0</v>
      </c>
      <c r="J1134" s="425">
        <v>0</v>
      </c>
      <c r="K1134" s="425">
        <v>0</v>
      </c>
      <c r="L1134" s="425">
        <v>0</v>
      </c>
      <c r="M1134" s="425">
        <v>0</v>
      </c>
      <c r="N1134" s="425">
        <v>0</v>
      </c>
      <c r="O1134" s="425">
        <v>0</v>
      </c>
    </row>
    <row r="1135" spans="3:15" hidden="1" x14ac:dyDescent="0.3">
      <c r="C1135" t="s">
        <v>2295</v>
      </c>
      <c r="D1135" t="s">
        <v>2267</v>
      </c>
      <c r="E1135" t="s">
        <v>4484</v>
      </c>
      <c r="F1135" t="s">
        <v>4485</v>
      </c>
      <c r="G1135" s="425">
        <v>0</v>
      </c>
      <c r="H1135" s="425">
        <v>0</v>
      </c>
      <c r="I1135" s="425">
        <v>0</v>
      </c>
      <c r="J1135" s="425">
        <v>0</v>
      </c>
      <c r="K1135" s="425">
        <v>0</v>
      </c>
      <c r="L1135" s="425">
        <v>0</v>
      </c>
      <c r="M1135" s="425">
        <v>0</v>
      </c>
      <c r="N1135" s="425">
        <v>0</v>
      </c>
      <c r="O1135" s="425">
        <v>0</v>
      </c>
    </row>
    <row r="1136" spans="3:15" hidden="1" x14ac:dyDescent="0.3">
      <c r="C1136" t="s">
        <v>2295</v>
      </c>
      <c r="D1136" t="s">
        <v>2267</v>
      </c>
      <c r="E1136" t="s">
        <v>4486</v>
      </c>
      <c r="F1136" t="s">
        <v>4487</v>
      </c>
      <c r="G1136" s="425">
        <v>0</v>
      </c>
      <c r="H1136" s="425">
        <v>0</v>
      </c>
      <c r="I1136" s="425">
        <v>0</v>
      </c>
      <c r="J1136" s="425">
        <v>0</v>
      </c>
      <c r="K1136" s="425">
        <v>0</v>
      </c>
      <c r="L1136" s="425">
        <v>0</v>
      </c>
      <c r="M1136" s="425">
        <v>0</v>
      </c>
      <c r="N1136" s="425">
        <v>0</v>
      </c>
      <c r="O1136" s="425">
        <v>0</v>
      </c>
    </row>
    <row r="1137" spans="3:15" hidden="1" x14ac:dyDescent="0.3">
      <c r="C1137" t="s">
        <v>2295</v>
      </c>
      <c r="D1137" t="s">
        <v>2267</v>
      </c>
      <c r="E1137" t="s">
        <v>4488</v>
      </c>
      <c r="F1137" t="s">
        <v>4489</v>
      </c>
      <c r="G1137" s="425">
        <v>0</v>
      </c>
      <c r="H1137" s="425">
        <v>0</v>
      </c>
      <c r="I1137" s="425">
        <v>0</v>
      </c>
      <c r="J1137" s="425">
        <v>0</v>
      </c>
      <c r="K1137" s="425">
        <v>0</v>
      </c>
      <c r="L1137" s="425">
        <v>0</v>
      </c>
      <c r="M1137" s="425">
        <v>0</v>
      </c>
      <c r="N1137" s="425">
        <v>0</v>
      </c>
      <c r="O1137" s="425">
        <v>0</v>
      </c>
    </row>
    <row r="1138" spans="3:15" hidden="1" x14ac:dyDescent="0.3">
      <c r="C1138" t="s">
        <v>2295</v>
      </c>
      <c r="D1138" t="s">
        <v>2267</v>
      </c>
      <c r="E1138" t="s">
        <v>4490</v>
      </c>
      <c r="F1138" t="s">
        <v>4491</v>
      </c>
      <c r="G1138" s="425">
        <v>0</v>
      </c>
      <c r="H1138" s="425">
        <v>0</v>
      </c>
      <c r="I1138" s="425">
        <v>0</v>
      </c>
      <c r="J1138" s="425">
        <v>0</v>
      </c>
      <c r="K1138" s="425">
        <v>0</v>
      </c>
      <c r="L1138" s="425">
        <v>0</v>
      </c>
      <c r="M1138" s="425">
        <v>0</v>
      </c>
      <c r="N1138" s="425">
        <v>0</v>
      </c>
      <c r="O1138" s="425">
        <v>0</v>
      </c>
    </row>
    <row r="1139" spans="3:15" hidden="1" x14ac:dyDescent="0.3">
      <c r="C1139" t="s">
        <v>2295</v>
      </c>
      <c r="D1139" t="s">
        <v>2267</v>
      </c>
      <c r="E1139" t="s">
        <v>4492</v>
      </c>
      <c r="F1139" t="s">
        <v>4493</v>
      </c>
      <c r="G1139" s="425">
        <v>0</v>
      </c>
      <c r="H1139" s="425">
        <v>0</v>
      </c>
      <c r="I1139" s="425">
        <v>0</v>
      </c>
      <c r="J1139" s="425">
        <v>0</v>
      </c>
      <c r="K1139" s="425">
        <v>0</v>
      </c>
      <c r="L1139" s="425">
        <v>0</v>
      </c>
      <c r="M1139" s="425">
        <v>0</v>
      </c>
      <c r="N1139" s="425">
        <v>0</v>
      </c>
      <c r="O1139" s="425">
        <v>0</v>
      </c>
    </row>
    <row r="1140" spans="3:15" hidden="1" x14ac:dyDescent="0.3">
      <c r="C1140" t="s">
        <v>2295</v>
      </c>
      <c r="D1140" t="s">
        <v>2267</v>
      </c>
      <c r="E1140" t="s">
        <v>4494</v>
      </c>
      <c r="F1140" t="s">
        <v>4495</v>
      </c>
      <c r="G1140" s="425">
        <v>0</v>
      </c>
      <c r="H1140" s="425">
        <v>0</v>
      </c>
      <c r="I1140" s="425">
        <v>0</v>
      </c>
      <c r="J1140" s="425">
        <v>0</v>
      </c>
      <c r="K1140" s="425">
        <v>0</v>
      </c>
      <c r="L1140" s="425">
        <v>0</v>
      </c>
      <c r="M1140" s="425">
        <v>0</v>
      </c>
      <c r="N1140" s="425">
        <v>0</v>
      </c>
      <c r="O1140" s="425">
        <v>0</v>
      </c>
    </row>
    <row r="1141" spans="3:15" hidden="1" x14ac:dyDescent="0.3">
      <c r="C1141" t="s">
        <v>2295</v>
      </c>
      <c r="D1141" t="s">
        <v>2267</v>
      </c>
      <c r="E1141" t="s">
        <v>4496</v>
      </c>
      <c r="F1141" t="s">
        <v>4497</v>
      </c>
      <c r="G1141" s="425">
        <v>0</v>
      </c>
      <c r="H1141" s="425">
        <v>0</v>
      </c>
      <c r="I1141" s="425">
        <v>0</v>
      </c>
      <c r="J1141" s="425">
        <v>0</v>
      </c>
      <c r="K1141" s="425">
        <v>0</v>
      </c>
      <c r="L1141" s="425">
        <v>0</v>
      </c>
      <c r="M1141" s="425">
        <v>0</v>
      </c>
      <c r="N1141" s="425">
        <v>0</v>
      </c>
      <c r="O1141" s="425">
        <v>0</v>
      </c>
    </row>
    <row r="1142" spans="3:15" hidden="1" x14ac:dyDescent="0.3">
      <c r="C1142" t="s">
        <v>2295</v>
      </c>
      <c r="D1142" t="s">
        <v>2267</v>
      </c>
      <c r="E1142" t="s">
        <v>4498</v>
      </c>
      <c r="F1142" t="s">
        <v>4499</v>
      </c>
      <c r="G1142" s="425">
        <v>0</v>
      </c>
      <c r="H1142" s="425">
        <v>0</v>
      </c>
      <c r="I1142" s="425">
        <v>0</v>
      </c>
      <c r="J1142" s="425">
        <v>0</v>
      </c>
      <c r="K1142" s="425">
        <v>0</v>
      </c>
      <c r="L1142" s="425">
        <v>0</v>
      </c>
      <c r="M1142" s="425">
        <v>0</v>
      </c>
      <c r="N1142" s="425">
        <v>0</v>
      </c>
      <c r="O1142" s="425">
        <v>0</v>
      </c>
    </row>
    <row r="1143" spans="3:15" hidden="1" x14ac:dyDescent="0.3">
      <c r="C1143" t="s">
        <v>2295</v>
      </c>
      <c r="D1143" t="s">
        <v>2267</v>
      </c>
      <c r="E1143" t="s">
        <v>4500</v>
      </c>
      <c r="F1143" t="s">
        <v>4501</v>
      </c>
      <c r="G1143" s="425">
        <v>0</v>
      </c>
      <c r="H1143" s="425">
        <v>0</v>
      </c>
      <c r="I1143" s="425">
        <v>0</v>
      </c>
      <c r="J1143" s="425">
        <v>0</v>
      </c>
      <c r="K1143" s="425">
        <v>0</v>
      </c>
      <c r="L1143" s="425">
        <v>0</v>
      </c>
      <c r="M1143" s="425">
        <v>0</v>
      </c>
      <c r="N1143" s="425">
        <v>0</v>
      </c>
      <c r="O1143" s="425">
        <v>0</v>
      </c>
    </row>
    <row r="1144" spans="3:15" hidden="1" x14ac:dyDescent="0.3">
      <c r="C1144" t="s">
        <v>2295</v>
      </c>
      <c r="D1144" t="s">
        <v>2267</v>
      </c>
      <c r="E1144" t="s">
        <v>4502</v>
      </c>
      <c r="F1144" t="s">
        <v>4503</v>
      </c>
      <c r="G1144" s="425">
        <v>0</v>
      </c>
      <c r="H1144" s="425">
        <v>0</v>
      </c>
      <c r="I1144" s="425">
        <v>0</v>
      </c>
      <c r="J1144" s="425">
        <v>0</v>
      </c>
      <c r="K1144" s="425">
        <v>0</v>
      </c>
      <c r="L1144" s="425">
        <v>0</v>
      </c>
      <c r="M1144" s="425">
        <v>0</v>
      </c>
      <c r="N1144" s="425">
        <v>0</v>
      </c>
      <c r="O1144" s="425">
        <v>0</v>
      </c>
    </row>
    <row r="1145" spans="3:15" hidden="1" x14ac:dyDescent="0.3">
      <c r="C1145" t="s">
        <v>2295</v>
      </c>
      <c r="D1145" t="s">
        <v>2267</v>
      </c>
      <c r="E1145" t="s">
        <v>4504</v>
      </c>
      <c r="F1145" t="s">
        <v>4505</v>
      </c>
      <c r="G1145" s="425">
        <v>0</v>
      </c>
      <c r="H1145" s="425">
        <v>0</v>
      </c>
      <c r="I1145" s="425">
        <v>0</v>
      </c>
      <c r="J1145" s="425">
        <v>0</v>
      </c>
      <c r="K1145" s="425">
        <v>0</v>
      </c>
      <c r="L1145" s="425">
        <v>0</v>
      </c>
      <c r="M1145" s="425">
        <v>0</v>
      </c>
      <c r="N1145" s="425">
        <v>0</v>
      </c>
      <c r="O1145" s="425">
        <v>0</v>
      </c>
    </row>
    <row r="1146" spans="3:15" hidden="1" x14ac:dyDescent="0.3">
      <c r="C1146" t="s">
        <v>2295</v>
      </c>
      <c r="D1146" t="s">
        <v>2267</v>
      </c>
      <c r="E1146" t="s">
        <v>4506</v>
      </c>
      <c r="F1146" t="s">
        <v>4507</v>
      </c>
      <c r="G1146" s="425">
        <v>0</v>
      </c>
      <c r="H1146" s="425">
        <v>0</v>
      </c>
      <c r="I1146" s="425">
        <v>0</v>
      </c>
      <c r="J1146" s="425">
        <v>0</v>
      </c>
      <c r="K1146" s="425">
        <v>0</v>
      </c>
      <c r="L1146" s="425">
        <v>0</v>
      </c>
      <c r="M1146" s="425">
        <v>0</v>
      </c>
      <c r="N1146" s="425">
        <v>0</v>
      </c>
      <c r="O1146" s="425">
        <v>0</v>
      </c>
    </row>
    <row r="1147" spans="3:15" hidden="1" x14ac:dyDescent="0.3">
      <c r="C1147" t="s">
        <v>2295</v>
      </c>
      <c r="D1147" t="s">
        <v>2267</v>
      </c>
      <c r="E1147" t="s">
        <v>4508</v>
      </c>
      <c r="F1147" t="s">
        <v>4509</v>
      </c>
      <c r="G1147" s="425">
        <v>0</v>
      </c>
      <c r="H1147" s="425">
        <v>0</v>
      </c>
      <c r="I1147" s="425">
        <v>0</v>
      </c>
      <c r="J1147" s="425">
        <v>0</v>
      </c>
      <c r="K1147" s="425">
        <v>0</v>
      </c>
      <c r="L1147" s="425">
        <v>0</v>
      </c>
      <c r="M1147" s="425">
        <v>0</v>
      </c>
      <c r="N1147" s="425">
        <v>0</v>
      </c>
      <c r="O1147" s="425">
        <v>0</v>
      </c>
    </row>
    <row r="1148" spans="3:15" hidden="1" x14ac:dyDescent="0.3">
      <c r="C1148" t="s">
        <v>2295</v>
      </c>
      <c r="D1148" t="s">
        <v>2267</v>
      </c>
      <c r="E1148" t="s">
        <v>4510</v>
      </c>
      <c r="F1148" t="s">
        <v>4511</v>
      </c>
      <c r="G1148" s="425">
        <v>0</v>
      </c>
      <c r="H1148" s="425">
        <v>0</v>
      </c>
      <c r="I1148" s="425">
        <v>0</v>
      </c>
      <c r="J1148" s="425">
        <v>0</v>
      </c>
      <c r="K1148" s="425">
        <v>0</v>
      </c>
      <c r="L1148" s="425">
        <v>0</v>
      </c>
      <c r="M1148" s="425">
        <v>0</v>
      </c>
      <c r="N1148" s="425">
        <v>0</v>
      </c>
      <c r="O1148" s="425">
        <v>0</v>
      </c>
    </row>
    <row r="1149" spans="3:15" hidden="1" x14ac:dyDescent="0.3">
      <c r="C1149" t="s">
        <v>2295</v>
      </c>
      <c r="D1149" t="s">
        <v>2267</v>
      </c>
      <c r="E1149" t="s">
        <v>4512</v>
      </c>
      <c r="F1149" t="s">
        <v>4513</v>
      </c>
      <c r="G1149" s="425">
        <v>0</v>
      </c>
      <c r="H1149" s="425">
        <v>0</v>
      </c>
      <c r="I1149" s="425">
        <v>0</v>
      </c>
      <c r="J1149" s="425">
        <v>0</v>
      </c>
      <c r="K1149" s="425">
        <v>0</v>
      </c>
      <c r="L1149" s="425">
        <v>0</v>
      </c>
      <c r="M1149" s="425">
        <v>0</v>
      </c>
      <c r="N1149" s="425">
        <v>0</v>
      </c>
      <c r="O1149" s="425">
        <v>0</v>
      </c>
    </row>
    <row r="1150" spans="3:15" hidden="1" x14ac:dyDescent="0.3">
      <c r="C1150" t="s">
        <v>2295</v>
      </c>
      <c r="D1150" t="s">
        <v>2267</v>
      </c>
      <c r="E1150" t="s">
        <v>4514</v>
      </c>
      <c r="F1150" t="s">
        <v>4515</v>
      </c>
      <c r="G1150" s="425">
        <v>0</v>
      </c>
      <c r="H1150" s="425">
        <v>0</v>
      </c>
      <c r="I1150" s="425">
        <v>0</v>
      </c>
      <c r="J1150" s="425">
        <v>0</v>
      </c>
      <c r="K1150" s="425">
        <v>0</v>
      </c>
      <c r="L1150" s="425">
        <v>0</v>
      </c>
      <c r="M1150" s="425">
        <v>0</v>
      </c>
      <c r="N1150" s="425">
        <v>0</v>
      </c>
      <c r="O1150" s="425">
        <v>0</v>
      </c>
    </row>
    <row r="1151" spans="3:15" hidden="1" x14ac:dyDescent="0.3">
      <c r="C1151" t="s">
        <v>2295</v>
      </c>
      <c r="D1151" t="s">
        <v>2267</v>
      </c>
      <c r="E1151" t="s">
        <v>8955</v>
      </c>
      <c r="F1151" t="s">
        <v>4516</v>
      </c>
      <c r="G1151" s="425">
        <v>0</v>
      </c>
      <c r="H1151" s="425">
        <v>0</v>
      </c>
      <c r="I1151" s="425">
        <v>0</v>
      </c>
      <c r="J1151" s="425">
        <v>0</v>
      </c>
      <c r="K1151" s="425">
        <v>0</v>
      </c>
      <c r="L1151" s="425">
        <v>0</v>
      </c>
      <c r="M1151" s="425">
        <v>0</v>
      </c>
      <c r="N1151" s="425">
        <v>0</v>
      </c>
      <c r="O1151" s="425">
        <v>0</v>
      </c>
    </row>
    <row r="1152" spans="3:15" hidden="1" x14ac:dyDescent="0.3">
      <c r="C1152" t="s">
        <v>2295</v>
      </c>
      <c r="D1152" t="s">
        <v>2267</v>
      </c>
      <c r="E1152" t="s">
        <v>4517</v>
      </c>
      <c r="F1152" t="s">
        <v>4518</v>
      </c>
      <c r="G1152" s="425">
        <v>0</v>
      </c>
      <c r="H1152" s="425">
        <v>0</v>
      </c>
      <c r="I1152" s="425">
        <v>0</v>
      </c>
      <c r="J1152" s="425">
        <v>0</v>
      </c>
      <c r="K1152" s="425">
        <v>0</v>
      </c>
      <c r="L1152" s="425">
        <v>0</v>
      </c>
      <c r="M1152" s="425">
        <v>0</v>
      </c>
      <c r="N1152" s="425">
        <v>0</v>
      </c>
      <c r="O1152" s="425">
        <v>0</v>
      </c>
    </row>
    <row r="1153" spans="3:15" hidden="1" x14ac:dyDescent="0.3">
      <c r="C1153" t="s">
        <v>2295</v>
      </c>
      <c r="D1153" t="s">
        <v>2267</v>
      </c>
      <c r="E1153" t="s">
        <v>4519</v>
      </c>
      <c r="F1153" t="s">
        <v>4520</v>
      </c>
      <c r="G1153" s="425">
        <v>0</v>
      </c>
      <c r="H1153" s="425">
        <v>0</v>
      </c>
      <c r="I1153" s="425">
        <v>0</v>
      </c>
      <c r="J1153" s="425">
        <v>0</v>
      </c>
      <c r="K1153" s="425">
        <v>0</v>
      </c>
      <c r="L1153" s="425">
        <v>0</v>
      </c>
      <c r="M1153" s="425">
        <v>0</v>
      </c>
      <c r="N1153" s="425">
        <v>0</v>
      </c>
      <c r="O1153" s="425">
        <v>0</v>
      </c>
    </row>
    <row r="1154" spans="3:15" hidden="1" x14ac:dyDescent="0.3">
      <c r="C1154" t="s">
        <v>2295</v>
      </c>
      <c r="D1154" t="s">
        <v>2267</v>
      </c>
      <c r="E1154" t="s">
        <v>4521</v>
      </c>
      <c r="F1154" t="s">
        <v>4522</v>
      </c>
      <c r="G1154" s="425">
        <v>1130000</v>
      </c>
      <c r="H1154" s="425">
        <v>0</v>
      </c>
      <c r="I1154" s="425">
        <v>1130000</v>
      </c>
      <c r="J1154" s="425">
        <v>0</v>
      </c>
      <c r="K1154" s="425">
        <v>0</v>
      </c>
      <c r="L1154" s="425">
        <v>0</v>
      </c>
      <c r="M1154" s="425">
        <v>0</v>
      </c>
      <c r="N1154" s="425">
        <v>0</v>
      </c>
      <c r="O1154" s="425">
        <v>0</v>
      </c>
    </row>
    <row r="1155" spans="3:15" hidden="1" x14ac:dyDescent="0.3">
      <c r="C1155" t="s">
        <v>2295</v>
      </c>
      <c r="D1155" t="s">
        <v>2267</v>
      </c>
      <c r="E1155" t="s">
        <v>4523</v>
      </c>
      <c r="F1155" t="s">
        <v>4524</v>
      </c>
      <c r="G1155" s="425">
        <v>0</v>
      </c>
      <c r="H1155" s="425">
        <v>0</v>
      </c>
      <c r="I1155" s="425">
        <v>0</v>
      </c>
      <c r="J1155" s="425">
        <v>0</v>
      </c>
      <c r="K1155" s="425">
        <v>0</v>
      </c>
      <c r="L1155" s="425">
        <v>0</v>
      </c>
      <c r="M1155" s="425">
        <v>0</v>
      </c>
      <c r="N1155" s="425">
        <v>0</v>
      </c>
      <c r="O1155" s="425">
        <v>0</v>
      </c>
    </row>
    <row r="1156" spans="3:15" hidden="1" x14ac:dyDescent="0.3">
      <c r="C1156" t="s">
        <v>2295</v>
      </c>
      <c r="D1156" t="s">
        <v>2267</v>
      </c>
      <c r="E1156" t="s">
        <v>4525</v>
      </c>
      <c r="F1156" t="s">
        <v>4526</v>
      </c>
      <c r="G1156" s="425">
        <v>0</v>
      </c>
      <c r="H1156" s="425">
        <v>0</v>
      </c>
      <c r="I1156" s="425">
        <v>0</v>
      </c>
      <c r="J1156" s="425">
        <v>0</v>
      </c>
      <c r="K1156" s="425">
        <v>0</v>
      </c>
      <c r="L1156" s="425">
        <v>0</v>
      </c>
      <c r="M1156" s="425">
        <v>0</v>
      </c>
      <c r="N1156" s="425">
        <v>0</v>
      </c>
      <c r="O1156" s="425">
        <v>0</v>
      </c>
    </row>
    <row r="1157" spans="3:15" hidden="1" x14ac:dyDescent="0.3">
      <c r="C1157" t="s">
        <v>2295</v>
      </c>
      <c r="D1157" t="s">
        <v>2267</v>
      </c>
      <c r="E1157" t="s">
        <v>4527</v>
      </c>
      <c r="F1157" t="s">
        <v>4528</v>
      </c>
      <c r="G1157" s="425">
        <v>0</v>
      </c>
      <c r="H1157" s="425">
        <v>0</v>
      </c>
      <c r="I1157" s="425">
        <v>0</v>
      </c>
      <c r="J1157" s="425">
        <v>0</v>
      </c>
      <c r="K1157" s="425">
        <v>0</v>
      </c>
      <c r="L1157" s="425">
        <v>0</v>
      </c>
      <c r="M1157" s="425">
        <v>0</v>
      </c>
      <c r="N1157" s="425">
        <v>0</v>
      </c>
      <c r="O1157" s="425">
        <v>0</v>
      </c>
    </row>
    <row r="1158" spans="3:15" hidden="1" x14ac:dyDescent="0.3">
      <c r="C1158" t="s">
        <v>2295</v>
      </c>
      <c r="D1158" t="s">
        <v>2267</v>
      </c>
      <c r="E1158" t="s">
        <v>4529</v>
      </c>
      <c r="F1158" t="s">
        <v>4530</v>
      </c>
      <c r="G1158" s="425">
        <v>0</v>
      </c>
      <c r="H1158" s="425">
        <v>0</v>
      </c>
      <c r="I1158" s="425">
        <v>0</v>
      </c>
      <c r="J1158" s="425">
        <v>0</v>
      </c>
      <c r="K1158" s="425">
        <v>0</v>
      </c>
      <c r="L1158" s="425">
        <v>0</v>
      </c>
      <c r="M1158" s="425">
        <v>0</v>
      </c>
      <c r="N1158" s="425">
        <v>0</v>
      </c>
      <c r="O1158" s="425">
        <v>0</v>
      </c>
    </row>
    <row r="1159" spans="3:15" hidden="1" x14ac:dyDescent="0.3">
      <c r="C1159" t="s">
        <v>2295</v>
      </c>
      <c r="D1159" t="s">
        <v>2267</v>
      </c>
      <c r="E1159" t="s">
        <v>4531</v>
      </c>
      <c r="F1159" t="s">
        <v>4532</v>
      </c>
      <c r="G1159" s="425">
        <v>0</v>
      </c>
      <c r="H1159" s="425">
        <v>0</v>
      </c>
      <c r="I1159" s="425">
        <v>0</v>
      </c>
      <c r="J1159" s="425">
        <v>0</v>
      </c>
      <c r="K1159" s="425">
        <v>0</v>
      </c>
      <c r="L1159" s="425">
        <v>0</v>
      </c>
      <c r="M1159" s="425">
        <v>0</v>
      </c>
      <c r="N1159" s="425">
        <v>0</v>
      </c>
      <c r="O1159" s="425">
        <v>0</v>
      </c>
    </row>
    <row r="1160" spans="3:15" hidden="1" x14ac:dyDescent="0.3">
      <c r="C1160" t="s">
        <v>2295</v>
      </c>
      <c r="D1160" t="s">
        <v>2267</v>
      </c>
      <c r="E1160" t="s">
        <v>4533</v>
      </c>
      <c r="F1160" t="s">
        <v>4534</v>
      </c>
      <c r="G1160" s="425">
        <v>0</v>
      </c>
      <c r="H1160" s="425">
        <v>0</v>
      </c>
      <c r="I1160" s="425">
        <v>0</v>
      </c>
      <c r="J1160" s="425">
        <v>0</v>
      </c>
      <c r="K1160" s="425">
        <v>0</v>
      </c>
      <c r="L1160" s="425">
        <v>0</v>
      </c>
      <c r="M1160" s="425">
        <v>0</v>
      </c>
      <c r="N1160" s="425">
        <v>0</v>
      </c>
      <c r="O1160" s="425">
        <v>0</v>
      </c>
    </row>
    <row r="1161" spans="3:15" hidden="1" x14ac:dyDescent="0.3">
      <c r="C1161" t="s">
        <v>2295</v>
      </c>
      <c r="D1161" t="s">
        <v>2267</v>
      </c>
      <c r="E1161" t="s">
        <v>4535</v>
      </c>
      <c r="F1161" t="s">
        <v>4536</v>
      </c>
      <c r="G1161" s="425">
        <v>0</v>
      </c>
      <c r="H1161" s="425">
        <v>0</v>
      </c>
      <c r="I1161" s="425">
        <v>0</v>
      </c>
      <c r="J1161" s="425">
        <v>0</v>
      </c>
      <c r="K1161" s="425">
        <v>0</v>
      </c>
      <c r="L1161" s="425">
        <v>0</v>
      </c>
      <c r="M1161" s="425">
        <v>0</v>
      </c>
      <c r="N1161" s="425">
        <v>0</v>
      </c>
      <c r="O1161" s="425">
        <v>0</v>
      </c>
    </row>
    <row r="1162" spans="3:15" hidden="1" x14ac:dyDescent="0.3">
      <c r="C1162" t="s">
        <v>2295</v>
      </c>
      <c r="D1162" t="s">
        <v>2267</v>
      </c>
      <c r="E1162" t="s">
        <v>4537</v>
      </c>
      <c r="F1162" t="s">
        <v>4538</v>
      </c>
      <c r="G1162" s="425">
        <v>0</v>
      </c>
      <c r="H1162" s="425">
        <v>0</v>
      </c>
      <c r="I1162" s="425">
        <v>0</v>
      </c>
      <c r="J1162" s="425">
        <v>0</v>
      </c>
      <c r="K1162" s="425">
        <v>0</v>
      </c>
      <c r="L1162" s="425">
        <v>0</v>
      </c>
      <c r="M1162" s="425">
        <v>0</v>
      </c>
      <c r="N1162" s="425">
        <v>0</v>
      </c>
      <c r="O1162" s="425">
        <v>0</v>
      </c>
    </row>
    <row r="1163" spans="3:15" hidden="1" x14ac:dyDescent="0.3">
      <c r="C1163" t="s">
        <v>2295</v>
      </c>
      <c r="D1163" t="s">
        <v>2267</v>
      </c>
      <c r="E1163" t="s">
        <v>4539</v>
      </c>
      <c r="F1163" t="s">
        <v>4540</v>
      </c>
      <c r="G1163" s="425">
        <v>1701630</v>
      </c>
      <c r="H1163" s="425">
        <v>0</v>
      </c>
      <c r="I1163" s="425">
        <v>1701630</v>
      </c>
      <c r="J1163" s="425">
        <v>0</v>
      </c>
      <c r="K1163" s="425">
        <v>0</v>
      </c>
      <c r="L1163" s="425">
        <v>0</v>
      </c>
      <c r="M1163" s="425">
        <v>0</v>
      </c>
      <c r="N1163" s="425">
        <v>0</v>
      </c>
      <c r="O1163" s="425">
        <v>0</v>
      </c>
    </row>
    <row r="1164" spans="3:15" hidden="1" x14ac:dyDescent="0.3">
      <c r="C1164" t="s">
        <v>2295</v>
      </c>
      <c r="D1164" t="s">
        <v>2267</v>
      </c>
      <c r="E1164" t="s">
        <v>4541</v>
      </c>
      <c r="F1164" t="s">
        <v>4542</v>
      </c>
      <c r="G1164" s="425">
        <v>1778380</v>
      </c>
      <c r="H1164" s="425">
        <v>0</v>
      </c>
      <c r="I1164" s="425">
        <v>1778380</v>
      </c>
      <c r="J1164" s="425">
        <v>0</v>
      </c>
      <c r="K1164" s="425">
        <v>0</v>
      </c>
      <c r="L1164" s="425">
        <v>0</v>
      </c>
      <c r="M1164" s="425">
        <v>0</v>
      </c>
      <c r="N1164" s="425">
        <v>0</v>
      </c>
      <c r="O1164" s="425">
        <v>0</v>
      </c>
    </row>
    <row r="1165" spans="3:15" hidden="1" x14ac:dyDescent="0.3">
      <c r="C1165" t="s">
        <v>2295</v>
      </c>
      <c r="D1165" t="s">
        <v>2267</v>
      </c>
      <c r="E1165" t="s">
        <v>4543</v>
      </c>
      <c r="F1165" t="s">
        <v>4544</v>
      </c>
      <c r="G1165" s="425">
        <v>3000000</v>
      </c>
      <c r="H1165" s="425">
        <v>0</v>
      </c>
      <c r="I1165" s="425">
        <v>3000000</v>
      </c>
      <c r="J1165" s="425">
        <v>0</v>
      </c>
      <c r="K1165" s="425">
        <v>0</v>
      </c>
      <c r="L1165" s="425">
        <v>0</v>
      </c>
      <c r="M1165" s="425">
        <v>0</v>
      </c>
      <c r="N1165" s="425">
        <v>0</v>
      </c>
      <c r="O1165" s="425">
        <v>0</v>
      </c>
    </row>
    <row r="1166" spans="3:15" hidden="1" x14ac:dyDescent="0.3">
      <c r="C1166" t="s">
        <v>2295</v>
      </c>
      <c r="D1166" t="s">
        <v>2267</v>
      </c>
      <c r="E1166" t="s">
        <v>4545</v>
      </c>
      <c r="F1166" t="s">
        <v>4546</v>
      </c>
      <c r="G1166" s="425">
        <v>0</v>
      </c>
      <c r="H1166" s="425">
        <v>0</v>
      </c>
      <c r="I1166" s="425">
        <v>0</v>
      </c>
      <c r="J1166" s="425">
        <v>0</v>
      </c>
      <c r="K1166" s="425">
        <v>0</v>
      </c>
      <c r="L1166" s="425">
        <v>0</v>
      </c>
      <c r="M1166" s="425">
        <v>0</v>
      </c>
      <c r="N1166" s="425">
        <v>0</v>
      </c>
      <c r="O1166" s="425">
        <v>0</v>
      </c>
    </row>
    <row r="1167" spans="3:15" hidden="1" x14ac:dyDescent="0.3">
      <c r="C1167" t="s">
        <v>2295</v>
      </c>
      <c r="D1167" t="s">
        <v>2267</v>
      </c>
      <c r="E1167" t="s">
        <v>4547</v>
      </c>
      <c r="F1167" t="s">
        <v>4548</v>
      </c>
      <c r="G1167" s="425">
        <v>0</v>
      </c>
      <c r="H1167" s="425">
        <v>0</v>
      </c>
      <c r="I1167" s="425">
        <v>0</v>
      </c>
      <c r="J1167" s="425">
        <v>0</v>
      </c>
      <c r="K1167" s="425">
        <v>0</v>
      </c>
      <c r="L1167" s="425">
        <v>0</v>
      </c>
      <c r="M1167" s="425">
        <v>0</v>
      </c>
      <c r="N1167" s="425">
        <v>0</v>
      </c>
      <c r="O1167" s="425">
        <v>0</v>
      </c>
    </row>
    <row r="1168" spans="3:15" hidden="1" x14ac:dyDescent="0.3">
      <c r="C1168" t="s">
        <v>2295</v>
      </c>
      <c r="D1168" t="s">
        <v>2267</v>
      </c>
      <c r="E1168" t="s">
        <v>4549</v>
      </c>
      <c r="F1168" t="s">
        <v>4550</v>
      </c>
      <c r="G1168" s="425">
        <v>0</v>
      </c>
      <c r="H1168" s="425">
        <v>0</v>
      </c>
      <c r="I1168" s="425">
        <v>0</v>
      </c>
      <c r="J1168" s="425">
        <v>0</v>
      </c>
      <c r="K1168" s="425">
        <v>0</v>
      </c>
      <c r="L1168" s="425">
        <v>0</v>
      </c>
      <c r="M1168" s="425">
        <v>0</v>
      </c>
      <c r="N1168" s="425">
        <v>0</v>
      </c>
      <c r="O1168" s="425">
        <v>0</v>
      </c>
    </row>
    <row r="1169" spans="3:15" hidden="1" x14ac:dyDescent="0.3">
      <c r="C1169" t="s">
        <v>2295</v>
      </c>
      <c r="D1169" t="s">
        <v>2267</v>
      </c>
      <c r="E1169" t="s">
        <v>4551</v>
      </c>
      <c r="F1169" t="s">
        <v>4552</v>
      </c>
      <c r="G1169" s="425">
        <v>0</v>
      </c>
      <c r="H1169" s="425">
        <v>0</v>
      </c>
      <c r="I1169" s="425">
        <v>0</v>
      </c>
      <c r="J1169" s="425">
        <v>0</v>
      </c>
      <c r="K1169" s="425">
        <v>0</v>
      </c>
      <c r="L1169" s="425">
        <v>0</v>
      </c>
      <c r="M1169" s="425">
        <v>0</v>
      </c>
      <c r="N1169" s="425">
        <v>0</v>
      </c>
      <c r="O1169" s="425">
        <v>0</v>
      </c>
    </row>
    <row r="1170" spans="3:15" hidden="1" x14ac:dyDescent="0.3">
      <c r="C1170" t="s">
        <v>2295</v>
      </c>
      <c r="D1170" t="s">
        <v>2267</v>
      </c>
      <c r="E1170" t="s">
        <v>4553</v>
      </c>
      <c r="F1170" t="s">
        <v>4554</v>
      </c>
      <c r="G1170" s="425">
        <v>0</v>
      </c>
      <c r="H1170" s="425">
        <v>0</v>
      </c>
      <c r="I1170" s="425">
        <v>0</v>
      </c>
      <c r="J1170" s="425">
        <v>0</v>
      </c>
      <c r="K1170" s="425">
        <v>0</v>
      </c>
      <c r="L1170" s="425">
        <v>0</v>
      </c>
      <c r="M1170" s="425">
        <v>0</v>
      </c>
      <c r="N1170" s="425">
        <v>0</v>
      </c>
      <c r="O1170" s="425">
        <v>0</v>
      </c>
    </row>
    <row r="1171" spans="3:15" hidden="1" x14ac:dyDescent="0.3">
      <c r="C1171" t="s">
        <v>2295</v>
      </c>
      <c r="D1171" t="s">
        <v>2267</v>
      </c>
      <c r="E1171" t="s">
        <v>4555</v>
      </c>
      <c r="F1171" t="s">
        <v>4556</v>
      </c>
      <c r="G1171" s="425">
        <v>0</v>
      </c>
      <c r="H1171" s="425">
        <v>0</v>
      </c>
      <c r="I1171" s="425">
        <v>0</v>
      </c>
      <c r="J1171" s="425">
        <v>0</v>
      </c>
      <c r="K1171" s="425">
        <v>0</v>
      </c>
      <c r="L1171" s="425">
        <v>0</v>
      </c>
      <c r="M1171" s="425">
        <v>0</v>
      </c>
      <c r="N1171" s="425">
        <v>0</v>
      </c>
      <c r="O1171" s="425">
        <v>0</v>
      </c>
    </row>
    <row r="1172" spans="3:15" hidden="1" x14ac:dyDescent="0.3">
      <c r="C1172" t="s">
        <v>2295</v>
      </c>
      <c r="D1172" t="s">
        <v>2267</v>
      </c>
      <c r="E1172" t="s">
        <v>4557</v>
      </c>
      <c r="F1172" t="s">
        <v>4558</v>
      </c>
      <c r="G1172" s="425">
        <v>0</v>
      </c>
      <c r="H1172" s="425">
        <v>0</v>
      </c>
      <c r="I1172" s="425">
        <v>0</v>
      </c>
      <c r="J1172" s="425">
        <v>0</v>
      </c>
      <c r="K1172" s="425">
        <v>0</v>
      </c>
      <c r="L1172" s="425">
        <v>0</v>
      </c>
      <c r="M1172" s="425">
        <v>0</v>
      </c>
      <c r="N1172" s="425">
        <v>0</v>
      </c>
      <c r="O1172" s="425">
        <v>0</v>
      </c>
    </row>
    <row r="1173" spans="3:15" hidden="1" x14ac:dyDescent="0.3">
      <c r="C1173" t="s">
        <v>2295</v>
      </c>
      <c r="D1173" t="s">
        <v>2267</v>
      </c>
      <c r="E1173" t="s">
        <v>4559</v>
      </c>
      <c r="F1173" t="s">
        <v>4560</v>
      </c>
      <c r="G1173" s="425">
        <v>0</v>
      </c>
      <c r="H1173" s="425">
        <v>0</v>
      </c>
      <c r="I1173" s="425">
        <v>0</v>
      </c>
      <c r="J1173" s="425">
        <v>0</v>
      </c>
      <c r="K1173" s="425">
        <v>0</v>
      </c>
      <c r="L1173" s="425">
        <v>0</v>
      </c>
      <c r="M1173" s="425">
        <v>0</v>
      </c>
      <c r="N1173" s="425">
        <v>0</v>
      </c>
      <c r="O1173" s="425">
        <v>0</v>
      </c>
    </row>
    <row r="1174" spans="3:15" hidden="1" x14ac:dyDescent="0.3">
      <c r="C1174" t="s">
        <v>2295</v>
      </c>
      <c r="D1174" t="s">
        <v>2267</v>
      </c>
      <c r="E1174" t="s">
        <v>4561</v>
      </c>
      <c r="F1174" t="s">
        <v>4562</v>
      </c>
      <c r="G1174" s="425">
        <v>0</v>
      </c>
      <c r="H1174" s="425">
        <v>0</v>
      </c>
      <c r="I1174" s="425">
        <v>0</v>
      </c>
      <c r="J1174" s="425">
        <v>0</v>
      </c>
      <c r="K1174" s="425">
        <v>0</v>
      </c>
      <c r="L1174" s="425">
        <v>0</v>
      </c>
      <c r="M1174" s="425">
        <v>0</v>
      </c>
      <c r="N1174" s="425">
        <v>0</v>
      </c>
      <c r="O1174" s="425">
        <v>0</v>
      </c>
    </row>
    <row r="1175" spans="3:15" hidden="1" x14ac:dyDescent="0.3">
      <c r="C1175" t="s">
        <v>2295</v>
      </c>
      <c r="D1175" t="s">
        <v>2267</v>
      </c>
      <c r="E1175" t="s">
        <v>4563</v>
      </c>
      <c r="F1175" t="s">
        <v>4564</v>
      </c>
      <c r="G1175" s="425">
        <v>0</v>
      </c>
      <c r="H1175" s="425">
        <v>0</v>
      </c>
      <c r="I1175" s="425">
        <v>0</v>
      </c>
      <c r="J1175" s="425">
        <v>0</v>
      </c>
      <c r="K1175" s="425">
        <v>0</v>
      </c>
      <c r="L1175" s="425">
        <v>0</v>
      </c>
      <c r="M1175" s="425">
        <v>0</v>
      </c>
      <c r="N1175" s="425">
        <v>0</v>
      </c>
      <c r="O1175" s="425">
        <v>0</v>
      </c>
    </row>
    <row r="1176" spans="3:15" hidden="1" x14ac:dyDescent="0.3">
      <c r="C1176" t="s">
        <v>2295</v>
      </c>
      <c r="D1176" t="s">
        <v>2267</v>
      </c>
      <c r="E1176" t="s">
        <v>4565</v>
      </c>
      <c r="F1176" t="s">
        <v>4566</v>
      </c>
      <c r="G1176" s="425">
        <v>0</v>
      </c>
      <c r="H1176" s="425">
        <v>0</v>
      </c>
      <c r="I1176" s="425">
        <v>0</v>
      </c>
      <c r="J1176" s="425">
        <v>0</v>
      </c>
      <c r="K1176" s="425">
        <v>0</v>
      </c>
      <c r="L1176" s="425">
        <v>0</v>
      </c>
      <c r="M1176" s="425">
        <v>0</v>
      </c>
      <c r="N1176" s="425">
        <v>0</v>
      </c>
      <c r="O1176" s="425">
        <v>0</v>
      </c>
    </row>
    <row r="1177" spans="3:15" hidden="1" x14ac:dyDescent="0.3">
      <c r="C1177" t="s">
        <v>2295</v>
      </c>
      <c r="D1177" t="s">
        <v>2267</v>
      </c>
      <c r="E1177" t="s">
        <v>4567</v>
      </c>
      <c r="F1177" t="s">
        <v>4568</v>
      </c>
      <c r="G1177" s="425">
        <v>0</v>
      </c>
      <c r="H1177" s="425">
        <v>0</v>
      </c>
      <c r="I1177" s="425">
        <v>0</v>
      </c>
      <c r="J1177" s="425">
        <v>0</v>
      </c>
      <c r="K1177" s="425">
        <v>0</v>
      </c>
      <c r="L1177" s="425">
        <v>0</v>
      </c>
      <c r="M1177" s="425">
        <v>0</v>
      </c>
      <c r="N1177" s="425">
        <v>0</v>
      </c>
      <c r="O1177" s="425">
        <v>0</v>
      </c>
    </row>
    <row r="1178" spans="3:15" hidden="1" x14ac:dyDescent="0.3">
      <c r="C1178" t="s">
        <v>2295</v>
      </c>
      <c r="D1178" t="s">
        <v>2267</v>
      </c>
      <c r="E1178" t="s">
        <v>4569</v>
      </c>
      <c r="F1178" t="s">
        <v>4570</v>
      </c>
      <c r="G1178" s="425">
        <v>0</v>
      </c>
      <c r="H1178" s="425">
        <v>0</v>
      </c>
      <c r="I1178" s="425">
        <v>0</v>
      </c>
      <c r="J1178" s="425">
        <v>0</v>
      </c>
      <c r="K1178" s="425">
        <v>0</v>
      </c>
      <c r="L1178" s="425">
        <v>0</v>
      </c>
      <c r="M1178" s="425">
        <v>0</v>
      </c>
      <c r="N1178" s="425">
        <v>0</v>
      </c>
      <c r="O1178" s="425">
        <v>0</v>
      </c>
    </row>
    <row r="1179" spans="3:15" hidden="1" x14ac:dyDescent="0.3">
      <c r="C1179" t="s">
        <v>2295</v>
      </c>
      <c r="D1179" t="s">
        <v>2267</v>
      </c>
      <c r="E1179" t="s">
        <v>4571</v>
      </c>
      <c r="F1179" t="s">
        <v>4572</v>
      </c>
      <c r="G1179" s="425">
        <v>0</v>
      </c>
      <c r="H1179" s="425">
        <v>0</v>
      </c>
      <c r="I1179" s="425">
        <v>0</v>
      </c>
      <c r="J1179" s="425">
        <v>0</v>
      </c>
      <c r="K1179" s="425">
        <v>0</v>
      </c>
      <c r="L1179" s="425">
        <v>0</v>
      </c>
      <c r="M1179" s="425">
        <v>0</v>
      </c>
      <c r="N1179" s="425">
        <v>0</v>
      </c>
      <c r="O1179" s="425">
        <v>0</v>
      </c>
    </row>
    <row r="1180" spans="3:15" hidden="1" x14ac:dyDescent="0.3">
      <c r="C1180" t="s">
        <v>2295</v>
      </c>
      <c r="D1180" t="s">
        <v>2267</v>
      </c>
      <c r="E1180" t="s">
        <v>4573</v>
      </c>
      <c r="F1180" t="s">
        <v>4574</v>
      </c>
      <c r="G1180" s="425">
        <v>0</v>
      </c>
      <c r="H1180" s="425">
        <v>0</v>
      </c>
      <c r="I1180" s="425">
        <v>0</v>
      </c>
      <c r="J1180" s="425">
        <v>0</v>
      </c>
      <c r="K1180" s="425">
        <v>0</v>
      </c>
      <c r="L1180" s="425">
        <v>0</v>
      </c>
      <c r="M1180" s="425">
        <v>0</v>
      </c>
      <c r="N1180" s="425">
        <v>0</v>
      </c>
      <c r="O1180" s="425">
        <v>0</v>
      </c>
    </row>
    <row r="1181" spans="3:15" hidden="1" x14ac:dyDescent="0.3">
      <c r="C1181" t="s">
        <v>2295</v>
      </c>
      <c r="D1181" t="s">
        <v>2267</v>
      </c>
      <c r="E1181" t="s">
        <v>4575</v>
      </c>
      <c r="F1181" t="s">
        <v>4576</v>
      </c>
      <c r="G1181" s="425">
        <v>0</v>
      </c>
      <c r="H1181" s="425">
        <v>0</v>
      </c>
      <c r="I1181" s="425">
        <v>0</v>
      </c>
      <c r="J1181" s="425">
        <v>0</v>
      </c>
      <c r="K1181" s="425">
        <v>0</v>
      </c>
      <c r="L1181" s="425">
        <v>0</v>
      </c>
      <c r="M1181" s="425">
        <v>0</v>
      </c>
      <c r="N1181" s="425">
        <v>0</v>
      </c>
      <c r="O1181" s="425">
        <v>0</v>
      </c>
    </row>
    <row r="1182" spans="3:15" hidden="1" x14ac:dyDescent="0.3">
      <c r="C1182" t="s">
        <v>2295</v>
      </c>
      <c r="D1182" t="s">
        <v>2267</v>
      </c>
      <c r="E1182" t="s">
        <v>4577</v>
      </c>
      <c r="F1182" t="s">
        <v>4578</v>
      </c>
      <c r="G1182" s="425">
        <v>0</v>
      </c>
      <c r="H1182" s="425">
        <v>0</v>
      </c>
      <c r="I1182" s="425">
        <v>0</v>
      </c>
      <c r="J1182" s="425">
        <v>0</v>
      </c>
      <c r="K1182" s="425">
        <v>0</v>
      </c>
      <c r="L1182" s="425">
        <v>0</v>
      </c>
      <c r="M1182" s="425">
        <v>0</v>
      </c>
      <c r="N1182" s="425">
        <v>0</v>
      </c>
      <c r="O1182" s="425">
        <v>0</v>
      </c>
    </row>
    <row r="1183" spans="3:15" hidden="1" x14ac:dyDescent="0.3">
      <c r="C1183" t="s">
        <v>2295</v>
      </c>
      <c r="D1183" t="s">
        <v>2267</v>
      </c>
      <c r="E1183" t="s">
        <v>4579</v>
      </c>
      <c r="F1183" t="s">
        <v>4580</v>
      </c>
      <c r="G1183" s="425">
        <v>0</v>
      </c>
      <c r="H1183" s="425">
        <v>0</v>
      </c>
      <c r="I1183" s="425">
        <v>0</v>
      </c>
      <c r="J1183" s="425">
        <v>0</v>
      </c>
      <c r="K1183" s="425">
        <v>0</v>
      </c>
      <c r="L1183" s="425">
        <v>0</v>
      </c>
      <c r="M1183" s="425">
        <v>0</v>
      </c>
      <c r="N1183" s="425">
        <v>0</v>
      </c>
      <c r="O1183" s="425">
        <v>0</v>
      </c>
    </row>
    <row r="1184" spans="3:15" hidden="1" x14ac:dyDescent="0.3">
      <c r="C1184" t="s">
        <v>2295</v>
      </c>
      <c r="D1184" t="s">
        <v>2267</v>
      </c>
      <c r="E1184" t="s">
        <v>4581</v>
      </c>
      <c r="F1184" t="s">
        <v>4582</v>
      </c>
      <c r="G1184" s="425">
        <v>0</v>
      </c>
      <c r="H1184" s="425">
        <v>0</v>
      </c>
      <c r="I1184" s="425">
        <v>0</v>
      </c>
      <c r="J1184" s="425">
        <v>0</v>
      </c>
      <c r="K1184" s="425">
        <v>0</v>
      </c>
      <c r="L1184" s="425">
        <v>0</v>
      </c>
      <c r="M1184" s="425">
        <v>0</v>
      </c>
      <c r="N1184" s="425">
        <v>0</v>
      </c>
      <c r="O1184" s="425">
        <v>0</v>
      </c>
    </row>
    <row r="1185" spans="3:15" hidden="1" x14ac:dyDescent="0.3">
      <c r="C1185" t="s">
        <v>2295</v>
      </c>
      <c r="D1185" t="s">
        <v>2267</v>
      </c>
      <c r="E1185" t="s">
        <v>4583</v>
      </c>
      <c r="F1185" t="s">
        <v>4584</v>
      </c>
      <c r="G1185" s="425">
        <v>0</v>
      </c>
      <c r="H1185" s="425">
        <v>0</v>
      </c>
      <c r="I1185" s="425">
        <v>0</v>
      </c>
      <c r="J1185" s="425">
        <v>0</v>
      </c>
      <c r="K1185" s="425">
        <v>0</v>
      </c>
      <c r="L1185" s="425">
        <v>0</v>
      </c>
      <c r="M1185" s="425">
        <v>0</v>
      </c>
      <c r="N1185" s="425">
        <v>0</v>
      </c>
      <c r="O1185" s="425">
        <v>0</v>
      </c>
    </row>
    <row r="1186" spans="3:15" hidden="1" x14ac:dyDescent="0.3">
      <c r="C1186" t="s">
        <v>2295</v>
      </c>
      <c r="D1186" t="s">
        <v>2267</v>
      </c>
      <c r="E1186" t="s">
        <v>4585</v>
      </c>
      <c r="F1186" t="s">
        <v>4586</v>
      </c>
      <c r="G1186" s="425">
        <v>0</v>
      </c>
      <c r="H1186" s="425">
        <v>0</v>
      </c>
      <c r="I1186" s="425">
        <v>0</v>
      </c>
      <c r="J1186" s="425">
        <v>0</v>
      </c>
      <c r="K1186" s="425">
        <v>0</v>
      </c>
      <c r="L1186" s="425">
        <v>0</v>
      </c>
      <c r="M1186" s="425">
        <v>0</v>
      </c>
      <c r="N1186" s="425">
        <v>0</v>
      </c>
      <c r="O1186" s="425">
        <v>0</v>
      </c>
    </row>
    <row r="1187" spans="3:15" hidden="1" x14ac:dyDescent="0.3">
      <c r="C1187" t="s">
        <v>2295</v>
      </c>
      <c r="D1187" t="s">
        <v>2267</v>
      </c>
      <c r="E1187" t="s">
        <v>4587</v>
      </c>
      <c r="F1187" t="s">
        <v>4588</v>
      </c>
      <c r="G1187" s="425">
        <v>0</v>
      </c>
      <c r="H1187" s="425">
        <v>0</v>
      </c>
      <c r="I1187" s="425">
        <v>0</v>
      </c>
      <c r="J1187" s="425">
        <v>0</v>
      </c>
      <c r="K1187" s="425">
        <v>0</v>
      </c>
      <c r="L1187" s="425">
        <v>0</v>
      </c>
      <c r="M1187" s="425">
        <v>0</v>
      </c>
      <c r="N1187" s="425">
        <v>0</v>
      </c>
      <c r="O1187" s="425">
        <v>0</v>
      </c>
    </row>
    <row r="1188" spans="3:15" hidden="1" x14ac:dyDescent="0.3">
      <c r="C1188" t="s">
        <v>2295</v>
      </c>
      <c r="D1188" t="s">
        <v>2267</v>
      </c>
      <c r="E1188" t="s">
        <v>4589</v>
      </c>
      <c r="F1188" t="s">
        <v>4590</v>
      </c>
      <c r="G1188" s="425">
        <v>0</v>
      </c>
      <c r="H1188" s="425">
        <v>0</v>
      </c>
      <c r="I1188" s="425">
        <v>0</v>
      </c>
      <c r="J1188" s="425">
        <v>0</v>
      </c>
      <c r="K1188" s="425">
        <v>0</v>
      </c>
      <c r="L1188" s="425">
        <v>0</v>
      </c>
      <c r="M1188" s="425">
        <v>0</v>
      </c>
      <c r="N1188" s="425">
        <v>0</v>
      </c>
      <c r="O1188" s="425">
        <v>0</v>
      </c>
    </row>
    <row r="1189" spans="3:15" hidden="1" x14ac:dyDescent="0.3">
      <c r="C1189" t="s">
        <v>2295</v>
      </c>
      <c r="D1189" t="s">
        <v>2267</v>
      </c>
      <c r="E1189" t="s">
        <v>4591</v>
      </c>
      <c r="F1189" t="s">
        <v>4592</v>
      </c>
      <c r="G1189" s="425">
        <v>0</v>
      </c>
      <c r="H1189" s="425">
        <v>0</v>
      </c>
      <c r="I1189" s="425">
        <v>0</v>
      </c>
      <c r="J1189" s="425">
        <v>0</v>
      </c>
      <c r="K1189" s="425">
        <v>0</v>
      </c>
      <c r="L1189" s="425">
        <v>0</v>
      </c>
      <c r="M1189" s="425">
        <v>0</v>
      </c>
      <c r="N1189" s="425">
        <v>0</v>
      </c>
      <c r="O1189" s="425">
        <v>0</v>
      </c>
    </row>
    <row r="1190" spans="3:15" hidden="1" x14ac:dyDescent="0.3">
      <c r="C1190" t="s">
        <v>2295</v>
      </c>
      <c r="D1190" t="s">
        <v>2267</v>
      </c>
      <c r="E1190" t="s">
        <v>4593</v>
      </c>
      <c r="F1190" t="s">
        <v>4594</v>
      </c>
      <c r="G1190" s="425">
        <v>0</v>
      </c>
      <c r="H1190" s="425">
        <v>0</v>
      </c>
      <c r="I1190" s="425">
        <v>0</v>
      </c>
      <c r="J1190" s="425">
        <v>0</v>
      </c>
      <c r="K1190" s="425">
        <v>0</v>
      </c>
      <c r="L1190" s="425">
        <v>0</v>
      </c>
      <c r="M1190" s="425">
        <v>0</v>
      </c>
      <c r="N1190" s="425">
        <v>0</v>
      </c>
      <c r="O1190" s="425">
        <v>0</v>
      </c>
    </row>
    <row r="1191" spans="3:15" hidden="1" x14ac:dyDescent="0.3">
      <c r="C1191" t="s">
        <v>2295</v>
      </c>
      <c r="D1191" t="s">
        <v>2267</v>
      </c>
      <c r="E1191" t="s">
        <v>4595</v>
      </c>
      <c r="F1191" t="s">
        <v>4596</v>
      </c>
      <c r="G1191" s="425">
        <v>0</v>
      </c>
      <c r="H1191" s="425">
        <v>0</v>
      </c>
      <c r="I1191" s="425">
        <v>0</v>
      </c>
      <c r="J1191" s="425">
        <v>0</v>
      </c>
      <c r="K1191" s="425">
        <v>0</v>
      </c>
      <c r="L1191" s="425">
        <v>0</v>
      </c>
      <c r="M1191" s="425">
        <v>0</v>
      </c>
      <c r="N1191" s="425">
        <v>0</v>
      </c>
      <c r="O1191" s="425">
        <v>0</v>
      </c>
    </row>
    <row r="1192" spans="3:15" hidden="1" x14ac:dyDescent="0.3">
      <c r="C1192" t="s">
        <v>2295</v>
      </c>
      <c r="D1192" t="s">
        <v>2267</v>
      </c>
      <c r="E1192" t="s">
        <v>4597</v>
      </c>
      <c r="F1192" t="s">
        <v>4598</v>
      </c>
      <c r="G1192" s="425">
        <v>0</v>
      </c>
      <c r="H1192" s="425">
        <v>0</v>
      </c>
      <c r="I1192" s="425">
        <v>0</v>
      </c>
      <c r="J1192" s="425">
        <v>0</v>
      </c>
      <c r="K1192" s="425">
        <v>0</v>
      </c>
      <c r="L1192" s="425">
        <v>0</v>
      </c>
      <c r="M1192" s="425">
        <v>0</v>
      </c>
      <c r="N1192" s="425">
        <v>0</v>
      </c>
      <c r="O1192" s="425">
        <v>0</v>
      </c>
    </row>
    <row r="1193" spans="3:15" hidden="1" x14ac:dyDescent="0.3">
      <c r="C1193" t="s">
        <v>2295</v>
      </c>
      <c r="D1193" t="s">
        <v>2267</v>
      </c>
      <c r="E1193" t="s">
        <v>4599</v>
      </c>
      <c r="F1193" t="s">
        <v>4600</v>
      </c>
      <c r="G1193" s="425">
        <v>0</v>
      </c>
      <c r="H1193" s="425">
        <v>0</v>
      </c>
      <c r="I1193" s="425">
        <v>0</v>
      </c>
      <c r="J1193" s="425">
        <v>0</v>
      </c>
      <c r="K1193" s="425">
        <v>0</v>
      </c>
      <c r="L1193" s="425">
        <v>0</v>
      </c>
      <c r="M1193" s="425">
        <v>0</v>
      </c>
      <c r="N1193" s="425">
        <v>0</v>
      </c>
      <c r="O1193" s="425">
        <v>0</v>
      </c>
    </row>
    <row r="1194" spans="3:15" hidden="1" x14ac:dyDescent="0.3">
      <c r="C1194" t="s">
        <v>2295</v>
      </c>
      <c r="D1194" t="s">
        <v>2267</v>
      </c>
      <c r="E1194" t="s">
        <v>4601</v>
      </c>
      <c r="F1194" t="s">
        <v>4602</v>
      </c>
      <c r="G1194" s="425">
        <v>1954000</v>
      </c>
      <c r="H1194" s="425">
        <v>0</v>
      </c>
      <c r="I1194" s="425">
        <v>1954000</v>
      </c>
      <c r="J1194" s="425">
        <v>0</v>
      </c>
      <c r="K1194" s="425">
        <v>0</v>
      </c>
      <c r="L1194" s="425">
        <v>0</v>
      </c>
      <c r="M1194" s="425">
        <v>0</v>
      </c>
      <c r="N1194" s="425">
        <v>0</v>
      </c>
      <c r="O1194" s="425">
        <v>0</v>
      </c>
    </row>
    <row r="1195" spans="3:15" hidden="1" x14ac:dyDescent="0.3">
      <c r="C1195" t="s">
        <v>2295</v>
      </c>
      <c r="D1195" t="s">
        <v>2267</v>
      </c>
      <c r="E1195" t="s">
        <v>4603</v>
      </c>
      <c r="F1195" t="s">
        <v>4604</v>
      </c>
      <c r="G1195" s="425">
        <v>0</v>
      </c>
      <c r="H1195" s="425">
        <v>0</v>
      </c>
      <c r="I1195" s="425">
        <v>0</v>
      </c>
      <c r="J1195" s="425">
        <v>0</v>
      </c>
      <c r="K1195" s="425">
        <v>0</v>
      </c>
      <c r="L1195" s="425">
        <v>0</v>
      </c>
      <c r="M1195" s="425">
        <v>0</v>
      </c>
      <c r="N1195" s="425">
        <v>0</v>
      </c>
      <c r="O1195" s="425">
        <v>0</v>
      </c>
    </row>
    <row r="1196" spans="3:15" hidden="1" x14ac:dyDescent="0.3">
      <c r="C1196" t="s">
        <v>2295</v>
      </c>
      <c r="D1196" t="s">
        <v>2267</v>
      </c>
      <c r="E1196" t="s">
        <v>4605</v>
      </c>
      <c r="F1196" t="s">
        <v>4606</v>
      </c>
      <c r="G1196" s="425">
        <v>0</v>
      </c>
      <c r="H1196" s="425">
        <v>0</v>
      </c>
      <c r="I1196" s="425">
        <v>0</v>
      </c>
      <c r="J1196" s="425">
        <v>0</v>
      </c>
      <c r="K1196" s="425">
        <v>0</v>
      </c>
      <c r="L1196" s="425">
        <v>0</v>
      </c>
      <c r="M1196" s="425">
        <v>0</v>
      </c>
      <c r="N1196" s="425">
        <v>0</v>
      </c>
      <c r="O1196" s="425">
        <v>0</v>
      </c>
    </row>
    <row r="1197" spans="3:15" hidden="1" x14ac:dyDescent="0.3">
      <c r="C1197" t="s">
        <v>2295</v>
      </c>
      <c r="D1197" t="s">
        <v>2267</v>
      </c>
      <c r="E1197" t="s">
        <v>4607</v>
      </c>
      <c r="F1197" t="s">
        <v>4608</v>
      </c>
      <c r="G1197" s="425">
        <v>0</v>
      </c>
      <c r="H1197" s="425">
        <v>0</v>
      </c>
      <c r="I1197" s="425">
        <v>0</v>
      </c>
      <c r="J1197" s="425">
        <v>0</v>
      </c>
      <c r="K1197" s="425">
        <v>0</v>
      </c>
      <c r="L1197" s="425">
        <v>0</v>
      </c>
      <c r="M1197" s="425">
        <v>0</v>
      </c>
      <c r="N1197" s="425">
        <v>0</v>
      </c>
      <c r="O1197" s="425">
        <v>0</v>
      </c>
    </row>
    <row r="1198" spans="3:15" hidden="1" x14ac:dyDescent="0.3">
      <c r="C1198" t="s">
        <v>2295</v>
      </c>
      <c r="D1198" t="s">
        <v>2267</v>
      </c>
      <c r="E1198" t="s">
        <v>4609</v>
      </c>
      <c r="F1198" t="s">
        <v>4610</v>
      </c>
      <c r="G1198" s="425">
        <v>0</v>
      </c>
      <c r="H1198" s="425">
        <v>0</v>
      </c>
      <c r="I1198" s="425">
        <v>0</v>
      </c>
      <c r="J1198" s="425">
        <v>0</v>
      </c>
      <c r="K1198" s="425">
        <v>0</v>
      </c>
      <c r="L1198" s="425">
        <v>0</v>
      </c>
      <c r="M1198" s="425">
        <v>0</v>
      </c>
      <c r="N1198" s="425">
        <v>0</v>
      </c>
      <c r="O1198" s="425">
        <v>0</v>
      </c>
    </row>
    <row r="1199" spans="3:15" hidden="1" x14ac:dyDescent="0.3">
      <c r="C1199" t="s">
        <v>2295</v>
      </c>
      <c r="D1199" t="s">
        <v>2267</v>
      </c>
      <c r="E1199" t="s">
        <v>4611</v>
      </c>
      <c r="F1199" t="s">
        <v>4612</v>
      </c>
      <c r="G1199" s="425">
        <v>970000</v>
      </c>
      <c r="H1199" s="425">
        <v>0</v>
      </c>
      <c r="I1199" s="425">
        <v>970000</v>
      </c>
      <c r="J1199" s="425">
        <v>0</v>
      </c>
      <c r="K1199" s="425">
        <v>0</v>
      </c>
      <c r="L1199" s="425">
        <v>0</v>
      </c>
      <c r="M1199" s="425">
        <v>0</v>
      </c>
      <c r="N1199" s="425">
        <v>0</v>
      </c>
      <c r="O1199" s="425">
        <v>0</v>
      </c>
    </row>
    <row r="1200" spans="3:15" hidden="1" x14ac:dyDescent="0.3">
      <c r="C1200" t="s">
        <v>2295</v>
      </c>
      <c r="D1200" t="s">
        <v>2267</v>
      </c>
      <c r="E1200" t="s">
        <v>4613</v>
      </c>
      <c r="F1200" t="s">
        <v>4614</v>
      </c>
      <c r="G1200" s="425">
        <v>0</v>
      </c>
      <c r="H1200" s="425">
        <v>0</v>
      </c>
      <c r="I1200" s="425">
        <v>0</v>
      </c>
      <c r="J1200" s="425">
        <v>0</v>
      </c>
      <c r="K1200" s="425">
        <v>0</v>
      </c>
      <c r="L1200" s="425">
        <v>0</v>
      </c>
      <c r="M1200" s="425">
        <v>0</v>
      </c>
      <c r="N1200" s="425">
        <v>0</v>
      </c>
      <c r="O1200" s="425">
        <v>0</v>
      </c>
    </row>
    <row r="1201" spans="3:15" hidden="1" x14ac:dyDescent="0.3">
      <c r="C1201" t="s">
        <v>2295</v>
      </c>
      <c r="D1201" t="s">
        <v>2267</v>
      </c>
      <c r="E1201" t="s">
        <v>4615</v>
      </c>
      <c r="F1201" t="s">
        <v>4616</v>
      </c>
      <c r="G1201" s="425">
        <v>0</v>
      </c>
      <c r="H1201" s="425">
        <v>0</v>
      </c>
      <c r="I1201" s="425">
        <v>0</v>
      </c>
      <c r="J1201" s="425">
        <v>0</v>
      </c>
      <c r="K1201" s="425">
        <v>0</v>
      </c>
      <c r="L1201" s="425">
        <v>0</v>
      </c>
      <c r="M1201" s="425">
        <v>0</v>
      </c>
      <c r="N1201" s="425">
        <v>0</v>
      </c>
      <c r="O1201" s="425">
        <v>0</v>
      </c>
    </row>
    <row r="1202" spans="3:15" hidden="1" x14ac:dyDescent="0.3">
      <c r="C1202" t="s">
        <v>2295</v>
      </c>
      <c r="D1202" t="s">
        <v>2267</v>
      </c>
      <c r="E1202" t="s">
        <v>4617</v>
      </c>
      <c r="F1202" t="s">
        <v>4618</v>
      </c>
      <c r="G1202" s="425">
        <v>0</v>
      </c>
      <c r="H1202" s="425">
        <v>0</v>
      </c>
      <c r="I1202" s="425">
        <v>0</v>
      </c>
      <c r="J1202" s="425">
        <v>0</v>
      </c>
      <c r="K1202" s="425">
        <v>0</v>
      </c>
      <c r="L1202" s="425">
        <v>0</v>
      </c>
      <c r="M1202" s="425">
        <v>0</v>
      </c>
      <c r="N1202" s="425">
        <v>0</v>
      </c>
      <c r="O1202" s="425">
        <v>0</v>
      </c>
    </row>
    <row r="1203" spans="3:15" hidden="1" x14ac:dyDescent="0.3">
      <c r="C1203" t="s">
        <v>2295</v>
      </c>
      <c r="D1203" t="s">
        <v>2267</v>
      </c>
      <c r="E1203" t="s">
        <v>4619</v>
      </c>
      <c r="F1203" t="s">
        <v>4620</v>
      </c>
      <c r="G1203" s="425">
        <v>0</v>
      </c>
      <c r="H1203" s="425">
        <v>0</v>
      </c>
      <c r="I1203" s="425">
        <v>0</v>
      </c>
      <c r="J1203" s="425">
        <v>0</v>
      </c>
      <c r="K1203" s="425">
        <v>0</v>
      </c>
      <c r="L1203" s="425">
        <v>0</v>
      </c>
      <c r="M1203" s="425">
        <v>0</v>
      </c>
      <c r="N1203" s="425">
        <v>0</v>
      </c>
      <c r="O1203" s="425">
        <v>0</v>
      </c>
    </row>
    <row r="1204" spans="3:15" hidden="1" x14ac:dyDescent="0.3">
      <c r="C1204" t="s">
        <v>2295</v>
      </c>
      <c r="D1204" t="s">
        <v>2267</v>
      </c>
      <c r="E1204" t="s">
        <v>4621</v>
      </c>
      <c r="F1204" t="s">
        <v>4622</v>
      </c>
      <c r="G1204" s="425">
        <v>0</v>
      </c>
      <c r="H1204" s="425">
        <v>0</v>
      </c>
      <c r="I1204" s="425">
        <v>0</v>
      </c>
      <c r="J1204" s="425">
        <v>0</v>
      </c>
      <c r="K1204" s="425">
        <v>0</v>
      </c>
      <c r="L1204" s="425">
        <v>0</v>
      </c>
      <c r="M1204" s="425">
        <v>0</v>
      </c>
      <c r="N1204" s="425">
        <v>0</v>
      </c>
      <c r="O1204" s="425">
        <v>0</v>
      </c>
    </row>
    <row r="1205" spans="3:15" hidden="1" x14ac:dyDescent="0.3">
      <c r="C1205" t="s">
        <v>2295</v>
      </c>
      <c r="D1205" t="s">
        <v>2267</v>
      </c>
      <c r="E1205" t="s">
        <v>4623</v>
      </c>
      <c r="F1205" t="s">
        <v>4624</v>
      </c>
      <c r="G1205" s="425">
        <v>0</v>
      </c>
      <c r="H1205" s="425">
        <v>0</v>
      </c>
      <c r="I1205" s="425">
        <v>0</v>
      </c>
      <c r="J1205" s="425">
        <v>0</v>
      </c>
      <c r="K1205" s="425">
        <v>0</v>
      </c>
      <c r="L1205" s="425">
        <v>0</v>
      </c>
      <c r="M1205" s="425">
        <v>0</v>
      </c>
      <c r="N1205" s="425">
        <v>0</v>
      </c>
      <c r="O1205" s="425">
        <v>0</v>
      </c>
    </row>
    <row r="1206" spans="3:15" hidden="1" x14ac:dyDescent="0.3">
      <c r="C1206" t="s">
        <v>2295</v>
      </c>
      <c r="D1206" t="s">
        <v>2267</v>
      </c>
      <c r="E1206" t="s">
        <v>4625</v>
      </c>
      <c r="F1206" t="s">
        <v>4626</v>
      </c>
      <c r="G1206" s="425">
        <v>0</v>
      </c>
      <c r="H1206" s="425">
        <v>0</v>
      </c>
      <c r="I1206" s="425">
        <v>0</v>
      </c>
      <c r="J1206" s="425">
        <v>0</v>
      </c>
      <c r="K1206" s="425">
        <v>0</v>
      </c>
      <c r="L1206" s="425">
        <v>0</v>
      </c>
      <c r="M1206" s="425">
        <v>0</v>
      </c>
      <c r="N1206" s="425">
        <v>0</v>
      </c>
      <c r="O1206" s="425">
        <v>0</v>
      </c>
    </row>
    <row r="1207" spans="3:15" hidden="1" x14ac:dyDescent="0.3">
      <c r="C1207" t="s">
        <v>2295</v>
      </c>
      <c r="D1207" t="s">
        <v>2267</v>
      </c>
      <c r="E1207" t="s">
        <v>4627</v>
      </c>
      <c r="F1207" t="s">
        <v>4628</v>
      </c>
      <c r="G1207" s="425">
        <v>0</v>
      </c>
      <c r="H1207" s="425">
        <v>0</v>
      </c>
      <c r="I1207" s="425">
        <v>0</v>
      </c>
      <c r="J1207" s="425">
        <v>0</v>
      </c>
      <c r="K1207" s="425">
        <v>0</v>
      </c>
      <c r="L1207" s="425">
        <v>0</v>
      </c>
      <c r="M1207" s="425">
        <v>0</v>
      </c>
      <c r="N1207" s="425">
        <v>0</v>
      </c>
      <c r="O1207" s="425">
        <v>0</v>
      </c>
    </row>
    <row r="1208" spans="3:15" hidden="1" x14ac:dyDescent="0.3">
      <c r="C1208" t="s">
        <v>2295</v>
      </c>
      <c r="D1208" t="s">
        <v>2267</v>
      </c>
      <c r="E1208" t="s">
        <v>4629</v>
      </c>
      <c r="F1208" t="s">
        <v>4630</v>
      </c>
      <c r="G1208" s="425">
        <v>0</v>
      </c>
      <c r="H1208" s="425">
        <v>0</v>
      </c>
      <c r="I1208" s="425">
        <v>0</v>
      </c>
      <c r="J1208" s="425">
        <v>0</v>
      </c>
      <c r="K1208" s="425">
        <v>0</v>
      </c>
      <c r="L1208" s="425">
        <v>0</v>
      </c>
      <c r="M1208" s="425">
        <v>0</v>
      </c>
      <c r="N1208" s="425">
        <v>0</v>
      </c>
      <c r="O1208" s="425">
        <v>0</v>
      </c>
    </row>
    <row r="1209" spans="3:15" hidden="1" x14ac:dyDescent="0.3">
      <c r="C1209" t="s">
        <v>2295</v>
      </c>
      <c r="D1209" t="s">
        <v>2267</v>
      </c>
      <c r="E1209" t="s">
        <v>4631</v>
      </c>
      <c r="F1209" t="s">
        <v>4632</v>
      </c>
      <c r="G1209" s="425">
        <v>0</v>
      </c>
      <c r="H1209" s="425">
        <v>0</v>
      </c>
      <c r="I1209" s="425">
        <v>0</v>
      </c>
      <c r="J1209" s="425">
        <v>0</v>
      </c>
      <c r="K1209" s="425">
        <v>0</v>
      </c>
      <c r="L1209" s="425">
        <v>0</v>
      </c>
      <c r="M1209" s="425">
        <v>0</v>
      </c>
      <c r="N1209" s="425">
        <v>0</v>
      </c>
      <c r="O1209" s="425">
        <v>0</v>
      </c>
    </row>
    <row r="1210" spans="3:15" hidden="1" x14ac:dyDescent="0.3">
      <c r="C1210" t="s">
        <v>2295</v>
      </c>
      <c r="D1210" t="s">
        <v>2267</v>
      </c>
      <c r="E1210" t="s">
        <v>4633</v>
      </c>
      <c r="F1210" t="s">
        <v>4634</v>
      </c>
      <c r="G1210" s="425">
        <v>0</v>
      </c>
      <c r="H1210" s="425">
        <v>0</v>
      </c>
      <c r="I1210" s="425">
        <v>0</v>
      </c>
      <c r="J1210" s="425">
        <v>0</v>
      </c>
      <c r="K1210" s="425">
        <v>0</v>
      </c>
      <c r="L1210" s="425">
        <v>0</v>
      </c>
      <c r="M1210" s="425">
        <v>0</v>
      </c>
      <c r="N1210" s="425">
        <v>0</v>
      </c>
      <c r="O1210" s="425">
        <v>0</v>
      </c>
    </row>
    <row r="1211" spans="3:15" hidden="1" x14ac:dyDescent="0.3">
      <c r="C1211" t="s">
        <v>2295</v>
      </c>
      <c r="D1211" t="s">
        <v>2267</v>
      </c>
      <c r="E1211" t="s">
        <v>4635</v>
      </c>
      <c r="F1211" t="s">
        <v>4636</v>
      </c>
      <c r="G1211" s="425">
        <v>0</v>
      </c>
      <c r="H1211" s="425">
        <v>0</v>
      </c>
      <c r="I1211" s="425">
        <v>0</v>
      </c>
      <c r="J1211" s="425">
        <v>0</v>
      </c>
      <c r="K1211" s="425">
        <v>0</v>
      </c>
      <c r="L1211" s="425">
        <v>0</v>
      </c>
      <c r="M1211" s="425">
        <v>0</v>
      </c>
      <c r="N1211" s="425">
        <v>0</v>
      </c>
      <c r="O1211" s="425">
        <v>0</v>
      </c>
    </row>
    <row r="1212" spans="3:15" hidden="1" x14ac:dyDescent="0.3">
      <c r="C1212" t="s">
        <v>2295</v>
      </c>
      <c r="D1212" t="s">
        <v>2267</v>
      </c>
      <c r="E1212" t="s">
        <v>4637</v>
      </c>
      <c r="F1212" t="s">
        <v>4638</v>
      </c>
      <c r="G1212" s="425">
        <v>0</v>
      </c>
      <c r="H1212" s="425">
        <v>0</v>
      </c>
      <c r="I1212" s="425">
        <v>0</v>
      </c>
      <c r="J1212" s="425">
        <v>0</v>
      </c>
      <c r="K1212" s="425">
        <v>0</v>
      </c>
      <c r="L1212" s="425">
        <v>0</v>
      </c>
      <c r="M1212" s="425">
        <v>0</v>
      </c>
      <c r="N1212" s="425">
        <v>0</v>
      </c>
      <c r="O1212" s="425">
        <v>0</v>
      </c>
    </row>
    <row r="1213" spans="3:15" hidden="1" x14ac:dyDescent="0.3">
      <c r="C1213" t="s">
        <v>2295</v>
      </c>
      <c r="D1213" t="s">
        <v>2267</v>
      </c>
      <c r="E1213" t="s">
        <v>4639</v>
      </c>
      <c r="F1213" t="s">
        <v>4640</v>
      </c>
      <c r="G1213" s="425">
        <v>0</v>
      </c>
      <c r="H1213" s="425">
        <v>0</v>
      </c>
      <c r="I1213" s="425">
        <v>0</v>
      </c>
      <c r="J1213" s="425">
        <v>0</v>
      </c>
      <c r="K1213" s="425">
        <v>0</v>
      </c>
      <c r="L1213" s="425">
        <v>0</v>
      </c>
      <c r="M1213" s="425">
        <v>0</v>
      </c>
      <c r="N1213" s="425">
        <v>0</v>
      </c>
      <c r="O1213" s="425">
        <v>0</v>
      </c>
    </row>
    <row r="1214" spans="3:15" hidden="1" x14ac:dyDescent="0.3">
      <c r="C1214" t="s">
        <v>2295</v>
      </c>
      <c r="D1214" t="s">
        <v>2267</v>
      </c>
      <c r="E1214" t="s">
        <v>4641</v>
      </c>
      <c r="F1214" t="s">
        <v>4642</v>
      </c>
      <c r="G1214" s="425">
        <v>0</v>
      </c>
      <c r="H1214" s="425">
        <v>0</v>
      </c>
      <c r="I1214" s="425">
        <v>0</v>
      </c>
      <c r="J1214" s="425">
        <v>0</v>
      </c>
      <c r="K1214" s="425">
        <v>0</v>
      </c>
      <c r="L1214" s="425">
        <v>0</v>
      </c>
      <c r="M1214" s="425">
        <v>0</v>
      </c>
      <c r="N1214" s="425">
        <v>0</v>
      </c>
      <c r="O1214" s="425">
        <v>0</v>
      </c>
    </row>
    <row r="1215" spans="3:15" hidden="1" x14ac:dyDescent="0.3">
      <c r="C1215" t="s">
        <v>2295</v>
      </c>
      <c r="D1215" t="s">
        <v>2267</v>
      </c>
      <c r="E1215" t="s">
        <v>4643</v>
      </c>
      <c r="F1215" t="s">
        <v>4644</v>
      </c>
      <c r="G1215" s="425">
        <v>0</v>
      </c>
      <c r="H1215" s="425">
        <v>0</v>
      </c>
      <c r="I1215" s="425">
        <v>0</v>
      </c>
      <c r="J1215" s="425">
        <v>0</v>
      </c>
      <c r="K1215" s="425">
        <v>0</v>
      </c>
      <c r="L1215" s="425">
        <v>0</v>
      </c>
      <c r="M1215" s="425">
        <v>0</v>
      </c>
      <c r="N1215" s="425">
        <v>0</v>
      </c>
      <c r="O1215" s="425">
        <v>0</v>
      </c>
    </row>
    <row r="1216" spans="3:15" hidden="1" x14ac:dyDescent="0.3">
      <c r="C1216" t="s">
        <v>2295</v>
      </c>
      <c r="D1216" t="s">
        <v>2267</v>
      </c>
      <c r="E1216" t="s">
        <v>4645</v>
      </c>
      <c r="F1216" t="s">
        <v>4646</v>
      </c>
      <c r="G1216" s="425">
        <v>0</v>
      </c>
      <c r="H1216" s="425">
        <v>0</v>
      </c>
      <c r="I1216" s="425">
        <v>0</v>
      </c>
      <c r="J1216" s="425">
        <v>0</v>
      </c>
      <c r="K1216" s="425">
        <v>0</v>
      </c>
      <c r="L1216" s="425">
        <v>0</v>
      </c>
      <c r="M1216" s="425">
        <v>0</v>
      </c>
      <c r="N1216" s="425">
        <v>0</v>
      </c>
      <c r="O1216" s="425">
        <v>0</v>
      </c>
    </row>
    <row r="1217" spans="3:15" hidden="1" x14ac:dyDescent="0.3">
      <c r="C1217" t="s">
        <v>2295</v>
      </c>
      <c r="D1217" t="s">
        <v>2267</v>
      </c>
      <c r="E1217" t="s">
        <v>4647</v>
      </c>
      <c r="F1217" t="s">
        <v>4648</v>
      </c>
      <c r="G1217" s="425">
        <v>0</v>
      </c>
      <c r="H1217" s="425">
        <v>0</v>
      </c>
      <c r="I1217" s="425">
        <v>0</v>
      </c>
      <c r="J1217" s="425">
        <v>0</v>
      </c>
      <c r="K1217" s="425">
        <v>0</v>
      </c>
      <c r="L1217" s="425">
        <v>0</v>
      </c>
      <c r="M1217" s="425">
        <v>0</v>
      </c>
      <c r="N1217" s="425">
        <v>0</v>
      </c>
      <c r="O1217" s="425">
        <v>0</v>
      </c>
    </row>
    <row r="1218" spans="3:15" hidden="1" x14ac:dyDescent="0.3">
      <c r="C1218" t="s">
        <v>2295</v>
      </c>
      <c r="D1218" t="s">
        <v>2267</v>
      </c>
      <c r="E1218" t="s">
        <v>4649</v>
      </c>
      <c r="F1218" t="s">
        <v>4650</v>
      </c>
      <c r="G1218" s="425">
        <v>0</v>
      </c>
      <c r="H1218" s="425">
        <v>0</v>
      </c>
      <c r="I1218" s="425">
        <v>0</v>
      </c>
      <c r="J1218" s="425">
        <v>0</v>
      </c>
      <c r="K1218" s="425">
        <v>0</v>
      </c>
      <c r="L1218" s="425">
        <v>0</v>
      </c>
      <c r="M1218" s="425">
        <v>0</v>
      </c>
      <c r="N1218" s="425">
        <v>0</v>
      </c>
      <c r="O1218" s="425">
        <v>0</v>
      </c>
    </row>
    <row r="1219" spans="3:15" hidden="1" x14ac:dyDescent="0.3">
      <c r="C1219" t="s">
        <v>2295</v>
      </c>
      <c r="D1219" t="s">
        <v>2267</v>
      </c>
      <c r="E1219" t="s">
        <v>4651</v>
      </c>
      <c r="F1219" t="s">
        <v>4652</v>
      </c>
      <c r="G1219" s="425">
        <v>0</v>
      </c>
      <c r="H1219" s="425">
        <v>0</v>
      </c>
      <c r="I1219" s="425">
        <v>0</v>
      </c>
      <c r="J1219" s="425">
        <v>0</v>
      </c>
      <c r="K1219" s="425">
        <v>0</v>
      </c>
      <c r="L1219" s="425">
        <v>0</v>
      </c>
      <c r="M1219" s="425">
        <v>0</v>
      </c>
      <c r="N1219" s="425">
        <v>0</v>
      </c>
      <c r="O1219" s="425">
        <v>0</v>
      </c>
    </row>
    <row r="1220" spans="3:15" hidden="1" x14ac:dyDescent="0.3">
      <c r="C1220" t="s">
        <v>2295</v>
      </c>
      <c r="D1220" t="s">
        <v>2267</v>
      </c>
      <c r="E1220" t="s">
        <v>4653</v>
      </c>
      <c r="F1220" t="s">
        <v>4654</v>
      </c>
      <c r="G1220" s="425">
        <v>0</v>
      </c>
      <c r="H1220" s="425">
        <v>0</v>
      </c>
      <c r="I1220" s="425">
        <v>0</v>
      </c>
      <c r="J1220" s="425">
        <v>0</v>
      </c>
      <c r="K1220" s="425">
        <v>0</v>
      </c>
      <c r="L1220" s="425">
        <v>0</v>
      </c>
      <c r="M1220" s="425">
        <v>0</v>
      </c>
      <c r="N1220" s="425">
        <v>0</v>
      </c>
      <c r="O1220" s="425">
        <v>0</v>
      </c>
    </row>
    <row r="1221" spans="3:15" hidden="1" x14ac:dyDescent="0.3">
      <c r="C1221" t="s">
        <v>2295</v>
      </c>
      <c r="D1221" t="s">
        <v>2267</v>
      </c>
      <c r="E1221" t="s">
        <v>4655</v>
      </c>
      <c r="F1221" t="s">
        <v>4656</v>
      </c>
      <c r="G1221" s="425">
        <v>0</v>
      </c>
      <c r="H1221" s="425">
        <v>0</v>
      </c>
      <c r="I1221" s="425">
        <v>0</v>
      </c>
      <c r="J1221" s="425">
        <v>0</v>
      </c>
      <c r="K1221" s="425">
        <v>0</v>
      </c>
      <c r="L1221" s="425">
        <v>0</v>
      </c>
      <c r="M1221" s="425">
        <v>0</v>
      </c>
      <c r="N1221" s="425">
        <v>0</v>
      </c>
      <c r="O1221" s="425">
        <v>0</v>
      </c>
    </row>
    <row r="1222" spans="3:15" hidden="1" x14ac:dyDescent="0.3">
      <c r="C1222" t="s">
        <v>2295</v>
      </c>
      <c r="D1222" t="s">
        <v>2267</v>
      </c>
      <c r="E1222" t="s">
        <v>4657</v>
      </c>
      <c r="F1222" t="s">
        <v>4658</v>
      </c>
      <c r="G1222" s="425">
        <v>0</v>
      </c>
      <c r="H1222" s="425">
        <v>0</v>
      </c>
      <c r="I1222" s="425">
        <v>0</v>
      </c>
      <c r="J1222" s="425">
        <v>0</v>
      </c>
      <c r="K1222" s="425">
        <v>0</v>
      </c>
      <c r="L1222" s="425">
        <v>0</v>
      </c>
      <c r="M1222" s="425">
        <v>0</v>
      </c>
      <c r="N1222" s="425">
        <v>0</v>
      </c>
      <c r="O1222" s="425">
        <v>0</v>
      </c>
    </row>
    <row r="1223" spans="3:15" hidden="1" x14ac:dyDescent="0.3">
      <c r="C1223" t="s">
        <v>2295</v>
      </c>
      <c r="D1223" t="s">
        <v>2267</v>
      </c>
      <c r="E1223" t="s">
        <v>4659</v>
      </c>
      <c r="F1223" t="s">
        <v>4660</v>
      </c>
      <c r="G1223" s="425">
        <v>0</v>
      </c>
      <c r="H1223" s="425">
        <v>0</v>
      </c>
      <c r="I1223" s="425">
        <v>0</v>
      </c>
      <c r="J1223" s="425">
        <v>0</v>
      </c>
      <c r="K1223" s="425">
        <v>0</v>
      </c>
      <c r="L1223" s="425">
        <v>0</v>
      </c>
      <c r="M1223" s="425">
        <v>0</v>
      </c>
      <c r="N1223" s="425">
        <v>0</v>
      </c>
      <c r="O1223" s="425">
        <v>0</v>
      </c>
    </row>
    <row r="1224" spans="3:15" hidden="1" x14ac:dyDescent="0.3">
      <c r="C1224" t="s">
        <v>2295</v>
      </c>
      <c r="D1224" t="s">
        <v>2267</v>
      </c>
      <c r="E1224" t="s">
        <v>4661</v>
      </c>
      <c r="F1224" t="s">
        <v>4662</v>
      </c>
      <c r="G1224" s="425">
        <v>0</v>
      </c>
      <c r="H1224" s="425">
        <v>0</v>
      </c>
      <c r="I1224" s="425">
        <v>0</v>
      </c>
      <c r="J1224" s="425">
        <v>0</v>
      </c>
      <c r="K1224" s="425">
        <v>0</v>
      </c>
      <c r="L1224" s="425">
        <v>0</v>
      </c>
      <c r="M1224" s="425">
        <v>0</v>
      </c>
      <c r="N1224" s="425">
        <v>0</v>
      </c>
      <c r="O1224" s="425">
        <v>0</v>
      </c>
    </row>
    <row r="1225" spans="3:15" hidden="1" x14ac:dyDescent="0.3">
      <c r="C1225" t="s">
        <v>2295</v>
      </c>
      <c r="D1225" t="s">
        <v>2267</v>
      </c>
      <c r="E1225" t="s">
        <v>4663</v>
      </c>
      <c r="F1225" t="s">
        <v>4664</v>
      </c>
      <c r="G1225" s="425">
        <v>0</v>
      </c>
      <c r="H1225" s="425">
        <v>0</v>
      </c>
      <c r="I1225" s="425">
        <v>0</v>
      </c>
      <c r="J1225" s="425">
        <v>0</v>
      </c>
      <c r="K1225" s="425">
        <v>0</v>
      </c>
      <c r="L1225" s="425">
        <v>0</v>
      </c>
      <c r="M1225" s="425">
        <v>0</v>
      </c>
      <c r="N1225" s="425">
        <v>0</v>
      </c>
      <c r="O1225" s="425">
        <v>0</v>
      </c>
    </row>
    <row r="1226" spans="3:15" hidden="1" x14ac:dyDescent="0.3">
      <c r="C1226" t="s">
        <v>2295</v>
      </c>
      <c r="D1226" t="s">
        <v>2267</v>
      </c>
      <c r="E1226" t="s">
        <v>4665</v>
      </c>
      <c r="F1226" t="s">
        <v>4666</v>
      </c>
      <c r="G1226" s="425">
        <v>0</v>
      </c>
      <c r="H1226" s="425">
        <v>0</v>
      </c>
      <c r="I1226" s="425">
        <v>0</v>
      </c>
      <c r="J1226" s="425">
        <v>0</v>
      </c>
      <c r="K1226" s="425">
        <v>0</v>
      </c>
      <c r="L1226" s="425">
        <v>0</v>
      </c>
      <c r="M1226" s="425">
        <v>0</v>
      </c>
      <c r="N1226" s="425">
        <v>0</v>
      </c>
      <c r="O1226" s="425">
        <v>0</v>
      </c>
    </row>
    <row r="1227" spans="3:15" hidden="1" x14ac:dyDescent="0.3">
      <c r="C1227" t="s">
        <v>2295</v>
      </c>
      <c r="D1227" t="s">
        <v>2267</v>
      </c>
      <c r="E1227" t="s">
        <v>4667</v>
      </c>
      <c r="F1227" t="s">
        <v>4668</v>
      </c>
      <c r="G1227" s="425">
        <v>0</v>
      </c>
      <c r="H1227" s="425">
        <v>0</v>
      </c>
      <c r="I1227" s="425">
        <v>0</v>
      </c>
      <c r="J1227" s="425">
        <v>0</v>
      </c>
      <c r="K1227" s="425">
        <v>0</v>
      </c>
      <c r="L1227" s="425">
        <v>0</v>
      </c>
      <c r="M1227" s="425">
        <v>0</v>
      </c>
      <c r="N1227" s="425">
        <v>0</v>
      </c>
      <c r="O1227" s="425">
        <v>0</v>
      </c>
    </row>
    <row r="1228" spans="3:15" hidden="1" x14ac:dyDescent="0.3">
      <c r="C1228" t="s">
        <v>2295</v>
      </c>
      <c r="D1228" t="s">
        <v>2267</v>
      </c>
      <c r="E1228" t="s">
        <v>4669</v>
      </c>
      <c r="F1228" t="s">
        <v>4670</v>
      </c>
      <c r="G1228" s="425">
        <v>0</v>
      </c>
      <c r="H1228" s="425">
        <v>0</v>
      </c>
      <c r="I1228" s="425">
        <v>0</v>
      </c>
      <c r="J1228" s="425">
        <v>0</v>
      </c>
      <c r="K1228" s="425">
        <v>0</v>
      </c>
      <c r="L1228" s="425">
        <v>0</v>
      </c>
      <c r="M1228" s="425">
        <v>0</v>
      </c>
      <c r="N1228" s="425">
        <v>0</v>
      </c>
      <c r="O1228" s="425">
        <v>0</v>
      </c>
    </row>
    <row r="1229" spans="3:15" hidden="1" x14ac:dyDescent="0.3">
      <c r="C1229" t="s">
        <v>2295</v>
      </c>
      <c r="D1229" t="s">
        <v>2267</v>
      </c>
      <c r="E1229" t="s">
        <v>4671</v>
      </c>
      <c r="F1229" t="s">
        <v>4672</v>
      </c>
      <c r="G1229" s="425">
        <v>0</v>
      </c>
      <c r="H1229" s="425">
        <v>0</v>
      </c>
      <c r="I1229" s="425">
        <v>0</v>
      </c>
      <c r="J1229" s="425">
        <v>0</v>
      </c>
      <c r="K1229" s="425">
        <v>0</v>
      </c>
      <c r="L1229" s="425">
        <v>0</v>
      </c>
      <c r="M1229" s="425">
        <v>0</v>
      </c>
      <c r="N1229" s="425">
        <v>0</v>
      </c>
      <c r="O1229" s="425">
        <v>0</v>
      </c>
    </row>
    <row r="1230" spans="3:15" hidden="1" x14ac:dyDescent="0.3">
      <c r="C1230" t="s">
        <v>2295</v>
      </c>
      <c r="D1230" t="s">
        <v>2267</v>
      </c>
      <c r="E1230" t="s">
        <v>4673</v>
      </c>
      <c r="F1230" t="s">
        <v>4674</v>
      </c>
      <c r="G1230" s="425">
        <v>0</v>
      </c>
      <c r="H1230" s="425">
        <v>0</v>
      </c>
      <c r="I1230" s="425">
        <v>0</v>
      </c>
      <c r="J1230" s="425">
        <v>0</v>
      </c>
      <c r="K1230" s="425">
        <v>0</v>
      </c>
      <c r="L1230" s="425">
        <v>0</v>
      </c>
      <c r="M1230" s="425">
        <v>0</v>
      </c>
      <c r="N1230" s="425">
        <v>0</v>
      </c>
      <c r="O1230" s="425">
        <v>0</v>
      </c>
    </row>
    <row r="1231" spans="3:15" hidden="1" x14ac:dyDescent="0.3">
      <c r="C1231" t="s">
        <v>2295</v>
      </c>
      <c r="D1231" t="s">
        <v>2267</v>
      </c>
      <c r="E1231" t="s">
        <v>4675</v>
      </c>
      <c r="F1231" t="s">
        <v>4676</v>
      </c>
      <c r="G1231" s="425">
        <v>604000</v>
      </c>
      <c r="H1231" s="425">
        <v>0</v>
      </c>
      <c r="I1231" s="425">
        <v>604000</v>
      </c>
      <c r="J1231" s="425">
        <v>0</v>
      </c>
      <c r="K1231" s="425">
        <v>0</v>
      </c>
      <c r="L1231" s="425">
        <v>0</v>
      </c>
      <c r="M1231" s="425">
        <v>0</v>
      </c>
      <c r="N1231" s="425">
        <v>0</v>
      </c>
      <c r="O1231" s="425">
        <v>0</v>
      </c>
    </row>
    <row r="1232" spans="3:15" hidden="1" x14ac:dyDescent="0.3">
      <c r="C1232" t="s">
        <v>2295</v>
      </c>
      <c r="D1232" t="s">
        <v>2267</v>
      </c>
      <c r="E1232" t="s">
        <v>4677</v>
      </c>
      <c r="F1232" t="s">
        <v>4678</v>
      </c>
      <c r="G1232" s="425">
        <v>0</v>
      </c>
      <c r="H1232" s="425">
        <v>0</v>
      </c>
      <c r="I1232" s="425">
        <v>0</v>
      </c>
      <c r="J1232" s="425">
        <v>0</v>
      </c>
      <c r="K1232" s="425">
        <v>0</v>
      </c>
      <c r="L1232" s="425">
        <v>0</v>
      </c>
      <c r="M1232" s="425">
        <v>0</v>
      </c>
      <c r="N1232" s="425">
        <v>0</v>
      </c>
      <c r="O1232" s="425">
        <v>0</v>
      </c>
    </row>
    <row r="1233" spans="3:15" hidden="1" x14ac:dyDescent="0.3">
      <c r="C1233" t="s">
        <v>2295</v>
      </c>
      <c r="D1233" t="s">
        <v>2267</v>
      </c>
      <c r="E1233" t="s">
        <v>4679</v>
      </c>
      <c r="F1233" t="s">
        <v>4680</v>
      </c>
      <c r="G1233" s="425">
        <v>0</v>
      </c>
      <c r="H1233" s="425">
        <v>0</v>
      </c>
      <c r="I1233" s="425">
        <v>0</v>
      </c>
      <c r="J1233" s="425">
        <v>0</v>
      </c>
      <c r="K1233" s="425">
        <v>0</v>
      </c>
      <c r="L1233" s="425">
        <v>0</v>
      </c>
      <c r="M1233" s="425">
        <v>0</v>
      </c>
      <c r="N1233" s="425">
        <v>0</v>
      </c>
      <c r="O1233" s="425">
        <v>0</v>
      </c>
    </row>
    <row r="1234" spans="3:15" hidden="1" x14ac:dyDescent="0.3">
      <c r="C1234" t="s">
        <v>2295</v>
      </c>
      <c r="D1234" t="s">
        <v>2267</v>
      </c>
      <c r="E1234" t="s">
        <v>4681</v>
      </c>
      <c r="F1234" t="s">
        <v>4682</v>
      </c>
      <c r="G1234" s="425">
        <v>0</v>
      </c>
      <c r="H1234" s="425">
        <v>0</v>
      </c>
      <c r="I1234" s="425">
        <v>0</v>
      </c>
      <c r="J1234" s="425">
        <v>0</v>
      </c>
      <c r="K1234" s="425">
        <v>0</v>
      </c>
      <c r="L1234" s="425">
        <v>0</v>
      </c>
      <c r="M1234" s="425">
        <v>0</v>
      </c>
      <c r="N1234" s="425">
        <v>0</v>
      </c>
      <c r="O1234" s="425">
        <v>0</v>
      </c>
    </row>
    <row r="1235" spans="3:15" hidden="1" x14ac:dyDescent="0.3">
      <c r="C1235" t="s">
        <v>2295</v>
      </c>
      <c r="D1235" t="s">
        <v>2267</v>
      </c>
      <c r="E1235" t="s">
        <v>4683</v>
      </c>
      <c r="F1235" t="s">
        <v>4684</v>
      </c>
      <c r="G1235" s="425">
        <v>0</v>
      </c>
      <c r="H1235" s="425">
        <v>0</v>
      </c>
      <c r="I1235" s="425">
        <v>0</v>
      </c>
      <c r="J1235" s="425">
        <v>0</v>
      </c>
      <c r="K1235" s="425">
        <v>0</v>
      </c>
      <c r="L1235" s="425">
        <v>0</v>
      </c>
      <c r="M1235" s="425">
        <v>0</v>
      </c>
      <c r="N1235" s="425">
        <v>0</v>
      </c>
      <c r="O1235" s="425">
        <v>0</v>
      </c>
    </row>
    <row r="1236" spans="3:15" hidden="1" x14ac:dyDescent="0.3">
      <c r="C1236" t="s">
        <v>2295</v>
      </c>
      <c r="D1236" t="s">
        <v>2267</v>
      </c>
      <c r="E1236" t="s">
        <v>4685</v>
      </c>
      <c r="F1236" t="s">
        <v>4686</v>
      </c>
      <c r="G1236" s="425">
        <v>0</v>
      </c>
      <c r="H1236" s="425">
        <v>0</v>
      </c>
      <c r="I1236" s="425">
        <v>0</v>
      </c>
      <c r="J1236" s="425">
        <v>0</v>
      </c>
      <c r="K1236" s="425">
        <v>0</v>
      </c>
      <c r="L1236" s="425">
        <v>0</v>
      </c>
      <c r="M1236" s="425">
        <v>0</v>
      </c>
      <c r="N1236" s="425">
        <v>0</v>
      </c>
      <c r="O1236" s="425">
        <v>0</v>
      </c>
    </row>
    <row r="1237" spans="3:15" hidden="1" x14ac:dyDescent="0.3">
      <c r="C1237" t="s">
        <v>2295</v>
      </c>
      <c r="D1237" t="s">
        <v>2267</v>
      </c>
      <c r="E1237" t="s">
        <v>4687</v>
      </c>
      <c r="F1237" t="s">
        <v>4688</v>
      </c>
      <c r="G1237" s="425">
        <v>0</v>
      </c>
      <c r="H1237" s="425">
        <v>0</v>
      </c>
      <c r="I1237" s="425">
        <v>0</v>
      </c>
      <c r="J1237" s="425">
        <v>0</v>
      </c>
      <c r="K1237" s="425">
        <v>0</v>
      </c>
      <c r="L1237" s="425">
        <v>0</v>
      </c>
      <c r="M1237" s="425">
        <v>0</v>
      </c>
      <c r="N1237" s="425">
        <v>0</v>
      </c>
      <c r="O1237" s="425">
        <v>0</v>
      </c>
    </row>
    <row r="1238" spans="3:15" hidden="1" x14ac:dyDescent="0.3">
      <c r="C1238" t="s">
        <v>2295</v>
      </c>
      <c r="D1238" t="s">
        <v>2267</v>
      </c>
      <c r="E1238" t="s">
        <v>4689</v>
      </c>
      <c r="F1238" t="s">
        <v>4690</v>
      </c>
      <c r="G1238" s="425">
        <v>0</v>
      </c>
      <c r="H1238" s="425">
        <v>0</v>
      </c>
      <c r="I1238" s="425">
        <v>0</v>
      </c>
      <c r="J1238" s="425">
        <v>0</v>
      </c>
      <c r="K1238" s="425">
        <v>0</v>
      </c>
      <c r="L1238" s="425">
        <v>0</v>
      </c>
      <c r="M1238" s="425">
        <v>0</v>
      </c>
      <c r="N1238" s="425">
        <v>0</v>
      </c>
      <c r="O1238" s="425">
        <v>0</v>
      </c>
    </row>
    <row r="1239" spans="3:15" hidden="1" x14ac:dyDescent="0.3">
      <c r="C1239" t="s">
        <v>2295</v>
      </c>
      <c r="D1239" t="s">
        <v>2267</v>
      </c>
      <c r="E1239" t="s">
        <v>4691</v>
      </c>
      <c r="F1239" t="s">
        <v>4692</v>
      </c>
      <c r="G1239" s="425">
        <v>0</v>
      </c>
      <c r="H1239" s="425">
        <v>0</v>
      </c>
      <c r="I1239" s="425">
        <v>0</v>
      </c>
      <c r="J1239" s="425">
        <v>0</v>
      </c>
      <c r="K1239" s="425">
        <v>0</v>
      </c>
      <c r="L1239" s="425">
        <v>0</v>
      </c>
      <c r="M1239" s="425">
        <v>0</v>
      </c>
      <c r="N1239" s="425">
        <v>0</v>
      </c>
      <c r="O1239" s="425">
        <v>0</v>
      </c>
    </row>
    <row r="1240" spans="3:15" hidden="1" x14ac:dyDescent="0.3">
      <c r="C1240" t="s">
        <v>2295</v>
      </c>
      <c r="D1240" t="s">
        <v>2267</v>
      </c>
      <c r="E1240" t="s">
        <v>4693</v>
      </c>
      <c r="F1240" t="s">
        <v>4694</v>
      </c>
      <c r="G1240" s="425">
        <v>0</v>
      </c>
      <c r="H1240" s="425">
        <v>0</v>
      </c>
      <c r="I1240" s="425">
        <v>0</v>
      </c>
      <c r="J1240" s="425">
        <v>0</v>
      </c>
      <c r="K1240" s="425">
        <v>0</v>
      </c>
      <c r="L1240" s="425">
        <v>0</v>
      </c>
      <c r="M1240" s="425">
        <v>0</v>
      </c>
      <c r="N1240" s="425">
        <v>0</v>
      </c>
      <c r="O1240" s="425">
        <v>0</v>
      </c>
    </row>
    <row r="1241" spans="3:15" hidden="1" x14ac:dyDescent="0.3">
      <c r="C1241" t="s">
        <v>2295</v>
      </c>
      <c r="D1241" t="s">
        <v>2267</v>
      </c>
      <c r="E1241" t="s">
        <v>4695</v>
      </c>
      <c r="F1241" t="s">
        <v>4696</v>
      </c>
      <c r="G1241" s="425">
        <v>0</v>
      </c>
      <c r="H1241" s="425">
        <v>0</v>
      </c>
      <c r="I1241" s="425">
        <v>0</v>
      </c>
      <c r="J1241" s="425">
        <v>0</v>
      </c>
      <c r="K1241" s="425">
        <v>0</v>
      </c>
      <c r="L1241" s="425">
        <v>0</v>
      </c>
      <c r="M1241" s="425">
        <v>0</v>
      </c>
      <c r="N1241" s="425">
        <v>0</v>
      </c>
      <c r="O1241" s="425">
        <v>0</v>
      </c>
    </row>
    <row r="1242" spans="3:15" hidden="1" x14ac:dyDescent="0.3">
      <c r="C1242" t="s">
        <v>2295</v>
      </c>
      <c r="D1242" t="s">
        <v>2267</v>
      </c>
      <c r="E1242" t="s">
        <v>4697</v>
      </c>
      <c r="F1242" t="s">
        <v>4698</v>
      </c>
      <c r="G1242" s="425">
        <v>0</v>
      </c>
      <c r="H1242" s="425">
        <v>0</v>
      </c>
      <c r="I1242" s="425">
        <v>0</v>
      </c>
      <c r="J1242" s="425">
        <v>0</v>
      </c>
      <c r="K1242" s="425">
        <v>0</v>
      </c>
      <c r="L1242" s="425">
        <v>0</v>
      </c>
      <c r="M1242" s="425">
        <v>0</v>
      </c>
      <c r="N1242" s="425">
        <v>0</v>
      </c>
      <c r="O1242" s="425">
        <v>0</v>
      </c>
    </row>
    <row r="1243" spans="3:15" hidden="1" x14ac:dyDescent="0.3">
      <c r="C1243" t="s">
        <v>2295</v>
      </c>
      <c r="D1243" t="s">
        <v>2267</v>
      </c>
      <c r="E1243" t="s">
        <v>4699</v>
      </c>
      <c r="F1243" t="s">
        <v>4700</v>
      </c>
      <c r="G1243" s="425">
        <v>0</v>
      </c>
      <c r="H1243" s="425">
        <v>0</v>
      </c>
      <c r="I1243" s="425">
        <v>0</v>
      </c>
      <c r="J1243" s="425">
        <v>0</v>
      </c>
      <c r="K1243" s="425">
        <v>0</v>
      </c>
      <c r="L1243" s="425">
        <v>0</v>
      </c>
      <c r="M1243" s="425">
        <v>0</v>
      </c>
      <c r="N1243" s="425">
        <v>0</v>
      </c>
      <c r="O1243" s="425">
        <v>0</v>
      </c>
    </row>
    <row r="1244" spans="3:15" hidden="1" x14ac:dyDescent="0.3">
      <c r="C1244" t="s">
        <v>2295</v>
      </c>
      <c r="D1244" t="s">
        <v>2267</v>
      </c>
      <c r="E1244" t="s">
        <v>4701</v>
      </c>
      <c r="F1244" t="s">
        <v>4702</v>
      </c>
      <c r="G1244" s="425">
        <v>0</v>
      </c>
      <c r="H1244" s="425">
        <v>0</v>
      </c>
      <c r="I1244" s="425">
        <v>0</v>
      </c>
      <c r="J1244" s="425">
        <v>0</v>
      </c>
      <c r="K1244" s="425">
        <v>0</v>
      </c>
      <c r="L1244" s="425">
        <v>0</v>
      </c>
      <c r="M1244" s="425">
        <v>0</v>
      </c>
      <c r="N1244" s="425">
        <v>0</v>
      </c>
      <c r="O1244" s="425">
        <v>0</v>
      </c>
    </row>
    <row r="1245" spans="3:15" hidden="1" x14ac:dyDescent="0.3">
      <c r="C1245" t="s">
        <v>2295</v>
      </c>
      <c r="D1245" t="s">
        <v>2267</v>
      </c>
      <c r="E1245" t="s">
        <v>4703</v>
      </c>
      <c r="F1245" t="s">
        <v>4704</v>
      </c>
      <c r="G1245" s="425">
        <v>0</v>
      </c>
      <c r="H1245" s="425">
        <v>0</v>
      </c>
      <c r="I1245" s="425">
        <v>0</v>
      </c>
      <c r="J1245" s="425">
        <v>0</v>
      </c>
      <c r="K1245" s="425">
        <v>0</v>
      </c>
      <c r="L1245" s="425">
        <v>0</v>
      </c>
      <c r="M1245" s="425">
        <v>0</v>
      </c>
      <c r="N1245" s="425">
        <v>0</v>
      </c>
      <c r="O1245" s="425">
        <v>0</v>
      </c>
    </row>
    <row r="1246" spans="3:15" hidden="1" x14ac:dyDescent="0.3">
      <c r="C1246" t="s">
        <v>2295</v>
      </c>
      <c r="D1246" t="s">
        <v>2267</v>
      </c>
      <c r="E1246" t="s">
        <v>4705</v>
      </c>
      <c r="F1246" t="s">
        <v>4706</v>
      </c>
      <c r="G1246" s="425">
        <v>0</v>
      </c>
      <c r="H1246" s="425">
        <v>0</v>
      </c>
      <c r="I1246" s="425">
        <v>0</v>
      </c>
      <c r="J1246" s="425">
        <v>0</v>
      </c>
      <c r="K1246" s="425">
        <v>0</v>
      </c>
      <c r="L1246" s="425">
        <v>0</v>
      </c>
      <c r="M1246" s="425">
        <v>0</v>
      </c>
      <c r="N1246" s="425">
        <v>0</v>
      </c>
      <c r="O1246" s="425">
        <v>0</v>
      </c>
    </row>
    <row r="1247" spans="3:15" hidden="1" x14ac:dyDescent="0.3">
      <c r="C1247" t="s">
        <v>2295</v>
      </c>
      <c r="D1247" t="s">
        <v>2267</v>
      </c>
      <c r="E1247" t="s">
        <v>4707</v>
      </c>
      <c r="F1247" t="s">
        <v>4708</v>
      </c>
      <c r="G1247" s="425">
        <v>1010000</v>
      </c>
      <c r="H1247" s="425">
        <v>0</v>
      </c>
      <c r="I1247" s="425">
        <v>1010000</v>
      </c>
      <c r="J1247" s="425">
        <v>0</v>
      </c>
      <c r="K1247" s="425">
        <v>0</v>
      </c>
      <c r="L1247" s="425">
        <v>0</v>
      </c>
      <c r="M1247" s="425">
        <v>0</v>
      </c>
      <c r="N1247" s="425">
        <v>0</v>
      </c>
      <c r="O1247" s="425">
        <v>0</v>
      </c>
    </row>
    <row r="1248" spans="3:15" hidden="1" x14ac:dyDescent="0.3">
      <c r="C1248" t="s">
        <v>2295</v>
      </c>
      <c r="D1248" t="s">
        <v>2267</v>
      </c>
      <c r="E1248" t="s">
        <v>4709</v>
      </c>
      <c r="F1248" t="s">
        <v>4710</v>
      </c>
      <c r="G1248" s="425">
        <v>0</v>
      </c>
      <c r="H1248" s="425">
        <v>0</v>
      </c>
      <c r="I1248" s="425">
        <v>0</v>
      </c>
      <c r="J1248" s="425">
        <v>0</v>
      </c>
      <c r="K1248" s="425">
        <v>0</v>
      </c>
      <c r="L1248" s="425">
        <v>0</v>
      </c>
      <c r="M1248" s="425">
        <v>0</v>
      </c>
      <c r="N1248" s="425">
        <v>0</v>
      </c>
      <c r="O1248" s="425">
        <v>0</v>
      </c>
    </row>
    <row r="1249" spans="3:15" hidden="1" x14ac:dyDescent="0.3">
      <c r="C1249" t="s">
        <v>2295</v>
      </c>
      <c r="D1249" t="s">
        <v>2267</v>
      </c>
      <c r="E1249" t="s">
        <v>4711</v>
      </c>
      <c r="F1249" t="s">
        <v>4712</v>
      </c>
      <c r="G1249" s="425">
        <v>0</v>
      </c>
      <c r="H1249" s="425">
        <v>0</v>
      </c>
      <c r="I1249" s="425">
        <v>0</v>
      </c>
      <c r="J1249" s="425">
        <v>0</v>
      </c>
      <c r="K1249" s="425">
        <v>0</v>
      </c>
      <c r="L1249" s="425">
        <v>0</v>
      </c>
      <c r="M1249" s="425">
        <v>0</v>
      </c>
      <c r="N1249" s="425">
        <v>0</v>
      </c>
      <c r="O1249" s="425">
        <v>0</v>
      </c>
    </row>
    <row r="1250" spans="3:15" hidden="1" x14ac:dyDescent="0.3">
      <c r="C1250" t="s">
        <v>2295</v>
      </c>
      <c r="D1250" t="s">
        <v>2267</v>
      </c>
      <c r="E1250" t="s">
        <v>4713</v>
      </c>
      <c r="F1250" t="s">
        <v>4714</v>
      </c>
      <c r="G1250" s="425">
        <v>0</v>
      </c>
      <c r="H1250" s="425">
        <v>0</v>
      </c>
      <c r="I1250" s="425">
        <v>0</v>
      </c>
      <c r="J1250" s="425">
        <v>0</v>
      </c>
      <c r="K1250" s="425">
        <v>0</v>
      </c>
      <c r="L1250" s="425">
        <v>0</v>
      </c>
      <c r="M1250" s="425">
        <v>0</v>
      </c>
      <c r="N1250" s="425">
        <v>0</v>
      </c>
      <c r="O1250" s="425">
        <v>0</v>
      </c>
    </row>
    <row r="1251" spans="3:15" hidden="1" x14ac:dyDescent="0.3">
      <c r="C1251" t="s">
        <v>2295</v>
      </c>
      <c r="D1251" t="s">
        <v>2267</v>
      </c>
      <c r="E1251" t="s">
        <v>4715</v>
      </c>
      <c r="F1251" t="s">
        <v>4716</v>
      </c>
      <c r="G1251" s="425">
        <v>0</v>
      </c>
      <c r="H1251" s="425">
        <v>0</v>
      </c>
      <c r="I1251" s="425">
        <v>0</v>
      </c>
      <c r="J1251" s="425">
        <v>0</v>
      </c>
      <c r="K1251" s="425">
        <v>0</v>
      </c>
      <c r="L1251" s="425">
        <v>0</v>
      </c>
      <c r="M1251" s="425">
        <v>0</v>
      </c>
      <c r="N1251" s="425">
        <v>0</v>
      </c>
      <c r="O1251" s="425">
        <v>0</v>
      </c>
    </row>
    <row r="1252" spans="3:15" hidden="1" x14ac:dyDescent="0.3">
      <c r="C1252" t="s">
        <v>2295</v>
      </c>
      <c r="D1252" t="s">
        <v>2267</v>
      </c>
      <c r="E1252" t="s">
        <v>4717</v>
      </c>
      <c r="F1252" t="s">
        <v>4718</v>
      </c>
      <c r="G1252" s="425">
        <v>0</v>
      </c>
      <c r="H1252" s="425">
        <v>0</v>
      </c>
      <c r="I1252" s="425">
        <v>0</v>
      </c>
      <c r="J1252" s="425">
        <v>0</v>
      </c>
      <c r="K1252" s="425">
        <v>0</v>
      </c>
      <c r="L1252" s="425">
        <v>0</v>
      </c>
      <c r="M1252" s="425">
        <v>0</v>
      </c>
      <c r="N1252" s="425">
        <v>0</v>
      </c>
      <c r="O1252" s="425">
        <v>0</v>
      </c>
    </row>
    <row r="1253" spans="3:15" hidden="1" x14ac:dyDescent="0.3">
      <c r="C1253" t="s">
        <v>2295</v>
      </c>
      <c r="D1253" t="s">
        <v>2267</v>
      </c>
      <c r="E1253" t="s">
        <v>4719</v>
      </c>
      <c r="F1253" t="s">
        <v>4720</v>
      </c>
      <c r="G1253" s="425">
        <v>0</v>
      </c>
      <c r="H1253" s="425">
        <v>0</v>
      </c>
      <c r="I1253" s="425">
        <v>0</v>
      </c>
      <c r="J1253" s="425">
        <v>0</v>
      </c>
      <c r="K1253" s="425">
        <v>0</v>
      </c>
      <c r="L1253" s="425">
        <v>0</v>
      </c>
      <c r="M1253" s="425">
        <v>0</v>
      </c>
      <c r="N1253" s="425">
        <v>0</v>
      </c>
      <c r="O1253" s="425">
        <v>0</v>
      </c>
    </row>
    <row r="1254" spans="3:15" hidden="1" x14ac:dyDescent="0.3">
      <c r="C1254" t="s">
        <v>2295</v>
      </c>
      <c r="D1254" t="s">
        <v>2267</v>
      </c>
      <c r="E1254" t="s">
        <v>4721</v>
      </c>
      <c r="F1254" t="s">
        <v>4722</v>
      </c>
      <c r="G1254" s="425">
        <v>0</v>
      </c>
      <c r="H1254" s="425">
        <v>0</v>
      </c>
      <c r="I1254" s="425">
        <v>0</v>
      </c>
      <c r="J1254" s="425">
        <v>0</v>
      </c>
      <c r="K1254" s="425">
        <v>0</v>
      </c>
      <c r="L1254" s="425">
        <v>0</v>
      </c>
      <c r="M1254" s="425">
        <v>0</v>
      </c>
      <c r="N1254" s="425">
        <v>0</v>
      </c>
      <c r="O1254" s="425">
        <v>0</v>
      </c>
    </row>
    <row r="1255" spans="3:15" hidden="1" x14ac:dyDescent="0.3">
      <c r="C1255" t="s">
        <v>2295</v>
      </c>
      <c r="D1255" t="s">
        <v>2267</v>
      </c>
      <c r="E1255" t="s">
        <v>4723</v>
      </c>
      <c r="F1255" t="s">
        <v>4724</v>
      </c>
      <c r="G1255" s="425">
        <v>0</v>
      </c>
      <c r="H1255" s="425">
        <v>0</v>
      </c>
      <c r="I1255" s="425">
        <v>0</v>
      </c>
      <c r="J1255" s="425">
        <v>0</v>
      </c>
      <c r="K1255" s="425">
        <v>0</v>
      </c>
      <c r="L1255" s="425">
        <v>0</v>
      </c>
      <c r="M1255" s="425">
        <v>0</v>
      </c>
      <c r="N1255" s="425">
        <v>0</v>
      </c>
      <c r="O1255" s="425">
        <v>0</v>
      </c>
    </row>
    <row r="1256" spans="3:15" hidden="1" x14ac:dyDescent="0.3">
      <c r="C1256" t="s">
        <v>2295</v>
      </c>
      <c r="D1256" t="s">
        <v>2267</v>
      </c>
      <c r="E1256" t="s">
        <v>4725</v>
      </c>
      <c r="F1256" t="s">
        <v>4726</v>
      </c>
      <c r="G1256" s="425">
        <v>0</v>
      </c>
      <c r="H1256" s="425">
        <v>0</v>
      </c>
      <c r="I1256" s="425">
        <v>0</v>
      </c>
      <c r="J1256" s="425">
        <v>0</v>
      </c>
      <c r="K1256" s="425">
        <v>0</v>
      </c>
      <c r="L1256" s="425">
        <v>0</v>
      </c>
      <c r="M1256" s="425">
        <v>0</v>
      </c>
      <c r="N1256" s="425">
        <v>0</v>
      </c>
      <c r="O1256" s="425">
        <v>0</v>
      </c>
    </row>
    <row r="1257" spans="3:15" hidden="1" x14ac:dyDescent="0.3">
      <c r="C1257" t="s">
        <v>2295</v>
      </c>
      <c r="D1257" t="s">
        <v>2267</v>
      </c>
      <c r="E1257" t="s">
        <v>4727</v>
      </c>
      <c r="F1257" t="s">
        <v>4728</v>
      </c>
      <c r="G1257" s="425">
        <v>0</v>
      </c>
      <c r="H1257" s="425">
        <v>0</v>
      </c>
      <c r="I1257" s="425">
        <v>0</v>
      </c>
      <c r="J1257" s="425">
        <v>0</v>
      </c>
      <c r="K1257" s="425">
        <v>0</v>
      </c>
      <c r="L1257" s="425">
        <v>0</v>
      </c>
      <c r="M1257" s="425">
        <v>0</v>
      </c>
      <c r="N1257" s="425">
        <v>0</v>
      </c>
      <c r="O1257" s="425">
        <v>0</v>
      </c>
    </row>
    <row r="1258" spans="3:15" hidden="1" x14ac:dyDescent="0.3">
      <c r="C1258" t="s">
        <v>2295</v>
      </c>
      <c r="D1258" t="s">
        <v>2267</v>
      </c>
      <c r="E1258" t="s">
        <v>4729</v>
      </c>
      <c r="F1258" t="s">
        <v>4730</v>
      </c>
      <c r="G1258" s="425">
        <v>0</v>
      </c>
      <c r="H1258" s="425">
        <v>0</v>
      </c>
      <c r="I1258" s="425">
        <v>0</v>
      </c>
      <c r="J1258" s="425">
        <v>0</v>
      </c>
      <c r="K1258" s="425">
        <v>0</v>
      </c>
      <c r="L1258" s="425">
        <v>0</v>
      </c>
      <c r="M1258" s="425">
        <v>0</v>
      </c>
      <c r="N1258" s="425">
        <v>0</v>
      </c>
      <c r="O1258" s="425">
        <v>0</v>
      </c>
    </row>
    <row r="1259" spans="3:15" hidden="1" x14ac:dyDescent="0.3">
      <c r="C1259" t="s">
        <v>2295</v>
      </c>
      <c r="D1259" t="s">
        <v>2267</v>
      </c>
      <c r="E1259" t="s">
        <v>4731</v>
      </c>
      <c r="F1259" t="s">
        <v>4732</v>
      </c>
      <c r="G1259" s="425">
        <v>0</v>
      </c>
      <c r="H1259" s="425">
        <v>0</v>
      </c>
      <c r="I1259" s="425">
        <v>0</v>
      </c>
      <c r="J1259" s="425">
        <v>0</v>
      </c>
      <c r="K1259" s="425">
        <v>0</v>
      </c>
      <c r="L1259" s="425">
        <v>0</v>
      </c>
      <c r="M1259" s="425">
        <v>0</v>
      </c>
      <c r="N1259" s="425">
        <v>0</v>
      </c>
      <c r="O1259" s="425">
        <v>0</v>
      </c>
    </row>
    <row r="1260" spans="3:15" hidden="1" x14ac:dyDescent="0.3">
      <c r="C1260" t="s">
        <v>2295</v>
      </c>
      <c r="D1260" t="s">
        <v>2267</v>
      </c>
      <c r="E1260" t="s">
        <v>4733</v>
      </c>
      <c r="F1260" t="s">
        <v>4734</v>
      </c>
      <c r="G1260" s="425">
        <v>0</v>
      </c>
      <c r="H1260" s="425">
        <v>0</v>
      </c>
      <c r="I1260" s="425">
        <v>0</v>
      </c>
      <c r="J1260" s="425">
        <v>0</v>
      </c>
      <c r="K1260" s="425">
        <v>0</v>
      </c>
      <c r="L1260" s="425">
        <v>0</v>
      </c>
      <c r="M1260" s="425">
        <v>0</v>
      </c>
      <c r="N1260" s="425">
        <v>0</v>
      </c>
      <c r="O1260" s="425">
        <v>0</v>
      </c>
    </row>
    <row r="1261" spans="3:15" hidden="1" x14ac:dyDescent="0.3">
      <c r="C1261" t="s">
        <v>2295</v>
      </c>
      <c r="D1261" t="s">
        <v>2267</v>
      </c>
      <c r="E1261" t="s">
        <v>4735</v>
      </c>
      <c r="F1261" t="s">
        <v>4736</v>
      </c>
      <c r="G1261" s="425">
        <v>0</v>
      </c>
      <c r="H1261" s="425">
        <v>0</v>
      </c>
      <c r="I1261" s="425">
        <v>0</v>
      </c>
      <c r="J1261" s="425">
        <v>0</v>
      </c>
      <c r="K1261" s="425">
        <v>0</v>
      </c>
      <c r="L1261" s="425">
        <v>0</v>
      </c>
      <c r="M1261" s="425">
        <v>0</v>
      </c>
      <c r="N1261" s="425">
        <v>0</v>
      </c>
      <c r="O1261" s="425">
        <v>0</v>
      </c>
    </row>
    <row r="1262" spans="3:15" hidden="1" x14ac:dyDescent="0.3">
      <c r="C1262" t="s">
        <v>2295</v>
      </c>
      <c r="D1262" t="s">
        <v>2267</v>
      </c>
      <c r="E1262" t="s">
        <v>4737</v>
      </c>
      <c r="F1262" t="s">
        <v>4738</v>
      </c>
      <c r="G1262" s="425">
        <v>0</v>
      </c>
      <c r="H1262" s="425">
        <v>0</v>
      </c>
      <c r="I1262" s="425">
        <v>0</v>
      </c>
      <c r="J1262" s="425">
        <v>0</v>
      </c>
      <c r="K1262" s="425">
        <v>0</v>
      </c>
      <c r="L1262" s="425">
        <v>0</v>
      </c>
      <c r="M1262" s="425">
        <v>0</v>
      </c>
      <c r="N1262" s="425">
        <v>0</v>
      </c>
      <c r="O1262" s="425">
        <v>0</v>
      </c>
    </row>
    <row r="1263" spans="3:15" hidden="1" x14ac:dyDescent="0.3">
      <c r="C1263" t="s">
        <v>2295</v>
      </c>
      <c r="D1263" t="s">
        <v>2267</v>
      </c>
      <c r="E1263" t="s">
        <v>4739</v>
      </c>
      <c r="F1263" t="s">
        <v>4740</v>
      </c>
      <c r="G1263" s="425">
        <v>0</v>
      </c>
      <c r="H1263" s="425">
        <v>0</v>
      </c>
      <c r="I1263" s="425">
        <v>0</v>
      </c>
      <c r="J1263" s="425">
        <v>0</v>
      </c>
      <c r="K1263" s="425">
        <v>0</v>
      </c>
      <c r="L1263" s="425">
        <v>0</v>
      </c>
      <c r="M1263" s="425">
        <v>0</v>
      </c>
      <c r="N1263" s="425">
        <v>0</v>
      </c>
      <c r="O1263" s="425">
        <v>0</v>
      </c>
    </row>
    <row r="1264" spans="3:15" hidden="1" x14ac:dyDescent="0.3">
      <c r="C1264" t="s">
        <v>2295</v>
      </c>
      <c r="D1264" t="s">
        <v>2267</v>
      </c>
      <c r="E1264" t="s">
        <v>4741</v>
      </c>
      <c r="F1264" t="s">
        <v>4742</v>
      </c>
      <c r="G1264" s="425">
        <v>0</v>
      </c>
      <c r="H1264" s="425">
        <v>0</v>
      </c>
      <c r="I1264" s="425">
        <v>0</v>
      </c>
      <c r="J1264" s="425">
        <v>0</v>
      </c>
      <c r="K1264" s="425">
        <v>0</v>
      </c>
      <c r="L1264" s="425">
        <v>0</v>
      </c>
      <c r="M1264" s="425">
        <v>0</v>
      </c>
      <c r="N1264" s="425">
        <v>0</v>
      </c>
      <c r="O1264" s="425">
        <v>0</v>
      </c>
    </row>
    <row r="1265" spans="3:15" hidden="1" x14ac:dyDescent="0.3">
      <c r="C1265" t="s">
        <v>2295</v>
      </c>
      <c r="D1265" t="s">
        <v>2267</v>
      </c>
      <c r="E1265" t="s">
        <v>4743</v>
      </c>
      <c r="F1265" t="s">
        <v>4744</v>
      </c>
      <c r="G1265" s="425">
        <v>0</v>
      </c>
      <c r="H1265" s="425">
        <v>0</v>
      </c>
      <c r="I1265" s="425">
        <v>0</v>
      </c>
      <c r="J1265" s="425">
        <v>0</v>
      </c>
      <c r="K1265" s="425">
        <v>0</v>
      </c>
      <c r="L1265" s="425">
        <v>0</v>
      </c>
      <c r="M1265" s="425">
        <v>0</v>
      </c>
      <c r="N1265" s="425">
        <v>0</v>
      </c>
      <c r="O1265" s="425">
        <v>0</v>
      </c>
    </row>
    <row r="1266" spans="3:15" hidden="1" x14ac:dyDescent="0.3">
      <c r="C1266" t="s">
        <v>2295</v>
      </c>
      <c r="D1266" t="s">
        <v>2267</v>
      </c>
      <c r="E1266" t="s">
        <v>4745</v>
      </c>
      <c r="F1266" t="s">
        <v>4746</v>
      </c>
      <c r="G1266" s="425">
        <v>0</v>
      </c>
      <c r="H1266" s="425">
        <v>0</v>
      </c>
      <c r="I1266" s="425">
        <v>0</v>
      </c>
      <c r="J1266" s="425">
        <v>0</v>
      </c>
      <c r="K1266" s="425">
        <v>0</v>
      </c>
      <c r="L1266" s="425">
        <v>0</v>
      </c>
      <c r="M1266" s="425">
        <v>0</v>
      </c>
      <c r="N1266" s="425">
        <v>0</v>
      </c>
      <c r="O1266" s="425">
        <v>0</v>
      </c>
    </row>
    <row r="1267" spans="3:15" hidden="1" x14ac:dyDescent="0.3">
      <c r="C1267" t="s">
        <v>2295</v>
      </c>
      <c r="D1267" t="s">
        <v>2267</v>
      </c>
      <c r="E1267" t="s">
        <v>4747</v>
      </c>
      <c r="F1267" t="s">
        <v>4748</v>
      </c>
      <c r="G1267" s="425">
        <v>0</v>
      </c>
      <c r="H1267" s="425">
        <v>0</v>
      </c>
      <c r="I1267" s="425">
        <v>0</v>
      </c>
      <c r="J1267" s="425">
        <v>0</v>
      </c>
      <c r="K1267" s="425">
        <v>0</v>
      </c>
      <c r="L1267" s="425">
        <v>0</v>
      </c>
      <c r="M1267" s="425">
        <v>0</v>
      </c>
      <c r="N1267" s="425">
        <v>0</v>
      </c>
      <c r="O1267" s="425">
        <v>0</v>
      </c>
    </row>
    <row r="1268" spans="3:15" hidden="1" x14ac:dyDescent="0.3">
      <c r="C1268" t="s">
        <v>2295</v>
      </c>
      <c r="D1268" t="s">
        <v>2267</v>
      </c>
      <c r="E1268" t="s">
        <v>4749</v>
      </c>
      <c r="F1268" t="s">
        <v>4750</v>
      </c>
      <c r="G1268" s="425">
        <v>0</v>
      </c>
      <c r="H1268" s="425">
        <v>0</v>
      </c>
      <c r="I1268" s="425">
        <v>0</v>
      </c>
      <c r="J1268" s="425">
        <v>0</v>
      </c>
      <c r="K1268" s="425">
        <v>0</v>
      </c>
      <c r="L1268" s="425">
        <v>0</v>
      </c>
      <c r="M1268" s="425">
        <v>0</v>
      </c>
      <c r="N1268" s="425">
        <v>0</v>
      </c>
      <c r="O1268" s="425">
        <v>0</v>
      </c>
    </row>
    <row r="1269" spans="3:15" hidden="1" x14ac:dyDescent="0.3">
      <c r="C1269" t="s">
        <v>2295</v>
      </c>
      <c r="D1269" t="s">
        <v>2267</v>
      </c>
      <c r="E1269" t="s">
        <v>4751</v>
      </c>
      <c r="F1269" t="s">
        <v>4752</v>
      </c>
      <c r="G1269" s="425">
        <v>0</v>
      </c>
      <c r="H1269" s="425">
        <v>0</v>
      </c>
      <c r="I1269" s="425">
        <v>0</v>
      </c>
      <c r="J1269" s="425">
        <v>0</v>
      </c>
      <c r="K1269" s="425">
        <v>0</v>
      </c>
      <c r="L1269" s="425">
        <v>0</v>
      </c>
      <c r="M1269" s="425">
        <v>0</v>
      </c>
      <c r="N1269" s="425">
        <v>0</v>
      </c>
      <c r="O1269" s="425">
        <v>0</v>
      </c>
    </row>
    <row r="1270" spans="3:15" hidden="1" x14ac:dyDescent="0.3">
      <c r="C1270" t="s">
        <v>2295</v>
      </c>
      <c r="D1270" t="s">
        <v>2267</v>
      </c>
      <c r="E1270" t="s">
        <v>4753</v>
      </c>
      <c r="F1270" t="s">
        <v>4754</v>
      </c>
      <c r="G1270" s="425">
        <v>0</v>
      </c>
      <c r="H1270" s="425">
        <v>0</v>
      </c>
      <c r="I1270" s="425">
        <v>0</v>
      </c>
      <c r="J1270" s="425">
        <v>0</v>
      </c>
      <c r="K1270" s="425">
        <v>0</v>
      </c>
      <c r="L1270" s="425">
        <v>0</v>
      </c>
      <c r="M1270" s="425">
        <v>0</v>
      </c>
      <c r="N1270" s="425">
        <v>0</v>
      </c>
      <c r="O1270" s="425">
        <v>0</v>
      </c>
    </row>
    <row r="1271" spans="3:15" hidden="1" x14ac:dyDescent="0.3">
      <c r="C1271" t="s">
        <v>2295</v>
      </c>
      <c r="D1271" t="s">
        <v>2267</v>
      </c>
      <c r="E1271" t="s">
        <v>4755</v>
      </c>
      <c r="F1271" t="s">
        <v>4756</v>
      </c>
      <c r="G1271" s="425">
        <v>0</v>
      </c>
      <c r="H1271" s="425">
        <v>0</v>
      </c>
      <c r="I1271" s="425">
        <v>0</v>
      </c>
      <c r="J1271" s="425">
        <v>0</v>
      </c>
      <c r="K1271" s="425">
        <v>0</v>
      </c>
      <c r="L1271" s="425">
        <v>0</v>
      </c>
      <c r="M1271" s="425">
        <v>0</v>
      </c>
      <c r="N1271" s="425">
        <v>0</v>
      </c>
      <c r="O1271" s="425">
        <v>0</v>
      </c>
    </row>
    <row r="1272" spans="3:15" hidden="1" x14ac:dyDescent="0.3">
      <c r="C1272" t="s">
        <v>2295</v>
      </c>
      <c r="D1272" t="s">
        <v>2267</v>
      </c>
      <c r="E1272" t="s">
        <v>4757</v>
      </c>
      <c r="F1272" t="s">
        <v>4758</v>
      </c>
      <c r="G1272" s="425">
        <v>0</v>
      </c>
      <c r="H1272" s="425">
        <v>0</v>
      </c>
      <c r="I1272" s="425">
        <v>0</v>
      </c>
      <c r="J1272" s="425">
        <v>0</v>
      </c>
      <c r="K1272" s="425">
        <v>0</v>
      </c>
      <c r="L1272" s="425">
        <v>0</v>
      </c>
      <c r="M1272" s="425">
        <v>0</v>
      </c>
      <c r="N1272" s="425">
        <v>0</v>
      </c>
      <c r="O1272" s="425">
        <v>0</v>
      </c>
    </row>
    <row r="1273" spans="3:15" hidden="1" x14ac:dyDescent="0.3">
      <c r="C1273" t="s">
        <v>2295</v>
      </c>
      <c r="D1273" t="s">
        <v>2267</v>
      </c>
      <c r="E1273" t="s">
        <v>4759</v>
      </c>
      <c r="F1273" t="s">
        <v>4760</v>
      </c>
      <c r="G1273" s="425">
        <v>0</v>
      </c>
      <c r="H1273" s="425">
        <v>0</v>
      </c>
      <c r="I1273" s="425">
        <v>0</v>
      </c>
      <c r="J1273" s="425">
        <v>0</v>
      </c>
      <c r="K1273" s="425">
        <v>0</v>
      </c>
      <c r="L1273" s="425">
        <v>0</v>
      </c>
      <c r="M1273" s="425">
        <v>0</v>
      </c>
      <c r="N1273" s="425">
        <v>0</v>
      </c>
      <c r="O1273" s="425">
        <v>0</v>
      </c>
    </row>
    <row r="1274" spans="3:15" hidden="1" x14ac:dyDescent="0.3">
      <c r="C1274" t="s">
        <v>2295</v>
      </c>
      <c r="D1274" t="s">
        <v>2267</v>
      </c>
      <c r="E1274" t="s">
        <v>4761</v>
      </c>
      <c r="F1274" t="s">
        <v>4762</v>
      </c>
      <c r="G1274" s="425">
        <v>0</v>
      </c>
      <c r="H1274" s="425">
        <v>0</v>
      </c>
      <c r="I1274" s="425">
        <v>0</v>
      </c>
      <c r="J1274" s="425">
        <v>0</v>
      </c>
      <c r="K1274" s="425">
        <v>0</v>
      </c>
      <c r="L1274" s="425">
        <v>0</v>
      </c>
      <c r="M1274" s="425">
        <v>0</v>
      </c>
      <c r="N1274" s="425">
        <v>0</v>
      </c>
      <c r="O1274" s="425">
        <v>0</v>
      </c>
    </row>
    <row r="1275" spans="3:15" hidden="1" x14ac:dyDescent="0.3">
      <c r="C1275" t="s">
        <v>2295</v>
      </c>
      <c r="D1275" t="s">
        <v>2267</v>
      </c>
      <c r="E1275" t="s">
        <v>4763</v>
      </c>
      <c r="F1275" t="s">
        <v>4764</v>
      </c>
      <c r="G1275" s="425">
        <v>0</v>
      </c>
      <c r="H1275" s="425">
        <v>0</v>
      </c>
      <c r="I1275" s="425">
        <v>0</v>
      </c>
      <c r="J1275" s="425">
        <v>0</v>
      </c>
      <c r="K1275" s="425">
        <v>0</v>
      </c>
      <c r="L1275" s="425">
        <v>0</v>
      </c>
      <c r="M1275" s="425">
        <v>0</v>
      </c>
      <c r="N1275" s="425">
        <v>0</v>
      </c>
      <c r="O1275" s="425">
        <v>0</v>
      </c>
    </row>
    <row r="1276" spans="3:15" hidden="1" x14ac:dyDescent="0.3">
      <c r="C1276" t="s">
        <v>2295</v>
      </c>
      <c r="D1276" t="s">
        <v>2267</v>
      </c>
      <c r="E1276" t="s">
        <v>4765</v>
      </c>
      <c r="F1276" t="s">
        <v>4766</v>
      </c>
      <c r="G1276" s="425">
        <v>0</v>
      </c>
      <c r="H1276" s="425">
        <v>0</v>
      </c>
      <c r="I1276" s="425">
        <v>0</v>
      </c>
      <c r="J1276" s="425">
        <v>0</v>
      </c>
      <c r="K1276" s="425">
        <v>0</v>
      </c>
      <c r="L1276" s="425">
        <v>0</v>
      </c>
      <c r="M1276" s="425">
        <v>0</v>
      </c>
      <c r="N1276" s="425">
        <v>0</v>
      </c>
      <c r="O1276" s="425">
        <v>0</v>
      </c>
    </row>
    <row r="1277" spans="3:15" hidden="1" x14ac:dyDescent="0.3">
      <c r="C1277" t="s">
        <v>2295</v>
      </c>
      <c r="D1277" t="s">
        <v>2267</v>
      </c>
      <c r="E1277" t="s">
        <v>4767</v>
      </c>
      <c r="F1277" t="s">
        <v>4768</v>
      </c>
      <c r="G1277" s="425">
        <v>0</v>
      </c>
      <c r="H1277" s="425">
        <v>0</v>
      </c>
      <c r="I1277" s="425">
        <v>0</v>
      </c>
      <c r="J1277" s="425">
        <v>0</v>
      </c>
      <c r="K1277" s="425">
        <v>0</v>
      </c>
      <c r="L1277" s="425">
        <v>0</v>
      </c>
      <c r="M1277" s="425">
        <v>0</v>
      </c>
      <c r="N1277" s="425">
        <v>0</v>
      </c>
      <c r="O1277" s="425">
        <v>0</v>
      </c>
    </row>
    <row r="1278" spans="3:15" hidden="1" x14ac:dyDescent="0.3">
      <c r="C1278" t="s">
        <v>2295</v>
      </c>
      <c r="D1278" t="s">
        <v>2267</v>
      </c>
      <c r="E1278" t="s">
        <v>4769</v>
      </c>
      <c r="F1278" t="s">
        <v>4770</v>
      </c>
      <c r="G1278" s="425">
        <v>0</v>
      </c>
      <c r="H1278" s="425">
        <v>0</v>
      </c>
      <c r="I1278" s="425">
        <v>0</v>
      </c>
      <c r="J1278" s="425">
        <v>0</v>
      </c>
      <c r="K1278" s="425">
        <v>0</v>
      </c>
      <c r="L1278" s="425">
        <v>0</v>
      </c>
      <c r="M1278" s="425">
        <v>0</v>
      </c>
      <c r="N1278" s="425">
        <v>0</v>
      </c>
      <c r="O1278" s="425">
        <v>0</v>
      </c>
    </row>
    <row r="1279" spans="3:15" hidden="1" x14ac:dyDescent="0.3">
      <c r="C1279" t="s">
        <v>2295</v>
      </c>
      <c r="D1279" t="s">
        <v>2267</v>
      </c>
      <c r="E1279" t="s">
        <v>4771</v>
      </c>
      <c r="F1279" t="s">
        <v>4772</v>
      </c>
      <c r="G1279" s="425">
        <v>0</v>
      </c>
      <c r="H1279" s="425">
        <v>0</v>
      </c>
      <c r="I1279" s="425">
        <v>0</v>
      </c>
      <c r="J1279" s="425">
        <v>0</v>
      </c>
      <c r="K1279" s="425">
        <v>0</v>
      </c>
      <c r="L1279" s="425">
        <v>0</v>
      </c>
      <c r="M1279" s="425">
        <v>0</v>
      </c>
      <c r="N1279" s="425">
        <v>0</v>
      </c>
      <c r="O1279" s="425">
        <v>0</v>
      </c>
    </row>
    <row r="1280" spans="3:15" hidden="1" x14ac:dyDescent="0.3">
      <c r="C1280" t="s">
        <v>2295</v>
      </c>
      <c r="D1280" t="s">
        <v>2267</v>
      </c>
      <c r="E1280" t="s">
        <v>4773</v>
      </c>
      <c r="F1280" t="s">
        <v>4774</v>
      </c>
      <c r="G1280" s="425">
        <v>0</v>
      </c>
      <c r="H1280" s="425">
        <v>0</v>
      </c>
      <c r="I1280" s="425">
        <v>0</v>
      </c>
      <c r="J1280" s="425">
        <v>0</v>
      </c>
      <c r="K1280" s="425">
        <v>0</v>
      </c>
      <c r="L1280" s="425">
        <v>0</v>
      </c>
      <c r="M1280" s="425">
        <v>0</v>
      </c>
      <c r="N1280" s="425">
        <v>0</v>
      </c>
      <c r="O1280" s="425">
        <v>0</v>
      </c>
    </row>
    <row r="1281" spans="3:15" hidden="1" x14ac:dyDescent="0.3">
      <c r="C1281" t="s">
        <v>2295</v>
      </c>
      <c r="D1281" t="s">
        <v>2267</v>
      </c>
      <c r="E1281" t="s">
        <v>4775</v>
      </c>
      <c r="F1281" t="s">
        <v>4776</v>
      </c>
      <c r="G1281" s="425">
        <v>0</v>
      </c>
      <c r="H1281" s="425">
        <v>0</v>
      </c>
      <c r="I1281" s="425">
        <v>0</v>
      </c>
      <c r="J1281" s="425">
        <v>0</v>
      </c>
      <c r="K1281" s="425">
        <v>0</v>
      </c>
      <c r="L1281" s="425">
        <v>0</v>
      </c>
      <c r="M1281" s="425">
        <v>0</v>
      </c>
      <c r="N1281" s="425">
        <v>0</v>
      </c>
      <c r="O1281" s="425">
        <v>0</v>
      </c>
    </row>
    <row r="1282" spans="3:15" hidden="1" x14ac:dyDescent="0.3">
      <c r="C1282" t="s">
        <v>2295</v>
      </c>
      <c r="D1282" t="s">
        <v>2267</v>
      </c>
      <c r="E1282" t="s">
        <v>4777</v>
      </c>
      <c r="F1282" t="s">
        <v>4778</v>
      </c>
      <c r="G1282" s="425">
        <v>0</v>
      </c>
      <c r="H1282" s="425">
        <v>0</v>
      </c>
      <c r="I1282" s="425">
        <v>0</v>
      </c>
      <c r="J1282" s="425">
        <v>0</v>
      </c>
      <c r="K1282" s="425">
        <v>0</v>
      </c>
      <c r="L1282" s="425">
        <v>0</v>
      </c>
      <c r="M1282" s="425">
        <v>0</v>
      </c>
      <c r="N1282" s="425">
        <v>0</v>
      </c>
      <c r="O1282" s="425">
        <v>0</v>
      </c>
    </row>
    <row r="1283" spans="3:15" hidden="1" x14ac:dyDescent="0.3">
      <c r="C1283" t="s">
        <v>2295</v>
      </c>
      <c r="D1283" t="s">
        <v>2267</v>
      </c>
      <c r="E1283" t="s">
        <v>4779</v>
      </c>
      <c r="F1283" t="s">
        <v>4780</v>
      </c>
      <c r="G1283" s="425">
        <v>0</v>
      </c>
      <c r="H1283" s="425">
        <v>0</v>
      </c>
      <c r="I1283" s="425">
        <v>0</v>
      </c>
      <c r="J1283" s="425">
        <v>0</v>
      </c>
      <c r="K1283" s="425">
        <v>0</v>
      </c>
      <c r="L1283" s="425">
        <v>0</v>
      </c>
      <c r="M1283" s="425">
        <v>0</v>
      </c>
      <c r="N1283" s="425">
        <v>0</v>
      </c>
      <c r="O1283" s="425">
        <v>0</v>
      </c>
    </row>
    <row r="1284" spans="3:15" hidden="1" x14ac:dyDescent="0.3">
      <c r="C1284" t="s">
        <v>2295</v>
      </c>
      <c r="D1284" t="s">
        <v>2267</v>
      </c>
      <c r="E1284" t="s">
        <v>4781</v>
      </c>
      <c r="F1284" t="s">
        <v>4782</v>
      </c>
      <c r="G1284" s="425">
        <v>0</v>
      </c>
      <c r="H1284" s="425">
        <v>0</v>
      </c>
      <c r="I1284" s="425">
        <v>0</v>
      </c>
      <c r="J1284" s="425">
        <v>0</v>
      </c>
      <c r="K1284" s="425">
        <v>0</v>
      </c>
      <c r="L1284" s="425">
        <v>0</v>
      </c>
      <c r="M1284" s="425">
        <v>0</v>
      </c>
      <c r="N1284" s="425">
        <v>0</v>
      </c>
      <c r="O1284" s="425">
        <v>0</v>
      </c>
    </row>
    <row r="1285" spans="3:15" hidden="1" x14ac:dyDescent="0.3">
      <c r="C1285" t="s">
        <v>2295</v>
      </c>
      <c r="D1285" t="s">
        <v>2267</v>
      </c>
      <c r="E1285" t="s">
        <v>4783</v>
      </c>
      <c r="F1285" t="s">
        <v>4784</v>
      </c>
      <c r="G1285" s="425">
        <v>0</v>
      </c>
      <c r="H1285" s="425">
        <v>0</v>
      </c>
      <c r="I1285" s="425">
        <v>0</v>
      </c>
      <c r="J1285" s="425">
        <v>0</v>
      </c>
      <c r="K1285" s="425">
        <v>0</v>
      </c>
      <c r="L1285" s="425">
        <v>0</v>
      </c>
      <c r="M1285" s="425">
        <v>0</v>
      </c>
      <c r="N1285" s="425">
        <v>0</v>
      </c>
      <c r="O1285" s="425">
        <v>0</v>
      </c>
    </row>
    <row r="1286" spans="3:15" hidden="1" x14ac:dyDescent="0.3">
      <c r="C1286" t="s">
        <v>2295</v>
      </c>
      <c r="D1286" t="s">
        <v>2267</v>
      </c>
      <c r="E1286" t="s">
        <v>4785</v>
      </c>
      <c r="F1286" t="s">
        <v>4786</v>
      </c>
      <c r="G1286" s="425">
        <v>0</v>
      </c>
      <c r="H1286" s="425">
        <v>0</v>
      </c>
      <c r="I1286" s="425">
        <v>0</v>
      </c>
      <c r="J1286" s="425">
        <v>0</v>
      </c>
      <c r="K1286" s="425">
        <v>0</v>
      </c>
      <c r="L1286" s="425">
        <v>0</v>
      </c>
      <c r="M1286" s="425">
        <v>0</v>
      </c>
      <c r="N1286" s="425">
        <v>0</v>
      </c>
      <c r="O1286" s="425">
        <v>0</v>
      </c>
    </row>
    <row r="1287" spans="3:15" hidden="1" x14ac:dyDescent="0.3">
      <c r="C1287" t="s">
        <v>2295</v>
      </c>
      <c r="D1287" t="s">
        <v>2267</v>
      </c>
      <c r="E1287" t="s">
        <v>4787</v>
      </c>
      <c r="F1287" t="s">
        <v>4788</v>
      </c>
      <c r="G1287" s="425">
        <v>0</v>
      </c>
      <c r="H1287" s="425">
        <v>0</v>
      </c>
      <c r="I1287" s="425">
        <v>0</v>
      </c>
      <c r="J1287" s="425">
        <v>0</v>
      </c>
      <c r="K1287" s="425">
        <v>0</v>
      </c>
      <c r="L1287" s="425">
        <v>0</v>
      </c>
      <c r="M1287" s="425">
        <v>0</v>
      </c>
      <c r="N1287" s="425">
        <v>0</v>
      </c>
      <c r="O1287" s="425">
        <v>0</v>
      </c>
    </row>
    <row r="1288" spans="3:15" hidden="1" x14ac:dyDescent="0.3">
      <c r="C1288" t="s">
        <v>2295</v>
      </c>
      <c r="D1288" t="s">
        <v>2267</v>
      </c>
      <c r="E1288" t="s">
        <v>4789</v>
      </c>
      <c r="F1288" t="s">
        <v>4790</v>
      </c>
      <c r="G1288" s="425">
        <v>0</v>
      </c>
      <c r="H1288" s="425">
        <v>0</v>
      </c>
      <c r="I1288" s="425">
        <v>0</v>
      </c>
      <c r="J1288" s="425">
        <v>0</v>
      </c>
      <c r="K1288" s="425">
        <v>0</v>
      </c>
      <c r="L1288" s="425">
        <v>0</v>
      </c>
      <c r="M1288" s="425">
        <v>0</v>
      </c>
      <c r="N1288" s="425">
        <v>0</v>
      </c>
      <c r="O1288" s="425">
        <v>0</v>
      </c>
    </row>
    <row r="1289" spans="3:15" hidden="1" x14ac:dyDescent="0.3">
      <c r="C1289" t="s">
        <v>2295</v>
      </c>
      <c r="D1289" t="s">
        <v>2267</v>
      </c>
      <c r="E1289" t="s">
        <v>4791</v>
      </c>
      <c r="F1289" t="s">
        <v>4792</v>
      </c>
      <c r="G1289" s="425">
        <v>0</v>
      </c>
      <c r="H1289" s="425">
        <v>0</v>
      </c>
      <c r="I1289" s="425">
        <v>0</v>
      </c>
      <c r="J1289" s="425">
        <v>0</v>
      </c>
      <c r="K1289" s="425">
        <v>0</v>
      </c>
      <c r="L1289" s="425">
        <v>0</v>
      </c>
      <c r="M1289" s="425">
        <v>0</v>
      </c>
      <c r="N1289" s="425">
        <v>0</v>
      </c>
      <c r="O1289" s="425">
        <v>0</v>
      </c>
    </row>
    <row r="1290" spans="3:15" hidden="1" x14ac:dyDescent="0.3">
      <c r="C1290" t="s">
        <v>2295</v>
      </c>
      <c r="D1290" t="s">
        <v>2267</v>
      </c>
      <c r="E1290" t="s">
        <v>4793</v>
      </c>
      <c r="F1290" t="s">
        <v>4794</v>
      </c>
      <c r="G1290" s="425">
        <v>0</v>
      </c>
      <c r="H1290" s="425">
        <v>0</v>
      </c>
      <c r="I1290" s="425">
        <v>0</v>
      </c>
      <c r="J1290" s="425">
        <v>0</v>
      </c>
      <c r="K1290" s="425">
        <v>0</v>
      </c>
      <c r="L1290" s="425">
        <v>0</v>
      </c>
      <c r="M1290" s="425">
        <v>0</v>
      </c>
      <c r="N1290" s="425">
        <v>0</v>
      </c>
      <c r="O1290" s="425">
        <v>0</v>
      </c>
    </row>
    <row r="1291" spans="3:15" hidden="1" x14ac:dyDescent="0.3">
      <c r="C1291" t="s">
        <v>2295</v>
      </c>
      <c r="D1291" t="s">
        <v>2267</v>
      </c>
      <c r="E1291" t="s">
        <v>4795</v>
      </c>
      <c r="F1291" t="s">
        <v>4796</v>
      </c>
      <c r="G1291" s="425">
        <v>0</v>
      </c>
      <c r="H1291" s="425">
        <v>0</v>
      </c>
      <c r="I1291" s="425">
        <v>0</v>
      </c>
      <c r="J1291" s="425">
        <v>0</v>
      </c>
      <c r="K1291" s="425">
        <v>0</v>
      </c>
      <c r="L1291" s="425">
        <v>0</v>
      </c>
      <c r="M1291" s="425">
        <v>0</v>
      </c>
      <c r="N1291" s="425">
        <v>0</v>
      </c>
      <c r="O1291" s="425">
        <v>0</v>
      </c>
    </row>
    <row r="1292" spans="3:15" hidden="1" x14ac:dyDescent="0.3">
      <c r="C1292" t="s">
        <v>2295</v>
      </c>
      <c r="D1292" t="s">
        <v>2267</v>
      </c>
      <c r="E1292" t="s">
        <v>4797</v>
      </c>
      <c r="F1292" t="s">
        <v>4798</v>
      </c>
      <c r="G1292" s="425">
        <v>0</v>
      </c>
      <c r="H1292" s="425">
        <v>0</v>
      </c>
      <c r="I1292" s="425">
        <v>0</v>
      </c>
      <c r="J1292" s="425">
        <v>0</v>
      </c>
      <c r="K1292" s="425">
        <v>0</v>
      </c>
      <c r="L1292" s="425">
        <v>0</v>
      </c>
      <c r="M1292" s="425">
        <v>0</v>
      </c>
      <c r="N1292" s="425">
        <v>0</v>
      </c>
      <c r="O1292" s="425">
        <v>0</v>
      </c>
    </row>
    <row r="1293" spans="3:15" hidden="1" x14ac:dyDescent="0.3">
      <c r="C1293" t="s">
        <v>2295</v>
      </c>
      <c r="D1293" t="s">
        <v>2267</v>
      </c>
      <c r="E1293" t="s">
        <v>4799</v>
      </c>
      <c r="F1293" t="s">
        <v>4800</v>
      </c>
      <c r="G1293" s="425">
        <v>0</v>
      </c>
      <c r="H1293" s="425">
        <v>0</v>
      </c>
      <c r="I1293" s="425">
        <v>0</v>
      </c>
      <c r="J1293" s="425">
        <v>0</v>
      </c>
      <c r="K1293" s="425">
        <v>0</v>
      </c>
      <c r="L1293" s="425">
        <v>0</v>
      </c>
      <c r="M1293" s="425">
        <v>0</v>
      </c>
      <c r="N1293" s="425">
        <v>0</v>
      </c>
      <c r="O1293" s="425">
        <v>0</v>
      </c>
    </row>
    <row r="1294" spans="3:15" hidden="1" x14ac:dyDescent="0.3">
      <c r="C1294" t="s">
        <v>2295</v>
      </c>
      <c r="D1294" t="s">
        <v>2267</v>
      </c>
      <c r="E1294" t="s">
        <v>4801</v>
      </c>
      <c r="F1294" t="s">
        <v>4802</v>
      </c>
      <c r="G1294" s="425">
        <v>0</v>
      </c>
      <c r="H1294" s="425">
        <v>0</v>
      </c>
      <c r="I1294" s="425">
        <v>0</v>
      </c>
      <c r="J1294" s="425">
        <v>0</v>
      </c>
      <c r="K1294" s="425">
        <v>0</v>
      </c>
      <c r="L1294" s="425">
        <v>0</v>
      </c>
      <c r="M1294" s="425">
        <v>0</v>
      </c>
      <c r="N1294" s="425">
        <v>0</v>
      </c>
      <c r="O1294" s="425">
        <v>0</v>
      </c>
    </row>
    <row r="1295" spans="3:15" hidden="1" x14ac:dyDescent="0.3">
      <c r="C1295" t="s">
        <v>2295</v>
      </c>
      <c r="D1295" t="s">
        <v>2267</v>
      </c>
      <c r="E1295" t="s">
        <v>4803</v>
      </c>
      <c r="F1295" t="s">
        <v>4804</v>
      </c>
      <c r="G1295" s="425">
        <v>0</v>
      </c>
      <c r="H1295" s="425">
        <v>0</v>
      </c>
      <c r="I1295" s="425">
        <v>0</v>
      </c>
      <c r="J1295" s="425">
        <v>0</v>
      </c>
      <c r="K1295" s="425">
        <v>0</v>
      </c>
      <c r="L1295" s="425">
        <v>0</v>
      </c>
      <c r="M1295" s="425">
        <v>0</v>
      </c>
      <c r="N1295" s="425">
        <v>0</v>
      </c>
      <c r="O1295" s="425">
        <v>0</v>
      </c>
    </row>
    <row r="1296" spans="3:15" hidden="1" x14ac:dyDescent="0.3">
      <c r="C1296" t="s">
        <v>2295</v>
      </c>
      <c r="D1296" t="s">
        <v>2267</v>
      </c>
      <c r="E1296" t="s">
        <v>4805</v>
      </c>
      <c r="F1296" t="s">
        <v>4806</v>
      </c>
      <c r="G1296" s="425">
        <v>0</v>
      </c>
      <c r="H1296" s="425">
        <v>0</v>
      </c>
      <c r="I1296" s="425">
        <v>0</v>
      </c>
      <c r="J1296" s="425">
        <v>0</v>
      </c>
      <c r="K1296" s="425">
        <v>0</v>
      </c>
      <c r="L1296" s="425">
        <v>0</v>
      </c>
      <c r="M1296" s="425">
        <v>0</v>
      </c>
      <c r="N1296" s="425">
        <v>0</v>
      </c>
      <c r="O1296" s="425">
        <v>0</v>
      </c>
    </row>
    <row r="1297" spans="3:15" hidden="1" x14ac:dyDescent="0.3">
      <c r="C1297" t="s">
        <v>2295</v>
      </c>
      <c r="D1297" t="s">
        <v>2267</v>
      </c>
      <c r="E1297" t="s">
        <v>4807</v>
      </c>
      <c r="F1297" t="s">
        <v>4808</v>
      </c>
      <c r="G1297" s="425">
        <v>0</v>
      </c>
      <c r="H1297" s="425">
        <v>0</v>
      </c>
      <c r="I1297" s="425">
        <v>0</v>
      </c>
      <c r="J1297" s="425">
        <v>0</v>
      </c>
      <c r="K1297" s="425">
        <v>0</v>
      </c>
      <c r="L1297" s="425">
        <v>0</v>
      </c>
      <c r="M1297" s="425">
        <v>0</v>
      </c>
      <c r="N1297" s="425">
        <v>0</v>
      </c>
      <c r="O1297" s="425">
        <v>0</v>
      </c>
    </row>
    <row r="1298" spans="3:15" hidden="1" x14ac:dyDescent="0.3">
      <c r="C1298" t="s">
        <v>2295</v>
      </c>
      <c r="D1298" t="s">
        <v>2267</v>
      </c>
      <c r="E1298" t="s">
        <v>4809</v>
      </c>
      <c r="F1298" t="s">
        <v>4810</v>
      </c>
      <c r="G1298" s="425">
        <v>0</v>
      </c>
      <c r="H1298" s="425">
        <v>0</v>
      </c>
      <c r="I1298" s="425">
        <v>0</v>
      </c>
      <c r="J1298" s="425">
        <v>0</v>
      </c>
      <c r="K1298" s="425">
        <v>0</v>
      </c>
      <c r="L1298" s="425">
        <v>0</v>
      </c>
      <c r="M1298" s="425">
        <v>0</v>
      </c>
      <c r="N1298" s="425">
        <v>0</v>
      </c>
      <c r="O1298" s="425">
        <v>0</v>
      </c>
    </row>
    <row r="1299" spans="3:15" hidden="1" x14ac:dyDescent="0.3">
      <c r="C1299" t="s">
        <v>2295</v>
      </c>
      <c r="D1299" t="s">
        <v>2267</v>
      </c>
      <c r="E1299" t="s">
        <v>4811</v>
      </c>
      <c r="F1299" t="s">
        <v>4812</v>
      </c>
      <c r="G1299" s="425">
        <v>0</v>
      </c>
      <c r="H1299" s="425">
        <v>0</v>
      </c>
      <c r="I1299" s="425">
        <v>0</v>
      </c>
      <c r="J1299" s="425">
        <v>0</v>
      </c>
      <c r="K1299" s="425">
        <v>0</v>
      </c>
      <c r="L1299" s="425">
        <v>0</v>
      </c>
      <c r="M1299" s="425">
        <v>0</v>
      </c>
      <c r="N1299" s="425">
        <v>0</v>
      </c>
      <c r="O1299" s="425">
        <v>0</v>
      </c>
    </row>
    <row r="1300" spans="3:15" hidden="1" x14ac:dyDescent="0.3">
      <c r="C1300" t="s">
        <v>2295</v>
      </c>
      <c r="D1300" t="s">
        <v>2267</v>
      </c>
      <c r="E1300" t="s">
        <v>4813</v>
      </c>
      <c r="F1300" t="s">
        <v>4814</v>
      </c>
      <c r="G1300" s="425">
        <v>0</v>
      </c>
      <c r="H1300" s="425">
        <v>0</v>
      </c>
      <c r="I1300" s="425">
        <v>0</v>
      </c>
      <c r="J1300" s="425">
        <v>0</v>
      </c>
      <c r="K1300" s="425">
        <v>0</v>
      </c>
      <c r="L1300" s="425">
        <v>0</v>
      </c>
      <c r="M1300" s="425">
        <v>0</v>
      </c>
      <c r="N1300" s="425">
        <v>0</v>
      </c>
      <c r="O1300" s="425">
        <v>0</v>
      </c>
    </row>
    <row r="1301" spans="3:15" hidden="1" x14ac:dyDescent="0.3">
      <c r="C1301" t="s">
        <v>2295</v>
      </c>
      <c r="D1301" t="s">
        <v>2267</v>
      </c>
      <c r="E1301" t="s">
        <v>4815</v>
      </c>
      <c r="F1301" t="s">
        <v>4816</v>
      </c>
      <c r="G1301" s="425">
        <v>0</v>
      </c>
      <c r="H1301" s="425">
        <v>0</v>
      </c>
      <c r="I1301" s="425">
        <v>0</v>
      </c>
      <c r="J1301" s="425">
        <v>0</v>
      </c>
      <c r="K1301" s="425">
        <v>0</v>
      </c>
      <c r="L1301" s="425">
        <v>0</v>
      </c>
      <c r="M1301" s="425">
        <v>0</v>
      </c>
      <c r="N1301" s="425">
        <v>0</v>
      </c>
      <c r="O1301" s="425">
        <v>0</v>
      </c>
    </row>
    <row r="1302" spans="3:15" hidden="1" x14ac:dyDescent="0.3">
      <c r="C1302" t="s">
        <v>2295</v>
      </c>
      <c r="D1302" t="s">
        <v>2267</v>
      </c>
      <c r="E1302" t="s">
        <v>4817</v>
      </c>
      <c r="F1302" t="s">
        <v>4818</v>
      </c>
      <c r="G1302" s="425">
        <v>0</v>
      </c>
      <c r="H1302" s="425">
        <v>0</v>
      </c>
      <c r="I1302" s="425">
        <v>0</v>
      </c>
      <c r="J1302" s="425">
        <v>0</v>
      </c>
      <c r="K1302" s="425">
        <v>0</v>
      </c>
      <c r="L1302" s="425">
        <v>0</v>
      </c>
      <c r="M1302" s="425">
        <v>0</v>
      </c>
      <c r="N1302" s="425">
        <v>0</v>
      </c>
      <c r="O1302" s="425">
        <v>0</v>
      </c>
    </row>
    <row r="1303" spans="3:15" hidden="1" x14ac:dyDescent="0.3">
      <c r="C1303" t="s">
        <v>2295</v>
      </c>
      <c r="D1303" t="s">
        <v>2267</v>
      </c>
      <c r="E1303" t="s">
        <v>4819</v>
      </c>
      <c r="F1303" t="s">
        <v>4820</v>
      </c>
      <c r="G1303" s="425">
        <v>0</v>
      </c>
      <c r="H1303" s="425">
        <v>0</v>
      </c>
      <c r="I1303" s="425">
        <v>0</v>
      </c>
      <c r="J1303" s="425">
        <v>0</v>
      </c>
      <c r="K1303" s="425">
        <v>0</v>
      </c>
      <c r="L1303" s="425">
        <v>0</v>
      </c>
      <c r="M1303" s="425">
        <v>0</v>
      </c>
      <c r="N1303" s="425">
        <v>0</v>
      </c>
      <c r="O1303" s="425">
        <v>0</v>
      </c>
    </row>
    <row r="1304" spans="3:15" hidden="1" x14ac:dyDescent="0.3">
      <c r="C1304" t="s">
        <v>2295</v>
      </c>
      <c r="D1304" t="s">
        <v>2267</v>
      </c>
      <c r="E1304" t="s">
        <v>4821</v>
      </c>
      <c r="F1304" t="s">
        <v>4822</v>
      </c>
      <c r="G1304" s="425">
        <v>0</v>
      </c>
      <c r="H1304" s="425">
        <v>0</v>
      </c>
      <c r="I1304" s="425">
        <v>0</v>
      </c>
      <c r="J1304" s="425">
        <v>0</v>
      </c>
      <c r="K1304" s="425">
        <v>0</v>
      </c>
      <c r="L1304" s="425">
        <v>0</v>
      </c>
      <c r="M1304" s="425">
        <v>0</v>
      </c>
      <c r="N1304" s="425">
        <v>0</v>
      </c>
      <c r="O1304" s="425">
        <v>0</v>
      </c>
    </row>
    <row r="1305" spans="3:15" hidden="1" x14ac:dyDescent="0.3">
      <c r="C1305" t="s">
        <v>2295</v>
      </c>
      <c r="D1305" t="s">
        <v>2267</v>
      </c>
      <c r="E1305" t="s">
        <v>4823</v>
      </c>
      <c r="F1305" t="s">
        <v>4824</v>
      </c>
      <c r="G1305" s="425">
        <v>0</v>
      </c>
      <c r="H1305" s="425">
        <v>0</v>
      </c>
      <c r="I1305" s="425">
        <v>0</v>
      </c>
      <c r="J1305" s="425">
        <v>0</v>
      </c>
      <c r="K1305" s="425">
        <v>0</v>
      </c>
      <c r="L1305" s="425">
        <v>0</v>
      </c>
      <c r="M1305" s="425">
        <v>0</v>
      </c>
      <c r="N1305" s="425">
        <v>0</v>
      </c>
      <c r="O1305" s="425">
        <v>0</v>
      </c>
    </row>
    <row r="1306" spans="3:15" hidden="1" x14ac:dyDescent="0.3">
      <c r="C1306" t="s">
        <v>2295</v>
      </c>
      <c r="D1306" t="s">
        <v>2267</v>
      </c>
      <c r="E1306" t="s">
        <v>4825</v>
      </c>
      <c r="F1306" t="s">
        <v>4826</v>
      </c>
      <c r="G1306" s="425">
        <v>0</v>
      </c>
      <c r="H1306" s="425">
        <v>0</v>
      </c>
      <c r="I1306" s="425">
        <v>0</v>
      </c>
      <c r="J1306" s="425">
        <v>0</v>
      </c>
      <c r="K1306" s="425">
        <v>0</v>
      </c>
      <c r="L1306" s="425">
        <v>0</v>
      </c>
      <c r="M1306" s="425">
        <v>0</v>
      </c>
      <c r="N1306" s="425">
        <v>0</v>
      </c>
      <c r="O1306" s="425">
        <v>0</v>
      </c>
    </row>
    <row r="1307" spans="3:15" hidden="1" x14ac:dyDescent="0.3">
      <c r="C1307" t="s">
        <v>2295</v>
      </c>
      <c r="D1307" t="s">
        <v>2267</v>
      </c>
      <c r="E1307" t="s">
        <v>4827</v>
      </c>
      <c r="F1307" t="s">
        <v>4828</v>
      </c>
      <c r="G1307" s="425">
        <v>0</v>
      </c>
      <c r="H1307" s="425">
        <v>0</v>
      </c>
      <c r="I1307" s="425">
        <v>0</v>
      </c>
      <c r="J1307" s="425">
        <v>0</v>
      </c>
      <c r="K1307" s="425">
        <v>0</v>
      </c>
      <c r="L1307" s="425">
        <v>0</v>
      </c>
      <c r="M1307" s="425">
        <v>0</v>
      </c>
      <c r="N1307" s="425">
        <v>0</v>
      </c>
      <c r="O1307" s="425">
        <v>0</v>
      </c>
    </row>
    <row r="1308" spans="3:15" hidden="1" x14ac:dyDescent="0.3">
      <c r="C1308" t="s">
        <v>2295</v>
      </c>
      <c r="D1308" t="s">
        <v>2267</v>
      </c>
      <c r="E1308" t="s">
        <v>4829</v>
      </c>
      <c r="F1308" t="s">
        <v>4830</v>
      </c>
      <c r="G1308" s="425">
        <v>0</v>
      </c>
      <c r="H1308" s="425">
        <v>0</v>
      </c>
      <c r="I1308" s="425">
        <v>0</v>
      </c>
      <c r="J1308" s="425">
        <v>0</v>
      </c>
      <c r="K1308" s="425">
        <v>0</v>
      </c>
      <c r="L1308" s="425">
        <v>0</v>
      </c>
      <c r="M1308" s="425">
        <v>0</v>
      </c>
      <c r="N1308" s="425">
        <v>0</v>
      </c>
      <c r="O1308" s="425">
        <v>0</v>
      </c>
    </row>
    <row r="1309" spans="3:15" hidden="1" x14ac:dyDescent="0.3">
      <c r="C1309" t="s">
        <v>2295</v>
      </c>
      <c r="D1309" t="s">
        <v>2267</v>
      </c>
      <c r="E1309" t="s">
        <v>4831</v>
      </c>
      <c r="F1309" t="s">
        <v>4832</v>
      </c>
      <c r="G1309" s="425">
        <v>0</v>
      </c>
      <c r="H1309" s="425">
        <v>0</v>
      </c>
      <c r="I1309" s="425">
        <v>0</v>
      </c>
      <c r="J1309" s="425">
        <v>0</v>
      </c>
      <c r="K1309" s="425">
        <v>0</v>
      </c>
      <c r="L1309" s="425">
        <v>0</v>
      </c>
      <c r="M1309" s="425">
        <v>0</v>
      </c>
      <c r="N1309" s="425">
        <v>0</v>
      </c>
      <c r="O1309" s="425">
        <v>0</v>
      </c>
    </row>
    <row r="1310" spans="3:15" hidden="1" x14ac:dyDescent="0.3">
      <c r="C1310" t="s">
        <v>2295</v>
      </c>
      <c r="D1310" t="s">
        <v>2267</v>
      </c>
      <c r="E1310" t="s">
        <v>4833</v>
      </c>
      <c r="F1310" t="s">
        <v>4834</v>
      </c>
      <c r="G1310" s="425">
        <v>0</v>
      </c>
      <c r="H1310" s="425">
        <v>0</v>
      </c>
      <c r="I1310" s="425">
        <v>0</v>
      </c>
      <c r="J1310" s="425">
        <v>0</v>
      </c>
      <c r="K1310" s="425">
        <v>0</v>
      </c>
      <c r="L1310" s="425">
        <v>0</v>
      </c>
      <c r="M1310" s="425">
        <v>0</v>
      </c>
      <c r="N1310" s="425">
        <v>0</v>
      </c>
      <c r="O1310" s="425">
        <v>0</v>
      </c>
    </row>
    <row r="1311" spans="3:15" hidden="1" x14ac:dyDescent="0.3">
      <c r="C1311" t="s">
        <v>2295</v>
      </c>
      <c r="D1311" t="s">
        <v>2267</v>
      </c>
      <c r="E1311" t="s">
        <v>4835</v>
      </c>
      <c r="F1311" t="s">
        <v>4836</v>
      </c>
      <c r="G1311" s="425">
        <v>0</v>
      </c>
      <c r="H1311" s="425">
        <v>0</v>
      </c>
      <c r="I1311" s="425">
        <v>0</v>
      </c>
      <c r="J1311" s="425">
        <v>0</v>
      </c>
      <c r="K1311" s="425">
        <v>0</v>
      </c>
      <c r="L1311" s="425">
        <v>0</v>
      </c>
      <c r="M1311" s="425">
        <v>0</v>
      </c>
      <c r="N1311" s="425">
        <v>0</v>
      </c>
      <c r="O1311" s="425">
        <v>0</v>
      </c>
    </row>
    <row r="1312" spans="3:15" hidden="1" x14ac:dyDescent="0.3">
      <c r="C1312" t="s">
        <v>2295</v>
      </c>
      <c r="D1312" t="s">
        <v>2267</v>
      </c>
      <c r="E1312" t="s">
        <v>4837</v>
      </c>
      <c r="F1312" t="s">
        <v>4838</v>
      </c>
      <c r="G1312" s="425">
        <v>0</v>
      </c>
      <c r="H1312" s="425">
        <v>0</v>
      </c>
      <c r="I1312" s="425">
        <v>0</v>
      </c>
      <c r="J1312" s="425">
        <v>0</v>
      </c>
      <c r="K1312" s="425">
        <v>0</v>
      </c>
      <c r="L1312" s="425">
        <v>0</v>
      </c>
      <c r="M1312" s="425">
        <v>0</v>
      </c>
      <c r="N1312" s="425">
        <v>0</v>
      </c>
      <c r="O1312" s="425">
        <v>0</v>
      </c>
    </row>
    <row r="1313" spans="3:15" hidden="1" x14ac:dyDescent="0.3">
      <c r="C1313" t="s">
        <v>2295</v>
      </c>
      <c r="D1313" t="s">
        <v>2267</v>
      </c>
      <c r="E1313" t="s">
        <v>4839</v>
      </c>
      <c r="F1313" t="s">
        <v>4840</v>
      </c>
      <c r="G1313" s="425">
        <v>0</v>
      </c>
      <c r="H1313" s="425">
        <v>0</v>
      </c>
      <c r="I1313" s="425">
        <v>0</v>
      </c>
      <c r="J1313" s="425">
        <v>0</v>
      </c>
      <c r="K1313" s="425">
        <v>0</v>
      </c>
      <c r="L1313" s="425">
        <v>0</v>
      </c>
      <c r="M1313" s="425">
        <v>0</v>
      </c>
      <c r="N1313" s="425">
        <v>0</v>
      </c>
      <c r="O1313" s="425">
        <v>0</v>
      </c>
    </row>
    <row r="1314" spans="3:15" hidden="1" x14ac:dyDescent="0.3">
      <c r="C1314" t="s">
        <v>2295</v>
      </c>
      <c r="D1314" t="s">
        <v>2267</v>
      </c>
      <c r="E1314" t="s">
        <v>4841</v>
      </c>
      <c r="F1314" t="s">
        <v>4842</v>
      </c>
      <c r="G1314" s="425">
        <v>0</v>
      </c>
      <c r="H1314" s="425">
        <v>0</v>
      </c>
      <c r="I1314" s="425">
        <v>0</v>
      </c>
      <c r="J1314" s="425">
        <v>0</v>
      </c>
      <c r="K1314" s="425">
        <v>0</v>
      </c>
      <c r="L1314" s="425">
        <v>0</v>
      </c>
      <c r="M1314" s="425">
        <v>0</v>
      </c>
      <c r="N1314" s="425">
        <v>0</v>
      </c>
      <c r="O1314" s="425">
        <v>0</v>
      </c>
    </row>
    <row r="1315" spans="3:15" hidden="1" x14ac:dyDescent="0.3">
      <c r="C1315" t="s">
        <v>2295</v>
      </c>
      <c r="D1315" t="s">
        <v>2267</v>
      </c>
      <c r="E1315" t="s">
        <v>4843</v>
      </c>
      <c r="F1315" t="s">
        <v>4844</v>
      </c>
      <c r="G1315" s="425">
        <v>0</v>
      </c>
      <c r="H1315" s="425">
        <v>0</v>
      </c>
      <c r="I1315" s="425">
        <v>0</v>
      </c>
      <c r="J1315" s="425">
        <v>0</v>
      </c>
      <c r="K1315" s="425">
        <v>0</v>
      </c>
      <c r="L1315" s="425">
        <v>0</v>
      </c>
      <c r="M1315" s="425">
        <v>0</v>
      </c>
      <c r="N1315" s="425">
        <v>0</v>
      </c>
      <c r="O1315" s="425">
        <v>0</v>
      </c>
    </row>
    <row r="1316" spans="3:15" hidden="1" x14ac:dyDescent="0.3">
      <c r="C1316" t="s">
        <v>2295</v>
      </c>
      <c r="D1316" t="s">
        <v>2267</v>
      </c>
      <c r="E1316" t="s">
        <v>4845</v>
      </c>
      <c r="F1316" t="s">
        <v>4846</v>
      </c>
      <c r="G1316" s="425">
        <v>0</v>
      </c>
      <c r="H1316" s="425">
        <v>0</v>
      </c>
      <c r="I1316" s="425">
        <v>0</v>
      </c>
      <c r="J1316" s="425">
        <v>0</v>
      </c>
      <c r="K1316" s="425">
        <v>0</v>
      </c>
      <c r="L1316" s="425">
        <v>0</v>
      </c>
      <c r="M1316" s="425">
        <v>0</v>
      </c>
      <c r="N1316" s="425">
        <v>0</v>
      </c>
      <c r="O1316" s="425">
        <v>0</v>
      </c>
    </row>
    <row r="1317" spans="3:15" hidden="1" x14ac:dyDescent="0.3">
      <c r="C1317" t="s">
        <v>2295</v>
      </c>
      <c r="D1317" t="s">
        <v>2267</v>
      </c>
      <c r="E1317" t="s">
        <v>4847</v>
      </c>
      <c r="F1317" t="s">
        <v>4848</v>
      </c>
      <c r="G1317" s="425">
        <v>0</v>
      </c>
      <c r="H1317" s="425">
        <v>0</v>
      </c>
      <c r="I1317" s="425">
        <v>0</v>
      </c>
      <c r="J1317" s="425">
        <v>0</v>
      </c>
      <c r="K1317" s="425">
        <v>0</v>
      </c>
      <c r="L1317" s="425">
        <v>0</v>
      </c>
      <c r="M1317" s="425">
        <v>0</v>
      </c>
      <c r="N1317" s="425">
        <v>0</v>
      </c>
      <c r="O1317" s="425">
        <v>0</v>
      </c>
    </row>
    <row r="1318" spans="3:15" hidden="1" x14ac:dyDescent="0.3">
      <c r="C1318" t="s">
        <v>2295</v>
      </c>
      <c r="D1318" t="s">
        <v>2267</v>
      </c>
      <c r="E1318" t="s">
        <v>4849</v>
      </c>
      <c r="F1318" t="s">
        <v>4850</v>
      </c>
      <c r="G1318" s="425">
        <v>0</v>
      </c>
      <c r="H1318" s="425">
        <v>0</v>
      </c>
      <c r="I1318" s="425">
        <v>0</v>
      </c>
      <c r="J1318" s="425">
        <v>0</v>
      </c>
      <c r="K1318" s="425">
        <v>0</v>
      </c>
      <c r="L1318" s="425">
        <v>0</v>
      </c>
      <c r="M1318" s="425">
        <v>0</v>
      </c>
      <c r="N1318" s="425">
        <v>0</v>
      </c>
      <c r="O1318" s="425">
        <v>0</v>
      </c>
    </row>
    <row r="1319" spans="3:15" hidden="1" x14ac:dyDescent="0.3">
      <c r="C1319" t="s">
        <v>2295</v>
      </c>
      <c r="D1319" t="s">
        <v>2267</v>
      </c>
      <c r="E1319" t="s">
        <v>4851</v>
      </c>
      <c r="F1319" t="s">
        <v>4852</v>
      </c>
      <c r="G1319" s="425">
        <v>0</v>
      </c>
      <c r="H1319" s="425">
        <v>0</v>
      </c>
      <c r="I1319" s="425">
        <v>0</v>
      </c>
      <c r="J1319" s="425">
        <v>0</v>
      </c>
      <c r="K1319" s="425">
        <v>0</v>
      </c>
      <c r="L1319" s="425">
        <v>0</v>
      </c>
      <c r="M1319" s="425">
        <v>0</v>
      </c>
      <c r="N1319" s="425">
        <v>0</v>
      </c>
      <c r="O1319" s="425">
        <v>0</v>
      </c>
    </row>
    <row r="1320" spans="3:15" hidden="1" x14ac:dyDescent="0.3">
      <c r="C1320" t="s">
        <v>2295</v>
      </c>
      <c r="D1320" t="s">
        <v>2267</v>
      </c>
      <c r="E1320" t="s">
        <v>4853</v>
      </c>
      <c r="F1320" t="s">
        <v>4854</v>
      </c>
      <c r="G1320" s="425">
        <v>0</v>
      </c>
      <c r="H1320" s="425">
        <v>0</v>
      </c>
      <c r="I1320" s="425">
        <v>0</v>
      </c>
      <c r="J1320" s="425">
        <v>0</v>
      </c>
      <c r="K1320" s="425">
        <v>0</v>
      </c>
      <c r="L1320" s="425">
        <v>0</v>
      </c>
      <c r="M1320" s="425">
        <v>0</v>
      </c>
      <c r="N1320" s="425">
        <v>0</v>
      </c>
      <c r="O1320" s="425">
        <v>0</v>
      </c>
    </row>
    <row r="1321" spans="3:15" hidden="1" x14ac:dyDescent="0.3">
      <c r="C1321" t="s">
        <v>2295</v>
      </c>
      <c r="D1321" t="s">
        <v>2267</v>
      </c>
      <c r="E1321" t="s">
        <v>4855</v>
      </c>
      <c r="F1321" t="s">
        <v>4856</v>
      </c>
      <c r="G1321" s="425">
        <v>0</v>
      </c>
      <c r="H1321" s="425">
        <v>0</v>
      </c>
      <c r="I1321" s="425">
        <v>0</v>
      </c>
      <c r="J1321" s="425">
        <v>0</v>
      </c>
      <c r="K1321" s="425">
        <v>0</v>
      </c>
      <c r="L1321" s="425">
        <v>0</v>
      </c>
      <c r="M1321" s="425">
        <v>0</v>
      </c>
      <c r="N1321" s="425">
        <v>0</v>
      </c>
      <c r="O1321" s="425">
        <v>0</v>
      </c>
    </row>
    <row r="1322" spans="3:15" hidden="1" x14ac:dyDescent="0.3">
      <c r="C1322" t="s">
        <v>2295</v>
      </c>
      <c r="D1322" t="s">
        <v>2267</v>
      </c>
      <c r="E1322" t="s">
        <v>4857</v>
      </c>
      <c r="F1322" t="s">
        <v>4858</v>
      </c>
      <c r="G1322" s="425">
        <v>0</v>
      </c>
      <c r="H1322" s="425">
        <v>0</v>
      </c>
      <c r="I1322" s="425">
        <v>0</v>
      </c>
      <c r="J1322" s="425">
        <v>0</v>
      </c>
      <c r="K1322" s="425">
        <v>0</v>
      </c>
      <c r="L1322" s="425">
        <v>0</v>
      </c>
      <c r="M1322" s="425">
        <v>0</v>
      </c>
      <c r="N1322" s="425">
        <v>0</v>
      </c>
      <c r="O1322" s="425">
        <v>0</v>
      </c>
    </row>
    <row r="1323" spans="3:15" hidden="1" x14ac:dyDescent="0.3">
      <c r="C1323" t="s">
        <v>2295</v>
      </c>
      <c r="D1323" t="s">
        <v>2267</v>
      </c>
      <c r="E1323" t="s">
        <v>4859</v>
      </c>
      <c r="F1323" t="s">
        <v>4860</v>
      </c>
      <c r="G1323" s="425">
        <v>0</v>
      </c>
      <c r="H1323" s="425">
        <v>0</v>
      </c>
      <c r="I1323" s="425">
        <v>0</v>
      </c>
      <c r="J1323" s="425">
        <v>0</v>
      </c>
      <c r="K1323" s="425">
        <v>0</v>
      </c>
      <c r="L1323" s="425">
        <v>0</v>
      </c>
      <c r="M1323" s="425">
        <v>0</v>
      </c>
      <c r="N1323" s="425">
        <v>0</v>
      </c>
      <c r="O1323" s="425">
        <v>0</v>
      </c>
    </row>
    <row r="1324" spans="3:15" hidden="1" x14ac:dyDescent="0.3">
      <c r="C1324" t="s">
        <v>2295</v>
      </c>
      <c r="D1324" t="s">
        <v>2267</v>
      </c>
      <c r="E1324" t="s">
        <v>4861</v>
      </c>
      <c r="F1324" t="s">
        <v>4862</v>
      </c>
      <c r="G1324" s="425">
        <v>0</v>
      </c>
      <c r="H1324" s="425">
        <v>0</v>
      </c>
      <c r="I1324" s="425">
        <v>0</v>
      </c>
      <c r="J1324" s="425">
        <v>0</v>
      </c>
      <c r="K1324" s="425">
        <v>0</v>
      </c>
      <c r="L1324" s="425">
        <v>0</v>
      </c>
      <c r="M1324" s="425">
        <v>0</v>
      </c>
      <c r="N1324" s="425">
        <v>0</v>
      </c>
      <c r="O1324" s="425">
        <v>0</v>
      </c>
    </row>
    <row r="1325" spans="3:15" hidden="1" x14ac:dyDescent="0.3">
      <c r="C1325" t="s">
        <v>2295</v>
      </c>
      <c r="D1325" t="s">
        <v>2267</v>
      </c>
      <c r="E1325" t="s">
        <v>4863</v>
      </c>
      <c r="F1325" t="s">
        <v>4864</v>
      </c>
      <c r="G1325" s="425">
        <v>0</v>
      </c>
      <c r="H1325" s="425">
        <v>0</v>
      </c>
      <c r="I1325" s="425">
        <v>0</v>
      </c>
      <c r="J1325" s="425">
        <v>0</v>
      </c>
      <c r="K1325" s="425">
        <v>0</v>
      </c>
      <c r="L1325" s="425">
        <v>0</v>
      </c>
      <c r="M1325" s="425">
        <v>0</v>
      </c>
      <c r="N1325" s="425">
        <v>0</v>
      </c>
      <c r="O1325" s="425">
        <v>0</v>
      </c>
    </row>
    <row r="1326" spans="3:15" hidden="1" x14ac:dyDescent="0.3">
      <c r="C1326" t="s">
        <v>2295</v>
      </c>
      <c r="D1326" t="s">
        <v>2267</v>
      </c>
      <c r="E1326" t="s">
        <v>4865</v>
      </c>
      <c r="F1326" t="s">
        <v>4866</v>
      </c>
      <c r="G1326" s="425">
        <v>0</v>
      </c>
      <c r="H1326" s="425">
        <v>0</v>
      </c>
      <c r="I1326" s="425">
        <v>0</v>
      </c>
      <c r="J1326" s="425">
        <v>0</v>
      </c>
      <c r="K1326" s="425">
        <v>0</v>
      </c>
      <c r="L1326" s="425">
        <v>0</v>
      </c>
      <c r="M1326" s="425">
        <v>0</v>
      </c>
      <c r="N1326" s="425">
        <v>0</v>
      </c>
      <c r="O1326" s="425">
        <v>0</v>
      </c>
    </row>
    <row r="1327" spans="3:15" hidden="1" x14ac:dyDescent="0.3">
      <c r="C1327" t="s">
        <v>2295</v>
      </c>
      <c r="D1327" t="s">
        <v>2267</v>
      </c>
      <c r="E1327" t="s">
        <v>4867</v>
      </c>
      <c r="F1327" t="s">
        <v>4868</v>
      </c>
      <c r="G1327" s="425">
        <v>0</v>
      </c>
      <c r="H1327" s="425">
        <v>0</v>
      </c>
      <c r="I1327" s="425">
        <v>0</v>
      </c>
      <c r="J1327" s="425">
        <v>0</v>
      </c>
      <c r="K1327" s="425">
        <v>0</v>
      </c>
      <c r="L1327" s="425">
        <v>0</v>
      </c>
      <c r="M1327" s="425">
        <v>0</v>
      </c>
      <c r="N1327" s="425">
        <v>0</v>
      </c>
      <c r="O1327" s="425">
        <v>0</v>
      </c>
    </row>
    <row r="1328" spans="3:15" hidden="1" x14ac:dyDescent="0.3">
      <c r="C1328" t="s">
        <v>2295</v>
      </c>
      <c r="D1328" t="s">
        <v>2267</v>
      </c>
      <c r="E1328" t="s">
        <v>4869</v>
      </c>
      <c r="F1328" t="s">
        <v>4870</v>
      </c>
      <c r="G1328" s="425">
        <v>0</v>
      </c>
      <c r="H1328" s="425">
        <v>0</v>
      </c>
      <c r="I1328" s="425">
        <v>0</v>
      </c>
      <c r="J1328" s="425">
        <v>0</v>
      </c>
      <c r="K1328" s="425">
        <v>0</v>
      </c>
      <c r="L1328" s="425">
        <v>0</v>
      </c>
      <c r="M1328" s="425">
        <v>0</v>
      </c>
      <c r="N1328" s="425">
        <v>0</v>
      </c>
      <c r="O1328" s="425">
        <v>0</v>
      </c>
    </row>
    <row r="1329" spans="3:15" hidden="1" x14ac:dyDescent="0.3">
      <c r="C1329" t="s">
        <v>2295</v>
      </c>
      <c r="D1329" t="s">
        <v>2267</v>
      </c>
      <c r="E1329" t="s">
        <v>4871</v>
      </c>
      <c r="F1329" t="s">
        <v>4872</v>
      </c>
      <c r="G1329" s="425">
        <v>0</v>
      </c>
      <c r="H1329" s="425">
        <v>0</v>
      </c>
      <c r="I1329" s="425">
        <v>0</v>
      </c>
      <c r="J1329" s="425">
        <v>0</v>
      </c>
      <c r="K1329" s="425">
        <v>0</v>
      </c>
      <c r="L1329" s="425">
        <v>0</v>
      </c>
      <c r="M1329" s="425">
        <v>0</v>
      </c>
      <c r="N1329" s="425">
        <v>0</v>
      </c>
      <c r="O1329" s="425">
        <v>0</v>
      </c>
    </row>
    <row r="1330" spans="3:15" hidden="1" x14ac:dyDescent="0.3">
      <c r="C1330" t="s">
        <v>2295</v>
      </c>
      <c r="D1330" t="s">
        <v>2267</v>
      </c>
      <c r="E1330" t="s">
        <v>4873</v>
      </c>
      <c r="F1330" t="s">
        <v>4874</v>
      </c>
      <c r="G1330" s="425">
        <v>0</v>
      </c>
      <c r="H1330" s="425">
        <v>0</v>
      </c>
      <c r="I1330" s="425">
        <v>0</v>
      </c>
      <c r="J1330" s="425">
        <v>0</v>
      </c>
      <c r="K1330" s="425">
        <v>0</v>
      </c>
      <c r="L1330" s="425">
        <v>0</v>
      </c>
      <c r="M1330" s="425">
        <v>0</v>
      </c>
      <c r="N1330" s="425">
        <v>0</v>
      </c>
      <c r="O1330" s="425">
        <v>0</v>
      </c>
    </row>
    <row r="1331" spans="3:15" hidden="1" x14ac:dyDescent="0.3">
      <c r="C1331" t="s">
        <v>2295</v>
      </c>
      <c r="D1331" t="s">
        <v>2267</v>
      </c>
      <c r="E1331" t="s">
        <v>4875</v>
      </c>
      <c r="F1331" t="s">
        <v>4876</v>
      </c>
      <c r="G1331" s="425">
        <v>0</v>
      </c>
      <c r="H1331" s="425">
        <v>0</v>
      </c>
      <c r="I1331" s="425">
        <v>0</v>
      </c>
      <c r="J1331" s="425">
        <v>0</v>
      </c>
      <c r="K1331" s="425">
        <v>0</v>
      </c>
      <c r="L1331" s="425">
        <v>0</v>
      </c>
      <c r="M1331" s="425">
        <v>0</v>
      </c>
      <c r="N1331" s="425">
        <v>0</v>
      </c>
      <c r="O1331" s="425">
        <v>0</v>
      </c>
    </row>
    <row r="1332" spans="3:15" hidden="1" x14ac:dyDescent="0.3">
      <c r="C1332" t="s">
        <v>2295</v>
      </c>
      <c r="D1332" t="s">
        <v>2267</v>
      </c>
      <c r="E1332" t="s">
        <v>4877</v>
      </c>
      <c r="F1332" t="s">
        <v>4878</v>
      </c>
      <c r="G1332" s="425">
        <v>0</v>
      </c>
      <c r="H1332" s="425">
        <v>0</v>
      </c>
      <c r="I1332" s="425">
        <v>0</v>
      </c>
      <c r="J1332" s="425">
        <v>0</v>
      </c>
      <c r="K1332" s="425">
        <v>0</v>
      </c>
      <c r="L1332" s="425">
        <v>0</v>
      </c>
      <c r="M1332" s="425">
        <v>0</v>
      </c>
      <c r="N1332" s="425">
        <v>0</v>
      </c>
      <c r="O1332" s="425">
        <v>0</v>
      </c>
    </row>
    <row r="1333" spans="3:15" hidden="1" x14ac:dyDescent="0.3">
      <c r="C1333" t="s">
        <v>2295</v>
      </c>
      <c r="D1333" t="s">
        <v>2267</v>
      </c>
      <c r="E1333" t="s">
        <v>4879</v>
      </c>
      <c r="F1333" t="s">
        <v>4880</v>
      </c>
      <c r="G1333" s="425">
        <v>0</v>
      </c>
      <c r="H1333" s="425">
        <v>0</v>
      </c>
      <c r="I1333" s="425">
        <v>0</v>
      </c>
      <c r="J1333" s="425">
        <v>0</v>
      </c>
      <c r="K1333" s="425">
        <v>0</v>
      </c>
      <c r="L1333" s="425">
        <v>0</v>
      </c>
      <c r="M1333" s="425">
        <v>0</v>
      </c>
      <c r="N1333" s="425">
        <v>0</v>
      </c>
      <c r="O1333" s="425">
        <v>0</v>
      </c>
    </row>
    <row r="1334" spans="3:15" hidden="1" x14ac:dyDescent="0.3">
      <c r="C1334" t="s">
        <v>2295</v>
      </c>
      <c r="D1334" t="s">
        <v>2267</v>
      </c>
      <c r="E1334" t="s">
        <v>4881</v>
      </c>
      <c r="F1334" t="s">
        <v>4882</v>
      </c>
      <c r="G1334" s="425">
        <v>0</v>
      </c>
      <c r="H1334" s="425">
        <v>0</v>
      </c>
      <c r="I1334" s="425">
        <v>0</v>
      </c>
      <c r="J1334" s="425">
        <v>0</v>
      </c>
      <c r="K1334" s="425">
        <v>0</v>
      </c>
      <c r="L1334" s="425">
        <v>0</v>
      </c>
      <c r="M1334" s="425">
        <v>0</v>
      </c>
      <c r="N1334" s="425">
        <v>0</v>
      </c>
      <c r="O1334" s="425">
        <v>0</v>
      </c>
    </row>
    <row r="1335" spans="3:15" hidden="1" x14ac:dyDescent="0.3">
      <c r="C1335" t="s">
        <v>2295</v>
      </c>
      <c r="D1335" t="s">
        <v>2267</v>
      </c>
      <c r="E1335" t="s">
        <v>4883</v>
      </c>
      <c r="F1335" t="s">
        <v>4884</v>
      </c>
      <c r="G1335" s="425">
        <v>0</v>
      </c>
      <c r="H1335" s="425">
        <v>0</v>
      </c>
      <c r="I1335" s="425">
        <v>0</v>
      </c>
      <c r="J1335" s="425">
        <v>0</v>
      </c>
      <c r="K1335" s="425">
        <v>0</v>
      </c>
      <c r="L1335" s="425">
        <v>0</v>
      </c>
      <c r="M1335" s="425">
        <v>0</v>
      </c>
      <c r="N1335" s="425">
        <v>0</v>
      </c>
      <c r="O1335" s="425">
        <v>0</v>
      </c>
    </row>
    <row r="1336" spans="3:15" hidden="1" x14ac:dyDescent="0.3">
      <c r="C1336" t="s">
        <v>2295</v>
      </c>
      <c r="D1336" t="s">
        <v>2267</v>
      </c>
      <c r="E1336" t="s">
        <v>4885</v>
      </c>
      <c r="F1336" t="s">
        <v>4886</v>
      </c>
      <c r="G1336" s="425">
        <v>0</v>
      </c>
      <c r="H1336" s="425">
        <v>0</v>
      </c>
      <c r="I1336" s="425">
        <v>0</v>
      </c>
      <c r="J1336" s="425">
        <v>0</v>
      </c>
      <c r="K1336" s="425">
        <v>0</v>
      </c>
      <c r="L1336" s="425">
        <v>0</v>
      </c>
      <c r="M1336" s="425">
        <v>0</v>
      </c>
      <c r="N1336" s="425">
        <v>0</v>
      </c>
      <c r="O1336" s="425">
        <v>0</v>
      </c>
    </row>
    <row r="1337" spans="3:15" hidden="1" x14ac:dyDescent="0.3">
      <c r="C1337" t="s">
        <v>2295</v>
      </c>
      <c r="D1337" t="s">
        <v>2267</v>
      </c>
      <c r="E1337" t="s">
        <v>4887</v>
      </c>
      <c r="F1337" t="s">
        <v>4888</v>
      </c>
      <c r="G1337" s="425">
        <v>0</v>
      </c>
      <c r="H1337" s="425">
        <v>0</v>
      </c>
      <c r="I1337" s="425">
        <v>0</v>
      </c>
      <c r="J1337" s="425">
        <v>0</v>
      </c>
      <c r="K1337" s="425">
        <v>0</v>
      </c>
      <c r="L1337" s="425">
        <v>0</v>
      </c>
      <c r="M1337" s="425">
        <v>0</v>
      </c>
      <c r="N1337" s="425">
        <v>0</v>
      </c>
      <c r="O1337" s="425">
        <v>0</v>
      </c>
    </row>
    <row r="1338" spans="3:15" hidden="1" x14ac:dyDescent="0.3">
      <c r="C1338" t="s">
        <v>2295</v>
      </c>
      <c r="D1338" t="s">
        <v>2267</v>
      </c>
      <c r="E1338" t="s">
        <v>4889</v>
      </c>
      <c r="F1338" t="s">
        <v>4890</v>
      </c>
      <c r="G1338" s="425">
        <v>0</v>
      </c>
      <c r="H1338" s="425">
        <v>0</v>
      </c>
      <c r="I1338" s="425">
        <v>0</v>
      </c>
      <c r="J1338" s="425">
        <v>0</v>
      </c>
      <c r="K1338" s="425">
        <v>0</v>
      </c>
      <c r="L1338" s="425">
        <v>0</v>
      </c>
      <c r="M1338" s="425">
        <v>0</v>
      </c>
      <c r="N1338" s="425">
        <v>0</v>
      </c>
      <c r="O1338" s="425">
        <v>0</v>
      </c>
    </row>
    <row r="1339" spans="3:15" hidden="1" x14ac:dyDescent="0.3">
      <c r="C1339" t="s">
        <v>2295</v>
      </c>
      <c r="D1339" t="s">
        <v>2267</v>
      </c>
      <c r="E1339" t="s">
        <v>4891</v>
      </c>
      <c r="F1339" t="s">
        <v>4892</v>
      </c>
      <c r="G1339" s="425">
        <v>0</v>
      </c>
      <c r="H1339" s="425">
        <v>0</v>
      </c>
      <c r="I1339" s="425">
        <v>0</v>
      </c>
      <c r="J1339" s="425">
        <v>0</v>
      </c>
      <c r="K1339" s="425">
        <v>0</v>
      </c>
      <c r="L1339" s="425">
        <v>0</v>
      </c>
      <c r="M1339" s="425">
        <v>0</v>
      </c>
      <c r="N1339" s="425">
        <v>0</v>
      </c>
      <c r="O1339" s="425">
        <v>0</v>
      </c>
    </row>
    <row r="1340" spans="3:15" hidden="1" x14ac:dyDescent="0.3">
      <c r="C1340" t="s">
        <v>2295</v>
      </c>
      <c r="D1340" t="s">
        <v>2267</v>
      </c>
      <c r="E1340" t="s">
        <v>4893</v>
      </c>
      <c r="F1340" t="s">
        <v>4894</v>
      </c>
      <c r="G1340" s="425">
        <v>0</v>
      </c>
      <c r="H1340" s="425">
        <v>0</v>
      </c>
      <c r="I1340" s="425">
        <v>0</v>
      </c>
      <c r="J1340" s="425">
        <v>0</v>
      </c>
      <c r="K1340" s="425">
        <v>0</v>
      </c>
      <c r="L1340" s="425">
        <v>0</v>
      </c>
      <c r="M1340" s="425">
        <v>0</v>
      </c>
      <c r="N1340" s="425">
        <v>0</v>
      </c>
      <c r="O1340" s="425">
        <v>0</v>
      </c>
    </row>
    <row r="1341" spans="3:15" hidden="1" x14ac:dyDescent="0.3">
      <c r="C1341" t="s">
        <v>2295</v>
      </c>
      <c r="D1341" t="s">
        <v>2267</v>
      </c>
      <c r="E1341" t="s">
        <v>4895</v>
      </c>
      <c r="F1341" t="s">
        <v>4896</v>
      </c>
      <c r="G1341" s="425">
        <v>0</v>
      </c>
      <c r="H1341" s="425">
        <v>0</v>
      </c>
      <c r="I1341" s="425">
        <v>0</v>
      </c>
      <c r="J1341" s="425">
        <v>0</v>
      </c>
      <c r="K1341" s="425">
        <v>0</v>
      </c>
      <c r="L1341" s="425">
        <v>0</v>
      </c>
      <c r="M1341" s="425">
        <v>0</v>
      </c>
      <c r="N1341" s="425">
        <v>0</v>
      </c>
      <c r="O1341" s="425">
        <v>0</v>
      </c>
    </row>
    <row r="1342" spans="3:15" hidden="1" x14ac:dyDescent="0.3">
      <c r="C1342" t="s">
        <v>2295</v>
      </c>
      <c r="D1342" t="s">
        <v>2267</v>
      </c>
      <c r="E1342" t="s">
        <v>4897</v>
      </c>
      <c r="F1342" t="s">
        <v>4898</v>
      </c>
      <c r="G1342" s="425">
        <v>0</v>
      </c>
      <c r="H1342" s="425">
        <v>0</v>
      </c>
      <c r="I1342" s="425">
        <v>0</v>
      </c>
      <c r="J1342" s="425">
        <v>0</v>
      </c>
      <c r="K1342" s="425">
        <v>0</v>
      </c>
      <c r="L1342" s="425">
        <v>0</v>
      </c>
      <c r="M1342" s="425">
        <v>0</v>
      </c>
      <c r="N1342" s="425">
        <v>0</v>
      </c>
      <c r="O1342" s="425">
        <v>0</v>
      </c>
    </row>
    <row r="1343" spans="3:15" hidden="1" x14ac:dyDescent="0.3">
      <c r="C1343" t="s">
        <v>2295</v>
      </c>
      <c r="D1343" t="s">
        <v>2267</v>
      </c>
      <c r="E1343" t="s">
        <v>4899</v>
      </c>
      <c r="F1343" t="s">
        <v>4900</v>
      </c>
      <c r="G1343" s="425">
        <v>0</v>
      </c>
      <c r="H1343" s="425">
        <v>0</v>
      </c>
      <c r="I1343" s="425">
        <v>0</v>
      </c>
      <c r="J1343" s="425">
        <v>0</v>
      </c>
      <c r="K1343" s="425">
        <v>0</v>
      </c>
      <c r="L1343" s="425">
        <v>0</v>
      </c>
      <c r="M1343" s="425">
        <v>0</v>
      </c>
      <c r="N1343" s="425">
        <v>0</v>
      </c>
      <c r="O1343" s="425">
        <v>0</v>
      </c>
    </row>
    <row r="1344" spans="3:15" hidden="1" x14ac:dyDescent="0.3">
      <c r="C1344" t="s">
        <v>2295</v>
      </c>
      <c r="D1344" t="s">
        <v>2267</v>
      </c>
      <c r="E1344" t="s">
        <v>4901</v>
      </c>
      <c r="F1344" t="s">
        <v>4902</v>
      </c>
      <c r="G1344" s="425">
        <v>0</v>
      </c>
      <c r="H1344" s="425">
        <v>0</v>
      </c>
      <c r="I1344" s="425">
        <v>0</v>
      </c>
      <c r="J1344" s="425">
        <v>0</v>
      </c>
      <c r="K1344" s="425">
        <v>0</v>
      </c>
      <c r="L1344" s="425">
        <v>0</v>
      </c>
      <c r="M1344" s="425">
        <v>0</v>
      </c>
      <c r="N1344" s="425">
        <v>0</v>
      </c>
      <c r="O1344" s="425">
        <v>0</v>
      </c>
    </row>
    <row r="1345" spans="3:15" hidden="1" x14ac:dyDescent="0.3">
      <c r="C1345" t="s">
        <v>2295</v>
      </c>
      <c r="D1345" t="s">
        <v>2267</v>
      </c>
      <c r="E1345" t="s">
        <v>4903</v>
      </c>
      <c r="F1345" t="s">
        <v>4904</v>
      </c>
      <c r="G1345" s="425">
        <v>0</v>
      </c>
      <c r="H1345" s="425">
        <v>0</v>
      </c>
      <c r="I1345" s="425">
        <v>0</v>
      </c>
      <c r="J1345" s="425">
        <v>0</v>
      </c>
      <c r="K1345" s="425">
        <v>0</v>
      </c>
      <c r="L1345" s="425">
        <v>0</v>
      </c>
      <c r="M1345" s="425">
        <v>0</v>
      </c>
      <c r="N1345" s="425">
        <v>0</v>
      </c>
      <c r="O1345" s="425">
        <v>0</v>
      </c>
    </row>
    <row r="1346" spans="3:15" hidden="1" x14ac:dyDescent="0.3">
      <c r="C1346" t="s">
        <v>2295</v>
      </c>
      <c r="D1346" t="s">
        <v>2267</v>
      </c>
      <c r="E1346" t="s">
        <v>4905</v>
      </c>
      <c r="F1346" t="s">
        <v>4906</v>
      </c>
      <c r="G1346" s="425">
        <v>0</v>
      </c>
      <c r="H1346" s="425">
        <v>0</v>
      </c>
      <c r="I1346" s="425">
        <v>0</v>
      </c>
      <c r="J1346" s="425">
        <v>0</v>
      </c>
      <c r="K1346" s="425">
        <v>0</v>
      </c>
      <c r="L1346" s="425">
        <v>0</v>
      </c>
      <c r="M1346" s="425">
        <v>0</v>
      </c>
      <c r="N1346" s="425">
        <v>0</v>
      </c>
      <c r="O1346" s="425">
        <v>0</v>
      </c>
    </row>
    <row r="1347" spans="3:15" hidden="1" x14ac:dyDescent="0.3">
      <c r="C1347" t="s">
        <v>2295</v>
      </c>
      <c r="D1347" t="s">
        <v>2267</v>
      </c>
      <c r="E1347" t="s">
        <v>4907</v>
      </c>
      <c r="F1347" t="s">
        <v>4908</v>
      </c>
      <c r="G1347" s="425">
        <v>0</v>
      </c>
      <c r="H1347" s="425">
        <v>0</v>
      </c>
      <c r="I1347" s="425">
        <v>0</v>
      </c>
      <c r="J1347" s="425">
        <v>0</v>
      </c>
      <c r="K1347" s="425">
        <v>0</v>
      </c>
      <c r="L1347" s="425">
        <v>0</v>
      </c>
      <c r="M1347" s="425">
        <v>0</v>
      </c>
      <c r="N1347" s="425">
        <v>0</v>
      </c>
      <c r="O1347" s="425">
        <v>0</v>
      </c>
    </row>
    <row r="1348" spans="3:15" hidden="1" x14ac:dyDescent="0.3">
      <c r="C1348" t="s">
        <v>2295</v>
      </c>
      <c r="D1348" t="s">
        <v>2267</v>
      </c>
      <c r="E1348" t="s">
        <v>4909</v>
      </c>
      <c r="F1348" t="s">
        <v>4910</v>
      </c>
      <c r="G1348" s="425">
        <v>0</v>
      </c>
      <c r="H1348" s="425">
        <v>0</v>
      </c>
      <c r="I1348" s="425">
        <v>0</v>
      </c>
      <c r="J1348" s="425">
        <v>0</v>
      </c>
      <c r="K1348" s="425">
        <v>0</v>
      </c>
      <c r="L1348" s="425">
        <v>0</v>
      </c>
      <c r="M1348" s="425">
        <v>0</v>
      </c>
      <c r="N1348" s="425">
        <v>0</v>
      </c>
      <c r="O1348" s="425">
        <v>0</v>
      </c>
    </row>
    <row r="1349" spans="3:15" hidden="1" x14ac:dyDescent="0.3">
      <c r="C1349" t="s">
        <v>2295</v>
      </c>
      <c r="D1349" t="s">
        <v>2267</v>
      </c>
      <c r="E1349" t="s">
        <v>4911</v>
      </c>
      <c r="F1349" t="s">
        <v>4912</v>
      </c>
      <c r="G1349" s="425">
        <v>0</v>
      </c>
      <c r="H1349" s="425">
        <v>0</v>
      </c>
      <c r="I1349" s="425">
        <v>0</v>
      </c>
      <c r="J1349" s="425">
        <v>0</v>
      </c>
      <c r="K1349" s="425">
        <v>0</v>
      </c>
      <c r="L1349" s="425">
        <v>0</v>
      </c>
      <c r="M1349" s="425">
        <v>0</v>
      </c>
      <c r="N1349" s="425">
        <v>0</v>
      </c>
      <c r="O1349" s="425">
        <v>0</v>
      </c>
    </row>
    <row r="1350" spans="3:15" hidden="1" x14ac:dyDescent="0.3">
      <c r="C1350" t="s">
        <v>2295</v>
      </c>
      <c r="D1350" t="s">
        <v>2267</v>
      </c>
      <c r="E1350" t="s">
        <v>4913</v>
      </c>
      <c r="F1350" t="s">
        <v>4914</v>
      </c>
      <c r="G1350" s="425">
        <v>0</v>
      </c>
      <c r="H1350" s="425">
        <v>0</v>
      </c>
      <c r="I1350" s="425">
        <v>0</v>
      </c>
      <c r="J1350" s="425">
        <v>0</v>
      </c>
      <c r="K1350" s="425">
        <v>0</v>
      </c>
      <c r="L1350" s="425">
        <v>0</v>
      </c>
      <c r="M1350" s="425">
        <v>0</v>
      </c>
      <c r="N1350" s="425">
        <v>0</v>
      </c>
      <c r="O1350" s="425">
        <v>0</v>
      </c>
    </row>
    <row r="1351" spans="3:15" hidden="1" x14ac:dyDescent="0.3">
      <c r="C1351" t="s">
        <v>2295</v>
      </c>
      <c r="D1351" t="s">
        <v>2267</v>
      </c>
      <c r="E1351" t="s">
        <v>4915</v>
      </c>
      <c r="F1351" t="s">
        <v>4916</v>
      </c>
      <c r="G1351" s="425">
        <v>0</v>
      </c>
      <c r="H1351" s="425">
        <v>0</v>
      </c>
      <c r="I1351" s="425">
        <v>0</v>
      </c>
      <c r="J1351" s="425">
        <v>0</v>
      </c>
      <c r="K1351" s="425">
        <v>0</v>
      </c>
      <c r="L1351" s="425">
        <v>0</v>
      </c>
      <c r="M1351" s="425">
        <v>0</v>
      </c>
      <c r="N1351" s="425">
        <v>0</v>
      </c>
      <c r="O1351" s="425">
        <v>0</v>
      </c>
    </row>
    <row r="1352" spans="3:15" hidden="1" x14ac:dyDescent="0.3">
      <c r="C1352" t="s">
        <v>2295</v>
      </c>
      <c r="D1352" t="s">
        <v>2267</v>
      </c>
      <c r="E1352" t="s">
        <v>8956</v>
      </c>
      <c r="F1352" t="s">
        <v>4917</v>
      </c>
      <c r="G1352" s="425">
        <v>0</v>
      </c>
      <c r="H1352" s="425">
        <v>0</v>
      </c>
      <c r="I1352" s="425">
        <v>0</v>
      </c>
      <c r="J1352" s="425">
        <v>0</v>
      </c>
      <c r="K1352" s="425">
        <v>0</v>
      </c>
      <c r="L1352" s="425">
        <v>0</v>
      </c>
      <c r="M1352" s="425">
        <v>0</v>
      </c>
      <c r="N1352" s="425">
        <v>0</v>
      </c>
      <c r="O1352" s="425">
        <v>0</v>
      </c>
    </row>
    <row r="1353" spans="3:15" hidden="1" x14ac:dyDescent="0.3">
      <c r="C1353" t="s">
        <v>2295</v>
      </c>
      <c r="D1353" t="s">
        <v>2267</v>
      </c>
      <c r="E1353" t="s">
        <v>4918</v>
      </c>
      <c r="F1353" t="s">
        <v>4919</v>
      </c>
      <c r="G1353" s="425">
        <v>0</v>
      </c>
      <c r="H1353" s="425">
        <v>0</v>
      </c>
      <c r="I1353" s="425">
        <v>0</v>
      </c>
      <c r="J1353" s="425">
        <v>0</v>
      </c>
      <c r="K1353" s="425">
        <v>0</v>
      </c>
      <c r="L1353" s="425">
        <v>0</v>
      </c>
      <c r="M1353" s="425">
        <v>0</v>
      </c>
      <c r="N1353" s="425">
        <v>0</v>
      </c>
      <c r="O1353" s="425">
        <v>0</v>
      </c>
    </row>
    <row r="1354" spans="3:15" hidden="1" x14ac:dyDescent="0.3">
      <c r="C1354" t="s">
        <v>2295</v>
      </c>
      <c r="D1354" t="s">
        <v>2267</v>
      </c>
      <c r="E1354" t="s">
        <v>4920</v>
      </c>
      <c r="F1354" t="s">
        <v>4921</v>
      </c>
      <c r="G1354" s="425">
        <v>0</v>
      </c>
      <c r="H1354" s="425">
        <v>0</v>
      </c>
      <c r="I1354" s="425">
        <v>0</v>
      </c>
      <c r="J1354" s="425">
        <v>0</v>
      </c>
      <c r="K1354" s="425">
        <v>0</v>
      </c>
      <c r="L1354" s="425">
        <v>0</v>
      </c>
      <c r="M1354" s="425">
        <v>0</v>
      </c>
      <c r="N1354" s="425">
        <v>0</v>
      </c>
      <c r="O1354" s="425">
        <v>0</v>
      </c>
    </row>
    <row r="1355" spans="3:15" hidden="1" x14ac:dyDescent="0.3">
      <c r="C1355" t="s">
        <v>2295</v>
      </c>
      <c r="D1355" t="s">
        <v>2267</v>
      </c>
      <c r="E1355" t="s">
        <v>8957</v>
      </c>
      <c r="F1355" t="s">
        <v>4922</v>
      </c>
      <c r="G1355" s="425">
        <v>0</v>
      </c>
      <c r="H1355" s="425">
        <v>0</v>
      </c>
      <c r="I1355" s="425">
        <v>0</v>
      </c>
      <c r="J1355" s="425">
        <v>0</v>
      </c>
      <c r="K1355" s="425">
        <v>0</v>
      </c>
      <c r="L1355" s="425">
        <v>0</v>
      </c>
      <c r="M1355" s="425">
        <v>0</v>
      </c>
      <c r="N1355" s="425">
        <v>0</v>
      </c>
      <c r="O1355" s="425">
        <v>0</v>
      </c>
    </row>
    <row r="1356" spans="3:15" hidden="1" x14ac:dyDescent="0.3">
      <c r="C1356" t="s">
        <v>2295</v>
      </c>
      <c r="D1356" t="s">
        <v>2267</v>
      </c>
      <c r="E1356" t="s">
        <v>4923</v>
      </c>
      <c r="F1356" t="s">
        <v>4924</v>
      </c>
      <c r="G1356" s="425">
        <v>0</v>
      </c>
      <c r="H1356" s="425">
        <v>0</v>
      </c>
      <c r="I1356" s="425">
        <v>0</v>
      </c>
      <c r="J1356" s="425">
        <v>0</v>
      </c>
      <c r="K1356" s="425">
        <v>0</v>
      </c>
      <c r="L1356" s="425">
        <v>0</v>
      </c>
      <c r="M1356" s="425">
        <v>0</v>
      </c>
      <c r="N1356" s="425">
        <v>0</v>
      </c>
      <c r="O1356" s="425">
        <v>0</v>
      </c>
    </row>
    <row r="1357" spans="3:15" hidden="1" x14ac:dyDescent="0.3">
      <c r="C1357" t="s">
        <v>2295</v>
      </c>
      <c r="D1357" t="s">
        <v>2267</v>
      </c>
      <c r="E1357" t="s">
        <v>4925</v>
      </c>
      <c r="F1357" t="s">
        <v>4926</v>
      </c>
      <c r="G1357" s="425">
        <v>0</v>
      </c>
      <c r="H1357" s="425">
        <v>0</v>
      </c>
      <c r="I1357" s="425">
        <v>0</v>
      </c>
      <c r="J1357" s="425">
        <v>0</v>
      </c>
      <c r="K1357" s="425">
        <v>0</v>
      </c>
      <c r="L1357" s="425">
        <v>0</v>
      </c>
      <c r="M1357" s="425">
        <v>0</v>
      </c>
      <c r="N1357" s="425">
        <v>0</v>
      </c>
      <c r="O1357" s="425">
        <v>0</v>
      </c>
    </row>
    <row r="1358" spans="3:15" hidden="1" x14ac:dyDescent="0.3">
      <c r="C1358" t="s">
        <v>2295</v>
      </c>
      <c r="D1358" t="s">
        <v>2267</v>
      </c>
      <c r="E1358" t="s">
        <v>4927</v>
      </c>
      <c r="F1358" t="s">
        <v>4928</v>
      </c>
      <c r="G1358" s="425">
        <v>0</v>
      </c>
      <c r="H1358" s="425">
        <v>0</v>
      </c>
      <c r="I1358" s="425">
        <v>0</v>
      </c>
      <c r="J1358" s="425">
        <v>0</v>
      </c>
      <c r="K1358" s="425">
        <v>0</v>
      </c>
      <c r="L1358" s="425">
        <v>0</v>
      </c>
      <c r="M1358" s="425">
        <v>0</v>
      </c>
      <c r="N1358" s="425">
        <v>0</v>
      </c>
      <c r="O1358" s="425">
        <v>0</v>
      </c>
    </row>
    <row r="1359" spans="3:15" hidden="1" x14ac:dyDescent="0.3">
      <c r="C1359" t="s">
        <v>2295</v>
      </c>
      <c r="D1359" t="s">
        <v>2267</v>
      </c>
      <c r="E1359" t="s">
        <v>4929</v>
      </c>
      <c r="F1359" t="s">
        <v>4930</v>
      </c>
      <c r="G1359" s="425">
        <v>0</v>
      </c>
      <c r="H1359" s="425">
        <v>0</v>
      </c>
      <c r="I1359" s="425">
        <v>0</v>
      </c>
      <c r="J1359" s="425">
        <v>0</v>
      </c>
      <c r="K1359" s="425">
        <v>0</v>
      </c>
      <c r="L1359" s="425">
        <v>0</v>
      </c>
      <c r="M1359" s="425">
        <v>0</v>
      </c>
      <c r="N1359" s="425">
        <v>0</v>
      </c>
      <c r="O1359" s="425">
        <v>0</v>
      </c>
    </row>
    <row r="1360" spans="3:15" hidden="1" x14ac:dyDescent="0.3">
      <c r="C1360" t="s">
        <v>2295</v>
      </c>
      <c r="D1360" t="s">
        <v>2267</v>
      </c>
      <c r="E1360" t="s">
        <v>4931</v>
      </c>
      <c r="F1360" t="s">
        <v>4932</v>
      </c>
      <c r="G1360" s="425">
        <v>0</v>
      </c>
      <c r="H1360" s="425">
        <v>0</v>
      </c>
      <c r="I1360" s="425">
        <v>0</v>
      </c>
      <c r="J1360" s="425">
        <v>0</v>
      </c>
      <c r="K1360" s="425">
        <v>0</v>
      </c>
      <c r="L1360" s="425">
        <v>0</v>
      </c>
      <c r="M1360" s="425">
        <v>0</v>
      </c>
      <c r="N1360" s="425">
        <v>0</v>
      </c>
      <c r="O1360" s="425">
        <v>0</v>
      </c>
    </row>
    <row r="1361" spans="3:15" hidden="1" x14ac:dyDescent="0.3">
      <c r="C1361" t="s">
        <v>2295</v>
      </c>
      <c r="D1361" t="s">
        <v>2267</v>
      </c>
      <c r="E1361" t="s">
        <v>4933</v>
      </c>
      <c r="F1361" t="s">
        <v>4934</v>
      </c>
      <c r="G1361" s="425">
        <v>0</v>
      </c>
      <c r="H1361" s="425">
        <v>0</v>
      </c>
      <c r="I1361" s="425">
        <v>0</v>
      </c>
      <c r="J1361" s="425">
        <v>0</v>
      </c>
      <c r="K1361" s="425">
        <v>0</v>
      </c>
      <c r="L1361" s="425">
        <v>0</v>
      </c>
      <c r="M1361" s="425">
        <v>0</v>
      </c>
      <c r="N1361" s="425">
        <v>0</v>
      </c>
      <c r="O1361" s="425">
        <v>0</v>
      </c>
    </row>
    <row r="1362" spans="3:15" hidden="1" x14ac:dyDescent="0.3">
      <c r="C1362" t="s">
        <v>2295</v>
      </c>
      <c r="D1362" t="s">
        <v>2267</v>
      </c>
      <c r="E1362" t="s">
        <v>4935</v>
      </c>
      <c r="F1362" t="s">
        <v>4936</v>
      </c>
      <c r="G1362" s="425">
        <v>0</v>
      </c>
      <c r="H1362" s="425">
        <v>0</v>
      </c>
      <c r="I1362" s="425">
        <v>0</v>
      </c>
      <c r="J1362" s="425">
        <v>0</v>
      </c>
      <c r="K1362" s="425">
        <v>0</v>
      </c>
      <c r="L1362" s="425">
        <v>0</v>
      </c>
      <c r="M1362" s="425">
        <v>0</v>
      </c>
      <c r="N1362" s="425">
        <v>0</v>
      </c>
      <c r="O1362" s="425">
        <v>0</v>
      </c>
    </row>
    <row r="1363" spans="3:15" hidden="1" x14ac:dyDescent="0.3">
      <c r="C1363" t="s">
        <v>2295</v>
      </c>
      <c r="D1363" t="s">
        <v>2267</v>
      </c>
      <c r="E1363" t="s">
        <v>4937</v>
      </c>
      <c r="F1363" t="s">
        <v>4938</v>
      </c>
      <c r="G1363" s="425">
        <v>0</v>
      </c>
      <c r="H1363" s="425">
        <v>0</v>
      </c>
      <c r="I1363" s="425">
        <v>0</v>
      </c>
      <c r="J1363" s="425">
        <v>0</v>
      </c>
      <c r="K1363" s="425">
        <v>0</v>
      </c>
      <c r="L1363" s="425">
        <v>0</v>
      </c>
      <c r="M1363" s="425">
        <v>0</v>
      </c>
      <c r="N1363" s="425">
        <v>0</v>
      </c>
      <c r="O1363" s="425">
        <v>0</v>
      </c>
    </row>
    <row r="1364" spans="3:15" hidden="1" x14ac:dyDescent="0.3">
      <c r="C1364" t="s">
        <v>2295</v>
      </c>
      <c r="D1364" t="s">
        <v>2267</v>
      </c>
      <c r="E1364" t="s">
        <v>4939</v>
      </c>
      <c r="F1364" t="s">
        <v>4940</v>
      </c>
      <c r="G1364" s="425">
        <v>0</v>
      </c>
      <c r="H1364" s="425">
        <v>0</v>
      </c>
      <c r="I1364" s="425">
        <v>0</v>
      </c>
      <c r="J1364" s="425">
        <v>0</v>
      </c>
      <c r="K1364" s="425">
        <v>0</v>
      </c>
      <c r="L1364" s="425">
        <v>0</v>
      </c>
      <c r="M1364" s="425">
        <v>0</v>
      </c>
      <c r="N1364" s="425">
        <v>0</v>
      </c>
      <c r="O1364" s="425">
        <v>0</v>
      </c>
    </row>
    <row r="1365" spans="3:15" hidden="1" x14ac:dyDescent="0.3">
      <c r="C1365" t="s">
        <v>2295</v>
      </c>
      <c r="D1365" t="s">
        <v>2267</v>
      </c>
      <c r="E1365" t="s">
        <v>4941</v>
      </c>
      <c r="F1365" t="s">
        <v>4942</v>
      </c>
      <c r="G1365" s="425">
        <v>0</v>
      </c>
      <c r="H1365" s="425">
        <v>0</v>
      </c>
      <c r="I1365" s="425">
        <v>0</v>
      </c>
      <c r="J1365" s="425">
        <v>0</v>
      </c>
      <c r="K1365" s="425">
        <v>0</v>
      </c>
      <c r="L1365" s="425">
        <v>0</v>
      </c>
      <c r="M1365" s="425">
        <v>0</v>
      </c>
      <c r="N1365" s="425">
        <v>0</v>
      </c>
      <c r="O1365" s="425">
        <v>0</v>
      </c>
    </row>
    <row r="1366" spans="3:15" hidden="1" x14ac:dyDescent="0.3">
      <c r="C1366" t="s">
        <v>2295</v>
      </c>
      <c r="D1366" t="s">
        <v>2267</v>
      </c>
      <c r="E1366" t="s">
        <v>4943</v>
      </c>
      <c r="F1366" t="s">
        <v>4944</v>
      </c>
      <c r="G1366" s="425">
        <v>0</v>
      </c>
      <c r="H1366" s="425">
        <v>0</v>
      </c>
      <c r="I1366" s="425">
        <v>0</v>
      </c>
      <c r="J1366" s="425">
        <v>0</v>
      </c>
      <c r="K1366" s="425">
        <v>0</v>
      </c>
      <c r="L1366" s="425">
        <v>0</v>
      </c>
      <c r="M1366" s="425">
        <v>0</v>
      </c>
      <c r="N1366" s="425">
        <v>0</v>
      </c>
      <c r="O1366" s="425">
        <v>0</v>
      </c>
    </row>
    <row r="1367" spans="3:15" hidden="1" x14ac:dyDescent="0.3">
      <c r="C1367" t="s">
        <v>2295</v>
      </c>
      <c r="D1367" t="s">
        <v>2267</v>
      </c>
      <c r="E1367" t="s">
        <v>4945</v>
      </c>
      <c r="F1367" t="s">
        <v>4946</v>
      </c>
      <c r="G1367" s="425">
        <v>0</v>
      </c>
      <c r="H1367" s="425">
        <v>0</v>
      </c>
      <c r="I1367" s="425">
        <v>0</v>
      </c>
      <c r="J1367" s="425">
        <v>0</v>
      </c>
      <c r="K1367" s="425">
        <v>0</v>
      </c>
      <c r="L1367" s="425">
        <v>0</v>
      </c>
      <c r="M1367" s="425">
        <v>0</v>
      </c>
      <c r="N1367" s="425">
        <v>0</v>
      </c>
      <c r="O1367" s="425">
        <v>0</v>
      </c>
    </row>
    <row r="1368" spans="3:15" hidden="1" x14ac:dyDescent="0.3">
      <c r="C1368" t="s">
        <v>2295</v>
      </c>
      <c r="D1368" t="s">
        <v>2267</v>
      </c>
      <c r="E1368" t="s">
        <v>8958</v>
      </c>
      <c r="F1368" t="s">
        <v>4947</v>
      </c>
      <c r="G1368" s="425">
        <v>0</v>
      </c>
      <c r="H1368" s="425">
        <v>0</v>
      </c>
      <c r="I1368" s="425">
        <v>0</v>
      </c>
      <c r="J1368" s="425">
        <v>0</v>
      </c>
      <c r="K1368" s="425">
        <v>0</v>
      </c>
      <c r="L1368" s="425">
        <v>0</v>
      </c>
      <c r="M1368" s="425">
        <v>0</v>
      </c>
      <c r="N1368" s="425">
        <v>0</v>
      </c>
      <c r="O1368" s="425">
        <v>0</v>
      </c>
    </row>
    <row r="1369" spans="3:15" hidden="1" x14ac:dyDescent="0.3">
      <c r="C1369" t="s">
        <v>2295</v>
      </c>
      <c r="D1369" t="s">
        <v>2267</v>
      </c>
      <c r="E1369" t="s">
        <v>4948</v>
      </c>
      <c r="F1369" t="s">
        <v>4949</v>
      </c>
      <c r="G1369" s="425">
        <v>0</v>
      </c>
      <c r="H1369" s="425">
        <v>0</v>
      </c>
      <c r="I1369" s="425">
        <v>0</v>
      </c>
      <c r="J1369" s="425">
        <v>0</v>
      </c>
      <c r="K1369" s="425">
        <v>0</v>
      </c>
      <c r="L1369" s="425">
        <v>0</v>
      </c>
      <c r="M1369" s="425">
        <v>0</v>
      </c>
      <c r="N1369" s="425">
        <v>0</v>
      </c>
      <c r="O1369" s="425">
        <v>0</v>
      </c>
    </row>
    <row r="1370" spans="3:15" hidden="1" x14ac:dyDescent="0.3">
      <c r="C1370" t="s">
        <v>2295</v>
      </c>
      <c r="D1370" t="s">
        <v>2267</v>
      </c>
      <c r="E1370" t="s">
        <v>4950</v>
      </c>
      <c r="F1370" t="s">
        <v>4951</v>
      </c>
      <c r="G1370" s="425">
        <v>0</v>
      </c>
      <c r="H1370" s="425">
        <v>0</v>
      </c>
      <c r="I1370" s="425">
        <v>0</v>
      </c>
      <c r="J1370" s="425">
        <v>0</v>
      </c>
      <c r="K1370" s="425">
        <v>0</v>
      </c>
      <c r="L1370" s="425">
        <v>0</v>
      </c>
      <c r="M1370" s="425">
        <v>0</v>
      </c>
      <c r="N1370" s="425">
        <v>0</v>
      </c>
      <c r="O1370" s="425">
        <v>0</v>
      </c>
    </row>
    <row r="1371" spans="3:15" hidden="1" x14ac:dyDescent="0.3">
      <c r="C1371" t="s">
        <v>2295</v>
      </c>
      <c r="D1371" t="s">
        <v>2267</v>
      </c>
      <c r="E1371" t="s">
        <v>4952</v>
      </c>
      <c r="F1371" t="s">
        <v>4953</v>
      </c>
      <c r="G1371" s="425">
        <v>0</v>
      </c>
      <c r="H1371" s="425">
        <v>0</v>
      </c>
      <c r="I1371" s="425">
        <v>0</v>
      </c>
      <c r="J1371" s="425">
        <v>0</v>
      </c>
      <c r="K1371" s="425">
        <v>0</v>
      </c>
      <c r="L1371" s="425">
        <v>0</v>
      </c>
      <c r="M1371" s="425">
        <v>0</v>
      </c>
      <c r="N1371" s="425">
        <v>0</v>
      </c>
      <c r="O1371" s="425">
        <v>0</v>
      </c>
    </row>
    <row r="1372" spans="3:15" hidden="1" x14ac:dyDescent="0.3">
      <c r="C1372" t="s">
        <v>2295</v>
      </c>
      <c r="D1372" t="s">
        <v>2267</v>
      </c>
      <c r="E1372" t="s">
        <v>4954</v>
      </c>
      <c r="F1372" t="s">
        <v>4955</v>
      </c>
      <c r="G1372" s="425">
        <v>0</v>
      </c>
      <c r="H1372" s="425">
        <v>0</v>
      </c>
      <c r="I1372" s="425">
        <v>0</v>
      </c>
      <c r="J1372" s="425">
        <v>0</v>
      </c>
      <c r="K1372" s="425">
        <v>0</v>
      </c>
      <c r="L1372" s="425">
        <v>0</v>
      </c>
      <c r="M1372" s="425">
        <v>0</v>
      </c>
      <c r="N1372" s="425">
        <v>0</v>
      </c>
      <c r="O1372" s="425">
        <v>0</v>
      </c>
    </row>
    <row r="1373" spans="3:15" hidden="1" x14ac:dyDescent="0.3">
      <c r="C1373" t="s">
        <v>2295</v>
      </c>
      <c r="D1373" t="s">
        <v>2267</v>
      </c>
      <c r="E1373" t="s">
        <v>4956</v>
      </c>
      <c r="F1373" t="s">
        <v>4957</v>
      </c>
      <c r="G1373" s="425">
        <v>0</v>
      </c>
      <c r="H1373" s="425">
        <v>0</v>
      </c>
      <c r="I1373" s="425">
        <v>0</v>
      </c>
      <c r="J1373" s="425">
        <v>0</v>
      </c>
      <c r="K1373" s="425">
        <v>0</v>
      </c>
      <c r="L1373" s="425">
        <v>0</v>
      </c>
      <c r="M1373" s="425">
        <v>0</v>
      </c>
      <c r="N1373" s="425">
        <v>0</v>
      </c>
      <c r="O1373" s="425">
        <v>0</v>
      </c>
    </row>
    <row r="1374" spans="3:15" hidden="1" x14ac:dyDescent="0.3">
      <c r="C1374" t="s">
        <v>2295</v>
      </c>
      <c r="D1374" t="s">
        <v>2267</v>
      </c>
      <c r="E1374" t="s">
        <v>4958</v>
      </c>
      <c r="F1374" t="s">
        <v>4959</v>
      </c>
      <c r="G1374" s="425">
        <v>0</v>
      </c>
      <c r="H1374" s="425">
        <v>0</v>
      </c>
      <c r="I1374" s="425">
        <v>0</v>
      </c>
      <c r="J1374" s="425">
        <v>0</v>
      </c>
      <c r="K1374" s="425">
        <v>0</v>
      </c>
      <c r="L1374" s="425">
        <v>0</v>
      </c>
      <c r="M1374" s="425">
        <v>0</v>
      </c>
      <c r="N1374" s="425">
        <v>0</v>
      </c>
      <c r="O1374" s="425">
        <v>0</v>
      </c>
    </row>
    <row r="1375" spans="3:15" hidden="1" x14ac:dyDescent="0.3">
      <c r="C1375" t="s">
        <v>2295</v>
      </c>
      <c r="D1375" t="s">
        <v>2267</v>
      </c>
      <c r="E1375" t="s">
        <v>4960</v>
      </c>
      <c r="F1375" t="s">
        <v>4961</v>
      </c>
      <c r="G1375" s="425">
        <v>0</v>
      </c>
      <c r="H1375" s="425">
        <v>0</v>
      </c>
      <c r="I1375" s="425">
        <v>0</v>
      </c>
      <c r="J1375" s="425">
        <v>0</v>
      </c>
      <c r="K1375" s="425">
        <v>0</v>
      </c>
      <c r="L1375" s="425">
        <v>0</v>
      </c>
      <c r="M1375" s="425">
        <v>0</v>
      </c>
      <c r="N1375" s="425">
        <v>0</v>
      </c>
      <c r="O1375" s="425">
        <v>0</v>
      </c>
    </row>
    <row r="1376" spans="3:15" hidden="1" x14ac:dyDescent="0.3">
      <c r="C1376" t="s">
        <v>2295</v>
      </c>
      <c r="D1376" t="s">
        <v>2267</v>
      </c>
      <c r="E1376" t="s">
        <v>4962</v>
      </c>
      <c r="F1376" t="s">
        <v>4963</v>
      </c>
      <c r="G1376" s="425">
        <v>0</v>
      </c>
      <c r="H1376" s="425">
        <v>0</v>
      </c>
      <c r="I1376" s="425">
        <v>0</v>
      </c>
      <c r="J1376" s="425">
        <v>0</v>
      </c>
      <c r="K1376" s="425">
        <v>0</v>
      </c>
      <c r="L1376" s="425">
        <v>0</v>
      </c>
      <c r="M1376" s="425">
        <v>0</v>
      </c>
      <c r="N1376" s="425">
        <v>0</v>
      </c>
      <c r="O1376" s="425">
        <v>0</v>
      </c>
    </row>
    <row r="1377" spans="3:15" hidden="1" x14ac:dyDescent="0.3">
      <c r="C1377" t="s">
        <v>2295</v>
      </c>
      <c r="D1377" t="s">
        <v>2267</v>
      </c>
      <c r="E1377" t="s">
        <v>4964</v>
      </c>
      <c r="F1377" t="s">
        <v>4965</v>
      </c>
      <c r="G1377" s="425">
        <v>0</v>
      </c>
      <c r="H1377" s="425">
        <v>0</v>
      </c>
      <c r="I1377" s="425">
        <v>0</v>
      </c>
      <c r="J1377" s="425">
        <v>0</v>
      </c>
      <c r="K1377" s="425">
        <v>0</v>
      </c>
      <c r="L1377" s="425">
        <v>0</v>
      </c>
      <c r="M1377" s="425">
        <v>0</v>
      </c>
      <c r="N1377" s="425">
        <v>0</v>
      </c>
      <c r="O1377" s="425">
        <v>0</v>
      </c>
    </row>
    <row r="1378" spans="3:15" hidden="1" x14ac:dyDescent="0.3">
      <c r="C1378" t="s">
        <v>2295</v>
      </c>
      <c r="D1378" t="s">
        <v>2267</v>
      </c>
      <c r="E1378" t="s">
        <v>4966</v>
      </c>
      <c r="F1378" t="s">
        <v>4967</v>
      </c>
      <c r="G1378" s="425">
        <v>0</v>
      </c>
      <c r="H1378" s="425">
        <v>0</v>
      </c>
      <c r="I1378" s="425">
        <v>0</v>
      </c>
      <c r="J1378" s="425">
        <v>0</v>
      </c>
      <c r="K1378" s="425">
        <v>0</v>
      </c>
      <c r="L1378" s="425">
        <v>0</v>
      </c>
      <c r="M1378" s="425">
        <v>0</v>
      </c>
      <c r="N1378" s="425">
        <v>0</v>
      </c>
      <c r="O1378" s="425">
        <v>0</v>
      </c>
    </row>
    <row r="1379" spans="3:15" hidden="1" x14ac:dyDescent="0.3">
      <c r="C1379" t="s">
        <v>2295</v>
      </c>
      <c r="D1379" t="s">
        <v>2267</v>
      </c>
      <c r="E1379" t="s">
        <v>4968</v>
      </c>
      <c r="F1379" t="s">
        <v>4969</v>
      </c>
      <c r="G1379" s="425">
        <v>0</v>
      </c>
      <c r="H1379" s="425">
        <v>0</v>
      </c>
      <c r="I1379" s="425">
        <v>0</v>
      </c>
      <c r="J1379" s="425">
        <v>0</v>
      </c>
      <c r="K1379" s="425">
        <v>0</v>
      </c>
      <c r="L1379" s="425">
        <v>0</v>
      </c>
      <c r="M1379" s="425">
        <v>0</v>
      </c>
      <c r="N1379" s="425">
        <v>0</v>
      </c>
      <c r="O1379" s="425">
        <v>0</v>
      </c>
    </row>
    <row r="1380" spans="3:15" hidden="1" x14ac:dyDescent="0.3">
      <c r="C1380" t="s">
        <v>2295</v>
      </c>
      <c r="D1380" t="s">
        <v>2267</v>
      </c>
      <c r="E1380" t="s">
        <v>4970</v>
      </c>
      <c r="F1380" t="s">
        <v>4971</v>
      </c>
      <c r="G1380" s="425">
        <v>0</v>
      </c>
      <c r="H1380" s="425">
        <v>0</v>
      </c>
      <c r="I1380" s="425">
        <v>0</v>
      </c>
      <c r="J1380" s="425">
        <v>0</v>
      </c>
      <c r="K1380" s="425">
        <v>0</v>
      </c>
      <c r="L1380" s="425">
        <v>0</v>
      </c>
      <c r="M1380" s="425">
        <v>0</v>
      </c>
      <c r="N1380" s="425">
        <v>0</v>
      </c>
      <c r="O1380" s="425">
        <v>0</v>
      </c>
    </row>
    <row r="1381" spans="3:15" hidden="1" x14ac:dyDescent="0.3">
      <c r="C1381" t="s">
        <v>2295</v>
      </c>
      <c r="D1381" t="s">
        <v>2267</v>
      </c>
      <c r="E1381" t="s">
        <v>4972</v>
      </c>
      <c r="F1381" t="s">
        <v>4973</v>
      </c>
      <c r="G1381" s="425">
        <v>0</v>
      </c>
      <c r="H1381" s="425">
        <v>0</v>
      </c>
      <c r="I1381" s="425">
        <v>0</v>
      </c>
      <c r="J1381" s="425">
        <v>0</v>
      </c>
      <c r="K1381" s="425">
        <v>0</v>
      </c>
      <c r="L1381" s="425">
        <v>0</v>
      </c>
      <c r="M1381" s="425">
        <v>0</v>
      </c>
      <c r="N1381" s="425">
        <v>0</v>
      </c>
      <c r="O1381" s="425">
        <v>0</v>
      </c>
    </row>
    <row r="1382" spans="3:15" hidden="1" x14ac:dyDescent="0.3">
      <c r="C1382" t="s">
        <v>2295</v>
      </c>
      <c r="D1382" t="s">
        <v>2267</v>
      </c>
      <c r="E1382" t="s">
        <v>4974</v>
      </c>
      <c r="F1382" t="s">
        <v>4975</v>
      </c>
      <c r="G1382" s="425">
        <v>0</v>
      </c>
      <c r="H1382" s="425">
        <v>0</v>
      </c>
      <c r="I1382" s="425">
        <v>0</v>
      </c>
      <c r="J1382" s="425">
        <v>0</v>
      </c>
      <c r="K1382" s="425">
        <v>0</v>
      </c>
      <c r="L1382" s="425">
        <v>0</v>
      </c>
      <c r="M1382" s="425">
        <v>0</v>
      </c>
      <c r="N1382" s="425">
        <v>0</v>
      </c>
      <c r="O1382" s="425">
        <v>0</v>
      </c>
    </row>
    <row r="1383" spans="3:15" hidden="1" x14ac:dyDescent="0.3">
      <c r="C1383" t="s">
        <v>2295</v>
      </c>
      <c r="D1383" t="s">
        <v>2267</v>
      </c>
      <c r="E1383" t="s">
        <v>4976</v>
      </c>
      <c r="F1383" t="s">
        <v>4977</v>
      </c>
      <c r="G1383" s="425">
        <v>0</v>
      </c>
      <c r="H1383" s="425">
        <v>0</v>
      </c>
      <c r="I1383" s="425">
        <v>0</v>
      </c>
      <c r="J1383" s="425">
        <v>0</v>
      </c>
      <c r="K1383" s="425">
        <v>0</v>
      </c>
      <c r="L1383" s="425">
        <v>0</v>
      </c>
      <c r="M1383" s="425">
        <v>0</v>
      </c>
      <c r="N1383" s="425">
        <v>0</v>
      </c>
      <c r="O1383" s="425">
        <v>0</v>
      </c>
    </row>
    <row r="1384" spans="3:15" hidden="1" x14ac:dyDescent="0.3">
      <c r="C1384" t="s">
        <v>2295</v>
      </c>
      <c r="D1384" t="s">
        <v>2267</v>
      </c>
      <c r="E1384" t="s">
        <v>4978</v>
      </c>
      <c r="F1384" t="s">
        <v>4979</v>
      </c>
      <c r="G1384" s="425">
        <v>0</v>
      </c>
      <c r="H1384" s="425">
        <v>0</v>
      </c>
      <c r="I1384" s="425">
        <v>0</v>
      </c>
      <c r="J1384" s="425">
        <v>0</v>
      </c>
      <c r="K1384" s="425">
        <v>0</v>
      </c>
      <c r="L1384" s="425">
        <v>0</v>
      </c>
      <c r="M1384" s="425">
        <v>0</v>
      </c>
      <c r="N1384" s="425">
        <v>0</v>
      </c>
      <c r="O1384" s="425">
        <v>0</v>
      </c>
    </row>
    <row r="1385" spans="3:15" hidden="1" x14ac:dyDescent="0.3">
      <c r="C1385" t="s">
        <v>2295</v>
      </c>
      <c r="D1385" t="s">
        <v>2267</v>
      </c>
      <c r="E1385" t="s">
        <v>4980</v>
      </c>
      <c r="F1385" t="s">
        <v>4981</v>
      </c>
      <c r="G1385" s="425">
        <v>0</v>
      </c>
      <c r="H1385" s="425">
        <v>0</v>
      </c>
      <c r="I1385" s="425">
        <v>0</v>
      </c>
      <c r="J1385" s="425">
        <v>0</v>
      </c>
      <c r="K1385" s="425">
        <v>0</v>
      </c>
      <c r="L1385" s="425">
        <v>0</v>
      </c>
      <c r="M1385" s="425">
        <v>0</v>
      </c>
      <c r="N1385" s="425">
        <v>0</v>
      </c>
      <c r="O1385" s="425">
        <v>0</v>
      </c>
    </row>
    <row r="1386" spans="3:15" hidden="1" x14ac:dyDescent="0.3">
      <c r="C1386" t="s">
        <v>2295</v>
      </c>
      <c r="D1386" t="s">
        <v>2267</v>
      </c>
      <c r="E1386" t="s">
        <v>4982</v>
      </c>
      <c r="F1386" t="s">
        <v>4983</v>
      </c>
      <c r="G1386" s="425">
        <v>0</v>
      </c>
      <c r="H1386" s="425">
        <v>0</v>
      </c>
      <c r="I1386" s="425">
        <v>0</v>
      </c>
      <c r="J1386" s="425">
        <v>0</v>
      </c>
      <c r="K1386" s="425">
        <v>0</v>
      </c>
      <c r="L1386" s="425">
        <v>0</v>
      </c>
      <c r="M1386" s="425">
        <v>0</v>
      </c>
      <c r="N1386" s="425">
        <v>0</v>
      </c>
      <c r="O1386" s="425">
        <v>0</v>
      </c>
    </row>
    <row r="1387" spans="3:15" hidden="1" x14ac:dyDescent="0.3">
      <c r="C1387" t="s">
        <v>2295</v>
      </c>
      <c r="D1387" t="s">
        <v>2267</v>
      </c>
      <c r="E1387" t="s">
        <v>4984</v>
      </c>
      <c r="F1387" t="s">
        <v>4985</v>
      </c>
      <c r="G1387" s="425">
        <v>0</v>
      </c>
      <c r="H1387" s="425">
        <v>0</v>
      </c>
      <c r="I1387" s="425">
        <v>0</v>
      </c>
      <c r="J1387" s="425">
        <v>0</v>
      </c>
      <c r="K1387" s="425">
        <v>0</v>
      </c>
      <c r="L1387" s="425">
        <v>0</v>
      </c>
      <c r="M1387" s="425">
        <v>0</v>
      </c>
      <c r="N1387" s="425">
        <v>0</v>
      </c>
      <c r="O1387" s="425">
        <v>0</v>
      </c>
    </row>
    <row r="1388" spans="3:15" hidden="1" x14ac:dyDescent="0.3">
      <c r="C1388" t="s">
        <v>2295</v>
      </c>
      <c r="D1388" t="s">
        <v>2267</v>
      </c>
      <c r="E1388" t="s">
        <v>4986</v>
      </c>
      <c r="F1388" t="s">
        <v>4987</v>
      </c>
      <c r="G1388" s="425">
        <v>0</v>
      </c>
      <c r="H1388" s="425">
        <v>0</v>
      </c>
      <c r="I1388" s="425">
        <v>0</v>
      </c>
      <c r="J1388" s="425">
        <v>0</v>
      </c>
      <c r="K1388" s="425">
        <v>0</v>
      </c>
      <c r="L1388" s="425">
        <v>0</v>
      </c>
      <c r="M1388" s="425">
        <v>0</v>
      </c>
      <c r="N1388" s="425">
        <v>0</v>
      </c>
      <c r="O1388" s="425">
        <v>0</v>
      </c>
    </row>
    <row r="1389" spans="3:15" hidden="1" x14ac:dyDescent="0.3">
      <c r="C1389" t="s">
        <v>2295</v>
      </c>
      <c r="D1389" t="s">
        <v>2267</v>
      </c>
      <c r="E1389" t="s">
        <v>4988</v>
      </c>
      <c r="F1389" t="s">
        <v>4989</v>
      </c>
      <c r="G1389" s="425">
        <v>0</v>
      </c>
      <c r="H1389" s="425">
        <v>0</v>
      </c>
      <c r="I1389" s="425">
        <v>0</v>
      </c>
      <c r="J1389" s="425">
        <v>0</v>
      </c>
      <c r="K1389" s="425">
        <v>0</v>
      </c>
      <c r="L1389" s="425">
        <v>0</v>
      </c>
      <c r="M1389" s="425">
        <v>0</v>
      </c>
      <c r="N1389" s="425">
        <v>0</v>
      </c>
      <c r="O1389" s="425">
        <v>0</v>
      </c>
    </row>
    <row r="1390" spans="3:15" hidden="1" x14ac:dyDescent="0.3">
      <c r="C1390" t="s">
        <v>2295</v>
      </c>
      <c r="D1390" t="s">
        <v>2267</v>
      </c>
      <c r="E1390" t="s">
        <v>4990</v>
      </c>
      <c r="F1390" t="s">
        <v>4991</v>
      </c>
      <c r="G1390" s="425">
        <v>0</v>
      </c>
      <c r="H1390" s="425">
        <v>0</v>
      </c>
      <c r="I1390" s="425">
        <v>0</v>
      </c>
      <c r="J1390" s="425">
        <v>0</v>
      </c>
      <c r="K1390" s="425">
        <v>0</v>
      </c>
      <c r="L1390" s="425">
        <v>0</v>
      </c>
      <c r="M1390" s="425">
        <v>0</v>
      </c>
      <c r="N1390" s="425">
        <v>0</v>
      </c>
      <c r="O1390" s="425">
        <v>0</v>
      </c>
    </row>
    <row r="1391" spans="3:15" hidden="1" x14ac:dyDescent="0.3">
      <c r="C1391" t="s">
        <v>2295</v>
      </c>
      <c r="D1391" t="s">
        <v>2267</v>
      </c>
      <c r="E1391" t="s">
        <v>4992</v>
      </c>
      <c r="F1391" t="s">
        <v>4993</v>
      </c>
      <c r="G1391" s="425">
        <v>0</v>
      </c>
      <c r="H1391" s="425">
        <v>0</v>
      </c>
      <c r="I1391" s="425">
        <v>0</v>
      </c>
      <c r="J1391" s="425">
        <v>0</v>
      </c>
      <c r="K1391" s="425">
        <v>0</v>
      </c>
      <c r="L1391" s="425">
        <v>0</v>
      </c>
      <c r="M1391" s="425">
        <v>0</v>
      </c>
      <c r="N1391" s="425">
        <v>0</v>
      </c>
      <c r="O1391" s="425">
        <v>0</v>
      </c>
    </row>
    <row r="1392" spans="3:15" hidden="1" x14ac:dyDescent="0.3">
      <c r="C1392" t="s">
        <v>2295</v>
      </c>
      <c r="D1392" t="s">
        <v>2267</v>
      </c>
      <c r="E1392" t="s">
        <v>4994</v>
      </c>
      <c r="F1392" t="s">
        <v>4995</v>
      </c>
      <c r="G1392" s="425">
        <v>0</v>
      </c>
      <c r="H1392" s="425">
        <v>0</v>
      </c>
      <c r="I1392" s="425">
        <v>0</v>
      </c>
      <c r="J1392" s="425">
        <v>0</v>
      </c>
      <c r="K1392" s="425">
        <v>0</v>
      </c>
      <c r="L1392" s="425">
        <v>0</v>
      </c>
      <c r="M1392" s="425">
        <v>0</v>
      </c>
      <c r="N1392" s="425">
        <v>0</v>
      </c>
      <c r="O1392" s="425">
        <v>0</v>
      </c>
    </row>
    <row r="1393" spans="3:15" hidden="1" x14ac:dyDescent="0.3">
      <c r="C1393" t="s">
        <v>2295</v>
      </c>
      <c r="D1393" t="s">
        <v>2267</v>
      </c>
      <c r="E1393" t="s">
        <v>4996</v>
      </c>
      <c r="F1393" t="s">
        <v>4997</v>
      </c>
      <c r="G1393" s="425">
        <v>0</v>
      </c>
      <c r="H1393" s="425">
        <v>0</v>
      </c>
      <c r="I1393" s="425">
        <v>0</v>
      </c>
      <c r="J1393" s="425">
        <v>0</v>
      </c>
      <c r="K1393" s="425">
        <v>0</v>
      </c>
      <c r="L1393" s="425">
        <v>0</v>
      </c>
      <c r="M1393" s="425">
        <v>0</v>
      </c>
      <c r="N1393" s="425">
        <v>0</v>
      </c>
      <c r="O1393" s="425">
        <v>0</v>
      </c>
    </row>
    <row r="1394" spans="3:15" hidden="1" x14ac:dyDescent="0.3">
      <c r="C1394" t="s">
        <v>2295</v>
      </c>
      <c r="D1394" t="s">
        <v>2267</v>
      </c>
      <c r="E1394" t="s">
        <v>4998</v>
      </c>
      <c r="F1394" t="s">
        <v>4999</v>
      </c>
      <c r="G1394" s="425">
        <v>0</v>
      </c>
      <c r="H1394" s="425">
        <v>0</v>
      </c>
      <c r="I1394" s="425">
        <v>0</v>
      </c>
      <c r="J1394" s="425">
        <v>0</v>
      </c>
      <c r="K1394" s="425">
        <v>0</v>
      </c>
      <c r="L1394" s="425">
        <v>0</v>
      </c>
      <c r="M1394" s="425">
        <v>0</v>
      </c>
      <c r="N1394" s="425">
        <v>0</v>
      </c>
      <c r="O1394" s="425">
        <v>0</v>
      </c>
    </row>
    <row r="1395" spans="3:15" hidden="1" x14ac:dyDescent="0.3">
      <c r="C1395" t="s">
        <v>2295</v>
      </c>
      <c r="D1395" t="s">
        <v>2267</v>
      </c>
      <c r="E1395" t="s">
        <v>5000</v>
      </c>
      <c r="F1395" t="s">
        <v>5001</v>
      </c>
      <c r="G1395" s="425">
        <v>0</v>
      </c>
      <c r="H1395" s="425">
        <v>0</v>
      </c>
      <c r="I1395" s="425">
        <v>0</v>
      </c>
      <c r="J1395" s="425">
        <v>0</v>
      </c>
      <c r="K1395" s="425">
        <v>0</v>
      </c>
      <c r="L1395" s="425">
        <v>0</v>
      </c>
      <c r="M1395" s="425">
        <v>0</v>
      </c>
      <c r="N1395" s="425">
        <v>0</v>
      </c>
      <c r="O1395" s="425">
        <v>0</v>
      </c>
    </row>
    <row r="1396" spans="3:15" hidden="1" x14ac:dyDescent="0.3">
      <c r="C1396" t="s">
        <v>2295</v>
      </c>
      <c r="D1396" t="s">
        <v>2267</v>
      </c>
      <c r="E1396" t="s">
        <v>5002</v>
      </c>
      <c r="F1396" t="s">
        <v>5003</v>
      </c>
      <c r="G1396" s="425">
        <v>0</v>
      </c>
      <c r="H1396" s="425">
        <v>0</v>
      </c>
      <c r="I1396" s="425">
        <v>0</v>
      </c>
      <c r="J1396" s="425">
        <v>0</v>
      </c>
      <c r="K1396" s="425">
        <v>0</v>
      </c>
      <c r="L1396" s="425">
        <v>0</v>
      </c>
      <c r="M1396" s="425">
        <v>0</v>
      </c>
      <c r="N1396" s="425">
        <v>0</v>
      </c>
      <c r="O1396" s="425">
        <v>0</v>
      </c>
    </row>
    <row r="1397" spans="3:15" hidden="1" x14ac:dyDescent="0.3">
      <c r="C1397" t="s">
        <v>2295</v>
      </c>
      <c r="D1397" t="s">
        <v>2267</v>
      </c>
      <c r="E1397" t="s">
        <v>5004</v>
      </c>
      <c r="F1397" t="s">
        <v>5005</v>
      </c>
      <c r="G1397" s="425">
        <v>0</v>
      </c>
      <c r="H1397" s="425">
        <v>0</v>
      </c>
      <c r="I1397" s="425">
        <v>0</v>
      </c>
      <c r="J1397" s="425">
        <v>0</v>
      </c>
      <c r="K1397" s="425">
        <v>0</v>
      </c>
      <c r="L1397" s="425">
        <v>0</v>
      </c>
      <c r="M1397" s="425">
        <v>0</v>
      </c>
      <c r="N1397" s="425">
        <v>0</v>
      </c>
      <c r="O1397" s="425">
        <v>0</v>
      </c>
    </row>
    <row r="1398" spans="3:15" hidden="1" x14ac:dyDescent="0.3">
      <c r="C1398" t="s">
        <v>2295</v>
      </c>
      <c r="D1398" t="s">
        <v>2267</v>
      </c>
      <c r="E1398" t="s">
        <v>5006</v>
      </c>
      <c r="F1398" t="s">
        <v>5007</v>
      </c>
      <c r="G1398" s="425">
        <v>0</v>
      </c>
      <c r="H1398" s="425">
        <v>0</v>
      </c>
      <c r="I1398" s="425">
        <v>0</v>
      </c>
      <c r="J1398" s="425">
        <v>0</v>
      </c>
      <c r="K1398" s="425">
        <v>0</v>
      </c>
      <c r="L1398" s="425">
        <v>0</v>
      </c>
      <c r="M1398" s="425">
        <v>0</v>
      </c>
      <c r="N1398" s="425">
        <v>0</v>
      </c>
      <c r="O1398" s="425">
        <v>0</v>
      </c>
    </row>
    <row r="1399" spans="3:15" hidden="1" x14ac:dyDescent="0.3">
      <c r="C1399" t="s">
        <v>2295</v>
      </c>
      <c r="D1399" t="s">
        <v>2267</v>
      </c>
      <c r="E1399" t="s">
        <v>5008</v>
      </c>
      <c r="F1399" t="s">
        <v>5009</v>
      </c>
      <c r="G1399" s="425">
        <v>0</v>
      </c>
      <c r="H1399" s="425">
        <v>0</v>
      </c>
      <c r="I1399" s="425">
        <v>0</v>
      </c>
      <c r="J1399" s="425">
        <v>0</v>
      </c>
      <c r="K1399" s="425">
        <v>0</v>
      </c>
      <c r="L1399" s="425">
        <v>0</v>
      </c>
      <c r="M1399" s="425">
        <v>0</v>
      </c>
      <c r="N1399" s="425">
        <v>0</v>
      </c>
      <c r="O1399" s="425">
        <v>0</v>
      </c>
    </row>
    <row r="1400" spans="3:15" hidden="1" x14ac:dyDescent="0.3">
      <c r="C1400" t="s">
        <v>2295</v>
      </c>
      <c r="D1400" t="s">
        <v>2267</v>
      </c>
      <c r="E1400" t="s">
        <v>5010</v>
      </c>
      <c r="F1400" t="s">
        <v>5011</v>
      </c>
      <c r="G1400" s="425">
        <v>0</v>
      </c>
      <c r="H1400" s="425">
        <v>0</v>
      </c>
      <c r="I1400" s="425">
        <v>0</v>
      </c>
      <c r="J1400" s="425">
        <v>0</v>
      </c>
      <c r="K1400" s="425">
        <v>0</v>
      </c>
      <c r="L1400" s="425">
        <v>0</v>
      </c>
      <c r="M1400" s="425">
        <v>0</v>
      </c>
      <c r="N1400" s="425">
        <v>0</v>
      </c>
      <c r="O1400" s="425">
        <v>0</v>
      </c>
    </row>
    <row r="1401" spans="3:15" hidden="1" x14ac:dyDescent="0.3">
      <c r="C1401" t="s">
        <v>2295</v>
      </c>
      <c r="D1401" t="s">
        <v>2267</v>
      </c>
      <c r="E1401" t="s">
        <v>5012</v>
      </c>
      <c r="F1401" t="s">
        <v>5013</v>
      </c>
      <c r="G1401" s="425">
        <v>0</v>
      </c>
      <c r="H1401" s="425">
        <v>0</v>
      </c>
      <c r="I1401" s="425">
        <v>0</v>
      </c>
      <c r="J1401" s="425">
        <v>0</v>
      </c>
      <c r="K1401" s="425">
        <v>0</v>
      </c>
      <c r="L1401" s="425">
        <v>0</v>
      </c>
      <c r="M1401" s="425">
        <v>0</v>
      </c>
      <c r="N1401" s="425">
        <v>0</v>
      </c>
      <c r="O1401" s="425">
        <v>0</v>
      </c>
    </row>
    <row r="1402" spans="3:15" hidden="1" x14ac:dyDescent="0.3">
      <c r="C1402" t="s">
        <v>2295</v>
      </c>
      <c r="D1402" t="s">
        <v>2267</v>
      </c>
      <c r="E1402" t="s">
        <v>5014</v>
      </c>
      <c r="F1402" t="s">
        <v>5015</v>
      </c>
      <c r="G1402" s="425">
        <v>0</v>
      </c>
      <c r="H1402" s="425">
        <v>0</v>
      </c>
      <c r="I1402" s="425">
        <v>0</v>
      </c>
      <c r="J1402" s="425">
        <v>0</v>
      </c>
      <c r="K1402" s="425">
        <v>0</v>
      </c>
      <c r="L1402" s="425">
        <v>0</v>
      </c>
      <c r="M1402" s="425">
        <v>0</v>
      </c>
      <c r="N1402" s="425">
        <v>0</v>
      </c>
      <c r="O1402" s="425">
        <v>0</v>
      </c>
    </row>
    <row r="1403" spans="3:15" hidden="1" x14ac:dyDescent="0.3">
      <c r="C1403" t="s">
        <v>2295</v>
      </c>
      <c r="D1403" t="s">
        <v>2267</v>
      </c>
      <c r="E1403" t="s">
        <v>5016</v>
      </c>
      <c r="F1403" t="s">
        <v>5017</v>
      </c>
      <c r="G1403" s="425">
        <v>0</v>
      </c>
      <c r="H1403" s="425">
        <v>0</v>
      </c>
      <c r="I1403" s="425">
        <v>0</v>
      </c>
      <c r="J1403" s="425">
        <v>0</v>
      </c>
      <c r="K1403" s="425">
        <v>0</v>
      </c>
      <c r="L1403" s="425">
        <v>0</v>
      </c>
      <c r="M1403" s="425">
        <v>0</v>
      </c>
      <c r="N1403" s="425">
        <v>0</v>
      </c>
      <c r="O1403" s="425">
        <v>0</v>
      </c>
    </row>
    <row r="1404" spans="3:15" hidden="1" x14ac:dyDescent="0.3">
      <c r="C1404" t="s">
        <v>2295</v>
      </c>
      <c r="D1404" t="s">
        <v>2267</v>
      </c>
      <c r="E1404" t="s">
        <v>5018</v>
      </c>
      <c r="F1404" t="s">
        <v>5019</v>
      </c>
      <c r="G1404" s="425">
        <v>0</v>
      </c>
      <c r="H1404" s="425">
        <v>0</v>
      </c>
      <c r="I1404" s="425">
        <v>0</v>
      </c>
      <c r="J1404" s="425">
        <v>0</v>
      </c>
      <c r="K1404" s="425">
        <v>0</v>
      </c>
      <c r="L1404" s="425">
        <v>0</v>
      </c>
      <c r="M1404" s="425">
        <v>0</v>
      </c>
      <c r="N1404" s="425">
        <v>0</v>
      </c>
      <c r="O1404" s="425">
        <v>0</v>
      </c>
    </row>
    <row r="1405" spans="3:15" hidden="1" x14ac:dyDescent="0.3">
      <c r="C1405" t="s">
        <v>2295</v>
      </c>
      <c r="D1405" t="s">
        <v>2267</v>
      </c>
      <c r="E1405" t="s">
        <v>5020</v>
      </c>
      <c r="F1405" t="s">
        <v>5021</v>
      </c>
      <c r="G1405" s="425">
        <v>0</v>
      </c>
      <c r="H1405" s="425">
        <v>0</v>
      </c>
      <c r="I1405" s="425">
        <v>0</v>
      </c>
      <c r="J1405" s="425">
        <v>0</v>
      </c>
      <c r="K1405" s="425">
        <v>0</v>
      </c>
      <c r="L1405" s="425">
        <v>0</v>
      </c>
      <c r="M1405" s="425">
        <v>0</v>
      </c>
      <c r="N1405" s="425">
        <v>0</v>
      </c>
      <c r="O1405" s="425">
        <v>0</v>
      </c>
    </row>
    <row r="1406" spans="3:15" hidden="1" x14ac:dyDescent="0.3">
      <c r="C1406" t="s">
        <v>2295</v>
      </c>
      <c r="D1406" t="s">
        <v>2267</v>
      </c>
      <c r="E1406" t="s">
        <v>5022</v>
      </c>
      <c r="F1406" t="s">
        <v>5023</v>
      </c>
      <c r="G1406" s="425">
        <v>0</v>
      </c>
      <c r="H1406" s="425">
        <v>0</v>
      </c>
      <c r="I1406" s="425">
        <v>0</v>
      </c>
      <c r="J1406" s="425">
        <v>0</v>
      </c>
      <c r="K1406" s="425">
        <v>0</v>
      </c>
      <c r="L1406" s="425">
        <v>0</v>
      </c>
      <c r="M1406" s="425">
        <v>0</v>
      </c>
      <c r="N1406" s="425">
        <v>0</v>
      </c>
      <c r="O1406" s="425">
        <v>0</v>
      </c>
    </row>
    <row r="1407" spans="3:15" hidden="1" x14ac:dyDescent="0.3">
      <c r="C1407" t="s">
        <v>2295</v>
      </c>
      <c r="D1407" t="s">
        <v>2267</v>
      </c>
      <c r="E1407" t="s">
        <v>5024</v>
      </c>
      <c r="F1407" t="s">
        <v>5025</v>
      </c>
      <c r="G1407" s="425">
        <v>0</v>
      </c>
      <c r="H1407" s="425">
        <v>0</v>
      </c>
      <c r="I1407" s="425">
        <v>0</v>
      </c>
      <c r="J1407" s="425">
        <v>0</v>
      </c>
      <c r="K1407" s="425">
        <v>0</v>
      </c>
      <c r="L1407" s="425">
        <v>0</v>
      </c>
      <c r="M1407" s="425">
        <v>0</v>
      </c>
      <c r="N1407" s="425">
        <v>0</v>
      </c>
      <c r="O1407" s="425">
        <v>0</v>
      </c>
    </row>
    <row r="1408" spans="3:15" hidden="1" x14ac:dyDescent="0.3">
      <c r="C1408" t="s">
        <v>2295</v>
      </c>
      <c r="D1408" t="s">
        <v>2267</v>
      </c>
      <c r="E1408" t="s">
        <v>5026</v>
      </c>
      <c r="F1408" t="s">
        <v>5027</v>
      </c>
      <c r="G1408" s="425">
        <v>0</v>
      </c>
      <c r="H1408" s="425">
        <v>0</v>
      </c>
      <c r="I1408" s="425">
        <v>0</v>
      </c>
      <c r="J1408" s="425">
        <v>0</v>
      </c>
      <c r="K1408" s="425">
        <v>0</v>
      </c>
      <c r="L1408" s="425">
        <v>0</v>
      </c>
      <c r="M1408" s="425">
        <v>0</v>
      </c>
      <c r="N1408" s="425">
        <v>0</v>
      </c>
      <c r="O1408" s="425">
        <v>0</v>
      </c>
    </row>
    <row r="1409" spans="3:15" hidden="1" x14ac:dyDescent="0.3">
      <c r="C1409" t="s">
        <v>2295</v>
      </c>
      <c r="D1409" t="s">
        <v>2267</v>
      </c>
      <c r="E1409" t="s">
        <v>5028</v>
      </c>
      <c r="F1409" t="s">
        <v>5029</v>
      </c>
      <c r="G1409" s="425">
        <v>0</v>
      </c>
      <c r="H1409" s="425">
        <v>0</v>
      </c>
      <c r="I1409" s="425">
        <v>0</v>
      </c>
      <c r="J1409" s="425">
        <v>0</v>
      </c>
      <c r="K1409" s="425">
        <v>0</v>
      </c>
      <c r="L1409" s="425">
        <v>0</v>
      </c>
      <c r="M1409" s="425">
        <v>0</v>
      </c>
      <c r="N1409" s="425">
        <v>0</v>
      </c>
      <c r="O1409" s="425">
        <v>0</v>
      </c>
    </row>
    <row r="1410" spans="3:15" hidden="1" x14ac:dyDescent="0.3">
      <c r="C1410" t="s">
        <v>2295</v>
      </c>
      <c r="D1410" t="s">
        <v>2267</v>
      </c>
      <c r="E1410" t="s">
        <v>5030</v>
      </c>
      <c r="F1410" t="s">
        <v>5031</v>
      </c>
      <c r="G1410" s="425">
        <v>0</v>
      </c>
      <c r="H1410" s="425">
        <v>0</v>
      </c>
      <c r="I1410" s="425">
        <v>0</v>
      </c>
      <c r="J1410" s="425">
        <v>0</v>
      </c>
      <c r="K1410" s="425">
        <v>0</v>
      </c>
      <c r="L1410" s="425">
        <v>0</v>
      </c>
      <c r="M1410" s="425">
        <v>0</v>
      </c>
      <c r="N1410" s="425">
        <v>0</v>
      </c>
      <c r="O1410" s="425">
        <v>0</v>
      </c>
    </row>
    <row r="1411" spans="3:15" hidden="1" x14ac:dyDescent="0.3">
      <c r="C1411" t="s">
        <v>2295</v>
      </c>
      <c r="D1411" t="s">
        <v>2267</v>
      </c>
      <c r="E1411" t="s">
        <v>5032</v>
      </c>
      <c r="F1411" t="s">
        <v>5033</v>
      </c>
      <c r="G1411" s="425">
        <v>0</v>
      </c>
      <c r="H1411" s="425">
        <v>0</v>
      </c>
      <c r="I1411" s="425">
        <v>0</v>
      </c>
      <c r="J1411" s="425">
        <v>0</v>
      </c>
      <c r="K1411" s="425">
        <v>0</v>
      </c>
      <c r="L1411" s="425">
        <v>0</v>
      </c>
      <c r="M1411" s="425">
        <v>0</v>
      </c>
      <c r="N1411" s="425">
        <v>0</v>
      </c>
      <c r="O1411" s="425">
        <v>0</v>
      </c>
    </row>
    <row r="1412" spans="3:15" hidden="1" x14ac:dyDescent="0.3">
      <c r="C1412" t="s">
        <v>2295</v>
      </c>
      <c r="D1412" t="s">
        <v>2267</v>
      </c>
      <c r="E1412" t="s">
        <v>5034</v>
      </c>
      <c r="F1412" t="s">
        <v>5035</v>
      </c>
      <c r="G1412" s="425">
        <v>0</v>
      </c>
      <c r="H1412" s="425">
        <v>0</v>
      </c>
      <c r="I1412" s="425">
        <v>0</v>
      </c>
      <c r="J1412" s="425">
        <v>0</v>
      </c>
      <c r="K1412" s="425">
        <v>0</v>
      </c>
      <c r="L1412" s="425">
        <v>0</v>
      </c>
      <c r="M1412" s="425">
        <v>0</v>
      </c>
      <c r="N1412" s="425">
        <v>0</v>
      </c>
      <c r="O1412" s="425">
        <v>0</v>
      </c>
    </row>
    <row r="1413" spans="3:15" hidden="1" x14ac:dyDescent="0.3">
      <c r="C1413" t="s">
        <v>2295</v>
      </c>
      <c r="D1413" t="s">
        <v>2267</v>
      </c>
      <c r="E1413" t="s">
        <v>5036</v>
      </c>
      <c r="F1413" t="s">
        <v>5037</v>
      </c>
      <c r="G1413" s="425">
        <v>0</v>
      </c>
      <c r="H1413" s="425">
        <v>0</v>
      </c>
      <c r="I1413" s="425">
        <v>0</v>
      </c>
      <c r="J1413" s="425">
        <v>0</v>
      </c>
      <c r="K1413" s="425">
        <v>0</v>
      </c>
      <c r="L1413" s="425">
        <v>0</v>
      </c>
      <c r="M1413" s="425">
        <v>0</v>
      </c>
      <c r="N1413" s="425">
        <v>0</v>
      </c>
      <c r="O1413" s="425">
        <v>0</v>
      </c>
    </row>
    <row r="1414" spans="3:15" hidden="1" x14ac:dyDescent="0.3">
      <c r="C1414" t="s">
        <v>2295</v>
      </c>
      <c r="D1414" t="s">
        <v>2267</v>
      </c>
      <c r="E1414" t="s">
        <v>5038</v>
      </c>
      <c r="F1414" t="s">
        <v>5039</v>
      </c>
      <c r="G1414" s="425">
        <v>0</v>
      </c>
      <c r="H1414" s="425">
        <v>0</v>
      </c>
      <c r="I1414" s="425">
        <v>0</v>
      </c>
      <c r="J1414" s="425">
        <v>0</v>
      </c>
      <c r="K1414" s="425">
        <v>0</v>
      </c>
      <c r="L1414" s="425">
        <v>0</v>
      </c>
      <c r="M1414" s="425">
        <v>0</v>
      </c>
      <c r="N1414" s="425">
        <v>0</v>
      </c>
      <c r="O1414" s="425">
        <v>0</v>
      </c>
    </row>
    <row r="1415" spans="3:15" hidden="1" x14ac:dyDescent="0.3">
      <c r="C1415" t="s">
        <v>2295</v>
      </c>
      <c r="D1415" t="s">
        <v>2267</v>
      </c>
      <c r="E1415" t="s">
        <v>5040</v>
      </c>
      <c r="F1415" t="s">
        <v>5041</v>
      </c>
      <c r="G1415" s="425">
        <v>0</v>
      </c>
      <c r="H1415" s="425">
        <v>0</v>
      </c>
      <c r="I1415" s="425">
        <v>0</v>
      </c>
      <c r="J1415" s="425">
        <v>0</v>
      </c>
      <c r="K1415" s="425">
        <v>0</v>
      </c>
      <c r="L1415" s="425">
        <v>0</v>
      </c>
      <c r="M1415" s="425">
        <v>0</v>
      </c>
      <c r="N1415" s="425">
        <v>0</v>
      </c>
      <c r="O1415" s="425">
        <v>0</v>
      </c>
    </row>
    <row r="1416" spans="3:15" hidden="1" x14ac:dyDescent="0.3">
      <c r="C1416" t="s">
        <v>2295</v>
      </c>
      <c r="D1416" t="s">
        <v>2267</v>
      </c>
      <c r="E1416" t="s">
        <v>5042</v>
      </c>
      <c r="F1416" t="s">
        <v>5043</v>
      </c>
      <c r="G1416" s="425">
        <v>0</v>
      </c>
      <c r="H1416" s="425">
        <v>0</v>
      </c>
      <c r="I1416" s="425">
        <v>0</v>
      </c>
      <c r="J1416" s="425">
        <v>0</v>
      </c>
      <c r="K1416" s="425">
        <v>0</v>
      </c>
      <c r="L1416" s="425">
        <v>0</v>
      </c>
      <c r="M1416" s="425">
        <v>0</v>
      </c>
      <c r="N1416" s="425">
        <v>0</v>
      </c>
      <c r="O1416" s="425">
        <v>0</v>
      </c>
    </row>
    <row r="1417" spans="3:15" hidden="1" x14ac:dyDescent="0.3">
      <c r="C1417" t="s">
        <v>2295</v>
      </c>
      <c r="D1417" t="s">
        <v>2267</v>
      </c>
      <c r="E1417" t="s">
        <v>5044</v>
      </c>
      <c r="F1417" t="s">
        <v>5045</v>
      </c>
      <c r="G1417" s="425">
        <v>0</v>
      </c>
      <c r="H1417" s="425">
        <v>0</v>
      </c>
      <c r="I1417" s="425">
        <v>0</v>
      </c>
      <c r="J1417" s="425">
        <v>0</v>
      </c>
      <c r="K1417" s="425">
        <v>0</v>
      </c>
      <c r="L1417" s="425">
        <v>0</v>
      </c>
      <c r="M1417" s="425">
        <v>0</v>
      </c>
      <c r="N1417" s="425">
        <v>0</v>
      </c>
      <c r="O1417" s="425">
        <v>0</v>
      </c>
    </row>
    <row r="1418" spans="3:15" hidden="1" x14ac:dyDescent="0.3">
      <c r="C1418" t="s">
        <v>2295</v>
      </c>
      <c r="D1418" t="s">
        <v>2267</v>
      </c>
      <c r="E1418" t="s">
        <v>5046</v>
      </c>
      <c r="F1418" t="s">
        <v>5047</v>
      </c>
      <c r="G1418" s="425">
        <v>0</v>
      </c>
      <c r="H1418" s="425">
        <v>0</v>
      </c>
      <c r="I1418" s="425">
        <v>0</v>
      </c>
      <c r="J1418" s="425">
        <v>0</v>
      </c>
      <c r="K1418" s="425">
        <v>0</v>
      </c>
      <c r="L1418" s="425">
        <v>0</v>
      </c>
      <c r="M1418" s="425">
        <v>0</v>
      </c>
      <c r="N1418" s="425">
        <v>0</v>
      </c>
      <c r="O1418" s="425">
        <v>0</v>
      </c>
    </row>
    <row r="1419" spans="3:15" hidden="1" x14ac:dyDescent="0.3">
      <c r="C1419" t="s">
        <v>2295</v>
      </c>
      <c r="D1419" t="s">
        <v>2267</v>
      </c>
      <c r="E1419" t="s">
        <v>5048</v>
      </c>
      <c r="F1419" t="s">
        <v>5049</v>
      </c>
      <c r="G1419" s="425">
        <v>0</v>
      </c>
      <c r="H1419" s="425">
        <v>0</v>
      </c>
      <c r="I1419" s="425">
        <v>0</v>
      </c>
      <c r="J1419" s="425">
        <v>0</v>
      </c>
      <c r="K1419" s="425">
        <v>0</v>
      </c>
      <c r="L1419" s="425">
        <v>0</v>
      </c>
      <c r="M1419" s="425">
        <v>0</v>
      </c>
      <c r="N1419" s="425">
        <v>0</v>
      </c>
      <c r="O1419" s="425">
        <v>0</v>
      </c>
    </row>
    <row r="1420" spans="3:15" hidden="1" x14ac:dyDescent="0.3">
      <c r="C1420" t="s">
        <v>2295</v>
      </c>
      <c r="D1420" t="s">
        <v>2267</v>
      </c>
      <c r="E1420" t="s">
        <v>5050</v>
      </c>
      <c r="F1420" t="s">
        <v>5051</v>
      </c>
      <c r="G1420" s="425">
        <v>0</v>
      </c>
      <c r="H1420" s="425">
        <v>0</v>
      </c>
      <c r="I1420" s="425">
        <v>0</v>
      </c>
      <c r="J1420" s="425">
        <v>0</v>
      </c>
      <c r="K1420" s="425">
        <v>0</v>
      </c>
      <c r="L1420" s="425">
        <v>0</v>
      </c>
      <c r="M1420" s="425">
        <v>0</v>
      </c>
      <c r="N1420" s="425">
        <v>0</v>
      </c>
      <c r="O1420" s="425">
        <v>0</v>
      </c>
    </row>
    <row r="1421" spans="3:15" hidden="1" x14ac:dyDescent="0.3">
      <c r="C1421" t="s">
        <v>2295</v>
      </c>
      <c r="D1421" t="s">
        <v>2267</v>
      </c>
      <c r="E1421" t="s">
        <v>5052</v>
      </c>
      <c r="F1421" t="s">
        <v>5053</v>
      </c>
      <c r="G1421" s="425">
        <v>0</v>
      </c>
      <c r="H1421" s="425">
        <v>0</v>
      </c>
      <c r="I1421" s="425">
        <v>0</v>
      </c>
      <c r="J1421" s="425">
        <v>0</v>
      </c>
      <c r="K1421" s="425">
        <v>0</v>
      </c>
      <c r="L1421" s="425">
        <v>0</v>
      </c>
      <c r="M1421" s="425">
        <v>0</v>
      </c>
      <c r="N1421" s="425">
        <v>0</v>
      </c>
      <c r="O1421" s="425">
        <v>0</v>
      </c>
    </row>
    <row r="1422" spans="3:15" hidden="1" x14ac:dyDescent="0.3">
      <c r="C1422" t="s">
        <v>2295</v>
      </c>
      <c r="D1422" t="s">
        <v>2267</v>
      </c>
      <c r="E1422" t="s">
        <v>5054</v>
      </c>
      <c r="F1422" t="s">
        <v>5055</v>
      </c>
      <c r="G1422" s="425">
        <v>0</v>
      </c>
      <c r="H1422" s="425">
        <v>0</v>
      </c>
      <c r="I1422" s="425">
        <v>0</v>
      </c>
      <c r="J1422" s="425">
        <v>0</v>
      </c>
      <c r="K1422" s="425">
        <v>0</v>
      </c>
      <c r="L1422" s="425">
        <v>0</v>
      </c>
      <c r="M1422" s="425">
        <v>0</v>
      </c>
      <c r="N1422" s="425">
        <v>0</v>
      </c>
      <c r="O1422" s="425">
        <v>0</v>
      </c>
    </row>
    <row r="1423" spans="3:15" hidden="1" x14ac:dyDescent="0.3">
      <c r="C1423" t="s">
        <v>2295</v>
      </c>
      <c r="D1423" t="s">
        <v>2267</v>
      </c>
      <c r="E1423" t="s">
        <v>5056</v>
      </c>
      <c r="F1423" t="s">
        <v>5057</v>
      </c>
      <c r="G1423" s="425">
        <v>2276180</v>
      </c>
      <c r="H1423" s="425">
        <v>0</v>
      </c>
      <c r="I1423" s="425">
        <v>2276180</v>
      </c>
      <c r="J1423" s="425">
        <v>0</v>
      </c>
      <c r="K1423" s="425">
        <v>0</v>
      </c>
      <c r="L1423" s="425">
        <v>0</v>
      </c>
      <c r="M1423" s="425">
        <v>0</v>
      </c>
      <c r="N1423" s="425">
        <v>0</v>
      </c>
      <c r="O1423" s="425">
        <v>0</v>
      </c>
    </row>
    <row r="1424" spans="3:15" hidden="1" x14ac:dyDescent="0.3">
      <c r="C1424" t="s">
        <v>2295</v>
      </c>
      <c r="D1424" t="s">
        <v>2267</v>
      </c>
      <c r="E1424" t="s">
        <v>5058</v>
      </c>
      <c r="F1424" t="s">
        <v>5059</v>
      </c>
      <c r="G1424" s="425">
        <v>0</v>
      </c>
      <c r="H1424" s="425">
        <v>0</v>
      </c>
      <c r="I1424" s="425">
        <v>0</v>
      </c>
      <c r="J1424" s="425">
        <v>0</v>
      </c>
      <c r="K1424" s="425">
        <v>0</v>
      </c>
      <c r="L1424" s="425">
        <v>0</v>
      </c>
      <c r="M1424" s="425">
        <v>0</v>
      </c>
      <c r="N1424" s="425">
        <v>0</v>
      </c>
      <c r="O1424" s="425">
        <v>0</v>
      </c>
    </row>
    <row r="1425" spans="3:15" hidden="1" x14ac:dyDescent="0.3">
      <c r="C1425" t="s">
        <v>2295</v>
      </c>
      <c r="D1425" t="s">
        <v>2267</v>
      </c>
      <c r="E1425" t="s">
        <v>5060</v>
      </c>
      <c r="F1425" t="s">
        <v>5061</v>
      </c>
      <c r="G1425" s="425">
        <v>0</v>
      </c>
      <c r="H1425" s="425">
        <v>0</v>
      </c>
      <c r="I1425" s="425">
        <v>0</v>
      </c>
      <c r="J1425" s="425">
        <v>0</v>
      </c>
      <c r="K1425" s="425">
        <v>0</v>
      </c>
      <c r="L1425" s="425">
        <v>0</v>
      </c>
      <c r="M1425" s="425">
        <v>0</v>
      </c>
      <c r="N1425" s="425">
        <v>0</v>
      </c>
      <c r="O1425" s="425">
        <v>0</v>
      </c>
    </row>
    <row r="1426" spans="3:15" hidden="1" x14ac:dyDescent="0.3">
      <c r="C1426" t="s">
        <v>2295</v>
      </c>
      <c r="D1426" t="s">
        <v>2267</v>
      </c>
      <c r="E1426" t="s">
        <v>5062</v>
      </c>
      <c r="F1426" t="s">
        <v>5063</v>
      </c>
      <c r="G1426" s="425">
        <v>0</v>
      </c>
      <c r="H1426" s="425">
        <v>0</v>
      </c>
      <c r="I1426" s="425">
        <v>0</v>
      </c>
      <c r="J1426" s="425">
        <v>0</v>
      </c>
      <c r="K1426" s="425">
        <v>0</v>
      </c>
      <c r="L1426" s="425">
        <v>0</v>
      </c>
      <c r="M1426" s="425">
        <v>0</v>
      </c>
      <c r="N1426" s="425">
        <v>0</v>
      </c>
      <c r="O1426" s="425">
        <v>0</v>
      </c>
    </row>
    <row r="1427" spans="3:15" hidden="1" x14ac:dyDescent="0.3">
      <c r="C1427" t="s">
        <v>2295</v>
      </c>
      <c r="D1427" t="s">
        <v>2267</v>
      </c>
      <c r="E1427" t="s">
        <v>5064</v>
      </c>
      <c r="F1427" t="s">
        <v>5065</v>
      </c>
      <c r="G1427" s="425">
        <v>0</v>
      </c>
      <c r="H1427" s="425">
        <v>0</v>
      </c>
      <c r="I1427" s="425">
        <v>0</v>
      </c>
      <c r="J1427" s="425">
        <v>0</v>
      </c>
      <c r="K1427" s="425">
        <v>0</v>
      </c>
      <c r="L1427" s="425">
        <v>0</v>
      </c>
      <c r="M1427" s="425">
        <v>0</v>
      </c>
      <c r="N1427" s="425">
        <v>0</v>
      </c>
      <c r="O1427" s="425">
        <v>0</v>
      </c>
    </row>
    <row r="1428" spans="3:15" hidden="1" x14ac:dyDescent="0.3">
      <c r="C1428" t="s">
        <v>2295</v>
      </c>
      <c r="D1428" t="s">
        <v>2267</v>
      </c>
      <c r="E1428" t="s">
        <v>5066</v>
      </c>
      <c r="F1428" t="s">
        <v>5067</v>
      </c>
      <c r="G1428" s="425">
        <v>0</v>
      </c>
      <c r="H1428" s="425">
        <v>0</v>
      </c>
      <c r="I1428" s="425">
        <v>0</v>
      </c>
      <c r="J1428" s="425">
        <v>0</v>
      </c>
      <c r="K1428" s="425">
        <v>0</v>
      </c>
      <c r="L1428" s="425">
        <v>0</v>
      </c>
      <c r="M1428" s="425">
        <v>0</v>
      </c>
      <c r="N1428" s="425">
        <v>0</v>
      </c>
      <c r="O1428" s="425">
        <v>0</v>
      </c>
    </row>
    <row r="1429" spans="3:15" hidden="1" x14ac:dyDescent="0.3">
      <c r="C1429" t="s">
        <v>2295</v>
      </c>
      <c r="D1429" t="s">
        <v>2267</v>
      </c>
      <c r="E1429" t="s">
        <v>5068</v>
      </c>
      <c r="F1429" t="s">
        <v>5069</v>
      </c>
      <c r="G1429" s="425">
        <v>0</v>
      </c>
      <c r="H1429" s="425">
        <v>0</v>
      </c>
      <c r="I1429" s="425">
        <v>0</v>
      </c>
      <c r="J1429" s="425">
        <v>0</v>
      </c>
      <c r="K1429" s="425">
        <v>0</v>
      </c>
      <c r="L1429" s="425">
        <v>0</v>
      </c>
      <c r="M1429" s="425">
        <v>0</v>
      </c>
      <c r="N1429" s="425">
        <v>0</v>
      </c>
      <c r="O1429" s="425">
        <v>0</v>
      </c>
    </row>
    <row r="1430" spans="3:15" hidden="1" x14ac:dyDescent="0.3">
      <c r="C1430" t="s">
        <v>2295</v>
      </c>
      <c r="D1430" t="s">
        <v>2267</v>
      </c>
      <c r="E1430" t="s">
        <v>5070</v>
      </c>
      <c r="F1430" t="s">
        <v>5071</v>
      </c>
      <c r="G1430" s="425">
        <v>0</v>
      </c>
      <c r="H1430" s="425">
        <v>0</v>
      </c>
      <c r="I1430" s="425">
        <v>0</v>
      </c>
      <c r="J1430" s="425">
        <v>0</v>
      </c>
      <c r="K1430" s="425">
        <v>0</v>
      </c>
      <c r="L1430" s="425">
        <v>0</v>
      </c>
      <c r="M1430" s="425">
        <v>0</v>
      </c>
      <c r="N1430" s="425">
        <v>0</v>
      </c>
      <c r="O1430" s="425">
        <v>0</v>
      </c>
    </row>
    <row r="1431" spans="3:15" hidden="1" x14ac:dyDescent="0.3">
      <c r="C1431" t="s">
        <v>2295</v>
      </c>
      <c r="D1431" t="s">
        <v>2267</v>
      </c>
      <c r="E1431" t="s">
        <v>5072</v>
      </c>
      <c r="F1431" t="s">
        <v>5073</v>
      </c>
      <c r="G1431" s="425">
        <v>0</v>
      </c>
      <c r="H1431" s="425">
        <v>0</v>
      </c>
      <c r="I1431" s="425">
        <v>0</v>
      </c>
      <c r="J1431" s="425">
        <v>0</v>
      </c>
      <c r="K1431" s="425">
        <v>0</v>
      </c>
      <c r="L1431" s="425">
        <v>0</v>
      </c>
      <c r="M1431" s="425">
        <v>0</v>
      </c>
      <c r="N1431" s="425">
        <v>0</v>
      </c>
      <c r="O1431" s="425">
        <v>0</v>
      </c>
    </row>
    <row r="1432" spans="3:15" hidden="1" x14ac:dyDescent="0.3">
      <c r="C1432" t="s">
        <v>2295</v>
      </c>
      <c r="D1432" t="s">
        <v>2267</v>
      </c>
      <c r="E1432" t="s">
        <v>5074</v>
      </c>
      <c r="F1432" t="s">
        <v>5075</v>
      </c>
      <c r="G1432" s="425">
        <v>0</v>
      </c>
      <c r="H1432" s="425">
        <v>0</v>
      </c>
      <c r="I1432" s="425">
        <v>0</v>
      </c>
      <c r="J1432" s="425">
        <v>0</v>
      </c>
      <c r="K1432" s="425">
        <v>0</v>
      </c>
      <c r="L1432" s="425">
        <v>0</v>
      </c>
      <c r="M1432" s="425">
        <v>0</v>
      </c>
      <c r="N1432" s="425">
        <v>0</v>
      </c>
      <c r="O1432" s="425">
        <v>0</v>
      </c>
    </row>
    <row r="1433" spans="3:15" hidden="1" x14ac:dyDescent="0.3">
      <c r="C1433" t="s">
        <v>2295</v>
      </c>
      <c r="D1433" t="s">
        <v>2267</v>
      </c>
      <c r="E1433" t="s">
        <v>5076</v>
      </c>
      <c r="F1433" t="s">
        <v>5077</v>
      </c>
      <c r="G1433" s="425">
        <v>0</v>
      </c>
      <c r="H1433" s="425">
        <v>0</v>
      </c>
      <c r="I1433" s="425">
        <v>0</v>
      </c>
      <c r="J1433" s="425">
        <v>0</v>
      </c>
      <c r="K1433" s="425">
        <v>0</v>
      </c>
      <c r="L1433" s="425">
        <v>0</v>
      </c>
      <c r="M1433" s="425">
        <v>0</v>
      </c>
      <c r="N1433" s="425">
        <v>0</v>
      </c>
      <c r="O1433" s="425">
        <v>0</v>
      </c>
    </row>
    <row r="1434" spans="3:15" hidden="1" x14ac:dyDescent="0.3">
      <c r="C1434" t="s">
        <v>2295</v>
      </c>
      <c r="D1434" t="s">
        <v>2267</v>
      </c>
      <c r="E1434" t="s">
        <v>5078</v>
      </c>
      <c r="F1434" t="s">
        <v>5079</v>
      </c>
      <c r="G1434" s="425">
        <v>0</v>
      </c>
      <c r="H1434" s="425">
        <v>0</v>
      </c>
      <c r="I1434" s="425">
        <v>0</v>
      </c>
      <c r="J1434" s="425">
        <v>0</v>
      </c>
      <c r="K1434" s="425">
        <v>0</v>
      </c>
      <c r="L1434" s="425">
        <v>0</v>
      </c>
      <c r="M1434" s="425">
        <v>0</v>
      </c>
      <c r="N1434" s="425">
        <v>0</v>
      </c>
      <c r="O1434" s="425">
        <v>0</v>
      </c>
    </row>
    <row r="1435" spans="3:15" hidden="1" x14ac:dyDescent="0.3">
      <c r="C1435" t="s">
        <v>2295</v>
      </c>
      <c r="D1435" t="s">
        <v>2267</v>
      </c>
      <c r="E1435" t="s">
        <v>5080</v>
      </c>
      <c r="F1435" t="s">
        <v>5081</v>
      </c>
      <c r="G1435" s="425">
        <v>0</v>
      </c>
      <c r="H1435" s="425">
        <v>0</v>
      </c>
      <c r="I1435" s="425">
        <v>0</v>
      </c>
      <c r="J1435" s="425">
        <v>0</v>
      </c>
      <c r="K1435" s="425">
        <v>0</v>
      </c>
      <c r="L1435" s="425">
        <v>0</v>
      </c>
      <c r="M1435" s="425">
        <v>0</v>
      </c>
      <c r="N1435" s="425">
        <v>0</v>
      </c>
      <c r="O1435" s="425">
        <v>0</v>
      </c>
    </row>
    <row r="1436" spans="3:15" hidden="1" x14ac:dyDescent="0.3">
      <c r="C1436" t="s">
        <v>2295</v>
      </c>
      <c r="D1436" t="s">
        <v>2267</v>
      </c>
      <c r="E1436" t="s">
        <v>5082</v>
      </c>
      <c r="F1436" t="s">
        <v>5083</v>
      </c>
      <c r="G1436" s="425">
        <v>0</v>
      </c>
      <c r="H1436" s="425">
        <v>0</v>
      </c>
      <c r="I1436" s="425">
        <v>0</v>
      </c>
      <c r="J1436" s="425">
        <v>0</v>
      </c>
      <c r="K1436" s="425">
        <v>0</v>
      </c>
      <c r="L1436" s="425">
        <v>0</v>
      </c>
      <c r="M1436" s="425">
        <v>0</v>
      </c>
      <c r="N1436" s="425">
        <v>0</v>
      </c>
      <c r="O1436" s="425">
        <v>0</v>
      </c>
    </row>
    <row r="1437" spans="3:15" hidden="1" x14ac:dyDescent="0.3">
      <c r="C1437" t="s">
        <v>2295</v>
      </c>
      <c r="D1437" t="s">
        <v>2267</v>
      </c>
      <c r="E1437" t="s">
        <v>5084</v>
      </c>
      <c r="F1437" t="s">
        <v>5085</v>
      </c>
      <c r="G1437" s="425">
        <v>0</v>
      </c>
      <c r="H1437" s="425">
        <v>0</v>
      </c>
      <c r="I1437" s="425">
        <v>0</v>
      </c>
      <c r="J1437" s="425">
        <v>0</v>
      </c>
      <c r="K1437" s="425">
        <v>0</v>
      </c>
      <c r="L1437" s="425">
        <v>0</v>
      </c>
      <c r="M1437" s="425">
        <v>0</v>
      </c>
      <c r="N1437" s="425">
        <v>0</v>
      </c>
      <c r="O1437" s="425">
        <v>0</v>
      </c>
    </row>
    <row r="1438" spans="3:15" hidden="1" x14ac:dyDescent="0.3">
      <c r="C1438" t="s">
        <v>2295</v>
      </c>
      <c r="D1438" t="s">
        <v>2267</v>
      </c>
      <c r="E1438" t="s">
        <v>5086</v>
      </c>
      <c r="F1438" t="s">
        <v>5087</v>
      </c>
      <c r="G1438" s="425">
        <v>0</v>
      </c>
      <c r="H1438" s="425">
        <v>0</v>
      </c>
      <c r="I1438" s="425">
        <v>0</v>
      </c>
      <c r="J1438" s="425">
        <v>0</v>
      </c>
      <c r="K1438" s="425">
        <v>0</v>
      </c>
      <c r="L1438" s="425">
        <v>0</v>
      </c>
      <c r="M1438" s="425">
        <v>0</v>
      </c>
      <c r="N1438" s="425">
        <v>0</v>
      </c>
      <c r="O1438" s="425">
        <v>0</v>
      </c>
    </row>
    <row r="1439" spans="3:15" hidden="1" x14ac:dyDescent="0.3">
      <c r="C1439" t="s">
        <v>2295</v>
      </c>
      <c r="D1439" t="s">
        <v>2267</v>
      </c>
      <c r="E1439" t="s">
        <v>5088</v>
      </c>
      <c r="F1439" t="s">
        <v>5089</v>
      </c>
      <c r="G1439" s="425">
        <v>0</v>
      </c>
      <c r="H1439" s="425">
        <v>0</v>
      </c>
      <c r="I1439" s="425">
        <v>0</v>
      </c>
      <c r="J1439" s="425">
        <v>0</v>
      </c>
      <c r="K1439" s="425">
        <v>0</v>
      </c>
      <c r="L1439" s="425">
        <v>0</v>
      </c>
      <c r="M1439" s="425">
        <v>0</v>
      </c>
      <c r="N1439" s="425">
        <v>0</v>
      </c>
      <c r="O1439" s="425">
        <v>0</v>
      </c>
    </row>
    <row r="1440" spans="3:15" hidden="1" x14ac:dyDescent="0.3">
      <c r="C1440" t="s">
        <v>2295</v>
      </c>
      <c r="D1440" t="s">
        <v>2267</v>
      </c>
      <c r="E1440" t="s">
        <v>5090</v>
      </c>
      <c r="F1440" t="s">
        <v>5091</v>
      </c>
      <c r="G1440" s="425">
        <v>0</v>
      </c>
      <c r="H1440" s="425">
        <v>0</v>
      </c>
      <c r="I1440" s="425">
        <v>0</v>
      </c>
      <c r="J1440" s="425">
        <v>0</v>
      </c>
      <c r="K1440" s="425">
        <v>0</v>
      </c>
      <c r="L1440" s="425">
        <v>0</v>
      </c>
      <c r="M1440" s="425">
        <v>0</v>
      </c>
      <c r="N1440" s="425">
        <v>0</v>
      </c>
      <c r="O1440" s="425">
        <v>0</v>
      </c>
    </row>
    <row r="1441" spans="3:15" hidden="1" x14ac:dyDescent="0.3">
      <c r="C1441" t="s">
        <v>2295</v>
      </c>
      <c r="D1441" t="s">
        <v>2267</v>
      </c>
      <c r="E1441" t="s">
        <v>5092</v>
      </c>
      <c r="F1441" t="s">
        <v>5093</v>
      </c>
      <c r="G1441" s="425">
        <v>0</v>
      </c>
      <c r="H1441" s="425">
        <v>0</v>
      </c>
      <c r="I1441" s="425">
        <v>0</v>
      </c>
      <c r="J1441" s="425">
        <v>0</v>
      </c>
      <c r="K1441" s="425">
        <v>0</v>
      </c>
      <c r="L1441" s="425">
        <v>0</v>
      </c>
      <c r="M1441" s="425">
        <v>0</v>
      </c>
      <c r="N1441" s="425">
        <v>0</v>
      </c>
      <c r="O1441" s="425">
        <v>0</v>
      </c>
    </row>
    <row r="1442" spans="3:15" hidden="1" x14ac:dyDescent="0.3">
      <c r="C1442" t="s">
        <v>2295</v>
      </c>
      <c r="D1442" t="s">
        <v>2267</v>
      </c>
      <c r="E1442" t="s">
        <v>5094</v>
      </c>
      <c r="F1442" t="s">
        <v>5095</v>
      </c>
      <c r="G1442" s="425">
        <v>0</v>
      </c>
      <c r="H1442" s="425">
        <v>0</v>
      </c>
      <c r="I1442" s="425">
        <v>0</v>
      </c>
      <c r="J1442" s="425">
        <v>0</v>
      </c>
      <c r="K1442" s="425">
        <v>0</v>
      </c>
      <c r="L1442" s="425">
        <v>0</v>
      </c>
      <c r="M1442" s="425">
        <v>0</v>
      </c>
      <c r="N1442" s="425">
        <v>0</v>
      </c>
      <c r="O1442" s="425">
        <v>0</v>
      </c>
    </row>
    <row r="1443" spans="3:15" hidden="1" x14ac:dyDescent="0.3">
      <c r="C1443" t="s">
        <v>2295</v>
      </c>
      <c r="D1443" t="s">
        <v>2267</v>
      </c>
      <c r="E1443" t="s">
        <v>5096</v>
      </c>
      <c r="F1443" t="s">
        <v>5097</v>
      </c>
      <c r="G1443" s="425">
        <v>0</v>
      </c>
      <c r="H1443" s="425">
        <v>0</v>
      </c>
      <c r="I1443" s="425">
        <v>0</v>
      </c>
      <c r="J1443" s="425">
        <v>0</v>
      </c>
      <c r="K1443" s="425">
        <v>0</v>
      </c>
      <c r="L1443" s="425">
        <v>0</v>
      </c>
      <c r="M1443" s="425">
        <v>0</v>
      </c>
      <c r="N1443" s="425">
        <v>0</v>
      </c>
      <c r="O1443" s="425">
        <v>0</v>
      </c>
    </row>
    <row r="1444" spans="3:15" hidden="1" x14ac:dyDescent="0.3">
      <c r="C1444" t="s">
        <v>2295</v>
      </c>
      <c r="D1444" t="s">
        <v>2267</v>
      </c>
      <c r="E1444" t="s">
        <v>5098</v>
      </c>
      <c r="F1444" t="s">
        <v>5099</v>
      </c>
      <c r="G1444" s="425">
        <v>0</v>
      </c>
      <c r="H1444" s="425">
        <v>0</v>
      </c>
      <c r="I1444" s="425">
        <v>0</v>
      </c>
      <c r="J1444" s="425">
        <v>0</v>
      </c>
      <c r="K1444" s="425">
        <v>0</v>
      </c>
      <c r="L1444" s="425">
        <v>0</v>
      </c>
      <c r="M1444" s="425">
        <v>0</v>
      </c>
      <c r="N1444" s="425">
        <v>0</v>
      </c>
      <c r="O1444" s="425">
        <v>0</v>
      </c>
    </row>
    <row r="1445" spans="3:15" hidden="1" x14ac:dyDescent="0.3">
      <c r="C1445" t="s">
        <v>2295</v>
      </c>
      <c r="D1445" t="s">
        <v>2267</v>
      </c>
      <c r="E1445" t="s">
        <v>5100</v>
      </c>
      <c r="F1445" t="s">
        <v>5101</v>
      </c>
      <c r="G1445" s="425">
        <v>0</v>
      </c>
      <c r="H1445" s="425">
        <v>0</v>
      </c>
      <c r="I1445" s="425">
        <v>0</v>
      </c>
      <c r="J1445" s="425">
        <v>0</v>
      </c>
      <c r="K1445" s="425">
        <v>0</v>
      </c>
      <c r="L1445" s="425">
        <v>0</v>
      </c>
      <c r="M1445" s="425">
        <v>0</v>
      </c>
      <c r="N1445" s="425">
        <v>0</v>
      </c>
      <c r="O1445" s="425">
        <v>0</v>
      </c>
    </row>
    <row r="1446" spans="3:15" hidden="1" x14ac:dyDescent="0.3">
      <c r="C1446" t="s">
        <v>2295</v>
      </c>
      <c r="D1446" t="s">
        <v>2267</v>
      </c>
      <c r="E1446" t="s">
        <v>5102</v>
      </c>
      <c r="F1446" t="s">
        <v>5103</v>
      </c>
      <c r="G1446" s="425">
        <v>0</v>
      </c>
      <c r="H1446" s="425">
        <v>0</v>
      </c>
      <c r="I1446" s="425">
        <v>0</v>
      </c>
      <c r="J1446" s="425">
        <v>0</v>
      </c>
      <c r="K1446" s="425">
        <v>0</v>
      </c>
      <c r="L1446" s="425">
        <v>0</v>
      </c>
      <c r="M1446" s="425">
        <v>0</v>
      </c>
      <c r="N1446" s="425">
        <v>0</v>
      </c>
      <c r="O1446" s="425">
        <v>0</v>
      </c>
    </row>
    <row r="1447" spans="3:15" hidden="1" x14ac:dyDescent="0.3">
      <c r="C1447" t="s">
        <v>2295</v>
      </c>
      <c r="D1447" t="s">
        <v>2267</v>
      </c>
      <c r="E1447" t="s">
        <v>5104</v>
      </c>
      <c r="F1447" t="s">
        <v>5105</v>
      </c>
      <c r="G1447" s="425">
        <v>260000</v>
      </c>
      <c r="H1447" s="425">
        <v>0</v>
      </c>
      <c r="I1447" s="425">
        <v>260000</v>
      </c>
      <c r="J1447" s="425">
        <v>0</v>
      </c>
      <c r="K1447" s="425">
        <v>0</v>
      </c>
      <c r="L1447" s="425">
        <v>0</v>
      </c>
      <c r="M1447" s="425">
        <v>0</v>
      </c>
      <c r="N1447" s="425">
        <v>0</v>
      </c>
      <c r="O1447" s="425">
        <v>0</v>
      </c>
    </row>
    <row r="1448" spans="3:15" hidden="1" x14ac:dyDescent="0.3">
      <c r="C1448" t="s">
        <v>2295</v>
      </c>
      <c r="D1448" t="s">
        <v>2267</v>
      </c>
      <c r="E1448" t="s">
        <v>5106</v>
      </c>
      <c r="F1448" t="s">
        <v>5107</v>
      </c>
      <c r="G1448" s="425">
        <v>0</v>
      </c>
      <c r="H1448" s="425">
        <v>0</v>
      </c>
      <c r="I1448" s="425">
        <v>0</v>
      </c>
      <c r="J1448" s="425">
        <v>0</v>
      </c>
      <c r="K1448" s="425">
        <v>0</v>
      </c>
      <c r="L1448" s="425">
        <v>0</v>
      </c>
      <c r="M1448" s="425">
        <v>0</v>
      </c>
      <c r="N1448" s="425">
        <v>0</v>
      </c>
      <c r="O1448" s="425">
        <v>0</v>
      </c>
    </row>
    <row r="1449" spans="3:15" hidden="1" x14ac:dyDescent="0.3">
      <c r="C1449" t="s">
        <v>2295</v>
      </c>
      <c r="D1449" t="s">
        <v>2267</v>
      </c>
      <c r="E1449" t="s">
        <v>5108</v>
      </c>
      <c r="F1449" t="s">
        <v>5109</v>
      </c>
      <c r="G1449" s="425">
        <v>0</v>
      </c>
      <c r="H1449" s="425">
        <v>0</v>
      </c>
      <c r="I1449" s="425">
        <v>0</v>
      </c>
      <c r="J1449" s="425">
        <v>0</v>
      </c>
      <c r="K1449" s="425">
        <v>0</v>
      </c>
      <c r="L1449" s="425">
        <v>0</v>
      </c>
      <c r="M1449" s="425">
        <v>0</v>
      </c>
      <c r="N1449" s="425">
        <v>0</v>
      </c>
      <c r="O1449" s="425">
        <v>0</v>
      </c>
    </row>
    <row r="1450" spans="3:15" hidden="1" x14ac:dyDescent="0.3">
      <c r="C1450" t="s">
        <v>2295</v>
      </c>
      <c r="D1450" t="s">
        <v>2267</v>
      </c>
      <c r="E1450" t="s">
        <v>5110</v>
      </c>
      <c r="F1450" t="s">
        <v>5111</v>
      </c>
      <c r="G1450" s="425">
        <v>0</v>
      </c>
      <c r="H1450" s="425">
        <v>0</v>
      </c>
      <c r="I1450" s="425">
        <v>0</v>
      </c>
      <c r="J1450" s="425">
        <v>0</v>
      </c>
      <c r="K1450" s="425">
        <v>0</v>
      </c>
      <c r="L1450" s="425">
        <v>0</v>
      </c>
      <c r="M1450" s="425">
        <v>0</v>
      </c>
      <c r="N1450" s="425">
        <v>0</v>
      </c>
      <c r="O1450" s="425">
        <v>0</v>
      </c>
    </row>
    <row r="1451" spans="3:15" hidden="1" x14ac:dyDescent="0.3">
      <c r="C1451" t="s">
        <v>2295</v>
      </c>
      <c r="D1451" t="s">
        <v>2267</v>
      </c>
      <c r="E1451" t="s">
        <v>5112</v>
      </c>
      <c r="F1451" t="s">
        <v>5113</v>
      </c>
      <c r="G1451" s="425">
        <v>0</v>
      </c>
      <c r="H1451" s="425">
        <v>0</v>
      </c>
      <c r="I1451" s="425">
        <v>0</v>
      </c>
      <c r="J1451" s="425">
        <v>0</v>
      </c>
      <c r="K1451" s="425">
        <v>0</v>
      </c>
      <c r="L1451" s="425">
        <v>0</v>
      </c>
      <c r="M1451" s="425">
        <v>0</v>
      </c>
      <c r="N1451" s="425">
        <v>0</v>
      </c>
      <c r="O1451" s="425">
        <v>0</v>
      </c>
    </row>
    <row r="1452" spans="3:15" hidden="1" x14ac:dyDescent="0.3">
      <c r="C1452" t="s">
        <v>2295</v>
      </c>
      <c r="D1452" t="s">
        <v>2267</v>
      </c>
      <c r="E1452" t="s">
        <v>5114</v>
      </c>
      <c r="F1452" t="s">
        <v>5115</v>
      </c>
      <c r="G1452" s="425">
        <v>0</v>
      </c>
      <c r="H1452" s="425">
        <v>0</v>
      </c>
      <c r="I1452" s="425">
        <v>0</v>
      </c>
      <c r="J1452" s="425">
        <v>0</v>
      </c>
      <c r="K1452" s="425">
        <v>0</v>
      </c>
      <c r="L1452" s="425">
        <v>0</v>
      </c>
      <c r="M1452" s="425">
        <v>0</v>
      </c>
      <c r="N1452" s="425">
        <v>0</v>
      </c>
      <c r="O1452" s="425">
        <v>0</v>
      </c>
    </row>
    <row r="1453" spans="3:15" hidden="1" x14ac:dyDescent="0.3">
      <c r="C1453" t="s">
        <v>2295</v>
      </c>
      <c r="D1453" t="s">
        <v>2267</v>
      </c>
      <c r="E1453" t="s">
        <v>5116</v>
      </c>
      <c r="F1453" t="s">
        <v>5117</v>
      </c>
      <c r="G1453" s="425">
        <v>0</v>
      </c>
      <c r="H1453" s="425">
        <v>0</v>
      </c>
      <c r="I1453" s="425">
        <v>0</v>
      </c>
      <c r="J1453" s="425">
        <v>0</v>
      </c>
      <c r="K1453" s="425">
        <v>0</v>
      </c>
      <c r="L1453" s="425">
        <v>0</v>
      </c>
      <c r="M1453" s="425">
        <v>0</v>
      </c>
      <c r="N1453" s="425">
        <v>0</v>
      </c>
      <c r="O1453" s="425">
        <v>0</v>
      </c>
    </row>
    <row r="1454" spans="3:15" hidden="1" x14ac:dyDescent="0.3">
      <c r="C1454" t="s">
        <v>2295</v>
      </c>
      <c r="D1454" t="s">
        <v>2267</v>
      </c>
      <c r="E1454" t="s">
        <v>5118</v>
      </c>
      <c r="F1454" t="s">
        <v>5119</v>
      </c>
      <c r="G1454" s="425">
        <v>0</v>
      </c>
      <c r="H1454" s="425">
        <v>0</v>
      </c>
      <c r="I1454" s="425">
        <v>0</v>
      </c>
      <c r="J1454" s="425">
        <v>0</v>
      </c>
      <c r="K1454" s="425">
        <v>0</v>
      </c>
      <c r="L1454" s="425">
        <v>0</v>
      </c>
      <c r="M1454" s="425">
        <v>0</v>
      </c>
      <c r="N1454" s="425">
        <v>0</v>
      </c>
      <c r="O1454" s="425">
        <v>0</v>
      </c>
    </row>
    <row r="1455" spans="3:15" hidden="1" x14ac:dyDescent="0.3">
      <c r="C1455" t="s">
        <v>2295</v>
      </c>
      <c r="D1455" t="s">
        <v>2267</v>
      </c>
      <c r="E1455" t="s">
        <v>5120</v>
      </c>
      <c r="F1455" t="s">
        <v>5121</v>
      </c>
      <c r="G1455" s="425">
        <v>0</v>
      </c>
      <c r="H1455" s="425">
        <v>0</v>
      </c>
      <c r="I1455" s="425">
        <v>0</v>
      </c>
      <c r="J1455" s="425">
        <v>0</v>
      </c>
      <c r="K1455" s="425">
        <v>0</v>
      </c>
      <c r="L1455" s="425">
        <v>0</v>
      </c>
      <c r="M1455" s="425">
        <v>0</v>
      </c>
      <c r="N1455" s="425">
        <v>0</v>
      </c>
      <c r="O1455" s="425">
        <v>0</v>
      </c>
    </row>
    <row r="1456" spans="3:15" hidden="1" x14ac:dyDescent="0.3">
      <c r="C1456" t="s">
        <v>2295</v>
      </c>
      <c r="D1456" t="s">
        <v>2267</v>
      </c>
      <c r="E1456" t="s">
        <v>5122</v>
      </c>
      <c r="F1456" t="s">
        <v>5123</v>
      </c>
      <c r="G1456" s="425">
        <v>0</v>
      </c>
      <c r="H1456" s="425">
        <v>0</v>
      </c>
      <c r="I1456" s="425">
        <v>0</v>
      </c>
      <c r="J1456" s="425">
        <v>0</v>
      </c>
      <c r="K1456" s="425">
        <v>0</v>
      </c>
      <c r="L1456" s="425">
        <v>0</v>
      </c>
      <c r="M1456" s="425">
        <v>0</v>
      </c>
      <c r="N1456" s="425">
        <v>0</v>
      </c>
      <c r="O1456" s="425">
        <v>0</v>
      </c>
    </row>
    <row r="1457" spans="3:15" hidden="1" x14ac:dyDescent="0.3">
      <c r="C1457" t="s">
        <v>2295</v>
      </c>
      <c r="D1457" t="s">
        <v>2267</v>
      </c>
      <c r="E1457" t="s">
        <v>5124</v>
      </c>
      <c r="F1457" t="s">
        <v>5125</v>
      </c>
      <c r="G1457" s="425">
        <v>0</v>
      </c>
      <c r="H1457" s="425">
        <v>0</v>
      </c>
      <c r="I1457" s="425">
        <v>0</v>
      </c>
      <c r="J1457" s="425">
        <v>0</v>
      </c>
      <c r="K1457" s="425">
        <v>0</v>
      </c>
      <c r="L1457" s="425">
        <v>0</v>
      </c>
      <c r="M1457" s="425">
        <v>0</v>
      </c>
      <c r="N1457" s="425">
        <v>0</v>
      </c>
      <c r="O1457" s="425">
        <v>0</v>
      </c>
    </row>
    <row r="1458" spans="3:15" hidden="1" x14ac:dyDescent="0.3">
      <c r="C1458" t="s">
        <v>2295</v>
      </c>
      <c r="D1458" t="s">
        <v>2267</v>
      </c>
      <c r="E1458" t="s">
        <v>5126</v>
      </c>
      <c r="F1458" t="s">
        <v>5127</v>
      </c>
      <c r="G1458" s="425">
        <v>0</v>
      </c>
      <c r="H1458" s="425">
        <v>0</v>
      </c>
      <c r="I1458" s="425">
        <v>0</v>
      </c>
      <c r="J1458" s="425">
        <v>0</v>
      </c>
      <c r="K1458" s="425">
        <v>0</v>
      </c>
      <c r="L1458" s="425">
        <v>0</v>
      </c>
      <c r="M1458" s="425">
        <v>0</v>
      </c>
      <c r="N1458" s="425">
        <v>0</v>
      </c>
      <c r="O1458" s="425">
        <v>0</v>
      </c>
    </row>
    <row r="1459" spans="3:15" hidden="1" x14ac:dyDescent="0.3">
      <c r="C1459" t="s">
        <v>2295</v>
      </c>
      <c r="D1459" t="s">
        <v>2267</v>
      </c>
      <c r="E1459" t="s">
        <v>5128</v>
      </c>
      <c r="F1459" t="s">
        <v>5129</v>
      </c>
      <c r="G1459" s="425">
        <v>0</v>
      </c>
      <c r="H1459" s="425">
        <v>0</v>
      </c>
      <c r="I1459" s="425">
        <v>0</v>
      </c>
      <c r="J1459" s="425">
        <v>0</v>
      </c>
      <c r="K1459" s="425">
        <v>0</v>
      </c>
      <c r="L1459" s="425">
        <v>0</v>
      </c>
      <c r="M1459" s="425">
        <v>0</v>
      </c>
      <c r="N1459" s="425">
        <v>0</v>
      </c>
      <c r="O1459" s="425">
        <v>0</v>
      </c>
    </row>
    <row r="1460" spans="3:15" hidden="1" x14ac:dyDescent="0.3">
      <c r="C1460" t="s">
        <v>2295</v>
      </c>
      <c r="D1460" t="s">
        <v>2267</v>
      </c>
      <c r="E1460" t="s">
        <v>5130</v>
      </c>
      <c r="F1460" t="s">
        <v>5131</v>
      </c>
      <c r="G1460" s="425">
        <v>0</v>
      </c>
      <c r="H1460" s="425">
        <v>0</v>
      </c>
      <c r="I1460" s="425">
        <v>0</v>
      </c>
      <c r="J1460" s="425">
        <v>0</v>
      </c>
      <c r="K1460" s="425">
        <v>0</v>
      </c>
      <c r="L1460" s="425">
        <v>0</v>
      </c>
      <c r="M1460" s="425">
        <v>0</v>
      </c>
      <c r="N1460" s="425">
        <v>0</v>
      </c>
      <c r="O1460" s="425">
        <v>0</v>
      </c>
    </row>
    <row r="1461" spans="3:15" hidden="1" x14ac:dyDescent="0.3">
      <c r="C1461" t="s">
        <v>2295</v>
      </c>
      <c r="D1461" t="s">
        <v>2267</v>
      </c>
      <c r="E1461" t="s">
        <v>5132</v>
      </c>
      <c r="F1461" t="s">
        <v>5133</v>
      </c>
      <c r="G1461" s="425">
        <v>0</v>
      </c>
      <c r="H1461" s="425">
        <v>0</v>
      </c>
      <c r="I1461" s="425">
        <v>0</v>
      </c>
      <c r="J1461" s="425">
        <v>0</v>
      </c>
      <c r="K1461" s="425">
        <v>0</v>
      </c>
      <c r="L1461" s="425">
        <v>0</v>
      </c>
      <c r="M1461" s="425">
        <v>0</v>
      </c>
      <c r="N1461" s="425">
        <v>0</v>
      </c>
      <c r="O1461" s="425">
        <v>0</v>
      </c>
    </row>
    <row r="1462" spans="3:15" hidden="1" x14ac:dyDescent="0.3">
      <c r="C1462" t="s">
        <v>2295</v>
      </c>
      <c r="D1462" t="s">
        <v>2267</v>
      </c>
      <c r="E1462" t="s">
        <v>5134</v>
      </c>
      <c r="F1462" t="s">
        <v>5135</v>
      </c>
      <c r="G1462" s="425">
        <v>0</v>
      </c>
      <c r="H1462" s="425">
        <v>0</v>
      </c>
      <c r="I1462" s="425">
        <v>0</v>
      </c>
      <c r="J1462" s="425">
        <v>0</v>
      </c>
      <c r="K1462" s="425">
        <v>0</v>
      </c>
      <c r="L1462" s="425">
        <v>0</v>
      </c>
      <c r="M1462" s="425">
        <v>0</v>
      </c>
      <c r="N1462" s="425">
        <v>0</v>
      </c>
      <c r="O1462" s="425">
        <v>0</v>
      </c>
    </row>
    <row r="1463" spans="3:15" hidden="1" x14ac:dyDescent="0.3">
      <c r="C1463" t="s">
        <v>2295</v>
      </c>
      <c r="D1463" t="s">
        <v>2267</v>
      </c>
      <c r="E1463" t="s">
        <v>5136</v>
      </c>
      <c r="F1463" t="s">
        <v>5137</v>
      </c>
      <c r="G1463" s="425">
        <v>0</v>
      </c>
      <c r="H1463" s="425">
        <v>0</v>
      </c>
      <c r="I1463" s="425">
        <v>0</v>
      </c>
      <c r="J1463" s="425">
        <v>0</v>
      </c>
      <c r="K1463" s="425">
        <v>0</v>
      </c>
      <c r="L1463" s="425">
        <v>0</v>
      </c>
      <c r="M1463" s="425">
        <v>0</v>
      </c>
      <c r="N1463" s="425">
        <v>0</v>
      </c>
      <c r="O1463" s="425">
        <v>0</v>
      </c>
    </row>
    <row r="1464" spans="3:15" hidden="1" x14ac:dyDescent="0.3">
      <c r="C1464" t="s">
        <v>2295</v>
      </c>
      <c r="D1464" t="s">
        <v>2267</v>
      </c>
      <c r="E1464" t="s">
        <v>5138</v>
      </c>
      <c r="F1464" t="s">
        <v>5139</v>
      </c>
      <c r="G1464" s="425">
        <v>0</v>
      </c>
      <c r="H1464" s="425">
        <v>0</v>
      </c>
      <c r="I1464" s="425">
        <v>0</v>
      </c>
      <c r="J1464" s="425">
        <v>0</v>
      </c>
      <c r="K1464" s="425">
        <v>0</v>
      </c>
      <c r="L1464" s="425">
        <v>0</v>
      </c>
      <c r="M1464" s="425">
        <v>0</v>
      </c>
      <c r="N1464" s="425">
        <v>0</v>
      </c>
      <c r="O1464" s="425">
        <v>0</v>
      </c>
    </row>
    <row r="1465" spans="3:15" hidden="1" x14ac:dyDescent="0.3">
      <c r="C1465" t="s">
        <v>2295</v>
      </c>
      <c r="D1465" t="s">
        <v>2267</v>
      </c>
      <c r="E1465" t="s">
        <v>5140</v>
      </c>
      <c r="F1465" t="s">
        <v>5141</v>
      </c>
      <c r="G1465" s="425">
        <v>0</v>
      </c>
      <c r="H1465" s="425">
        <v>0</v>
      </c>
      <c r="I1465" s="425">
        <v>0</v>
      </c>
      <c r="J1465" s="425">
        <v>0</v>
      </c>
      <c r="K1465" s="425">
        <v>0</v>
      </c>
      <c r="L1465" s="425">
        <v>0</v>
      </c>
      <c r="M1465" s="425">
        <v>0</v>
      </c>
      <c r="N1465" s="425">
        <v>0</v>
      </c>
      <c r="O1465" s="425">
        <v>0</v>
      </c>
    </row>
    <row r="1466" spans="3:15" hidden="1" x14ac:dyDescent="0.3">
      <c r="C1466" t="s">
        <v>2295</v>
      </c>
      <c r="D1466" t="s">
        <v>2267</v>
      </c>
      <c r="E1466" t="s">
        <v>5142</v>
      </c>
      <c r="F1466" t="s">
        <v>5143</v>
      </c>
      <c r="G1466" s="425">
        <v>0</v>
      </c>
      <c r="H1466" s="425">
        <v>0</v>
      </c>
      <c r="I1466" s="425">
        <v>0</v>
      </c>
      <c r="J1466" s="425">
        <v>0</v>
      </c>
      <c r="K1466" s="425">
        <v>0</v>
      </c>
      <c r="L1466" s="425">
        <v>0</v>
      </c>
      <c r="M1466" s="425">
        <v>0</v>
      </c>
      <c r="N1466" s="425">
        <v>0</v>
      </c>
      <c r="O1466" s="425">
        <v>0</v>
      </c>
    </row>
    <row r="1467" spans="3:15" hidden="1" x14ac:dyDescent="0.3">
      <c r="C1467" t="s">
        <v>2295</v>
      </c>
      <c r="D1467" t="s">
        <v>2267</v>
      </c>
      <c r="E1467" t="s">
        <v>5144</v>
      </c>
      <c r="F1467" t="s">
        <v>5145</v>
      </c>
      <c r="G1467" s="425">
        <v>0</v>
      </c>
      <c r="H1467" s="425">
        <v>0</v>
      </c>
      <c r="I1467" s="425">
        <v>0</v>
      </c>
      <c r="J1467" s="425">
        <v>0</v>
      </c>
      <c r="K1467" s="425">
        <v>0</v>
      </c>
      <c r="L1467" s="425">
        <v>0</v>
      </c>
      <c r="M1467" s="425">
        <v>0</v>
      </c>
      <c r="N1467" s="425">
        <v>0</v>
      </c>
      <c r="O1467" s="425">
        <v>0</v>
      </c>
    </row>
    <row r="1468" spans="3:15" hidden="1" x14ac:dyDescent="0.3">
      <c r="C1468" t="s">
        <v>2295</v>
      </c>
      <c r="D1468" t="s">
        <v>2267</v>
      </c>
      <c r="E1468" t="s">
        <v>5146</v>
      </c>
      <c r="F1468" t="s">
        <v>5147</v>
      </c>
      <c r="G1468" s="425">
        <v>0</v>
      </c>
      <c r="H1468" s="425">
        <v>0</v>
      </c>
      <c r="I1468" s="425">
        <v>0</v>
      </c>
      <c r="J1468" s="425">
        <v>0</v>
      </c>
      <c r="K1468" s="425">
        <v>0</v>
      </c>
      <c r="L1468" s="425">
        <v>0</v>
      </c>
      <c r="M1468" s="425">
        <v>0</v>
      </c>
      <c r="N1468" s="425">
        <v>0</v>
      </c>
      <c r="O1468" s="425">
        <v>0</v>
      </c>
    </row>
    <row r="1469" spans="3:15" hidden="1" x14ac:dyDescent="0.3">
      <c r="C1469" t="s">
        <v>2295</v>
      </c>
      <c r="D1469" t="s">
        <v>2267</v>
      </c>
      <c r="E1469" t="s">
        <v>5148</v>
      </c>
      <c r="F1469" t="s">
        <v>5149</v>
      </c>
      <c r="G1469" s="425">
        <v>0</v>
      </c>
      <c r="H1469" s="425">
        <v>0</v>
      </c>
      <c r="I1469" s="425">
        <v>0</v>
      </c>
      <c r="J1469" s="425">
        <v>0</v>
      </c>
      <c r="K1469" s="425">
        <v>0</v>
      </c>
      <c r="L1469" s="425">
        <v>0</v>
      </c>
      <c r="M1469" s="425">
        <v>0</v>
      </c>
      <c r="N1469" s="425">
        <v>0</v>
      </c>
      <c r="O1469" s="425">
        <v>0</v>
      </c>
    </row>
    <row r="1470" spans="3:15" hidden="1" x14ac:dyDescent="0.3">
      <c r="C1470" t="s">
        <v>2295</v>
      </c>
      <c r="D1470" t="s">
        <v>2267</v>
      </c>
      <c r="E1470" t="s">
        <v>5150</v>
      </c>
      <c r="F1470" t="s">
        <v>5151</v>
      </c>
      <c r="G1470" s="425">
        <v>0</v>
      </c>
      <c r="H1470" s="425">
        <v>0</v>
      </c>
      <c r="I1470" s="425">
        <v>0</v>
      </c>
      <c r="J1470" s="425">
        <v>0</v>
      </c>
      <c r="K1470" s="425">
        <v>0</v>
      </c>
      <c r="L1470" s="425">
        <v>0</v>
      </c>
      <c r="M1470" s="425">
        <v>0</v>
      </c>
      <c r="N1470" s="425">
        <v>0</v>
      </c>
      <c r="O1470" s="425">
        <v>0</v>
      </c>
    </row>
    <row r="1471" spans="3:15" hidden="1" x14ac:dyDescent="0.3">
      <c r="C1471" t="s">
        <v>2295</v>
      </c>
      <c r="D1471" t="s">
        <v>2267</v>
      </c>
      <c r="E1471" t="s">
        <v>5152</v>
      </c>
      <c r="F1471" t="s">
        <v>5153</v>
      </c>
      <c r="G1471" s="425">
        <v>0</v>
      </c>
      <c r="H1471" s="425">
        <v>0</v>
      </c>
      <c r="I1471" s="425">
        <v>0</v>
      </c>
      <c r="J1471" s="425">
        <v>0</v>
      </c>
      <c r="K1471" s="425">
        <v>0</v>
      </c>
      <c r="L1471" s="425">
        <v>0</v>
      </c>
      <c r="M1471" s="425">
        <v>0</v>
      </c>
      <c r="N1471" s="425">
        <v>0</v>
      </c>
      <c r="O1471" s="425">
        <v>0</v>
      </c>
    </row>
    <row r="1472" spans="3:15" hidden="1" x14ac:dyDescent="0.3">
      <c r="C1472" t="s">
        <v>2295</v>
      </c>
      <c r="D1472" t="s">
        <v>2267</v>
      </c>
      <c r="E1472" t="s">
        <v>5154</v>
      </c>
      <c r="F1472" t="s">
        <v>5155</v>
      </c>
      <c r="G1472" s="425">
        <v>0</v>
      </c>
      <c r="H1472" s="425">
        <v>0</v>
      </c>
      <c r="I1472" s="425">
        <v>0</v>
      </c>
      <c r="J1472" s="425">
        <v>0</v>
      </c>
      <c r="K1472" s="425">
        <v>0</v>
      </c>
      <c r="L1472" s="425">
        <v>0</v>
      </c>
      <c r="M1472" s="425">
        <v>0</v>
      </c>
      <c r="N1472" s="425">
        <v>0</v>
      </c>
      <c r="O1472" s="425">
        <v>0</v>
      </c>
    </row>
    <row r="1473" spans="3:15" hidden="1" x14ac:dyDescent="0.3">
      <c r="C1473" t="s">
        <v>2295</v>
      </c>
      <c r="D1473" t="s">
        <v>2267</v>
      </c>
      <c r="E1473" t="s">
        <v>5156</v>
      </c>
      <c r="F1473" t="s">
        <v>5157</v>
      </c>
      <c r="G1473" s="425">
        <v>0</v>
      </c>
      <c r="H1473" s="425">
        <v>0</v>
      </c>
      <c r="I1473" s="425">
        <v>0</v>
      </c>
      <c r="J1473" s="425">
        <v>0</v>
      </c>
      <c r="K1473" s="425">
        <v>0</v>
      </c>
      <c r="L1473" s="425">
        <v>0</v>
      </c>
      <c r="M1473" s="425">
        <v>0</v>
      </c>
      <c r="N1473" s="425">
        <v>0</v>
      </c>
      <c r="O1473" s="425">
        <v>0</v>
      </c>
    </row>
    <row r="1474" spans="3:15" hidden="1" x14ac:dyDescent="0.3">
      <c r="C1474" t="s">
        <v>2295</v>
      </c>
      <c r="D1474" t="s">
        <v>2267</v>
      </c>
      <c r="E1474" t="s">
        <v>5158</v>
      </c>
      <c r="F1474" t="s">
        <v>5159</v>
      </c>
      <c r="G1474" s="425">
        <v>0</v>
      </c>
      <c r="H1474" s="425">
        <v>0</v>
      </c>
      <c r="I1474" s="425">
        <v>0</v>
      </c>
      <c r="J1474" s="425">
        <v>0</v>
      </c>
      <c r="K1474" s="425">
        <v>0</v>
      </c>
      <c r="L1474" s="425">
        <v>0</v>
      </c>
      <c r="M1474" s="425">
        <v>0</v>
      </c>
      <c r="N1474" s="425">
        <v>0</v>
      </c>
      <c r="O1474" s="425">
        <v>0</v>
      </c>
    </row>
    <row r="1475" spans="3:15" hidden="1" x14ac:dyDescent="0.3">
      <c r="C1475" t="s">
        <v>2295</v>
      </c>
      <c r="D1475" t="s">
        <v>2267</v>
      </c>
      <c r="E1475" t="s">
        <v>5160</v>
      </c>
      <c r="F1475" t="s">
        <v>5161</v>
      </c>
      <c r="G1475" s="425">
        <v>0</v>
      </c>
      <c r="H1475" s="425">
        <v>0</v>
      </c>
      <c r="I1475" s="425">
        <v>0</v>
      </c>
      <c r="J1475" s="425">
        <v>0</v>
      </c>
      <c r="K1475" s="425">
        <v>0</v>
      </c>
      <c r="L1475" s="425">
        <v>0</v>
      </c>
      <c r="M1475" s="425">
        <v>0</v>
      </c>
      <c r="N1475" s="425">
        <v>0</v>
      </c>
      <c r="O1475" s="425">
        <v>0</v>
      </c>
    </row>
    <row r="1476" spans="3:15" hidden="1" x14ac:dyDescent="0.3">
      <c r="C1476" t="s">
        <v>2295</v>
      </c>
      <c r="D1476" t="s">
        <v>2267</v>
      </c>
      <c r="E1476" t="s">
        <v>5162</v>
      </c>
      <c r="F1476" t="s">
        <v>5163</v>
      </c>
      <c r="G1476" s="425">
        <v>0</v>
      </c>
      <c r="H1476" s="425">
        <v>0</v>
      </c>
      <c r="I1476" s="425">
        <v>0</v>
      </c>
      <c r="J1476" s="425">
        <v>0</v>
      </c>
      <c r="K1476" s="425">
        <v>0</v>
      </c>
      <c r="L1476" s="425">
        <v>0</v>
      </c>
      <c r="M1476" s="425">
        <v>0</v>
      </c>
      <c r="N1476" s="425">
        <v>0</v>
      </c>
      <c r="O1476" s="425">
        <v>0</v>
      </c>
    </row>
    <row r="1477" spans="3:15" hidden="1" x14ac:dyDescent="0.3">
      <c r="C1477" t="s">
        <v>2295</v>
      </c>
      <c r="D1477" t="s">
        <v>2267</v>
      </c>
      <c r="E1477" t="s">
        <v>5164</v>
      </c>
      <c r="F1477" t="s">
        <v>5165</v>
      </c>
      <c r="G1477" s="425">
        <v>0</v>
      </c>
      <c r="H1477" s="425">
        <v>0</v>
      </c>
      <c r="I1477" s="425">
        <v>0</v>
      </c>
      <c r="J1477" s="425">
        <v>0</v>
      </c>
      <c r="K1477" s="425">
        <v>0</v>
      </c>
      <c r="L1477" s="425">
        <v>0</v>
      </c>
      <c r="M1477" s="425">
        <v>0</v>
      </c>
      <c r="N1477" s="425">
        <v>0</v>
      </c>
      <c r="O1477" s="425">
        <v>0</v>
      </c>
    </row>
    <row r="1478" spans="3:15" hidden="1" x14ac:dyDescent="0.3">
      <c r="C1478" t="s">
        <v>2295</v>
      </c>
      <c r="D1478" t="s">
        <v>2267</v>
      </c>
      <c r="E1478" t="s">
        <v>5166</v>
      </c>
      <c r="F1478" t="s">
        <v>5167</v>
      </c>
      <c r="G1478" s="425">
        <v>0</v>
      </c>
      <c r="H1478" s="425">
        <v>0</v>
      </c>
      <c r="I1478" s="425">
        <v>0</v>
      </c>
      <c r="J1478" s="425">
        <v>0</v>
      </c>
      <c r="K1478" s="425">
        <v>0</v>
      </c>
      <c r="L1478" s="425">
        <v>0</v>
      </c>
      <c r="M1478" s="425">
        <v>0</v>
      </c>
      <c r="N1478" s="425">
        <v>0</v>
      </c>
      <c r="O1478" s="425">
        <v>0</v>
      </c>
    </row>
    <row r="1479" spans="3:15" hidden="1" x14ac:dyDescent="0.3">
      <c r="C1479" t="s">
        <v>2295</v>
      </c>
      <c r="D1479" t="s">
        <v>2267</v>
      </c>
      <c r="E1479" t="s">
        <v>5168</v>
      </c>
      <c r="F1479" t="s">
        <v>5169</v>
      </c>
      <c r="G1479" s="425">
        <v>460000</v>
      </c>
      <c r="H1479" s="425">
        <v>0</v>
      </c>
      <c r="I1479" s="425">
        <v>460000</v>
      </c>
      <c r="J1479" s="425">
        <v>0</v>
      </c>
      <c r="K1479" s="425">
        <v>0</v>
      </c>
      <c r="L1479" s="425">
        <v>0</v>
      </c>
      <c r="M1479" s="425">
        <v>0</v>
      </c>
      <c r="N1479" s="425">
        <v>0</v>
      </c>
      <c r="O1479" s="425">
        <v>0</v>
      </c>
    </row>
    <row r="1480" spans="3:15" hidden="1" x14ac:dyDescent="0.3">
      <c r="C1480" t="s">
        <v>2295</v>
      </c>
      <c r="D1480" t="s">
        <v>2267</v>
      </c>
      <c r="E1480" t="s">
        <v>4941</v>
      </c>
      <c r="F1480" t="s">
        <v>5170</v>
      </c>
      <c r="G1480" s="425">
        <v>0</v>
      </c>
      <c r="H1480" s="425">
        <v>0</v>
      </c>
      <c r="I1480" s="425">
        <v>0</v>
      </c>
      <c r="J1480" s="425">
        <v>0</v>
      </c>
      <c r="K1480" s="425">
        <v>0</v>
      </c>
      <c r="L1480" s="425">
        <v>0</v>
      </c>
      <c r="M1480" s="425">
        <v>0</v>
      </c>
      <c r="N1480" s="425">
        <v>0</v>
      </c>
      <c r="O1480" s="425">
        <v>0</v>
      </c>
    </row>
    <row r="1481" spans="3:15" hidden="1" x14ac:dyDescent="0.3">
      <c r="C1481" t="s">
        <v>2295</v>
      </c>
      <c r="D1481" t="s">
        <v>2267</v>
      </c>
      <c r="E1481" t="s">
        <v>5171</v>
      </c>
      <c r="F1481" t="s">
        <v>5172</v>
      </c>
      <c r="G1481" s="425">
        <v>0</v>
      </c>
      <c r="H1481" s="425">
        <v>0</v>
      </c>
      <c r="I1481" s="425">
        <v>0</v>
      </c>
      <c r="J1481" s="425">
        <v>0</v>
      </c>
      <c r="K1481" s="425">
        <v>0</v>
      </c>
      <c r="L1481" s="425">
        <v>0</v>
      </c>
      <c r="M1481" s="425">
        <v>0</v>
      </c>
      <c r="N1481" s="425">
        <v>0</v>
      </c>
      <c r="O1481" s="425">
        <v>0</v>
      </c>
    </row>
    <row r="1482" spans="3:15" hidden="1" x14ac:dyDescent="0.3">
      <c r="C1482" t="s">
        <v>2295</v>
      </c>
      <c r="D1482" t="s">
        <v>2267</v>
      </c>
      <c r="E1482" t="s">
        <v>5173</v>
      </c>
      <c r="F1482" t="s">
        <v>5174</v>
      </c>
      <c r="G1482" s="425">
        <v>0</v>
      </c>
      <c r="H1482" s="425">
        <v>0</v>
      </c>
      <c r="I1482" s="425">
        <v>0</v>
      </c>
      <c r="J1482" s="425">
        <v>0</v>
      </c>
      <c r="K1482" s="425">
        <v>0</v>
      </c>
      <c r="L1482" s="425">
        <v>0</v>
      </c>
      <c r="M1482" s="425">
        <v>0</v>
      </c>
      <c r="N1482" s="425">
        <v>0</v>
      </c>
      <c r="O1482" s="425">
        <v>0</v>
      </c>
    </row>
    <row r="1483" spans="3:15" hidden="1" x14ac:dyDescent="0.3">
      <c r="C1483" t="s">
        <v>2295</v>
      </c>
      <c r="D1483" t="s">
        <v>2267</v>
      </c>
      <c r="E1483" t="s">
        <v>5175</v>
      </c>
      <c r="F1483" t="s">
        <v>5176</v>
      </c>
      <c r="G1483" s="425">
        <v>0</v>
      </c>
      <c r="H1483" s="425">
        <v>0</v>
      </c>
      <c r="I1483" s="425">
        <v>0</v>
      </c>
      <c r="J1483" s="425">
        <v>0</v>
      </c>
      <c r="K1483" s="425">
        <v>0</v>
      </c>
      <c r="L1483" s="425">
        <v>0</v>
      </c>
      <c r="M1483" s="425">
        <v>0</v>
      </c>
      <c r="N1483" s="425">
        <v>0</v>
      </c>
      <c r="O1483" s="425">
        <v>0</v>
      </c>
    </row>
    <row r="1484" spans="3:15" hidden="1" x14ac:dyDescent="0.3">
      <c r="C1484" t="s">
        <v>2295</v>
      </c>
      <c r="D1484" t="s">
        <v>2267</v>
      </c>
      <c r="E1484" t="s">
        <v>5177</v>
      </c>
      <c r="F1484" t="s">
        <v>5178</v>
      </c>
      <c r="G1484" s="425">
        <v>0</v>
      </c>
      <c r="H1484" s="425">
        <v>0</v>
      </c>
      <c r="I1484" s="425">
        <v>0</v>
      </c>
      <c r="J1484" s="425">
        <v>0</v>
      </c>
      <c r="K1484" s="425">
        <v>0</v>
      </c>
      <c r="L1484" s="425">
        <v>0</v>
      </c>
      <c r="M1484" s="425">
        <v>0</v>
      </c>
      <c r="N1484" s="425">
        <v>0</v>
      </c>
      <c r="O1484" s="425">
        <v>0</v>
      </c>
    </row>
    <row r="1485" spans="3:15" hidden="1" x14ac:dyDescent="0.3">
      <c r="C1485" t="s">
        <v>2295</v>
      </c>
      <c r="D1485" t="s">
        <v>2267</v>
      </c>
      <c r="E1485" t="s">
        <v>5179</v>
      </c>
      <c r="F1485" t="s">
        <v>5180</v>
      </c>
      <c r="G1485" s="425">
        <v>0</v>
      </c>
      <c r="H1485" s="425">
        <v>0</v>
      </c>
      <c r="I1485" s="425">
        <v>0</v>
      </c>
      <c r="J1485" s="425">
        <v>0</v>
      </c>
      <c r="K1485" s="425">
        <v>0</v>
      </c>
      <c r="L1485" s="425">
        <v>0</v>
      </c>
      <c r="M1485" s="425">
        <v>0</v>
      </c>
      <c r="N1485" s="425">
        <v>0</v>
      </c>
      <c r="O1485" s="425">
        <v>0</v>
      </c>
    </row>
    <row r="1486" spans="3:15" hidden="1" x14ac:dyDescent="0.3">
      <c r="C1486" t="s">
        <v>2295</v>
      </c>
      <c r="D1486" t="s">
        <v>2267</v>
      </c>
      <c r="E1486" t="s">
        <v>5181</v>
      </c>
      <c r="F1486" t="s">
        <v>5182</v>
      </c>
      <c r="G1486" s="425">
        <v>0</v>
      </c>
      <c r="H1486" s="425">
        <v>0</v>
      </c>
      <c r="I1486" s="425">
        <v>0</v>
      </c>
      <c r="J1486" s="425">
        <v>0</v>
      </c>
      <c r="K1486" s="425">
        <v>0</v>
      </c>
      <c r="L1486" s="425">
        <v>0</v>
      </c>
      <c r="M1486" s="425">
        <v>0</v>
      </c>
      <c r="N1486" s="425">
        <v>0</v>
      </c>
      <c r="O1486" s="425">
        <v>0</v>
      </c>
    </row>
    <row r="1487" spans="3:15" hidden="1" x14ac:dyDescent="0.3">
      <c r="C1487" t="s">
        <v>2295</v>
      </c>
      <c r="D1487" t="s">
        <v>2267</v>
      </c>
      <c r="E1487" t="s">
        <v>5183</v>
      </c>
      <c r="F1487" t="s">
        <v>5184</v>
      </c>
      <c r="G1487" s="425">
        <v>0</v>
      </c>
      <c r="H1487" s="425">
        <v>0</v>
      </c>
      <c r="I1487" s="425">
        <v>0</v>
      </c>
      <c r="J1487" s="425">
        <v>0</v>
      </c>
      <c r="K1487" s="425">
        <v>0</v>
      </c>
      <c r="L1487" s="425">
        <v>0</v>
      </c>
      <c r="M1487" s="425">
        <v>0</v>
      </c>
      <c r="N1487" s="425">
        <v>0</v>
      </c>
      <c r="O1487" s="425">
        <v>0</v>
      </c>
    </row>
    <row r="1488" spans="3:15" hidden="1" x14ac:dyDescent="0.3">
      <c r="C1488" t="s">
        <v>2295</v>
      </c>
      <c r="D1488" t="s">
        <v>2267</v>
      </c>
      <c r="E1488" t="s">
        <v>5185</v>
      </c>
      <c r="F1488" t="s">
        <v>5186</v>
      </c>
      <c r="G1488" s="425">
        <v>0</v>
      </c>
      <c r="H1488" s="425">
        <v>0</v>
      </c>
      <c r="I1488" s="425">
        <v>0</v>
      </c>
      <c r="J1488" s="425">
        <v>0</v>
      </c>
      <c r="K1488" s="425">
        <v>0</v>
      </c>
      <c r="L1488" s="425">
        <v>0</v>
      </c>
      <c r="M1488" s="425">
        <v>0</v>
      </c>
      <c r="N1488" s="425">
        <v>0</v>
      </c>
      <c r="O1488" s="425">
        <v>0</v>
      </c>
    </row>
    <row r="1489" spans="3:15" hidden="1" x14ac:dyDescent="0.3">
      <c r="C1489" t="s">
        <v>2295</v>
      </c>
      <c r="D1489" t="s">
        <v>2267</v>
      </c>
      <c r="E1489" t="s">
        <v>5187</v>
      </c>
      <c r="F1489" t="s">
        <v>5188</v>
      </c>
      <c r="G1489" s="425">
        <v>0</v>
      </c>
      <c r="H1489" s="425">
        <v>0</v>
      </c>
      <c r="I1489" s="425">
        <v>0</v>
      </c>
      <c r="J1489" s="425">
        <v>0</v>
      </c>
      <c r="K1489" s="425">
        <v>0</v>
      </c>
      <c r="L1489" s="425">
        <v>0</v>
      </c>
      <c r="M1489" s="425">
        <v>0</v>
      </c>
      <c r="N1489" s="425">
        <v>0</v>
      </c>
      <c r="O1489" s="425">
        <v>0</v>
      </c>
    </row>
    <row r="1490" spans="3:15" hidden="1" x14ac:dyDescent="0.3">
      <c r="C1490" t="s">
        <v>2295</v>
      </c>
      <c r="D1490" t="s">
        <v>2267</v>
      </c>
      <c r="E1490" t="s">
        <v>5189</v>
      </c>
      <c r="F1490" t="s">
        <v>5190</v>
      </c>
      <c r="G1490" s="425">
        <v>0</v>
      </c>
      <c r="H1490" s="425">
        <v>0</v>
      </c>
      <c r="I1490" s="425">
        <v>0</v>
      </c>
      <c r="J1490" s="425">
        <v>0</v>
      </c>
      <c r="K1490" s="425">
        <v>0</v>
      </c>
      <c r="L1490" s="425">
        <v>0</v>
      </c>
      <c r="M1490" s="425">
        <v>0</v>
      </c>
      <c r="N1490" s="425">
        <v>0</v>
      </c>
      <c r="O1490" s="425">
        <v>0</v>
      </c>
    </row>
    <row r="1491" spans="3:15" hidden="1" x14ac:dyDescent="0.3">
      <c r="C1491" t="s">
        <v>2295</v>
      </c>
      <c r="D1491" t="s">
        <v>2267</v>
      </c>
      <c r="E1491" t="s">
        <v>5191</v>
      </c>
      <c r="F1491" t="s">
        <v>5192</v>
      </c>
      <c r="G1491" s="425">
        <v>0</v>
      </c>
      <c r="H1491" s="425">
        <v>0</v>
      </c>
      <c r="I1491" s="425">
        <v>0</v>
      </c>
      <c r="J1491" s="425">
        <v>0</v>
      </c>
      <c r="K1491" s="425">
        <v>0</v>
      </c>
      <c r="L1491" s="425">
        <v>0</v>
      </c>
      <c r="M1491" s="425">
        <v>0</v>
      </c>
      <c r="N1491" s="425">
        <v>0</v>
      </c>
      <c r="O1491" s="425">
        <v>0</v>
      </c>
    </row>
    <row r="1492" spans="3:15" hidden="1" x14ac:dyDescent="0.3">
      <c r="C1492" t="s">
        <v>2295</v>
      </c>
      <c r="D1492" t="s">
        <v>2267</v>
      </c>
      <c r="E1492" t="s">
        <v>5193</v>
      </c>
      <c r="F1492" t="s">
        <v>5194</v>
      </c>
      <c r="G1492" s="425">
        <v>0</v>
      </c>
      <c r="H1492" s="425">
        <v>0</v>
      </c>
      <c r="I1492" s="425">
        <v>0</v>
      </c>
      <c r="J1492" s="425">
        <v>0</v>
      </c>
      <c r="K1492" s="425">
        <v>0</v>
      </c>
      <c r="L1492" s="425">
        <v>0</v>
      </c>
      <c r="M1492" s="425">
        <v>0</v>
      </c>
      <c r="N1492" s="425">
        <v>0</v>
      </c>
      <c r="O1492" s="425">
        <v>0</v>
      </c>
    </row>
    <row r="1493" spans="3:15" hidden="1" x14ac:dyDescent="0.3">
      <c r="C1493" t="s">
        <v>2295</v>
      </c>
      <c r="D1493" t="s">
        <v>2267</v>
      </c>
      <c r="E1493" t="s">
        <v>5195</v>
      </c>
      <c r="F1493" t="s">
        <v>5196</v>
      </c>
      <c r="G1493" s="425">
        <v>0</v>
      </c>
      <c r="H1493" s="425">
        <v>0</v>
      </c>
      <c r="I1493" s="425">
        <v>0</v>
      </c>
      <c r="J1493" s="425">
        <v>0</v>
      </c>
      <c r="K1493" s="425">
        <v>0</v>
      </c>
      <c r="L1493" s="425">
        <v>0</v>
      </c>
      <c r="M1493" s="425">
        <v>0</v>
      </c>
      <c r="N1493" s="425">
        <v>0</v>
      </c>
      <c r="O1493" s="425">
        <v>0</v>
      </c>
    </row>
    <row r="1494" spans="3:15" hidden="1" x14ac:dyDescent="0.3">
      <c r="C1494" t="s">
        <v>2295</v>
      </c>
      <c r="D1494" t="s">
        <v>2267</v>
      </c>
      <c r="E1494" t="s">
        <v>5197</v>
      </c>
      <c r="F1494" t="s">
        <v>5198</v>
      </c>
      <c r="G1494" s="425">
        <v>0</v>
      </c>
      <c r="H1494" s="425">
        <v>0</v>
      </c>
      <c r="I1494" s="425">
        <v>0</v>
      </c>
      <c r="J1494" s="425">
        <v>0</v>
      </c>
      <c r="K1494" s="425">
        <v>0</v>
      </c>
      <c r="L1494" s="425">
        <v>0</v>
      </c>
      <c r="M1494" s="425">
        <v>0</v>
      </c>
      <c r="N1494" s="425">
        <v>0</v>
      </c>
      <c r="O1494" s="425">
        <v>0</v>
      </c>
    </row>
    <row r="1495" spans="3:15" hidden="1" x14ac:dyDescent="0.3">
      <c r="C1495" t="s">
        <v>2295</v>
      </c>
      <c r="D1495" t="s">
        <v>2267</v>
      </c>
      <c r="E1495" t="s">
        <v>5199</v>
      </c>
      <c r="F1495" t="s">
        <v>5200</v>
      </c>
      <c r="G1495" s="425">
        <v>0</v>
      </c>
      <c r="H1495" s="425">
        <v>0</v>
      </c>
      <c r="I1495" s="425">
        <v>0</v>
      </c>
      <c r="J1495" s="425">
        <v>0</v>
      </c>
      <c r="K1495" s="425">
        <v>0</v>
      </c>
      <c r="L1495" s="425">
        <v>0</v>
      </c>
      <c r="M1495" s="425">
        <v>0</v>
      </c>
      <c r="N1495" s="425">
        <v>0</v>
      </c>
      <c r="O1495" s="425">
        <v>0</v>
      </c>
    </row>
    <row r="1496" spans="3:15" hidden="1" x14ac:dyDescent="0.3">
      <c r="C1496" t="s">
        <v>2295</v>
      </c>
      <c r="D1496" t="s">
        <v>2267</v>
      </c>
      <c r="E1496" t="s">
        <v>5201</v>
      </c>
      <c r="F1496" t="s">
        <v>5202</v>
      </c>
      <c r="G1496" s="425">
        <v>4433510</v>
      </c>
      <c r="H1496" s="425">
        <v>0</v>
      </c>
      <c r="I1496" s="425">
        <v>4433510</v>
      </c>
      <c r="J1496" s="425">
        <v>0</v>
      </c>
      <c r="K1496" s="425">
        <v>0</v>
      </c>
      <c r="L1496" s="425">
        <v>0</v>
      </c>
      <c r="M1496" s="425">
        <v>0</v>
      </c>
      <c r="N1496" s="425">
        <v>0</v>
      </c>
      <c r="O1496" s="425">
        <v>0</v>
      </c>
    </row>
    <row r="1497" spans="3:15" hidden="1" x14ac:dyDescent="0.3">
      <c r="C1497" t="s">
        <v>2295</v>
      </c>
      <c r="D1497" t="s">
        <v>2267</v>
      </c>
      <c r="E1497" t="s">
        <v>5203</v>
      </c>
      <c r="F1497" t="s">
        <v>5204</v>
      </c>
      <c r="G1497" s="425">
        <v>0</v>
      </c>
      <c r="H1497" s="425">
        <v>0</v>
      </c>
      <c r="I1497" s="425">
        <v>0</v>
      </c>
      <c r="J1497" s="425">
        <v>0</v>
      </c>
      <c r="K1497" s="425">
        <v>0</v>
      </c>
      <c r="L1497" s="425">
        <v>0</v>
      </c>
      <c r="M1497" s="425">
        <v>0</v>
      </c>
      <c r="N1497" s="425">
        <v>0</v>
      </c>
      <c r="O1497" s="425">
        <v>0</v>
      </c>
    </row>
    <row r="1498" spans="3:15" hidden="1" x14ac:dyDescent="0.3">
      <c r="C1498" t="s">
        <v>2295</v>
      </c>
      <c r="D1498" t="s">
        <v>2267</v>
      </c>
      <c r="E1498" t="s">
        <v>5205</v>
      </c>
      <c r="F1498" t="s">
        <v>5206</v>
      </c>
      <c r="G1498" s="425">
        <v>0</v>
      </c>
      <c r="H1498" s="425">
        <v>0</v>
      </c>
      <c r="I1498" s="425">
        <v>0</v>
      </c>
      <c r="J1498" s="425">
        <v>0</v>
      </c>
      <c r="K1498" s="425">
        <v>0</v>
      </c>
      <c r="L1498" s="425">
        <v>0</v>
      </c>
      <c r="M1498" s="425">
        <v>0</v>
      </c>
      <c r="N1498" s="425">
        <v>0</v>
      </c>
      <c r="O1498" s="425">
        <v>0</v>
      </c>
    </row>
    <row r="1499" spans="3:15" hidden="1" x14ac:dyDescent="0.3">
      <c r="C1499" t="s">
        <v>2295</v>
      </c>
      <c r="D1499" t="s">
        <v>2267</v>
      </c>
      <c r="E1499" t="s">
        <v>5207</v>
      </c>
      <c r="F1499" t="s">
        <v>5208</v>
      </c>
      <c r="G1499" s="425">
        <v>0</v>
      </c>
      <c r="H1499" s="425">
        <v>0</v>
      </c>
      <c r="I1499" s="425">
        <v>0</v>
      </c>
      <c r="J1499" s="425">
        <v>0</v>
      </c>
      <c r="K1499" s="425">
        <v>0</v>
      </c>
      <c r="L1499" s="425">
        <v>0</v>
      </c>
      <c r="M1499" s="425">
        <v>0</v>
      </c>
      <c r="N1499" s="425">
        <v>0</v>
      </c>
      <c r="O1499" s="425">
        <v>0</v>
      </c>
    </row>
    <row r="1500" spans="3:15" hidden="1" x14ac:dyDescent="0.3">
      <c r="C1500" t="s">
        <v>2295</v>
      </c>
      <c r="D1500" t="s">
        <v>2267</v>
      </c>
      <c r="E1500" t="s">
        <v>5209</v>
      </c>
      <c r="F1500" t="s">
        <v>5210</v>
      </c>
      <c r="G1500" s="425">
        <v>0</v>
      </c>
      <c r="H1500" s="425">
        <v>0</v>
      </c>
      <c r="I1500" s="425">
        <v>0</v>
      </c>
      <c r="J1500" s="425">
        <v>0</v>
      </c>
      <c r="K1500" s="425">
        <v>0</v>
      </c>
      <c r="L1500" s="425">
        <v>0</v>
      </c>
      <c r="M1500" s="425">
        <v>0</v>
      </c>
      <c r="N1500" s="425">
        <v>0</v>
      </c>
      <c r="O1500" s="425">
        <v>0</v>
      </c>
    </row>
    <row r="1501" spans="3:15" hidden="1" x14ac:dyDescent="0.3">
      <c r="C1501" t="s">
        <v>2295</v>
      </c>
      <c r="D1501" t="s">
        <v>2267</v>
      </c>
      <c r="E1501" t="s">
        <v>5211</v>
      </c>
      <c r="F1501" t="s">
        <v>5212</v>
      </c>
      <c r="G1501" s="425">
        <v>0</v>
      </c>
      <c r="H1501" s="425">
        <v>0</v>
      </c>
      <c r="I1501" s="425">
        <v>0</v>
      </c>
      <c r="J1501" s="425">
        <v>0</v>
      </c>
      <c r="K1501" s="425">
        <v>0</v>
      </c>
      <c r="L1501" s="425">
        <v>0</v>
      </c>
      <c r="M1501" s="425">
        <v>0</v>
      </c>
      <c r="N1501" s="425">
        <v>0</v>
      </c>
      <c r="O1501" s="425">
        <v>0</v>
      </c>
    </row>
    <row r="1502" spans="3:15" hidden="1" x14ac:dyDescent="0.3">
      <c r="C1502" t="s">
        <v>2295</v>
      </c>
      <c r="D1502" t="s">
        <v>2267</v>
      </c>
      <c r="E1502" t="s">
        <v>5213</v>
      </c>
      <c r="F1502" t="s">
        <v>5214</v>
      </c>
      <c r="G1502" s="425">
        <v>0</v>
      </c>
      <c r="H1502" s="425">
        <v>0</v>
      </c>
      <c r="I1502" s="425">
        <v>0</v>
      </c>
      <c r="J1502" s="425">
        <v>0</v>
      </c>
      <c r="K1502" s="425">
        <v>0</v>
      </c>
      <c r="L1502" s="425">
        <v>0</v>
      </c>
      <c r="M1502" s="425">
        <v>0</v>
      </c>
      <c r="N1502" s="425">
        <v>0</v>
      </c>
      <c r="O1502" s="425">
        <v>0</v>
      </c>
    </row>
    <row r="1503" spans="3:15" hidden="1" x14ac:dyDescent="0.3">
      <c r="C1503" t="s">
        <v>2295</v>
      </c>
      <c r="D1503" t="s">
        <v>2267</v>
      </c>
      <c r="E1503" t="s">
        <v>5215</v>
      </c>
      <c r="F1503" t="s">
        <v>5216</v>
      </c>
      <c r="G1503" s="425">
        <v>0</v>
      </c>
      <c r="H1503" s="425">
        <v>0</v>
      </c>
      <c r="I1503" s="425">
        <v>0</v>
      </c>
      <c r="J1503" s="425">
        <v>0</v>
      </c>
      <c r="K1503" s="425">
        <v>0</v>
      </c>
      <c r="L1503" s="425">
        <v>0</v>
      </c>
      <c r="M1503" s="425">
        <v>0</v>
      </c>
      <c r="N1503" s="425">
        <v>0</v>
      </c>
      <c r="O1503" s="425">
        <v>0</v>
      </c>
    </row>
    <row r="1504" spans="3:15" hidden="1" x14ac:dyDescent="0.3">
      <c r="C1504" t="s">
        <v>2295</v>
      </c>
      <c r="D1504" t="s">
        <v>2267</v>
      </c>
      <c r="E1504" t="s">
        <v>5217</v>
      </c>
      <c r="F1504" t="s">
        <v>5218</v>
      </c>
      <c r="G1504" s="425">
        <v>0</v>
      </c>
      <c r="H1504" s="425">
        <v>0</v>
      </c>
      <c r="I1504" s="425">
        <v>0</v>
      </c>
      <c r="J1504" s="425">
        <v>0</v>
      </c>
      <c r="K1504" s="425">
        <v>0</v>
      </c>
      <c r="L1504" s="425">
        <v>0</v>
      </c>
      <c r="M1504" s="425">
        <v>0</v>
      </c>
      <c r="N1504" s="425">
        <v>0</v>
      </c>
      <c r="O1504" s="425">
        <v>0</v>
      </c>
    </row>
    <row r="1505" spans="3:15" hidden="1" x14ac:dyDescent="0.3">
      <c r="C1505" t="s">
        <v>2295</v>
      </c>
      <c r="D1505" t="s">
        <v>2267</v>
      </c>
      <c r="E1505" t="s">
        <v>5219</v>
      </c>
      <c r="F1505" t="s">
        <v>5220</v>
      </c>
      <c r="G1505" s="425">
        <v>0</v>
      </c>
      <c r="H1505" s="425">
        <v>0</v>
      </c>
      <c r="I1505" s="425">
        <v>0</v>
      </c>
      <c r="J1505" s="425">
        <v>0</v>
      </c>
      <c r="K1505" s="425">
        <v>0</v>
      </c>
      <c r="L1505" s="425">
        <v>0</v>
      </c>
      <c r="M1505" s="425">
        <v>0</v>
      </c>
      <c r="N1505" s="425">
        <v>0</v>
      </c>
      <c r="O1505" s="425">
        <v>0</v>
      </c>
    </row>
    <row r="1506" spans="3:15" hidden="1" x14ac:dyDescent="0.3">
      <c r="C1506" t="s">
        <v>2295</v>
      </c>
      <c r="D1506" t="s">
        <v>2267</v>
      </c>
      <c r="E1506" t="s">
        <v>5221</v>
      </c>
      <c r="F1506" t="s">
        <v>5222</v>
      </c>
      <c r="G1506" s="425">
        <v>0</v>
      </c>
      <c r="H1506" s="425">
        <v>0</v>
      </c>
      <c r="I1506" s="425">
        <v>0</v>
      </c>
      <c r="J1506" s="425">
        <v>0</v>
      </c>
      <c r="K1506" s="425">
        <v>0</v>
      </c>
      <c r="L1506" s="425">
        <v>0</v>
      </c>
      <c r="M1506" s="425">
        <v>0</v>
      </c>
      <c r="N1506" s="425">
        <v>0</v>
      </c>
      <c r="O1506" s="425">
        <v>0</v>
      </c>
    </row>
    <row r="1507" spans="3:15" hidden="1" x14ac:dyDescent="0.3">
      <c r="C1507" t="s">
        <v>2295</v>
      </c>
      <c r="D1507" t="s">
        <v>2267</v>
      </c>
      <c r="E1507" t="s">
        <v>5223</v>
      </c>
      <c r="F1507" t="s">
        <v>5224</v>
      </c>
      <c r="G1507" s="425">
        <v>0</v>
      </c>
      <c r="H1507" s="425">
        <v>0</v>
      </c>
      <c r="I1507" s="425">
        <v>0</v>
      </c>
      <c r="J1507" s="425">
        <v>0</v>
      </c>
      <c r="K1507" s="425">
        <v>0</v>
      </c>
      <c r="L1507" s="425">
        <v>0</v>
      </c>
      <c r="M1507" s="425">
        <v>0</v>
      </c>
      <c r="N1507" s="425">
        <v>0</v>
      </c>
      <c r="O1507" s="425">
        <v>0</v>
      </c>
    </row>
    <row r="1508" spans="3:15" hidden="1" x14ac:dyDescent="0.3">
      <c r="C1508" t="s">
        <v>2295</v>
      </c>
      <c r="D1508" t="s">
        <v>2267</v>
      </c>
      <c r="E1508" t="s">
        <v>5225</v>
      </c>
      <c r="F1508" t="s">
        <v>5226</v>
      </c>
      <c r="G1508" s="425">
        <v>0</v>
      </c>
      <c r="H1508" s="425">
        <v>0</v>
      </c>
      <c r="I1508" s="425">
        <v>0</v>
      </c>
      <c r="J1508" s="425">
        <v>0</v>
      </c>
      <c r="K1508" s="425">
        <v>0</v>
      </c>
      <c r="L1508" s="425">
        <v>0</v>
      </c>
      <c r="M1508" s="425">
        <v>0</v>
      </c>
      <c r="N1508" s="425">
        <v>0</v>
      </c>
      <c r="O1508" s="425">
        <v>0</v>
      </c>
    </row>
    <row r="1509" spans="3:15" hidden="1" x14ac:dyDescent="0.3">
      <c r="C1509" t="s">
        <v>2295</v>
      </c>
      <c r="D1509" t="s">
        <v>2267</v>
      </c>
      <c r="E1509" t="s">
        <v>5227</v>
      </c>
      <c r="F1509" t="s">
        <v>5228</v>
      </c>
      <c r="G1509" s="425">
        <v>0</v>
      </c>
      <c r="H1509" s="425">
        <v>0</v>
      </c>
      <c r="I1509" s="425">
        <v>0</v>
      </c>
      <c r="J1509" s="425">
        <v>0</v>
      </c>
      <c r="K1509" s="425">
        <v>0</v>
      </c>
      <c r="L1509" s="425">
        <v>0</v>
      </c>
      <c r="M1509" s="425">
        <v>0</v>
      </c>
      <c r="N1509" s="425">
        <v>0</v>
      </c>
      <c r="O1509" s="425">
        <v>0</v>
      </c>
    </row>
    <row r="1510" spans="3:15" hidden="1" x14ac:dyDescent="0.3">
      <c r="C1510" t="s">
        <v>2295</v>
      </c>
      <c r="D1510" t="s">
        <v>2267</v>
      </c>
      <c r="E1510" t="s">
        <v>5229</v>
      </c>
      <c r="F1510" t="s">
        <v>5230</v>
      </c>
      <c r="G1510" s="425">
        <v>0</v>
      </c>
      <c r="H1510" s="425">
        <v>0</v>
      </c>
      <c r="I1510" s="425">
        <v>0</v>
      </c>
      <c r="J1510" s="425">
        <v>0</v>
      </c>
      <c r="K1510" s="425">
        <v>0</v>
      </c>
      <c r="L1510" s="425">
        <v>0</v>
      </c>
      <c r="M1510" s="425">
        <v>0</v>
      </c>
      <c r="N1510" s="425">
        <v>0</v>
      </c>
      <c r="O1510" s="425">
        <v>0</v>
      </c>
    </row>
    <row r="1511" spans="3:15" hidden="1" x14ac:dyDescent="0.3">
      <c r="C1511" t="s">
        <v>2295</v>
      </c>
      <c r="D1511" t="s">
        <v>2267</v>
      </c>
      <c r="E1511" t="s">
        <v>5231</v>
      </c>
      <c r="F1511" t="s">
        <v>5232</v>
      </c>
      <c r="G1511" s="425">
        <v>0</v>
      </c>
      <c r="H1511" s="425">
        <v>0</v>
      </c>
      <c r="I1511" s="425">
        <v>0</v>
      </c>
      <c r="J1511" s="425">
        <v>0</v>
      </c>
      <c r="K1511" s="425">
        <v>0</v>
      </c>
      <c r="L1511" s="425">
        <v>0</v>
      </c>
      <c r="M1511" s="425">
        <v>0</v>
      </c>
      <c r="N1511" s="425">
        <v>0</v>
      </c>
      <c r="O1511" s="425">
        <v>0</v>
      </c>
    </row>
    <row r="1512" spans="3:15" hidden="1" x14ac:dyDescent="0.3">
      <c r="C1512" t="s">
        <v>2295</v>
      </c>
      <c r="D1512" t="s">
        <v>2267</v>
      </c>
      <c r="E1512" t="s">
        <v>5233</v>
      </c>
      <c r="F1512" t="s">
        <v>5234</v>
      </c>
      <c r="G1512" s="425">
        <v>0</v>
      </c>
      <c r="H1512" s="425">
        <v>0</v>
      </c>
      <c r="I1512" s="425">
        <v>0</v>
      </c>
      <c r="J1512" s="425">
        <v>0</v>
      </c>
      <c r="K1512" s="425">
        <v>0</v>
      </c>
      <c r="L1512" s="425">
        <v>0</v>
      </c>
      <c r="M1512" s="425">
        <v>0</v>
      </c>
      <c r="N1512" s="425">
        <v>0</v>
      </c>
      <c r="O1512" s="425">
        <v>0</v>
      </c>
    </row>
    <row r="1513" spans="3:15" hidden="1" x14ac:dyDescent="0.3">
      <c r="C1513" t="s">
        <v>2295</v>
      </c>
      <c r="D1513" t="s">
        <v>2267</v>
      </c>
      <c r="E1513" t="s">
        <v>5235</v>
      </c>
      <c r="F1513" t="s">
        <v>5236</v>
      </c>
      <c r="G1513" s="425">
        <v>0</v>
      </c>
      <c r="H1513" s="425">
        <v>0</v>
      </c>
      <c r="I1513" s="425">
        <v>0</v>
      </c>
      <c r="J1513" s="425">
        <v>0</v>
      </c>
      <c r="K1513" s="425">
        <v>0</v>
      </c>
      <c r="L1513" s="425">
        <v>0</v>
      </c>
      <c r="M1513" s="425">
        <v>0</v>
      </c>
      <c r="N1513" s="425">
        <v>0</v>
      </c>
      <c r="O1513" s="425">
        <v>0</v>
      </c>
    </row>
    <row r="1514" spans="3:15" hidden="1" x14ac:dyDescent="0.3">
      <c r="C1514" t="s">
        <v>2295</v>
      </c>
      <c r="D1514" t="s">
        <v>2267</v>
      </c>
      <c r="E1514" t="s">
        <v>5237</v>
      </c>
      <c r="F1514" t="s">
        <v>5238</v>
      </c>
      <c r="G1514" s="425">
        <v>0</v>
      </c>
      <c r="H1514" s="425">
        <v>0</v>
      </c>
      <c r="I1514" s="425">
        <v>0</v>
      </c>
      <c r="J1514" s="425">
        <v>0</v>
      </c>
      <c r="K1514" s="425">
        <v>0</v>
      </c>
      <c r="L1514" s="425">
        <v>0</v>
      </c>
      <c r="M1514" s="425">
        <v>0</v>
      </c>
      <c r="N1514" s="425">
        <v>0</v>
      </c>
      <c r="O1514" s="425">
        <v>0</v>
      </c>
    </row>
    <row r="1515" spans="3:15" hidden="1" x14ac:dyDescent="0.3">
      <c r="C1515" t="s">
        <v>2295</v>
      </c>
      <c r="D1515" t="s">
        <v>2267</v>
      </c>
      <c r="E1515" t="s">
        <v>5239</v>
      </c>
      <c r="F1515" t="s">
        <v>5240</v>
      </c>
      <c r="G1515" s="425">
        <v>0</v>
      </c>
      <c r="H1515" s="425">
        <v>0</v>
      </c>
      <c r="I1515" s="425">
        <v>0</v>
      </c>
      <c r="J1515" s="425">
        <v>0</v>
      </c>
      <c r="K1515" s="425">
        <v>0</v>
      </c>
      <c r="L1515" s="425">
        <v>0</v>
      </c>
      <c r="M1515" s="425">
        <v>0</v>
      </c>
      <c r="N1515" s="425">
        <v>0</v>
      </c>
      <c r="O1515" s="425">
        <v>0</v>
      </c>
    </row>
    <row r="1516" spans="3:15" hidden="1" x14ac:dyDescent="0.3">
      <c r="C1516" t="s">
        <v>2295</v>
      </c>
      <c r="D1516" t="s">
        <v>2267</v>
      </c>
      <c r="E1516" t="s">
        <v>5241</v>
      </c>
      <c r="F1516" t="s">
        <v>5242</v>
      </c>
      <c r="G1516" s="425">
        <v>0</v>
      </c>
      <c r="H1516" s="425">
        <v>0</v>
      </c>
      <c r="I1516" s="425">
        <v>0</v>
      </c>
      <c r="J1516" s="425">
        <v>0</v>
      </c>
      <c r="K1516" s="425">
        <v>0</v>
      </c>
      <c r="L1516" s="425">
        <v>0</v>
      </c>
      <c r="M1516" s="425">
        <v>0</v>
      </c>
      <c r="N1516" s="425">
        <v>0</v>
      </c>
      <c r="O1516" s="425">
        <v>0</v>
      </c>
    </row>
    <row r="1517" spans="3:15" hidden="1" x14ac:dyDescent="0.3">
      <c r="C1517" t="s">
        <v>2295</v>
      </c>
      <c r="D1517" t="s">
        <v>2267</v>
      </c>
      <c r="E1517" t="s">
        <v>5243</v>
      </c>
      <c r="F1517" t="s">
        <v>5244</v>
      </c>
      <c r="G1517" s="425">
        <v>0</v>
      </c>
      <c r="H1517" s="425">
        <v>0</v>
      </c>
      <c r="I1517" s="425">
        <v>0</v>
      </c>
      <c r="J1517" s="425">
        <v>0</v>
      </c>
      <c r="K1517" s="425">
        <v>0</v>
      </c>
      <c r="L1517" s="425">
        <v>0</v>
      </c>
      <c r="M1517" s="425">
        <v>0</v>
      </c>
      <c r="N1517" s="425">
        <v>0</v>
      </c>
      <c r="O1517" s="425">
        <v>0</v>
      </c>
    </row>
    <row r="1518" spans="3:15" hidden="1" x14ac:dyDescent="0.3">
      <c r="C1518" t="s">
        <v>2295</v>
      </c>
      <c r="D1518" t="s">
        <v>2267</v>
      </c>
      <c r="E1518" t="s">
        <v>5245</v>
      </c>
      <c r="F1518" t="s">
        <v>5246</v>
      </c>
      <c r="G1518" s="425">
        <v>0</v>
      </c>
      <c r="H1518" s="425">
        <v>0</v>
      </c>
      <c r="I1518" s="425">
        <v>0</v>
      </c>
      <c r="J1518" s="425">
        <v>0</v>
      </c>
      <c r="K1518" s="425">
        <v>0</v>
      </c>
      <c r="L1518" s="425">
        <v>0</v>
      </c>
      <c r="M1518" s="425">
        <v>0</v>
      </c>
      <c r="N1518" s="425">
        <v>0</v>
      </c>
      <c r="O1518" s="425">
        <v>0</v>
      </c>
    </row>
    <row r="1519" spans="3:15" hidden="1" x14ac:dyDescent="0.3">
      <c r="C1519" t="s">
        <v>2295</v>
      </c>
      <c r="D1519" t="s">
        <v>2267</v>
      </c>
      <c r="E1519" t="s">
        <v>5247</v>
      </c>
      <c r="F1519" t="s">
        <v>5248</v>
      </c>
      <c r="G1519" s="425">
        <v>0</v>
      </c>
      <c r="H1519" s="425">
        <v>0</v>
      </c>
      <c r="I1519" s="425">
        <v>0</v>
      </c>
      <c r="J1519" s="425">
        <v>0</v>
      </c>
      <c r="K1519" s="425">
        <v>0</v>
      </c>
      <c r="L1519" s="425">
        <v>0</v>
      </c>
      <c r="M1519" s="425">
        <v>0</v>
      </c>
      <c r="N1519" s="425">
        <v>0</v>
      </c>
      <c r="O1519" s="425">
        <v>0</v>
      </c>
    </row>
    <row r="1520" spans="3:15" hidden="1" x14ac:dyDescent="0.3">
      <c r="C1520" t="s">
        <v>2295</v>
      </c>
      <c r="D1520" t="s">
        <v>2267</v>
      </c>
      <c r="E1520" t="s">
        <v>5249</v>
      </c>
      <c r="F1520" t="s">
        <v>5250</v>
      </c>
      <c r="G1520" s="425">
        <v>0</v>
      </c>
      <c r="H1520" s="425">
        <v>0</v>
      </c>
      <c r="I1520" s="425">
        <v>0</v>
      </c>
      <c r="J1520" s="425">
        <v>0</v>
      </c>
      <c r="K1520" s="425">
        <v>0</v>
      </c>
      <c r="L1520" s="425">
        <v>0</v>
      </c>
      <c r="M1520" s="425">
        <v>0</v>
      </c>
      <c r="N1520" s="425">
        <v>0</v>
      </c>
      <c r="O1520" s="425">
        <v>0</v>
      </c>
    </row>
    <row r="1521" spans="3:15" hidden="1" x14ac:dyDescent="0.3">
      <c r="C1521" t="s">
        <v>2295</v>
      </c>
      <c r="D1521" t="s">
        <v>2267</v>
      </c>
      <c r="E1521" t="s">
        <v>5251</v>
      </c>
      <c r="F1521" t="s">
        <v>5252</v>
      </c>
      <c r="G1521" s="425">
        <v>0</v>
      </c>
      <c r="H1521" s="425">
        <v>0</v>
      </c>
      <c r="I1521" s="425">
        <v>0</v>
      </c>
      <c r="J1521" s="425">
        <v>0</v>
      </c>
      <c r="K1521" s="425">
        <v>0</v>
      </c>
      <c r="L1521" s="425">
        <v>0</v>
      </c>
      <c r="M1521" s="425">
        <v>0</v>
      </c>
      <c r="N1521" s="425">
        <v>0</v>
      </c>
      <c r="O1521" s="425">
        <v>0</v>
      </c>
    </row>
    <row r="1522" spans="3:15" hidden="1" x14ac:dyDescent="0.3">
      <c r="C1522" t="s">
        <v>2295</v>
      </c>
      <c r="D1522" t="s">
        <v>2267</v>
      </c>
      <c r="E1522" t="s">
        <v>5253</v>
      </c>
      <c r="F1522" t="s">
        <v>5254</v>
      </c>
      <c r="G1522" s="425">
        <v>0</v>
      </c>
      <c r="H1522" s="425">
        <v>0</v>
      </c>
      <c r="I1522" s="425">
        <v>0</v>
      </c>
      <c r="J1522" s="425">
        <v>0</v>
      </c>
      <c r="K1522" s="425">
        <v>0</v>
      </c>
      <c r="L1522" s="425">
        <v>0</v>
      </c>
      <c r="M1522" s="425">
        <v>0</v>
      </c>
      <c r="N1522" s="425">
        <v>0</v>
      </c>
      <c r="O1522" s="425">
        <v>0</v>
      </c>
    </row>
    <row r="1523" spans="3:15" hidden="1" x14ac:dyDescent="0.3">
      <c r="C1523" t="s">
        <v>2295</v>
      </c>
      <c r="D1523" t="s">
        <v>2267</v>
      </c>
      <c r="E1523" t="s">
        <v>5255</v>
      </c>
      <c r="F1523" t="s">
        <v>5256</v>
      </c>
      <c r="G1523" s="425">
        <v>0</v>
      </c>
      <c r="H1523" s="425">
        <v>0</v>
      </c>
      <c r="I1523" s="425">
        <v>0</v>
      </c>
      <c r="J1523" s="425">
        <v>0</v>
      </c>
      <c r="K1523" s="425">
        <v>0</v>
      </c>
      <c r="L1523" s="425">
        <v>0</v>
      </c>
      <c r="M1523" s="425">
        <v>0</v>
      </c>
      <c r="N1523" s="425">
        <v>0</v>
      </c>
      <c r="O1523" s="425">
        <v>0</v>
      </c>
    </row>
    <row r="1524" spans="3:15" hidden="1" x14ac:dyDescent="0.3">
      <c r="C1524" t="s">
        <v>2295</v>
      </c>
      <c r="D1524" t="s">
        <v>2267</v>
      </c>
      <c r="E1524" t="s">
        <v>5257</v>
      </c>
      <c r="F1524" t="s">
        <v>5258</v>
      </c>
      <c r="G1524" s="425">
        <v>0</v>
      </c>
      <c r="H1524" s="425">
        <v>0</v>
      </c>
      <c r="I1524" s="425">
        <v>0</v>
      </c>
      <c r="J1524" s="425">
        <v>0</v>
      </c>
      <c r="K1524" s="425">
        <v>0</v>
      </c>
      <c r="L1524" s="425">
        <v>0</v>
      </c>
      <c r="M1524" s="425">
        <v>0</v>
      </c>
      <c r="N1524" s="425">
        <v>0</v>
      </c>
      <c r="O1524" s="425">
        <v>0</v>
      </c>
    </row>
    <row r="1525" spans="3:15" hidden="1" x14ac:dyDescent="0.3">
      <c r="C1525" t="s">
        <v>2295</v>
      </c>
      <c r="D1525" t="s">
        <v>2267</v>
      </c>
      <c r="E1525" t="s">
        <v>5259</v>
      </c>
      <c r="F1525" t="s">
        <v>5260</v>
      </c>
      <c r="G1525" s="425">
        <v>0</v>
      </c>
      <c r="H1525" s="425">
        <v>0</v>
      </c>
      <c r="I1525" s="425">
        <v>0</v>
      </c>
      <c r="J1525" s="425">
        <v>0</v>
      </c>
      <c r="K1525" s="425">
        <v>0</v>
      </c>
      <c r="L1525" s="425">
        <v>0</v>
      </c>
      <c r="M1525" s="425">
        <v>0</v>
      </c>
      <c r="N1525" s="425">
        <v>0</v>
      </c>
      <c r="O1525" s="425">
        <v>0</v>
      </c>
    </row>
    <row r="1526" spans="3:15" hidden="1" x14ac:dyDescent="0.3">
      <c r="C1526" t="s">
        <v>2295</v>
      </c>
      <c r="D1526" t="s">
        <v>2267</v>
      </c>
      <c r="E1526" t="s">
        <v>5261</v>
      </c>
      <c r="F1526" t="s">
        <v>5262</v>
      </c>
      <c r="G1526" s="425">
        <v>0</v>
      </c>
      <c r="H1526" s="425">
        <v>0</v>
      </c>
      <c r="I1526" s="425">
        <v>0</v>
      </c>
      <c r="J1526" s="425">
        <v>0</v>
      </c>
      <c r="K1526" s="425">
        <v>0</v>
      </c>
      <c r="L1526" s="425">
        <v>0</v>
      </c>
      <c r="M1526" s="425">
        <v>0</v>
      </c>
      <c r="N1526" s="425">
        <v>0</v>
      </c>
      <c r="O1526" s="425">
        <v>0</v>
      </c>
    </row>
    <row r="1527" spans="3:15" hidden="1" x14ac:dyDescent="0.3">
      <c r="C1527" t="s">
        <v>2295</v>
      </c>
      <c r="D1527" t="s">
        <v>2267</v>
      </c>
      <c r="E1527" t="s">
        <v>5203</v>
      </c>
      <c r="F1527" t="s">
        <v>5263</v>
      </c>
      <c r="G1527" s="425">
        <v>0</v>
      </c>
      <c r="H1527" s="425">
        <v>0</v>
      </c>
      <c r="I1527" s="425">
        <v>0</v>
      </c>
      <c r="J1527" s="425">
        <v>0</v>
      </c>
      <c r="K1527" s="425">
        <v>0</v>
      </c>
      <c r="L1527" s="425">
        <v>0</v>
      </c>
      <c r="M1527" s="425">
        <v>0</v>
      </c>
      <c r="N1527" s="425">
        <v>0</v>
      </c>
      <c r="O1527" s="425">
        <v>0</v>
      </c>
    </row>
    <row r="1528" spans="3:15" hidden="1" x14ac:dyDescent="0.3">
      <c r="C1528" t="s">
        <v>2295</v>
      </c>
      <c r="D1528" t="s">
        <v>2267</v>
      </c>
      <c r="E1528" t="s">
        <v>5264</v>
      </c>
      <c r="F1528" t="s">
        <v>5265</v>
      </c>
      <c r="G1528" s="425">
        <v>0</v>
      </c>
      <c r="H1528" s="425">
        <v>0</v>
      </c>
      <c r="I1528" s="425">
        <v>0</v>
      </c>
      <c r="J1528" s="425">
        <v>0</v>
      </c>
      <c r="K1528" s="425">
        <v>0</v>
      </c>
      <c r="L1528" s="425">
        <v>0</v>
      </c>
      <c r="M1528" s="425">
        <v>0</v>
      </c>
      <c r="N1528" s="425">
        <v>0</v>
      </c>
      <c r="O1528" s="425">
        <v>0</v>
      </c>
    </row>
    <row r="1529" spans="3:15" hidden="1" x14ac:dyDescent="0.3">
      <c r="C1529" t="s">
        <v>2295</v>
      </c>
      <c r="D1529" t="s">
        <v>2267</v>
      </c>
      <c r="E1529" t="s">
        <v>5266</v>
      </c>
      <c r="F1529" t="s">
        <v>5267</v>
      </c>
      <c r="G1529" s="425">
        <v>0</v>
      </c>
      <c r="H1529" s="425">
        <v>0</v>
      </c>
      <c r="I1529" s="425">
        <v>0</v>
      </c>
      <c r="J1529" s="425">
        <v>0</v>
      </c>
      <c r="K1529" s="425">
        <v>0</v>
      </c>
      <c r="L1529" s="425">
        <v>0</v>
      </c>
      <c r="M1529" s="425">
        <v>0</v>
      </c>
      <c r="N1529" s="425">
        <v>0</v>
      </c>
      <c r="O1529" s="425">
        <v>0</v>
      </c>
    </row>
    <row r="1530" spans="3:15" hidden="1" x14ac:dyDescent="0.3">
      <c r="C1530" t="s">
        <v>2295</v>
      </c>
      <c r="D1530" t="s">
        <v>2267</v>
      </c>
      <c r="E1530" t="s">
        <v>5268</v>
      </c>
      <c r="F1530" t="s">
        <v>5269</v>
      </c>
      <c r="G1530" s="425">
        <v>0</v>
      </c>
      <c r="H1530" s="425">
        <v>0</v>
      </c>
      <c r="I1530" s="425">
        <v>0</v>
      </c>
      <c r="J1530" s="425">
        <v>0</v>
      </c>
      <c r="K1530" s="425">
        <v>0</v>
      </c>
      <c r="L1530" s="425">
        <v>0</v>
      </c>
      <c r="M1530" s="425">
        <v>0</v>
      </c>
      <c r="N1530" s="425">
        <v>0</v>
      </c>
      <c r="O1530" s="425">
        <v>0</v>
      </c>
    </row>
    <row r="1531" spans="3:15" hidden="1" x14ac:dyDescent="0.3">
      <c r="C1531" t="s">
        <v>2295</v>
      </c>
      <c r="D1531" t="s">
        <v>2267</v>
      </c>
      <c r="E1531" t="s">
        <v>5270</v>
      </c>
      <c r="F1531" t="s">
        <v>5271</v>
      </c>
      <c r="G1531" s="425">
        <v>0</v>
      </c>
      <c r="H1531" s="425">
        <v>0</v>
      </c>
      <c r="I1531" s="425">
        <v>0</v>
      </c>
      <c r="J1531" s="425">
        <v>0</v>
      </c>
      <c r="K1531" s="425">
        <v>0</v>
      </c>
      <c r="L1531" s="425">
        <v>0</v>
      </c>
      <c r="M1531" s="425">
        <v>0</v>
      </c>
      <c r="N1531" s="425">
        <v>0</v>
      </c>
      <c r="O1531" s="425">
        <v>0</v>
      </c>
    </row>
    <row r="1532" spans="3:15" hidden="1" x14ac:dyDescent="0.3">
      <c r="C1532" t="s">
        <v>2295</v>
      </c>
      <c r="D1532" t="s">
        <v>2267</v>
      </c>
      <c r="E1532" t="s">
        <v>5272</v>
      </c>
      <c r="F1532" t="s">
        <v>5273</v>
      </c>
      <c r="G1532" s="425">
        <v>0</v>
      </c>
      <c r="H1532" s="425">
        <v>0</v>
      </c>
      <c r="I1532" s="425">
        <v>0</v>
      </c>
      <c r="J1532" s="425">
        <v>0</v>
      </c>
      <c r="K1532" s="425">
        <v>0</v>
      </c>
      <c r="L1532" s="425">
        <v>0</v>
      </c>
      <c r="M1532" s="425">
        <v>0</v>
      </c>
      <c r="N1532" s="425">
        <v>0</v>
      </c>
      <c r="O1532" s="425">
        <v>0</v>
      </c>
    </row>
    <row r="1533" spans="3:15" hidden="1" x14ac:dyDescent="0.3">
      <c r="C1533" t="s">
        <v>2295</v>
      </c>
      <c r="D1533" t="s">
        <v>2267</v>
      </c>
      <c r="E1533" t="s">
        <v>5274</v>
      </c>
      <c r="F1533" t="s">
        <v>5275</v>
      </c>
      <c r="G1533" s="425">
        <v>0</v>
      </c>
      <c r="H1533" s="425">
        <v>0</v>
      </c>
      <c r="I1533" s="425">
        <v>0</v>
      </c>
      <c r="J1533" s="425">
        <v>0</v>
      </c>
      <c r="K1533" s="425">
        <v>0</v>
      </c>
      <c r="L1533" s="425">
        <v>0</v>
      </c>
      <c r="M1533" s="425">
        <v>0</v>
      </c>
      <c r="N1533" s="425">
        <v>0</v>
      </c>
      <c r="O1533" s="425">
        <v>0</v>
      </c>
    </row>
    <row r="1534" spans="3:15" hidden="1" x14ac:dyDescent="0.3">
      <c r="C1534" t="s">
        <v>2295</v>
      </c>
      <c r="D1534" t="s">
        <v>2267</v>
      </c>
      <c r="E1534" t="s">
        <v>5276</v>
      </c>
      <c r="F1534" t="s">
        <v>5277</v>
      </c>
      <c r="G1534" s="425">
        <v>0</v>
      </c>
      <c r="H1534" s="425">
        <v>0</v>
      </c>
      <c r="I1534" s="425">
        <v>0</v>
      </c>
      <c r="J1534" s="425">
        <v>0</v>
      </c>
      <c r="K1534" s="425">
        <v>0</v>
      </c>
      <c r="L1534" s="425">
        <v>0</v>
      </c>
      <c r="M1534" s="425">
        <v>0</v>
      </c>
      <c r="N1534" s="425">
        <v>0</v>
      </c>
      <c r="O1534" s="425">
        <v>0</v>
      </c>
    </row>
    <row r="1535" spans="3:15" hidden="1" x14ac:dyDescent="0.3">
      <c r="C1535" t="s">
        <v>2295</v>
      </c>
      <c r="D1535" t="s">
        <v>2267</v>
      </c>
      <c r="E1535" t="s">
        <v>5278</v>
      </c>
      <c r="F1535" t="s">
        <v>5279</v>
      </c>
      <c r="G1535" s="425">
        <v>0</v>
      </c>
      <c r="H1535" s="425">
        <v>0</v>
      </c>
      <c r="I1535" s="425">
        <v>0</v>
      </c>
      <c r="J1535" s="425">
        <v>0</v>
      </c>
      <c r="K1535" s="425">
        <v>0</v>
      </c>
      <c r="L1535" s="425">
        <v>0</v>
      </c>
      <c r="M1535" s="425">
        <v>0</v>
      </c>
      <c r="N1535" s="425">
        <v>0</v>
      </c>
      <c r="O1535" s="425">
        <v>0</v>
      </c>
    </row>
    <row r="1536" spans="3:15" hidden="1" x14ac:dyDescent="0.3">
      <c r="C1536" t="s">
        <v>2295</v>
      </c>
      <c r="D1536" t="s">
        <v>2267</v>
      </c>
      <c r="E1536" t="s">
        <v>5280</v>
      </c>
      <c r="F1536" t="s">
        <v>5281</v>
      </c>
      <c r="G1536" s="425">
        <v>0</v>
      </c>
      <c r="H1536" s="425">
        <v>0</v>
      </c>
      <c r="I1536" s="425">
        <v>0</v>
      </c>
      <c r="J1536" s="425">
        <v>0</v>
      </c>
      <c r="K1536" s="425">
        <v>0</v>
      </c>
      <c r="L1536" s="425">
        <v>0</v>
      </c>
      <c r="M1536" s="425">
        <v>0</v>
      </c>
      <c r="N1536" s="425">
        <v>0</v>
      </c>
      <c r="O1536" s="425">
        <v>0</v>
      </c>
    </row>
    <row r="1537" spans="3:15" hidden="1" x14ac:dyDescent="0.3">
      <c r="C1537" t="s">
        <v>2295</v>
      </c>
      <c r="D1537" t="s">
        <v>2267</v>
      </c>
      <c r="E1537" t="s">
        <v>5282</v>
      </c>
      <c r="F1537" t="s">
        <v>5283</v>
      </c>
      <c r="G1537" s="425">
        <v>0</v>
      </c>
      <c r="H1537" s="425">
        <v>0</v>
      </c>
      <c r="I1537" s="425">
        <v>0</v>
      </c>
      <c r="J1537" s="425">
        <v>0</v>
      </c>
      <c r="K1537" s="425">
        <v>0</v>
      </c>
      <c r="L1537" s="425">
        <v>0</v>
      </c>
      <c r="M1537" s="425">
        <v>0</v>
      </c>
      <c r="N1537" s="425">
        <v>0</v>
      </c>
      <c r="O1537" s="425">
        <v>0</v>
      </c>
    </row>
    <row r="1538" spans="3:15" hidden="1" x14ac:dyDescent="0.3">
      <c r="C1538" t="s">
        <v>2295</v>
      </c>
      <c r="D1538" t="s">
        <v>2267</v>
      </c>
      <c r="E1538" t="s">
        <v>5284</v>
      </c>
      <c r="F1538" t="s">
        <v>5285</v>
      </c>
      <c r="G1538" s="425">
        <v>0</v>
      </c>
      <c r="H1538" s="425">
        <v>0</v>
      </c>
      <c r="I1538" s="425">
        <v>0</v>
      </c>
      <c r="J1538" s="425">
        <v>0</v>
      </c>
      <c r="K1538" s="425">
        <v>0</v>
      </c>
      <c r="L1538" s="425">
        <v>0</v>
      </c>
      <c r="M1538" s="425">
        <v>0</v>
      </c>
      <c r="N1538" s="425">
        <v>0</v>
      </c>
      <c r="O1538" s="425">
        <v>0</v>
      </c>
    </row>
    <row r="1539" spans="3:15" hidden="1" x14ac:dyDescent="0.3">
      <c r="C1539" t="s">
        <v>2295</v>
      </c>
      <c r="D1539" t="s">
        <v>2267</v>
      </c>
      <c r="E1539" t="s">
        <v>5286</v>
      </c>
      <c r="F1539" t="s">
        <v>5287</v>
      </c>
      <c r="G1539" s="425">
        <v>0</v>
      </c>
      <c r="H1539" s="425">
        <v>0</v>
      </c>
      <c r="I1539" s="425">
        <v>0</v>
      </c>
      <c r="J1539" s="425">
        <v>0</v>
      </c>
      <c r="K1539" s="425">
        <v>0</v>
      </c>
      <c r="L1539" s="425">
        <v>0</v>
      </c>
      <c r="M1539" s="425">
        <v>0</v>
      </c>
      <c r="N1539" s="425">
        <v>0</v>
      </c>
      <c r="O1539" s="425">
        <v>0</v>
      </c>
    </row>
    <row r="1540" spans="3:15" hidden="1" x14ac:dyDescent="0.3">
      <c r="C1540" t="s">
        <v>2295</v>
      </c>
      <c r="D1540" t="s">
        <v>2267</v>
      </c>
      <c r="E1540" t="s">
        <v>5288</v>
      </c>
      <c r="F1540" t="s">
        <v>5289</v>
      </c>
      <c r="G1540" s="425">
        <v>0</v>
      </c>
      <c r="H1540" s="425">
        <v>0</v>
      </c>
      <c r="I1540" s="425">
        <v>0</v>
      </c>
      <c r="J1540" s="425">
        <v>0</v>
      </c>
      <c r="K1540" s="425">
        <v>0</v>
      </c>
      <c r="L1540" s="425">
        <v>0</v>
      </c>
      <c r="M1540" s="425">
        <v>0</v>
      </c>
      <c r="N1540" s="425">
        <v>0</v>
      </c>
      <c r="O1540" s="425">
        <v>0</v>
      </c>
    </row>
    <row r="1541" spans="3:15" hidden="1" x14ac:dyDescent="0.3">
      <c r="C1541" t="s">
        <v>2295</v>
      </c>
      <c r="D1541" t="s">
        <v>2267</v>
      </c>
      <c r="E1541" t="s">
        <v>5290</v>
      </c>
      <c r="F1541" t="s">
        <v>5291</v>
      </c>
      <c r="G1541" s="425">
        <v>0</v>
      </c>
      <c r="H1541" s="425">
        <v>0</v>
      </c>
      <c r="I1541" s="425">
        <v>0</v>
      </c>
      <c r="J1541" s="425">
        <v>0</v>
      </c>
      <c r="K1541" s="425">
        <v>0</v>
      </c>
      <c r="L1541" s="425">
        <v>0</v>
      </c>
      <c r="M1541" s="425">
        <v>0</v>
      </c>
      <c r="N1541" s="425">
        <v>0</v>
      </c>
      <c r="O1541" s="425">
        <v>0</v>
      </c>
    </row>
    <row r="1542" spans="3:15" hidden="1" x14ac:dyDescent="0.3">
      <c r="C1542" t="s">
        <v>2295</v>
      </c>
      <c r="D1542" t="s">
        <v>2267</v>
      </c>
      <c r="E1542" t="s">
        <v>5292</v>
      </c>
      <c r="F1542" t="s">
        <v>5293</v>
      </c>
      <c r="G1542" s="425">
        <v>0</v>
      </c>
      <c r="H1542" s="425">
        <v>0</v>
      </c>
      <c r="I1542" s="425">
        <v>0</v>
      </c>
      <c r="J1542" s="425">
        <v>0</v>
      </c>
      <c r="K1542" s="425">
        <v>0</v>
      </c>
      <c r="L1542" s="425">
        <v>0</v>
      </c>
      <c r="M1542" s="425">
        <v>0</v>
      </c>
      <c r="N1542" s="425">
        <v>0</v>
      </c>
      <c r="O1542" s="425">
        <v>0</v>
      </c>
    </row>
    <row r="1543" spans="3:15" hidden="1" x14ac:dyDescent="0.3">
      <c r="C1543" t="s">
        <v>2295</v>
      </c>
      <c r="D1543" t="s">
        <v>2267</v>
      </c>
      <c r="E1543" t="s">
        <v>5294</v>
      </c>
      <c r="F1543" t="s">
        <v>5295</v>
      </c>
      <c r="G1543" s="425">
        <v>0</v>
      </c>
      <c r="H1543" s="425">
        <v>0</v>
      </c>
      <c r="I1543" s="425">
        <v>0</v>
      </c>
      <c r="J1543" s="425">
        <v>0</v>
      </c>
      <c r="K1543" s="425">
        <v>0</v>
      </c>
      <c r="L1543" s="425">
        <v>0</v>
      </c>
      <c r="M1543" s="425">
        <v>0</v>
      </c>
      <c r="N1543" s="425">
        <v>0</v>
      </c>
      <c r="O1543" s="425">
        <v>0</v>
      </c>
    </row>
    <row r="1544" spans="3:15" hidden="1" x14ac:dyDescent="0.3">
      <c r="C1544" t="s">
        <v>2295</v>
      </c>
      <c r="D1544" t="s">
        <v>2267</v>
      </c>
      <c r="E1544" t="s">
        <v>5296</v>
      </c>
      <c r="F1544" t="s">
        <v>5297</v>
      </c>
      <c r="G1544" s="425">
        <v>0</v>
      </c>
      <c r="H1544" s="425">
        <v>0</v>
      </c>
      <c r="I1544" s="425">
        <v>0</v>
      </c>
      <c r="J1544" s="425">
        <v>0</v>
      </c>
      <c r="K1544" s="425">
        <v>0</v>
      </c>
      <c r="L1544" s="425">
        <v>0</v>
      </c>
      <c r="M1544" s="425">
        <v>0</v>
      </c>
      <c r="N1544" s="425">
        <v>0</v>
      </c>
      <c r="O1544" s="425">
        <v>0</v>
      </c>
    </row>
    <row r="1545" spans="3:15" hidden="1" x14ac:dyDescent="0.3">
      <c r="C1545" t="s">
        <v>2295</v>
      </c>
      <c r="D1545" t="s">
        <v>2267</v>
      </c>
      <c r="E1545" t="s">
        <v>5298</v>
      </c>
      <c r="F1545" t="s">
        <v>5299</v>
      </c>
      <c r="G1545" s="425">
        <v>0</v>
      </c>
      <c r="H1545" s="425">
        <v>0</v>
      </c>
      <c r="I1545" s="425">
        <v>0</v>
      </c>
      <c r="J1545" s="425">
        <v>0</v>
      </c>
      <c r="K1545" s="425">
        <v>0</v>
      </c>
      <c r="L1545" s="425">
        <v>0</v>
      </c>
      <c r="M1545" s="425">
        <v>0</v>
      </c>
      <c r="N1545" s="425">
        <v>0</v>
      </c>
      <c r="O1545" s="425">
        <v>0</v>
      </c>
    </row>
    <row r="1546" spans="3:15" hidden="1" x14ac:dyDescent="0.3">
      <c r="C1546" t="s">
        <v>2295</v>
      </c>
      <c r="D1546" t="s">
        <v>2267</v>
      </c>
      <c r="E1546" t="s">
        <v>5300</v>
      </c>
      <c r="F1546" t="s">
        <v>5301</v>
      </c>
      <c r="G1546" s="425">
        <v>0</v>
      </c>
      <c r="H1546" s="425">
        <v>0</v>
      </c>
      <c r="I1546" s="425">
        <v>0</v>
      </c>
      <c r="J1546" s="425">
        <v>0</v>
      </c>
      <c r="K1546" s="425">
        <v>0</v>
      </c>
      <c r="L1546" s="425">
        <v>0</v>
      </c>
      <c r="M1546" s="425">
        <v>0</v>
      </c>
      <c r="N1546" s="425">
        <v>0</v>
      </c>
      <c r="O1546" s="425">
        <v>0</v>
      </c>
    </row>
    <row r="1547" spans="3:15" hidden="1" x14ac:dyDescent="0.3">
      <c r="C1547" t="s">
        <v>2295</v>
      </c>
      <c r="D1547" t="s">
        <v>2267</v>
      </c>
      <c r="E1547" t="s">
        <v>5302</v>
      </c>
      <c r="F1547" t="s">
        <v>5303</v>
      </c>
      <c r="G1547" s="425">
        <v>0</v>
      </c>
      <c r="H1547" s="425">
        <v>0</v>
      </c>
      <c r="I1547" s="425">
        <v>0</v>
      </c>
      <c r="J1547" s="425">
        <v>0</v>
      </c>
      <c r="K1547" s="425">
        <v>0</v>
      </c>
      <c r="L1547" s="425">
        <v>0</v>
      </c>
      <c r="M1547" s="425">
        <v>0</v>
      </c>
      <c r="N1547" s="425">
        <v>0</v>
      </c>
      <c r="O1547" s="425">
        <v>0</v>
      </c>
    </row>
    <row r="1548" spans="3:15" hidden="1" x14ac:dyDescent="0.3">
      <c r="C1548" t="s">
        <v>2295</v>
      </c>
      <c r="D1548" t="s">
        <v>2267</v>
      </c>
      <c r="E1548" t="s">
        <v>5304</v>
      </c>
      <c r="F1548" t="s">
        <v>5305</v>
      </c>
      <c r="G1548" s="425">
        <v>0</v>
      </c>
      <c r="H1548" s="425">
        <v>0</v>
      </c>
      <c r="I1548" s="425">
        <v>0</v>
      </c>
      <c r="J1548" s="425">
        <v>0</v>
      </c>
      <c r="K1548" s="425">
        <v>0</v>
      </c>
      <c r="L1548" s="425">
        <v>0</v>
      </c>
      <c r="M1548" s="425">
        <v>0</v>
      </c>
      <c r="N1548" s="425">
        <v>0</v>
      </c>
      <c r="O1548" s="425">
        <v>0</v>
      </c>
    </row>
    <row r="1549" spans="3:15" hidden="1" x14ac:dyDescent="0.3">
      <c r="C1549" t="s">
        <v>2295</v>
      </c>
      <c r="D1549" t="s">
        <v>2267</v>
      </c>
      <c r="E1549" t="s">
        <v>5306</v>
      </c>
      <c r="F1549" t="s">
        <v>5307</v>
      </c>
      <c r="G1549" s="425">
        <v>0</v>
      </c>
      <c r="H1549" s="425">
        <v>0</v>
      </c>
      <c r="I1549" s="425">
        <v>0</v>
      </c>
      <c r="J1549" s="425">
        <v>0</v>
      </c>
      <c r="K1549" s="425">
        <v>0</v>
      </c>
      <c r="L1549" s="425">
        <v>0</v>
      </c>
      <c r="M1549" s="425">
        <v>0</v>
      </c>
      <c r="N1549" s="425">
        <v>0</v>
      </c>
      <c r="O1549" s="425">
        <v>0</v>
      </c>
    </row>
    <row r="1550" spans="3:15" hidden="1" x14ac:dyDescent="0.3">
      <c r="C1550" t="s">
        <v>2295</v>
      </c>
      <c r="D1550" t="s">
        <v>2267</v>
      </c>
      <c r="E1550" t="s">
        <v>5308</v>
      </c>
      <c r="F1550" t="s">
        <v>5309</v>
      </c>
      <c r="G1550" s="425">
        <v>0</v>
      </c>
      <c r="H1550" s="425">
        <v>0</v>
      </c>
      <c r="I1550" s="425">
        <v>0</v>
      </c>
      <c r="J1550" s="425">
        <v>0</v>
      </c>
      <c r="K1550" s="425">
        <v>0</v>
      </c>
      <c r="L1550" s="425">
        <v>0</v>
      </c>
      <c r="M1550" s="425">
        <v>0</v>
      </c>
      <c r="N1550" s="425">
        <v>0</v>
      </c>
      <c r="O1550" s="425">
        <v>0</v>
      </c>
    </row>
    <row r="1551" spans="3:15" hidden="1" x14ac:dyDescent="0.3">
      <c r="C1551" t="s">
        <v>2295</v>
      </c>
      <c r="D1551" t="s">
        <v>2267</v>
      </c>
      <c r="E1551" t="s">
        <v>5310</v>
      </c>
      <c r="F1551" t="s">
        <v>5311</v>
      </c>
      <c r="G1551" s="425">
        <v>0</v>
      </c>
      <c r="H1551" s="425">
        <v>0</v>
      </c>
      <c r="I1551" s="425">
        <v>0</v>
      </c>
      <c r="J1551" s="425">
        <v>0</v>
      </c>
      <c r="K1551" s="425">
        <v>0</v>
      </c>
      <c r="L1551" s="425">
        <v>0</v>
      </c>
      <c r="M1551" s="425">
        <v>0</v>
      </c>
      <c r="N1551" s="425">
        <v>0</v>
      </c>
      <c r="O1551" s="425">
        <v>0</v>
      </c>
    </row>
    <row r="1552" spans="3:15" hidden="1" x14ac:dyDescent="0.3">
      <c r="C1552" t="s">
        <v>2295</v>
      </c>
      <c r="D1552" t="s">
        <v>2267</v>
      </c>
      <c r="E1552" t="s">
        <v>5312</v>
      </c>
      <c r="F1552" t="s">
        <v>5313</v>
      </c>
      <c r="G1552" s="425">
        <v>0</v>
      </c>
      <c r="H1552" s="425">
        <v>0</v>
      </c>
      <c r="I1552" s="425">
        <v>0</v>
      </c>
      <c r="J1552" s="425">
        <v>0</v>
      </c>
      <c r="K1552" s="425">
        <v>0</v>
      </c>
      <c r="L1552" s="425">
        <v>0</v>
      </c>
      <c r="M1552" s="425">
        <v>0</v>
      </c>
      <c r="N1552" s="425">
        <v>0</v>
      </c>
      <c r="O1552" s="425">
        <v>0</v>
      </c>
    </row>
    <row r="1553" spans="3:15" hidden="1" x14ac:dyDescent="0.3">
      <c r="C1553" t="s">
        <v>2295</v>
      </c>
      <c r="D1553" t="s">
        <v>2267</v>
      </c>
      <c r="E1553" t="s">
        <v>5314</v>
      </c>
      <c r="F1553" t="s">
        <v>5315</v>
      </c>
      <c r="G1553" s="425">
        <v>0</v>
      </c>
      <c r="H1553" s="425">
        <v>0</v>
      </c>
      <c r="I1553" s="425">
        <v>0</v>
      </c>
      <c r="J1553" s="425">
        <v>0</v>
      </c>
      <c r="K1553" s="425">
        <v>0</v>
      </c>
      <c r="L1553" s="425">
        <v>0</v>
      </c>
      <c r="M1553" s="425">
        <v>0</v>
      </c>
      <c r="N1553" s="425">
        <v>0</v>
      </c>
      <c r="O1553" s="425">
        <v>0</v>
      </c>
    </row>
    <row r="1554" spans="3:15" hidden="1" x14ac:dyDescent="0.3">
      <c r="C1554" t="s">
        <v>2295</v>
      </c>
      <c r="D1554" t="s">
        <v>2267</v>
      </c>
      <c r="E1554" t="s">
        <v>5316</v>
      </c>
      <c r="F1554" t="s">
        <v>5317</v>
      </c>
      <c r="G1554" s="425">
        <v>0</v>
      </c>
      <c r="H1554" s="425">
        <v>0</v>
      </c>
      <c r="I1554" s="425">
        <v>0</v>
      </c>
      <c r="J1554" s="425">
        <v>0</v>
      </c>
      <c r="K1554" s="425">
        <v>0</v>
      </c>
      <c r="L1554" s="425">
        <v>0</v>
      </c>
      <c r="M1554" s="425">
        <v>0</v>
      </c>
      <c r="N1554" s="425">
        <v>0</v>
      </c>
      <c r="O1554" s="425">
        <v>0</v>
      </c>
    </row>
    <row r="1555" spans="3:15" hidden="1" x14ac:dyDescent="0.3">
      <c r="C1555" t="s">
        <v>2295</v>
      </c>
      <c r="D1555" t="s">
        <v>2267</v>
      </c>
      <c r="E1555" t="s">
        <v>5318</v>
      </c>
      <c r="F1555" t="s">
        <v>5319</v>
      </c>
      <c r="G1555" s="425">
        <v>0</v>
      </c>
      <c r="H1555" s="425">
        <v>0</v>
      </c>
      <c r="I1555" s="425">
        <v>0</v>
      </c>
      <c r="J1555" s="425">
        <v>0</v>
      </c>
      <c r="K1555" s="425">
        <v>0</v>
      </c>
      <c r="L1555" s="425">
        <v>0</v>
      </c>
      <c r="M1555" s="425">
        <v>0</v>
      </c>
      <c r="N1555" s="425">
        <v>0</v>
      </c>
      <c r="O1555" s="425">
        <v>0</v>
      </c>
    </row>
    <row r="1556" spans="3:15" hidden="1" x14ac:dyDescent="0.3">
      <c r="C1556" t="s">
        <v>2295</v>
      </c>
      <c r="D1556" t="s">
        <v>2267</v>
      </c>
      <c r="E1556" t="s">
        <v>5320</v>
      </c>
      <c r="F1556" t="s">
        <v>5321</v>
      </c>
      <c r="G1556" s="425">
        <v>0</v>
      </c>
      <c r="H1556" s="425">
        <v>0</v>
      </c>
      <c r="I1556" s="425">
        <v>0</v>
      </c>
      <c r="J1556" s="425">
        <v>0</v>
      </c>
      <c r="K1556" s="425">
        <v>0</v>
      </c>
      <c r="L1556" s="425">
        <v>0</v>
      </c>
      <c r="M1556" s="425">
        <v>0</v>
      </c>
      <c r="N1556" s="425">
        <v>0</v>
      </c>
      <c r="O1556" s="425">
        <v>0</v>
      </c>
    </row>
    <row r="1557" spans="3:15" hidden="1" x14ac:dyDescent="0.3">
      <c r="C1557" t="s">
        <v>2295</v>
      </c>
      <c r="D1557" t="s">
        <v>2267</v>
      </c>
      <c r="E1557" t="s">
        <v>5322</v>
      </c>
      <c r="F1557" t="s">
        <v>5323</v>
      </c>
      <c r="G1557" s="425">
        <v>0</v>
      </c>
      <c r="H1557" s="425">
        <v>0</v>
      </c>
      <c r="I1557" s="425">
        <v>0</v>
      </c>
      <c r="J1557" s="425">
        <v>0</v>
      </c>
      <c r="K1557" s="425">
        <v>0</v>
      </c>
      <c r="L1557" s="425">
        <v>0</v>
      </c>
      <c r="M1557" s="425">
        <v>0</v>
      </c>
      <c r="N1557" s="425">
        <v>0</v>
      </c>
      <c r="O1557" s="425">
        <v>0</v>
      </c>
    </row>
    <row r="1558" spans="3:15" hidden="1" x14ac:dyDescent="0.3">
      <c r="C1558" t="s">
        <v>2295</v>
      </c>
      <c r="D1558" t="s">
        <v>2267</v>
      </c>
      <c r="E1558" t="s">
        <v>5324</v>
      </c>
      <c r="F1558" t="s">
        <v>5325</v>
      </c>
      <c r="G1558" s="425">
        <v>0</v>
      </c>
      <c r="H1558" s="425">
        <v>0</v>
      </c>
      <c r="I1558" s="425">
        <v>0</v>
      </c>
      <c r="J1558" s="425">
        <v>0</v>
      </c>
      <c r="K1558" s="425">
        <v>0</v>
      </c>
      <c r="L1558" s="425">
        <v>0</v>
      </c>
      <c r="M1558" s="425">
        <v>0</v>
      </c>
      <c r="N1558" s="425">
        <v>0</v>
      </c>
      <c r="O1558" s="425">
        <v>0</v>
      </c>
    </row>
    <row r="1559" spans="3:15" hidden="1" x14ac:dyDescent="0.3">
      <c r="C1559" t="s">
        <v>2295</v>
      </c>
      <c r="D1559" t="s">
        <v>2267</v>
      </c>
      <c r="E1559" t="s">
        <v>5326</v>
      </c>
      <c r="F1559" t="s">
        <v>5327</v>
      </c>
      <c r="G1559" s="425">
        <v>0</v>
      </c>
      <c r="H1559" s="425">
        <v>0</v>
      </c>
      <c r="I1559" s="425">
        <v>0</v>
      </c>
      <c r="J1559" s="425">
        <v>0</v>
      </c>
      <c r="K1559" s="425">
        <v>0</v>
      </c>
      <c r="L1559" s="425">
        <v>0</v>
      </c>
      <c r="M1559" s="425">
        <v>0</v>
      </c>
      <c r="N1559" s="425">
        <v>0</v>
      </c>
      <c r="O1559" s="425">
        <v>0</v>
      </c>
    </row>
    <row r="1560" spans="3:15" hidden="1" x14ac:dyDescent="0.3">
      <c r="C1560" t="s">
        <v>2295</v>
      </c>
      <c r="D1560" t="s">
        <v>2267</v>
      </c>
      <c r="E1560" t="s">
        <v>5328</v>
      </c>
      <c r="F1560" t="s">
        <v>5329</v>
      </c>
      <c r="G1560" s="425">
        <v>0</v>
      </c>
      <c r="H1560" s="425">
        <v>0</v>
      </c>
      <c r="I1560" s="425">
        <v>0</v>
      </c>
      <c r="J1560" s="425">
        <v>0</v>
      </c>
      <c r="K1560" s="425">
        <v>0</v>
      </c>
      <c r="L1560" s="425">
        <v>0</v>
      </c>
      <c r="M1560" s="425">
        <v>0</v>
      </c>
      <c r="N1560" s="425">
        <v>0</v>
      </c>
      <c r="O1560" s="425">
        <v>0</v>
      </c>
    </row>
    <row r="1561" spans="3:15" hidden="1" x14ac:dyDescent="0.3">
      <c r="C1561" t="s">
        <v>2295</v>
      </c>
      <c r="D1561" t="s">
        <v>2267</v>
      </c>
      <c r="E1561" t="s">
        <v>5330</v>
      </c>
      <c r="F1561" t="s">
        <v>5331</v>
      </c>
      <c r="G1561" s="425">
        <v>0</v>
      </c>
      <c r="H1561" s="425">
        <v>0</v>
      </c>
      <c r="I1561" s="425">
        <v>0</v>
      </c>
      <c r="J1561" s="425">
        <v>0</v>
      </c>
      <c r="K1561" s="425">
        <v>0</v>
      </c>
      <c r="L1561" s="425">
        <v>0</v>
      </c>
      <c r="M1561" s="425">
        <v>0</v>
      </c>
      <c r="N1561" s="425">
        <v>0</v>
      </c>
      <c r="O1561" s="425">
        <v>0</v>
      </c>
    </row>
    <row r="1562" spans="3:15" hidden="1" x14ac:dyDescent="0.3">
      <c r="C1562" t="s">
        <v>2295</v>
      </c>
      <c r="D1562" t="s">
        <v>2267</v>
      </c>
      <c r="E1562" t="s">
        <v>5332</v>
      </c>
      <c r="F1562" t="s">
        <v>5333</v>
      </c>
      <c r="G1562" s="425">
        <v>0</v>
      </c>
      <c r="H1562" s="425">
        <v>0</v>
      </c>
      <c r="I1562" s="425">
        <v>0</v>
      </c>
      <c r="J1562" s="425">
        <v>0</v>
      </c>
      <c r="K1562" s="425">
        <v>0</v>
      </c>
      <c r="L1562" s="425">
        <v>0</v>
      </c>
      <c r="M1562" s="425">
        <v>0</v>
      </c>
      <c r="N1562" s="425">
        <v>0</v>
      </c>
      <c r="O1562" s="425">
        <v>0</v>
      </c>
    </row>
    <row r="1563" spans="3:15" hidden="1" x14ac:dyDescent="0.3">
      <c r="C1563" t="s">
        <v>2295</v>
      </c>
      <c r="D1563" t="s">
        <v>2267</v>
      </c>
      <c r="E1563" t="s">
        <v>5334</v>
      </c>
      <c r="F1563" t="s">
        <v>5335</v>
      </c>
      <c r="G1563" s="425">
        <v>2661500</v>
      </c>
      <c r="H1563" s="425">
        <v>0</v>
      </c>
      <c r="I1563" s="425">
        <v>2661500</v>
      </c>
      <c r="J1563" s="425">
        <v>0</v>
      </c>
      <c r="K1563" s="425">
        <v>0</v>
      </c>
      <c r="L1563" s="425">
        <v>0</v>
      </c>
      <c r="M1563" s="425">
        <v>0</v>
      </c>
      <c r="N1563" s="425">
        <v>0</v>
      </c>
      <c r="O1563" s="425">
        <v>0</v>
      </c>
    </row>
    <row r="1564" spans="3:15" hidden="1" x14ac:dyDescent="0.3">
      <c r="C1564" t="s">
        <v>2295</v>
      </c>
      <c r="D1564" t="s">
        <v>2267</v>
      </c>
      <c r="E1564" t="s">
        <v>5336</v>
      </c>
      <c r="F1564" t="s">
        <v>5337</v>
      </c>
      <c r="G1564" s="425">
        <v>983400</v>
      </c>
      <c r="H1564" s="425">
        <v>0</v>
      </c>
      <c r="I1564" s="425">
        <v>983400</v>
      </c>
      <c r="J1564" s="425">
        <v>0</v>
      </c>
      <c r="K1564" s="425">
        <v>0</v>
      </c>
      <c r="L1564" s="425">
        <v>0</v>
      </c>
      <c r="M1564" s="425">
        <v>0</v>
      </c>
      <c r="N1564" s="425">
        <v>0</v>
      </c>
      <c r="O1564" s="425">
        <v>0</v>
      </c>
    </row>
    <row r="1565" spans="3:15" hidden="1" x14ac:dyDescent="0.3">
      <c r="C1565" t="s">
        <v>2295</v>
      </c>
      <c r="D1565" t="s">
        <v>2267</v>
      </c>
      <c r="E1565" t="s">
        <v>5338</v>
      </c>
      <c r="F1565" t="s">
        <v>5339</v>
      </c>
      <c r="G1565" s="425">
        <v>0</v>
      </c>
      <c r="H1565" s="425">
        <v>0</v>
      </c>
      <c r="I1565" s="425">
        <v>0</v>
      </c>
      <c r="J1565" s="425">
        <v>0</v>
      </c>
      <c r="K1565" s="425">
        <v>0</v>
      </c>
      <c r="L1565" s="425">
        <v>0</v>
      </c>
      <c r="M1565" s="425">
        <v>0</v>
      </c>
      <c r="N1565" s="425">
        <v>0</v>
      </c>
      <c r="O1565" s="425">
        <v>0</v>
      </c>
    </row>
    <row r="1566" spans="3:15" hidden="1" x14ac:dyDescent="0.3">
      <c r="C1566" t="s">
        <v>2295</v>
      </c>
      <c r="D1566" t="s">
        <v>2267</v>
      </c>
      <c r="E1566" t="s">
        <v>5340</v>
      </c>
      <c r="F1566" t="s">
        <v>5341</v>
      </c>
      <c r="G1566" s="425">
        <v>0</v>
      </c>
      <c r="H1566" s="425">
        <v>0</v>
      </c>
      <c r="I1566" s="425">
        <v>0</v>
      </c>
      <c r="J1566" s="425">
        <v>0</v>
      </c>
      <c r="K1566" s="425">
        <v>0</v>
      </c>
      <c r="L1566" s="425">
        <v>0</v>
      </c>
      <c r="M1566" s="425">
        <v>0</v>
      </c>
      <c r="N1566" s="425">
        <v>0</v>
      </c>
      <c r="O1566" s="425">
        <v>0</v>
      </c>
    </row>
    <row r="1567" spans="3:15" hidden="1" x14ac:dyDescent="0.3">
      <c r="C1567" t="s">
        <v>2295</v>
      </c>
      <c r="D1567" t="s">
        <v>2267</v>
      </c>
      <c r="E1567" t="s">
        <v>5342</v>
      </c>
      <c r="F1567" t="s">
        <v>5343</v>
      </c>
      <c r="G1567" s="425">
        <v>0</v>
      </c>
      <c r="H1567" s="425">
        <v>0</v>
      </c>
      <c r="I1567" s="425">
        <v>0</v>
      </c>
      <c r="J1567" s="425">
        <v>0</v>
      </c>
      <c r="K1567" s="425">
        <v>0</v>
      </c>
      <c r="L1567" s="425">
        <v>0</v>
      </c>
      <c r="M1567" s="425">
        <v>0</v>
      </c>
      <c r="N1567" s="425">
        <v>0</v>
      </c>
      <c r="O1567" s="425">
        <v>0</v>
      </c>
    </row>
    <row r="1568" spans="3:15" hidden="1" x14ac:dyDescent="0.3">
      <c r="C1568" t="s">
        <v>2292</v>
      </c>
      <c r="D1568" t="s">
        <v>2237</v>
      </c>
      <c r="E1568" t="s">
        <v>5344</v>
      </c>
      <c r="F1568" t="s">
        <v>5345</v>
      </c>
      <c r="G1568" s="425">
        <v>18180264</v>
      </c>
      <c r="H1568" s="425">
        <v>0</v>
      </c>
      <c r="I1568" s="425">
        <v>18180264</v>
      </c>
      <c r="J1568" s="425">
        <v>0</v>
      </c>
      <c r="K1568" s="425">
        <v>0</v>
      </c>
      <c r="L1568" s="425">
        <v>0</v>
      </c>
      <c r="M1568" s="425">
        <v>0</v>
      </c>
      <c r="N1568" s="425">
        <v>0</v>
      </c>
      <c r="O1568" s="425">
        <v>0</v>
      </c>
    </row>
    <row r="1569" spans="3:15" hidden="1" x14ac:dyDescent="0.3">
      <c r="C1569" t="s">
        <v>2295</v>
      </c>
      <c r="D1569" t="s">
        <v>2267</v>
      </c>
      <c r="E1569" t="s">
        <v>5346</v>
      </c>
      <c r="F1569" t="s">
        <v>5347</v>
      </c>
      <c r="G1569" s="425">
        <v>0</v>
      </c>
      <c r="H1569" s="425">
        <v>0</v>
      </c>
      <c r="I1569" s="425">
        <v>0</v>
      </c>
      <c r="J1569" s="425">
        <v>0</v>
      </c>
      <c r="K1569" s="425">
        <v>0</v>
      </c>
      <c r="L1569" s="425">
        <v>0</v>
      </c>
      <c r="M1569" s="425">
        <v>0</v>
      </c>
      <c r="N1569" s="425">
        <v>0</v>
      </c>
      <c r="O1569" s="425">
        <v>0</v>
      </c>
    </row>
    <row r="1570" spans="3:15" hidden="1" x14ac:dyDescent="0.3">
      <c r="C1570" t="s">
        <v>2295</v>
      </c>
      <c r="D1570" t="s">
        <v>2267</v>
      </c>
      <c r="E1570" t="s">
        <v>5348</v>
      </c>
      <c r="F1570" t="s">
        <v>5349</v>
      </c>
      <c r="G1570" s="425">
        <v>0</v>
      </c>
      <c r="H1570" s="425">
        <v>0</v>
      </c>
      <c r="I1570" s="425">
        <v>0</v>
      </c>
      <c r="J1570" s="425">
        <v>0</v>
      </c>
      <c r="K1570" s="425">
        <v>0</v>
      </c>
      <c r="L1570" s="425">
        <v>0</v>
      </c>
      <c r="M1570" s="425">
        <v>0</v>
      </c>
      <c r="N1570" s="425">
        <v>0</v>
      </c>
      <c r="O1570" s="425">
        <v>0</v>
      </c>
    </row>
    <row r="1571" spans="3:15" hidden="1" x14ac:dyDescent="0.3">
      <c r="C1571" t="s">
        <v>2295</v>
      </c>
      <c r="D1571" t="s">
        <v>2267</v>
      </c>
      <c r="E1571" t="s">
        <v>5350</v>
      </c>
      <c r="F1571" t="s">
        <v>5351</v>
      </c>
      <c r="G1571" s="425">
        <v>0</v>
      </c>
      <c r="H1571" s="425">
        <v>0</v>
      </c>
      <c r="I1571" s="425">
        <v>0</v>
      </c>
      <c r="J1571" s="425">
        <v>0</v>
      </c>
      <c r="K1571" s="425">
        <v>0</v>
      </c>
      <c r="L1571" s="425">
        <v>0</v>
      </c>
      <c r="M1571" s="425">
        <v>0</v>
      </c>
      <c r="N1571" s="425">
        <v>0</v>
      </c>
      <c r="O1571" s="425">
        <v>0</v>
      </c>
    </row>
    <row r="1572" spans="3:15" hidden="1" x14ac:dyDescent="0.3">
      <c r="C1572" t="s">
        <v>2295</v>
      </c>
      <c r="D1572" t="s">
        <v>2267</v>
      </c>
      <c r="E1572" t="s">
        <v>5352</v>
      </c>
      <c r="F1572" t="s">
        <v>5353</v>
      </c>
      <c r="G1572" s="425">
        <v>0</v>
      </c>
      <c r="H1572" s="425">
        <v>0</v>
      </c>
      <c r="I1572" s="425">
        <v>0</v>
      </c>
      <c r="J1572" s="425">
        <v>0</v>
      </c>
      <c r="K1572" s="425">
        <v>0</v>
      </c>
      <c r="L1572" s="425">
        <v>0</v>
      </c>
      <c r="M1572" s="425">
        <v>0</v>
      </c>
      <c r="N1572" s="425">
        <v>0</v>
      </c>
      <c r="O1572" s="425">
        <v>0</v>
      </c>
    </row>
    <row r="1573" spans="3:15" hidden="1" x14ac:dyDescent="0.3">
      <c r="C1573" t="s">
        <v>2295</v>
      </c>
      <c r="D1573" t="s">
        <v>2267</v>
      </c>
      <c r="E1573" t="s">
        <v>5354</v>
      </c>
      <c r="F1573" t="s">
        <v>5355</v>
      </c>
      <c r="G1573" s="425">
        <v>411000</v>
      </c>
      <c r="H1573" s="425">
        <v>0</v>
      </c>
      <c r="I1573" s="425">
        <v>411000</v>
      </c>
      <c r="J1573" s="425">
        <v>0</v>
      </c>
      <c r="K1573" s="425">
        <v>0</v>
      </c>
      <c r="L1573" s="425">
        <v>0</v>
      </c>
      <c r="M1573" s="425">
        <v>0</v>
      </c>
      <c r="N1573" s="425">
        <v>0</v>
      </c>
      <c r="O1573" s="425">
        <v>0</v>
      </c>
    </row>
    <row r="1574" spans="3:15" hidden="1" x14ac:dyDescent="0.3">
      <c r="C1574" t="s">
        <v>2295</v>
      </c>
      <c r="D1574" t="s">
        <v>2267</v>
      </c>
      <c r="E1574" t="s">
        <v>5356</v>
      </c>
      <c r="F1574" t="s">
        <v>5357</v>
      </c>
      <c r="G1574" s="425">
        <v>0</v>
      </c>
      <c r="H1574" s="425">
        <v>0</v>
      </c>
      <c r="I1574" s="425">
        <v>0</v>
      </c>
      <c r="J1574" s="425">
        <v>0</v>
      </c>
      <c r="K1574" s="425">
        <v>0</v>
      </c>
      <c r="L1574" s="425">
        <v>0</v>
      </c>
      <c r="M1574" s="425">
        <v>0</v>
      </c>
      <c r="N1574" s="425">
        <v>0</v>
      </c>
      <c r="O1574" s="425">
        <v>0</v>
      </c>
    </row>
    <row r="1575" spans="3:15" hidden="1" x14ac:dyDescent="0.3">
      <c r="C1575" t="s">
        <v>2295</v>
      </c>
      <c r="D1575" t="s">
        <v>2267</v>
      </c>
      <c r="E1575" t="s">
        <v>5358</v>
      </c>
      <c r="F1575" t="s">
        <v>5359</v>
      </c>
      <c r="G1575" s="425">
        <v>0</v>
      </c>
      <c r="H1575" s="425">
        <v>0</v>
      </c>
      <c r="I1575" s="425">
        <v>0</v>
      </c>
      <c r="J1575" s="425">
        <v>0</v>
      </c>
      <c r="K1575" s="425">
        <v>0</v>
      </c>
      <c r="L1575" s="425">
        <v>0</v>
      </c>
      <c r="M1575" s="425">
        <v>0</v>
      </c>
      <c r="N1575" s="425">
        <v>0</v>
      </c>
      <c r="O1575" s="425">
        <v>0</v>
      </c>
    </row>
    <row r="1576" spans="3:15" hidden="1" x14ac:dyDescent="0.3">
      <c r="C1576" t="s">
        <v>2295</v>
      </c>
      <c r="D1576" t="s">
        <v>2267</v>
      </c>
      <c r="E1576" t="s">
        <v>5360</v>
      </c>
      <c r="F1576" t="s">
        <v>5361</v>
      </c>
      <c r="G1576" s="425">
        <v>1240000</v>
      </c>
      <c r="H1576" s="425">
        <v>0</v>
      </c>
      <c r="I1576" s="425">
        <v>1240000</v>
      </c>
      <c r="J1576" s="425">
        <v>0</v>
      </c>
      <c r="K1576" s="425">
        <v>0</v>
      </c>
      <c r="L1576" s="425">
        <v>0</v>
      </c>
      <c r="M1576" s="425">
        <v>0</v>
      </c>
      <c r="N1576" s="425">
        <v>0</v>
      </c>
      <c r="O1576" s="425">
        <v>0</v>
      </c>
    </row>
    <row r="1577" spans="3:15" hidden="1" x14ac:dyDescent="0.3">
      <c r="C1577" t="s">
        <v>2295</v>
      </c>
      <c r="D1577" t="s">
        <v>2267</v>
      </c>
      <c r="E1577" t="s">
        <v>5362</v>
      </c>
      <c r="F1577" t="s">
        <v>5363</v>
      </c>
      <c r="G1577" s="425">
        <v>0</v>
      </c>
      <c r="H1577" s="425">
        <v>0</v>
      </c>
      <c r="I1577" s="425">
        <v>0</v>
      </c>
      <c r="J1577" s="425">
        <v>0</v>
      </c>
      <c r="K1577" s="425">
        <v>0</v>
      </c>
      <c r="L1577" s="425">
        <v>0</v>
      </c>
      <c r="M1577" s="425">
        <v>0</v>
      </c>
      <c r="N1577" s="425">
        <v>0</v>
      </c>
      <c r="O1577" s="425">
        <v>0</v>
      </c>
    </row>
    <row r="1578" spans="3:15" hidden="1" x14ac:dyDescent="0.3">
      <c r="C1578" t="s">
        <v>2295</v>
      </c>
      <c r="D1578" t="s">
        <v>2267</v>
      </c>
      <c r="E1578" t="s">
        <v>4595</v>
      </c>
      <c r="F1578" t="s">
        <v>5364</v>
      </c>
      <c r="G1578" s="425">
        <v>1600000</v>
      </c>
      <c r="H1578" s="425">
        <v>0</v>
      </c>
      <c r="I1578" s="425">
        <v>1600000</v>
      </c>
      <c r="J1578" s="425">
        <v>0</v>
      </c>
      <c r="K1578" s="425">
        <v>0</v>
      </c>
      <c r="L1578" s="425">
        <v>0</v>
      </c>
      <c r="M1578" s="425">
        <v>0</v>
      </c>
      <c r="N1578" s="425">
        <v>0</v>
      </c>
      <c r="O1578" s="425">
        <v>0</v>
      </c>
    </row>
    <row r="1579" spans="3:15" hidden="1" x14ac:dyDescent="0.3">
      <c r="C1579" t="s">
        <v>2295</v>
      </c>
      <c r="D1579" t="s">
        <v>2267</v>
      </c>
      <c r="E1579" t="s">
        <v>5365</v>
      </c>
      <c r="F1579" t="s">
        <v>5366</v>
      </c>
      <c r="G1579" s="425">
        <v>0</v>
      </c>
      <c r="H1579" s="425">
        <v>0</v>
      </c>
      <c r="I1579" s="425">
        <v>0</v>
      </c>
      <c r="J1579" s="425">
        <v>0</v>
      </c>
      <c r="K1579" s="425">
        <v>0</v>
      </c>
      <c r="L1579" s="425">
        <v>0</v>
      </c>
      <c r="M1579" s="425">
        <v>0</v>
      </c>
      <c r="N1579" s="425">
        <v>0</v>
      </c>
      <c r="O1579" s="425">
        <v>0</v>
      </c>
    </row>
    <row r="1580" spans="3:15" hidden="1" x14ac:dyDescent="0.3">
      <c r="C1580" t="s">
        <v>2295</v>
      </c>
      <c r="D1580" t="s">
        <v>2267</v>
      </c>
      <c r="E1580" t="s">
        <v>5367</v>
      </c>
      <c r="F1580" t="s">
        <v>5368</v>
      </c>
      <c r="G1580" s="425">
        <v>0</v>
      </c>
      <c r="H1580" s="425">
        <v>0</v>
      </c>
      <c r="I1580" s="425">
        <v>0</v>
      </c>
      <c r="J1580" s="425">
        <v>0</v>
      </c>
      <c r="K1580" s="425">
        <v>0</v>
      </c>
      <c r="L1580" s="425">
        <v>0</v>
      </c>
      <c r="M1580" s="425">
        <v>0</v>
      </c>
      <c r="N1580" s="425">
        <v>0</v>
      </c>
      <c r="O1580" s="425">
        <v>0</v>
      </c>
    </row>
    <row r="1581" spans="3:15" hidden="1" x14ac:dyDescent="0.3">
      <c r="C1581" t="s">
        <v>2295</v>
      </c>
      <c r="D1581" t="s">
        <v>2267</v>
      </c>
      <c r="E1581" t="s">
        <v>5369</v>
      </c>
      <c r="F1581" t="s">
        <v>5370</v>
      </c>
      <c r="G1581" s="425">
        <v>0</v>
      </c>
      <c r="H1581" s="425">
        <v>0</v>
      </c>
      <c r="I1581" s="425">
        <v>0</v>
      </c>
      <c r="J1581" s="425">
        <v>0</v>
      </c>
      <c r="K1581" s="425">
        <v>0</v>
      </c>
      <c r="L1581" s="425">
        <v>0</v>
      </c>
      <c r="M1581" s="425">
        <v>0</v>
      </c>
      <c r="N1581" s="425">
        <v>0</v>
      </c>
      <c r="O1581" s="425">
        <v>0</v>
      </c>
    </row>
    <row r="1582" spans="3:15" hidden="1" x14ac:dyDescent="0.3">
      <c r="C1582" t="s">
        <v>2295</v>
      </c>
      <c r="D1582" t="s">
        <v>2267</v>
      </c>
      <c r="E1582" t="s">
        <v>5354</v>
      </c>
      <c r="F1582" t="s">
        <v>5371</v>
      </c>
      <c r="G1582" s="425">
        <v>0</v>
      </c>
      <c r="H1582" s="425">
        <v>0</v>
      </c>
      <c r="I1582" s="425">
        <v>0</v>
      </c>
      <c r="J1582" s="425">
        <v>0</v>
      </c>
      <c r="K1582" s="425">
        <v>0</v>
      </c>
      <c r="L1582" s="425">
        <v>0</v>
      </c>
      <c r="M1582" s="425">
        <v>0</v>
      </c>
      <c r="N1582" s="425">
        <v>0</v>
      </c>
      <c r="O1582" s="425">
        <v>0</v>
      </c>
    </row>
    <row r="1583" spans="3:15" hidden="1" x14ac:dyDescent="0.3">
      <c r="C1583" t="s">
        <v>2295</v>
      </c>
      <c r="D1583" t="s">
        <v>2267</v>
      </c>
      <c r="E1583" t="s">
        <v>5356</v>
      </c>
      <c r="F1583" t="s">
        <v>5372</v>
      </c>
      <c r="G1583" s="425">
        <v>0</v>
      </c>
      <c r="H1583" s="425">
        <v>0</v>
      </c>
      <c r="I1583" s="425">
        <v>0</v>
      </c>
      <c r="J1583" s="425">
        <v>0</v>
      </c>
      <c r="K1583" s="425">
        <v>0</v>
      </c>
      <c r="L1583" s="425">
        <v>0</v>
      </c>
      <c r="M1583" s="425">
        <v>0</v>
      </c>
      <c r="N1583" s="425">
        <v>0</v>
      </c>
      <c r="O1583" s="425">
        <v>0</v>
      </c>
    </row>
    <row r="1584" spans="3:15" hidden="1" x14ac:dyDescent="0.3">
      <c r="C1584" t="s">
        <v>2295</v>
      </c>
      <c r="D1584" t="s">
        <v>2267</v>
      </c>
      <c r="E1584" t="s">
        <v>5373</v>
      </c>
      <c r="F1584" t="s">
        <v>5374</v>
      </c>
      <c r="G1584" s="425">
        <v>0</v>
      </c>
      <c r="H1584" s="425">
        <v>0</v>
      </c>
      <c r="I1584" s="425">
        <v>0</v>
      </c>
      <c r="J1584" s="425">
        <v>0</v>
      </c>
      <c r="K1584" s="425">
        <v>0</v>
      </c>
      <c r="L1584" s="425">
        <v>0</v>
      </c>
      <c r="M1584" s="425">
        <v>0</v>
      </c>
      <c r="N1584" s="425">
        <v>0</v>
      </c>
      <c r="O1584" s="425">
        <v>0</v>
      </c>
    </row>
    <row r="1585" spans="3:15" hidden="1" x14ac:dyDescent="0.3">
      <c r="C1585" t="s">
        <v>2295</v>
      </c>
      <c r="D1585" t="s">
        <v>2267</v>
      </c>
      <c r="E1585" t="s">
        <v>5375</v>
      </c>
      <c r="F1585" t="s">
        <v>5376</v>
      </c>
      <c r="G1585" s="425">
        <v>0</v>
      </c>
      <c r="H1585" s="425">
        <v>0</v>
      </c>
      <c r="I1585" s="425">
        <v>0</v>
      </c>
      <c r="J1585" s="425">
        <v>0</v>
      </c>
      <c r="K1585" s="425">
        <v>0</v>
      </c>
      <c r="L1585" s="425">
        <v>0</v>
      </c>
      <c r="M1585" s="425">
        <v>0</v>
      </c>
      <c r="N1585" s="425">
        <v>0</v>
      </c>
      <c r="O1585" s="425">
        <v>0</v>
      </c>
    </row>
    <row r="1586" spans="3:15" hidden="1" x14ac:dyDescent="0.3">
      <c r="C1586" t="s">
        <v>2295</v>
      </c>
      <c r="D1586" t="s">
        <v>2267</v>
      </c>
      <c r="E1586" t="s">
        <v>5377</v>
      </c>
      <c r="F1586" t="s">
        <v>5378</v>
      </c>
      <c r="G1586" s="425">
        <v>0</v>
      </c>
      <c r="H1586" s="425">
        <v>0</v>
      </c>
      <c r="I1586" s="425">
        <v>0</v>
      </c>
      <c r="J1586" s="425">
        <v>0</v>
      </c>
      <c r="K1586" s="425">
        <v>0</v>
      </c>
      <c r="L1586" s="425">
        <v>0</v>
      </c>
      <c r="M1586" s="425">
        <v>0</v>
      </c>
      <c r="N1586" s="425">
        <v>0</v>
      </c>
      <c r="O1586" s="425">
        <v>0</v>
      </c>
    </row>
    <row r="1587" spans="3:15" hidden="1" x14ac:dyDescent="0.3">
      <c r="C1587" t="s">
        <v>2295</v>
      </c>
      <c r="D1587" t="s">
        <v>2267</v>
      </c>
      <c r="E1587" t="s">
        <v>5379</v>
      </c>
      <c r="F1587" t="s">
        <v>5380</v>
      </c>
      <c r="G1587" s="425">
        <v>0</v>
      </c>
      <c r="H1587" s="425">
        <v>0</v>
      </c>
      <c r="I1587" s="425">
        <v>0</v>
      </c>
      <c r="J1587" s="425">
        <v>0</v>
      </c>
      <c r="K1587" s="425">
        <v>0</v>
      </c>
      <c r="L1587" s="425">
        <v>0</v>
      </c>
      <c r="M1587" s="425">
        <v>0</v>
      </c>
      <c r="N1587" s="425">
        <v>0</v>
      </c>
      <c r="O1587" s="425">
        <v>0</v>
      </c>
    </row>
    <row r="1588" spans="3:15" hidden="1" x14ac:dyDescent="0.3">
      <c r="C1588" t="s">
        <v>2295</v>
      </c>
      <c r="D1588" t="s">
        <v>2267</v>
      </c>
      <c r="E1588" t="s">
        <v>5381</v>
      </c>
      <c r="F1588" t="s">
        <v>5382</v>
      </c>
      <c r="G1588" s="425">
        <v>0</v>
      </c>
      <c r="H1588" s="425">
        <v>0</v>
      </c>
      <c r="I1588" s="425">
        <v>0</v>
      </c>
      <c r="J1588" s="425">
        <v>0</v>
      </c>
      <c r="K1588" s="425">
        <v>0</v>
      </c>
      <c r="L1588" s="425">
        <v>0</v>
      </c>
      <c r="M1588" s="425">
        <v>0</v>
      </c>
      <c r="N1588" s="425">
        <v>0</v>
      </c>
      <c r="O1588" s="425">
        <v>0</v>
      </c>
    </row>
    <row r="1589" spans="3:15" hidden="1" x14ac:dyDescent="0.3">
      <c r="C1589" t="s">
        <v>2295</v>
      </c>
      <c r="D1589" t="s">
        <v>2267</v>
      </c>
      <c r="E1589" t="s">
        <v>5383</v>
      </c>
      <c r="F1589" t="s">
        <v>5384</v>
      </c>
      <c r="G1589" s="425">
        <v>0</v>
      </c>
      <c r="H1589" s="425">
        <v>0</v>
      </c>
      <c r="I1589" s="425">
        <v>0</v>
      </c>
      <c r="J1589" s="425">
        <v>0</v>
      </c>
      <c r="K1589" s="425">
        <v>0</v>
      </c>
      <c r="L1589" s="425">
        <v>0</v>
      </c>
      <c r="M1589" s="425">
        <v>0</v>
      </c>
      <c r="N1589" s="425">
        <v>0</v>
      </c>
      <c r="O1589" s="425">
        <v>0</v>
      </c>
    </row>
    <row r="1590" spans="3:15" hidden="1" x14ac:dyDescent="0.3">
      <c r="C1590" t="s">
        <v>2295</v>
      </c>
      <c r="D1590" t="s">
        <v>2267</v>
      </c>
      <c r="E1590" t="s">
        <v>5385</v>
      </c>
      <c r="F1590" t="s">
        <v>5386</v>
      </c>
      <c r="G1590" s="425">
        <v>1238120</v>
      </c>
      <c r="H1590" s="425">
        <v>0</v>
      </c>
      <c r="I1590" s="425">
        <v>1238120</v>
      </c>
      <c r="J1590" s="425">
        <v>0</v>
      </c>
      <c r="K1590" s="425">
        <v>0</v>
      </c>
      <c r="L1590" s="425">
        <v>0</v>
      </c>
      <c r="M1590" s="425">
        <v>0</v>
      </c>
      <c r="N1590" s="425">
        <v>0</v>
      </c>
      <c r="O1590" s="425">
        <v>0</v>
      </c>
    </row>
    <row r="1591" spans="3:15" hidden="1" x14ac:dyDescent="0.3">
      <c r="C1591" t="s">
        <v>2295</v>
      </c>
      <c r="D1591" t="s">
        <v>2267</v>
      </c>
      <c r="E1591" t="s">
        <v>5387</v>
      </c>
      <c r="F1591" t="s">
        <v>5388</v>
      </c>
      <c r="G1591" s="425">
        <v>0</v>
      </c>
      <c r="H1591" s="425">
        <v>0</v>
      </c>
      <c r="I1591" s="425">
        <v>0</v>
      </c>
      <c r="J1591" s="425">
        <v>0</v>
      </c>
      <c r="K1591" s="425">
        <v>0</v>
      </c>
      <c r="L1591" s="425">
        <v>0</v>
      </c>
      <c r="M1591" s="425">
        <v>0</v>
      </c>
      <c r="N1591" s="425">
        <v>0</v>
      </c>
      <c r="O1591" s="425">
        <v>0</v>
      </c>
    </row>
    <row r="1592" spans="3:15" hidden="1" x14ac:dyDescent="0.3">
      <c r="C1592" t="s">
        <v>2295</v>
      </c>
      <c r="D1592" t="s">
        <v>2267</v>
      </c>
      <c r="E1592" t="s">
        <v>5389</v>
      </c>
      <c r="F1592" t="s">
        <v>5390</v>
      </c>
      <c r="G1592" s="425">
        <v>0</v>
      </c>
      <c r="H1592" s="425">
        <v>0</v>
      </c>
      <c r="I1592" s="425">
        <v>0</v>
      </c>
      <c r="J1592" s="425">
        <v>0</v>
      </c>
      <c r="K1592" s="425">
        <v>0</v>
      </c>
      <c r="L1592" s="425">
        <v>0</v>
      </c>
      <c r="M1592" s="425">
        <v>0</v>
      </c>
      <c r="N1592" s="425">
        <v>0</v>
      </c>
      <c r="O1592" s="425">
        <v>0</v>
      </c>
    </row>
    <row r="1593" spans="3:15" hidden="1" x14ac:dyDescent="0.3">
      <c r="C1593" t="s">
        <v>2295</v>
      </c>
      <c r="D1593" t="s">
        <v>2267</v>
      </c>
      <c r="E1593" t="s">
        <v>5391</v>
      </c>
      <c r="F1593" t="s">
        <v>5392</v>
      </c>
      <c r="G1593" s="425">
        <v>0</v>
      </c>
      <c r="H1593" s="425">
        <v>0</v>
      </c>
      <c r="I1593" s="425">
        <v>0</v>
      </c>
      <c r="J1593" s="425">
        <v>0</v>
      </c>
      <c r="K1593" s="425">
        <v>0</v>
      </c>
      <c r="L1593" s="425">
        <v>0</v>
      </c>
      <c r="M1593" s="425">
        <v>0</v>
      </c>
      <c r="N1593" s="425">
        <v>0</v>
      </c>
      <c r="O1593" s="425">
        <v>0</v>
      </c>
    </row>
    <row r="1594" spans="3:15" hidden="1" x14ac:dyDescent="0.3">
      <c r="C1594" t="s">
        <v>2295</v>
      </c>
      <c r="D1594" t="s">
        <v>2267</v>
      </c>
      <c r="E1594" t="s">
        <v>5393</v>
      </c>
      <c r="F1594" t="s">
        <v>5394</v>
      </c>
      <c r="G1594" s="425">
        <v>0</v>
      </c>
      <c r="H1594" s="425">
        <v>0</v>
      </c>
      <c r="I1594" s="425">
        <v>0</v>
      </c>
      <c r="J1594" s="425">
        <v>0</v>
      </c>
      <c r="K1594" s="425">
        <v>0</v>
      </c>
      <c r="L1594" s="425">
        <v>0</v>
      </c>
      <c r="M1594" s="425">
        <v>0</v>
      </c>
      <c r="N1594" s="425">
        <v>0</v>
      </c>
      <c r="O1594" s="425">
        <v>0</v>
      </c>
    </row>
    <row r="1595" spans="3:15" hidden="1" x14ac:dyDescent="0.3">
      <c r="C1595" t="s">
        <v>2295</v>
      </c>
      <c r="D1595" t="s">
        <v>2267</v>
      </c>
      <c r="E1595" t="s">
        <v>5395</v>
      </c>
      <c r="F1595" t="s">
        <v>5396</v>
      </c>
      <c r="G1595" s="425">
        <v>0</v>
      </c>
      <c r="H1595" s="425">
        <v>0</v>
      </c>
      <c r="I1595" s="425">
        <v>0</v>
      </c>
      <c r="J1595" s="425">
        <v>0</v>
      </c>
      <c r="K1595" s="425">
        <v>0</v>
      </c>
      <c r="L1595" s="425">
        <v>0</v>
      </c>
      <c r="M1595" s="425">
        <v>0</v>
      </c>
      <c r="N1595" s="425">
        <v>0</v>
      </c>
      <c r="O1595" s="425">
        <v>0</v>
      </c>
    </row>
    <row r="1596" spans="3:15" hidden="1" x14ac:dyDescent="0.3">
      <c r="C1596" t="s">
        <v>2295</v>
      </c>
      <c r="D1596" t="s">
        <v>2267</v>
      </c>
      <c r="E1596" t="s">
        <v>5397</v>
      </c>
      <c r="F1596" t="s">
        <v>5398</v>
      </c>
      <c r="G1596" s="425">
        <v>0</v>
      </c>
      <c r="H1596" s="425">
        <v>0</v>
      </c>
      <c r="I1596" s="425">
        <v>0</v>
      </c>
      <c r="J1596" s="425">
        <v>0</v>
      </c>
      <c r="K1596" s="425">
        <v>0</v>
      </c>
      <c r="L1596" s="425">
        <v>0</v>
      </c>
      <c r="M1596" s="425">
        <v>0</v>
      </c>
      <c r="N1596" s="425">
        <v>0</v>
      </c>
      <c r="O1596" s="425">
        <v>0</v>
      </c>
    </row>
    <row r="1597" spans="3:15" hidden="1" x14ac:dyDescent="0.3">
      <c r="C1597" t="s">
        <v>2295</v>
      </c>
      <c r="D1597" t="s">
        <v>2267</v>
      </c>
      <c r="E1597" t="s">
        <v>5399</v>
      </c>
      <c r="F1597" t="s">
        <v>5400</v>
      </c>
      <c r="G1597" s="425">
        <v>0</v>
      </c>
      <c r="H1597" s="425">
        <v>0</v>
      </c>
      <c r="I1597" s="425">
        <v>0</v>
      </c>
      <c r="J1597" s="425">
        <v>0</v>
      </c>
      <c r="K1597" s="425">
        <v>0</v>
      </c>
      <c r="L1597" s="425">
        <v>0</v>
      </c>
      <c r="M1597" s="425">
        <v>0</v>
      </c>
      <c r="N1597" s="425">
        <v>0</v>
      </c>
      <c r="O1597" s="425">
        <v>0</v>
      </c>
    </row>
    <row r="1598" spans="3:15" hidden="1" x14ac:dyDescent="0.3">
      <c r="C1598" t="s">
        <v>2295</v>
      </c>
      <c r="D1598" t="s">
        <v>2267</v>
      </c>
      <c r="E1598" t="s">
        <v>5401</v>
      </c>
      <c r="F1598" t="s">
        <v>5402</v>
      </c>
      <c r="G1598" s="425">
        <v>426000</v>
      </c>
      <c r="H1598" s="425">
        <v>0</v>
      </c>
      <c r="I1598" s="425">
        <v>426000</v>
      </c>
      <c r="J1598" s="425">
        <v>0</v>
      </c>
      <c r="K1598" s="425">
        <v>0</v>
      </c>
      <c r="L1598" s="425">
        <v>0</v>
      </c>
      <c r="M1598" s="425">
        <v>0</v>
      </c>
      <c r="N1598" s="425">
        <v>0</v>
      </c>
      <c r="O1598" s="425">
        <v>0</v>
      </c>
    </row>
    <row r="1599" spans="3:15" hidden="1" x14ac:dyDescent="0.3">
      <c r="C1599" t="s">
        <v>2295</v>
      </c>
      <c r="D1599" t="s">
        <v>2267</v>
      </c>
      <c r="E1599" t="s">
        <v>5403</v>
      </c>
      <c r="F1599" t="s">
        <v>5404</v>
      </c>
      <c r="G1599" s="425">
        <v>0</v>
      </c>
      <c r="H1599" s="425">
        <v>0</v>
      </c>
      <c r="I1599" s="425">
        <v>0</v>
      </c>
      <c r="J1599" s="425">
        <v>0</v>
      </c>
      <c r="K1599" s="425">
        <v>0</v>
      </c>
      <c r="L1599" s="425">
        <v>0</v>
      </c>
      <c r="M1599" s="425">
        <v>0</v>
      </c>
      <c r="N1599" s="425">
        <v>0</v>
      </c>
      <c r="O1599" s="425">
        <v>0</v>
      </c>
    </row>
    <row r="1600" spans="3:15" hidden="1" x14ac:dyDescent="0.3">
      <c r="C1600" t="s">
        <v>2295</v>
      </c>
      <c r="D1600" t="s">
        <v>2267</v>
      </c>
      <c r="E1600" t="s">
        <v>5405</v>
      </c>
      <c r="F1600" t="s">
        <v>5406</v>
      </c>
      <c r="G1600" s="425">
        <v>0</v>
      </c>
      <c r="H1600" s="425">
        <v>0</v>
      </c>
      <c r="I1600" s="425">
        <v>0</v>
      </c>
      <c r="J1600" s="425">
        <v>0</v>
      </c>
      <c r="K1600" s="425">
        <v>0</v>
      </c>
      <c r="L1600" s="425">
        <v>0</v>
      </c>
      <c r="M1600" s="425">
        <v>0</v>
      </c>
      <c r="N1600" s="425">
        <v>0</v>
      </c>
      <c r="O1600" s="425">
        <v>0</v>
      </c>
    </row>
    <row r="1601" spans="3:15" hidden="1" x14ac:dyDescent="0.3">
      <c r="C1601" t="s">
        <v>2295</v>
      </c>
      <c r="D1601" t="s">
        <v>2267</v>
      </c>
      <c r="E1601" t="s">
        <v>5407</v>
      </c>
      <c r="F1601" t="s">
        <v>5408</v>
      </c>
      <c r="G1601" s="425">
        <v>0</v>
      </c>
      <c r="H1601" s="425">
        <v>0</v>
      </c>
      <c r="I1601" s="425">
        <v>0</v>
      </c>
      <c r="J1601" s="425">
        <v>0</v>
      </c>
      <c r="K1601" s="425">
        <v>0</v>
      </c>
      <c r="L1601" s="425">
        <v>0</v>
      </c>
      <c r="M1601" s="425">
        <v>0</v>
      </c>
      <c r="N1601" s="425">
        <v>0</v>
      </c>
      <c r="O1601" s="425">
        <v>0</v>
      </c>
    </row>
    <row r="1602" spans="3:15" hidden="1" x14ac:dyDescent="0.3">
      <c r="C1602" t="s">
        <v>2295</v>
      </c>
      <c r="D1602" t="s">
        <v>2267</v>
      </c>
      <c r="E1602" t="s">
        <v>5409</v>
      </c>
      <c r="F1602" t="s">
        <v>5410</v>
      </c>
      <c r="G1602" s="425">
        <v>0</v>
      </c>
      <c r="H1602" s="425">
        <v>0</v>
      </c>
      <c r="I1602" s="425">
        <v>0</v>
      </c>
      <c r="J1602" s="425">
        <v>0</v>
      </c>
      <c r="K1602" s="425">
        <v>0</v>
      </c>
      <c r="L1602" s="425">
        <v>0</v>
      </c>
      <c r="M1602" s="425">
        <v>0</v>
      </c>
      <c r="N1602" s="425">
        <v>0</v>
      </c>
      <c r="O1602" s="425">
        <v>0</v>
      </c>
    </row>
    <row r="1603" spans="3:15" hidden="1" x14ac:dyDescent="0.3">
      <c r="C1603" t="s">
        <v>2295</v>
      </c>
      <c r="D1603" t="s">
        <v>2267</v>
      </c>
      <c r="E1603" t="s">
        <v>5411</v>
      </c>
      <c r="F1603" t="s">
        <v>5412</v>
      </c>
      <c r="G1603" s="425">
        <v>0</v>
      </c>
      <c r="H1603" s="425">
        <v>0</v>
      </c>
      <c r="I1603" s="425">
        <v>0</v>
      </c>
      <c r="J1603" s="425">
        <v>0</v>
      </c>
      <c r="K1603" s="425">
        <v>0</v>
      </c>
      <c r="L1603" s="425">
        <v>0</v>
      </c>
      <c r="M1603" s="425">
        <v>0</v>
      </c>
      <c r="N1603" s="425">
        <v>0</v>
      </c>
      <c r="O1603" s="425">
        <v>0</v>
      </c>
    </row>
    <row r="1604" spans="3:15" hidden="1" x14ac:dyDescent="0.3">
      <c r="C1604" t="s">
        <v>2295</v>
      </c>
      <c r="D1604" t="s">
        <v>2267</v>
      </c>
      <c r="E1604" t="s">
        <v>5413</v>
      </c>
      <c r="F1604" t="s">
        <v>5414</v>
      </c>
      <c r="G1604" s="425">
        <v>0</v>
      </c>
      <c r="H1604" s="425">
        <v>0</v>
      </c>
      <c r="I1604" s="425">
        <v>0</v>
      </c>
      <c r="J1604" s="425">
        <v>0</v>
      </c>
      <c r="K1604" s="425">
        <v>0</v>
      </c>
      <c r="L1604" s="425">
        <v>0</v>
      </c>
      <c r="M1604" s="425">
        <v>0</v>
      </c>
      <c r="N1604" s="425">
        <v>0</v>
      </c>
      <c r="O1604" s="425">
        <v>0</v>
      </c>
    </row>
    <row r="1605" spans="3:15" hidden="1" x14ac:dyDescent="0.3">
      <c r="C1605" t="s">
        <v>2295</v>
      </c>
      <c r="D1605" t="s">
        <v>2267</v>
      </c>
      <c r="E1605" t="s">
        <v>5415</v>
      </c>
      <c r="F1605" t="s">
        <v>5416</v>
      </c>
      <c r="G1605" s="425">
        <v>0</v>
      </c>
      <c r="H1605" s="425">
        <v>0</v>
      </c>
      <c r="I1605" s="425">
        <v>0</v>
      </c>
      <c r="J1605" s="425">
        <v>0</v>
      </c>
      <c r="K1605" s="425">
        <v>0</v>
      </c>
      <c r="L1605" s="425">
        <v>0</v>
      </c>
      <c r="M1605" s="425">
        <v>0</v>
      </c>
      <c r="N1605" s="425">
        <v>0</v>
      </c>
      <c r="O1605" s="425">
        <v>0</v>
      </c>
    </row>
    <row r="1606" spans="3:15" hidden="1" x14ac:dyDescent="0.3">
      <c r="C1606" t="s">
        <v>2295</v>
      </c>
      <c r="D1606" t="s">
        <v>2267</v>
      </c>
      <c r="E1606" t="s">
        <v>5417</v>
      </c>
      <c r="F1606" t="s">
        <v>5418</v>
      </c>
      <c r="G1606" s="425">
        <v>0</v>
      </c>
      <c r="H1606" s="425">
        <v>0</v>
      </c>
      <c r="I1606" s="425">
        <v>0</v>
      </c>
      <c r="J1606" s="425">
        <v>0</v>
      </c>
      <c r="K1606" s="425">
        <v>0</v>
      </c>
      <c r="L1606" s="425">
        <v>0</v>
      </c>
      <c r="M1606" s="425">
        <v>0</v>
      </c>
      <c r="N1606" s="425">
        <v>0</v>
      </c>
      <c r="O1606" s="425">
        <v>0</v>
      </c>
    </row>
    <row r="1607" spans="3:15" hidden="1" x14ac:dyDescent="0.3">
      <c r="C1607" t="s">
        <v>2295</v>
      </c>
      <c r="D1607" t="s">
        <v>2267</v>
      </c>
      <c r="E1607" t="s">
        <v>5419</v>
      </c>
      <c r="F1607" t="s">
        <v>5420</v>
      </c>
      <c r="G1607" s="425">
        <v>0</v>
      </c>
      <c r="H1607" s="425">
        <v>0</v>
      </c>
      <c r="I1607" s="425">
        <v>0</v>
      </c>
      <c r="J1607" s="425">
        <v>0</v>
      </c>
      <c r="K1607" s="425">
        <v>0</v>
      </c>
      <c r="L1607" s="425">
        <v>0</v>
      </c>
      <c r="M1607" s="425">
        <v>0</v>
      </c>
      <c r="N1607" s="425">
        <v>0</v>
      </c>
      <c r="O1607" s="425">
        <v>0</v>
      </c>
    </row>
    <row r="1608" spans="3:15" hidden="1" x14ac:dyDescent="0.3">
      <c r="C1608" t="s">
        <v>2295</v>
      </c>
      <c r="D1608" t="s">
        <v>2267</v>
      </c>
      <c r="E1608" t="s">
        <v>5421</v>
      </c>
      <c r="F1608" t="s">
        <v>5422</v>
      </c>
      <c r="G1608" s="425">
        <v>0</v>
      </c>
      <c r="H1608" s="425">
        <v>0</v>
      </c>
      <c r="I1608" s="425">
        <v>0</v>
      </c>
      <c r="J1608" s="425">
        <v>0</v>
      </c>
      <c r="K1608" s="425">
        <v>0</v>
      </c>
      <c r="L1608" s="425">
        <v>0</v>
      </c>
      <c r="M1608" s="425">
        <v>0</v>
      </c>
      <c r="N1608" s="425">
        <v>0</v>
      </c>
      <c r="O1608" s="425">
        <v>0</v>
      </c>
    </row>
    <row r="1609" spans="3:15" hidden="1" x14ac:dyDescent="0.3">
      <c r="C1609" t="s">
        <v>2295</v>
      </c>
      <c r="D1609" t="s">
        <v>2267</v>
      </c>
      <c r="E1609" t="s">
        <v>5423</v>
      </c>
      <c r="F1609" t="s">
        <v>5424</v>
      </c>
      <c r="G1609" s="425">
        <v>0</v>
      </c>
      <c r="H1609" s="425">
        <v>0</v>
      </c>
      <c r="I1609" s="425">
        <v>0</v>
      </c>
      <c r="J1609" s="425">
        <v>0</v>
      </c>
      <c r="K1609" s="425">
        <v>0</v>
      </c>
      <c r="L1609" s="425">
        <v>0</v>
      </c>
      <c r="M1609" s="425">
        <v>0</v>
      </c>
      <c r="N1609" s="425">
        <v>0</v>
      </c>
      <c r="O1609" s="425">
        <v>0</v>
      </c>
    </row>
    <row r="1610" spans="3:15" hidden="1" x14ac:dyDescent="0.3">
      <c r="C1610" t="s">
        <v>2295</v>
      </c>
      <c r="D1610" t="s">
        <v>2267</v>
      </c>
      <c r="E1610" t="s">
        <v>5425</v>
      </c>
      <c r="F1610" t="s">
        <v>5426</v>
      </c>
      <c r="G1610" s="425">
        <v>0</v>
      </c>
      <c r="H1610" s="425">
        <v>0</v>
      </c>
      <c r="I1610" s="425">
        <v>0</v>
      </c>
      <c r="J1610" s="425">
        <v>0</v>
      </c>
      <c r="K1610" s="425">
        <v>0</v>
      </c>
      <c r="L1610" s="425">
        <v>0</v>
      </c>
      <c r="M1610" s="425">
        <v>0</v>
      </c>
      <c r="N1610" s="425">
        <v>0</v>
      </c>
      <c r="O1610" s="425">
        <v>0</v>
      </c>
    </row>
    <row r="1611" spans="3:15" hidden="1" x14ac:dyDescent="0.3">
      <c r="C1611" t="s">
        <v>2295</v>
      </c>
      <c r="D1611" t="s">
        <v>2267</v>
      </c>
      <c r="E1611" t="s">
        <v>5427</v>
      </c>
      <c r="F1611" t="s">
        <v>5428</v>
      </c>
      <c r="G1611" s="425">
        <v>0</v>
      </c>
      <c r="H1611" s="425">
        <v>0</v>
      </c>
      <c r="I1611" s="425">
        <v>0</v>
      </c>
      <c r="J1611" s="425">
        <v>0</v>
      </c>
      <c r="K1611" s="425">
        <v>0</v>
      </c>
      <c r="L1611" s="425">
        <v>0</v>
      </c>
      <c r="M1611" s="425">
        <v>0</v>
      </c>
      <c r="N1611" s="425">
        <v>0</v>
      </c>
      <c r="O1611" s="425">
        <v>0</v>
      </c>
    </row>
    <row r="1612" spans="3:15" hidden="1" x14ac:dyDescent="0.3">
      <c r="C1612" t="s">
        <v>2295</v>
      </c>
      <c r="D1612" t="s">
        <v>2267</v>
      </c>
      <c r="E1612" t="s">
        <v>5423</v>
      </c>
      <c r="F1612" t="s">
        <v>5429</v>
      </c>
      <c r="G1612" s="425">
        <v>0</v>
      </c>
      <c r="H1612" s="425">
        <v>0</v>
      </c>
      <c r="I1612" s="425">
        <v>0</v>
      </c>
      <c r="J1612" s="425">
        <v>0</v>
      </c>
      <c r="K1612" s="425">
        <v>0</v>
      </c>
      <c r="L1612" s="425">
        <v>0</v>
      </c>
      <c r="M1612" s="425">
        <v>0</v>
      </c>
      <c r="N1612" s="425">
        <v>0</v>
      </c>
      <c r="O1612" s="425">
        <v>0</v>
      </c>
    </row>
    <row r="1613" spans="3:15" hidden="1" x14ac:dyDescent="0.3">
      <c r="C1613" t="s">
        <v>2295</v>
      </c>
      <c r="D1613" t="s">
        <v>2267</v>
      </c>
      <c r="E1613" t="s">
        <v>5421</v>
      </c>
      <c r="F1613" t="s">
        <v>5430</v>
      </c>
      <c r="G1613" s="425">
        <v>0</v>
      </c>
      <c r="H1613" s="425">
        <v>0</v>
      </c>
      <c r="I1613" s="425">
        <v>0</v>
      </c>
      <c r="J1613" s="425">
        <v>0</v>
      </c>
      <c r="K1613" s="425">
        <v>0</v>
      </c>
      <c r="L1613" s="425">
        <v>0</v>
      </c>
      <c r="M1613" s="425">
        <v>0</v>
      </c>
      <c r="N1613" s="425">
        <v>0</v>
      </c>
      <c r="O1613" s="425">
        <v>0</v>
      </c>
    </row>
    <row r="1614" spans="3:15" hidden="1" x14ac:dyDescent="0.3">
      <c r="C1614" t="s">
        <v>2295</v>
      </c>
      <c r="D1614" t="s">
        <v>2267</v>
      </c>
      <c r="E1614" t="s">
        <v>5431</v>
      </c>
      <c r="F1614" t="s">
        <v>5432</v>
      </c>
      <c r="G1614" s="425">
        <v>0</v>
      </c>
      <c r="H1614" s="425">
        <v>0</v>
      </c>
      <c r="I1614" s="425">
        <v>0</v>
      </c>
      <c r="J1614" s="425">
        <v>0</v>
      </c>
      <c r="K1614" s="425">
        <v>0</v>
      </c>
      <c r="L1614" s="425">
        <v>0</v>
      </c>
      <c r="M1614" s="425">
        <v>0</v>
      </c>
      <c r="N1614" s="425">
        <v>0</v>
      </c>
      <c r="O1614" s="425">
        <v>0</v>
      </c>
    </row>
    <row r="1615" spans="3:15" hidden="1" x14ac:dyDescent="0.3">
      <c r="C1615" t="s">
        <v>2295</v>
      </c>
      <c r="D1615" t="s">
        <v>2267</v>
      </c>
      <c r="E1615" t="s">
        <v>5433</v>
      </c>
      <c r="F1615" t="s">
        <v>5434</v>
      </c>
      <c r="G1615" s="425">
        <v>0</v>
      </c>
      <c r="H1615" s="425">
        <v>0</v>
      </c>
      <c r="I1615" s="425">
        <v>0</v>
      </c>
      <c r="J1615" s="425">
        <v>0</v>
      </c>
      <c r="K1615" s="425">
        <v>0</v>
      </c>
      <c r="L1615" s="425">
        <v>0</v>
      </c>
      <c r="M1615" s="425">
        <v>0</v>
      </c>
      <c r="N1615" s="425">
        <v>0</v>
      </c>
      <c r="O1615" s="425">
        <v>0</v>
      </c>
    </row>
    <row r="1616" spans="3:15" hidden="1" x14ac:dyDescent="0.3">
      <c r="C1616" t="s">
        <v>2295</v>
      </c>
      <c r="D1616" t="s">
        <v>2267</v>
      </c>
      <c r="E1616" t="s">
        <v>5435</v>
      </c>
      <c r="F1616" t="s">
        <v>5436</v>
      </c>
      <c r="G1616" s="425">
        <v>0</v>
      </c>
      <c r="H1616" s="425">
        <v>0</v>
      </c>
      <c r="I1616" s="425">
        <v>0</v>
      </c>
      <c r="J1616" s="425">
        <v>0</v>
      </c>
      <c r="K1616" s="425">
        <v>0</v>
      </c>
      <c r="L1616" s="425">
        <v>0</v>
      </c>
      <c r="M1616" s="425">
        <v>0</v>
      </c>
      <c r="N1616" s="425">
        <v>0</v>
      </c>
      <c r="O1616" s="425">
        <v>0</v>
      </c>
    </row>
    <row r="1617" spans="3:15" hidden="1" x14ac:dyDescent="0.3">
      <c r="C1617" t="s">
        <v>2295</v>
      </c>
      <c r="D1617" t="s">
        <v>2267</v>
      </c>
      <c r="E1617" t="s">
        <v>5437</v>
      </c>
      <c r="F1617" t="s">
        <v>5438</v>
      </c>
      <c r="G1617" s="425">
        <v>0</v>
      </c>
      <c r="H1617" s="425">
        <v>0</v>
      </c>
      <c r="I1617" s="425">
        <v>0</v>
      </c>
      <c r="J1617" s="425">
        <v>0</v>
      </c>
      <c r="K1617" s="425">
        <v>0</v>
      </c>
      <c r="L1617" s="425">
        <v>0</v>
      </c>
      <c r="M1617" s="425">
        <v>0</v>
      </c>
      <c r="N1617" s="425">
        <v>0</v>
      </c>
      <c r="O1617" s="425">
        <v>0</v>
      </c>
    </row>
    <row r="1618" spans="3:15" hidden="1" x14ac:dyDescent="0.3">
      <c r="C1618" t="s">
        <v>2295</v>
      </c>
      <c r="D1618" t="s">
        <v>2267</v>
      </c>
      <c r="E1618" t="s">
        <v>5439</v>
      </c>
      <c r="F1618" t="s">
        <v>5440</v>
      </c>
      <c r="G1618" s="425">
        <v>0</v>
      </c>
      <c r="H1618" s="425">
        <v>0</v>
      </c>
      <c r="I1618" s="425">
        <v>0</v>
      </c>
      <c r="J1618" s="425">
        <v>0</v>
      </c>
      <c r="K1618" s="425">
        <v>0</v>
      </c>
      <c r="L1618" s="425">
        <v>0</v>
      </c>
      <c r="M1618" s="425">
        <v>0</v>
      </c>
      <c r="N1618" s="425">
        <v>0</v>
      </c>
      <c r="O1618" s="425">
        <v>0</v>
      </c>
    </row>
    <row r="1619" spans="3:15" hidden="1" x14ac:dyDescent="0.3">
      <c r="C1619" t="s">
        <v>2295</v>
      </c>
      <c r="D1619" t="s">
        <v>2267</v>
      </c>
      <c r="E1619" t="s">
        <v>5441</v>
      </c>
      <c r="F1619" t="s">
        <v>5442</v>
      </c>
      <c r="G1619" s="425">
        <v>770000</v>
      </c>
      <c r="H1619" s="425">
        <v>0</v>
      </c>
      <c r="I1619" s="425">
        <v>770000</v>
      </c>
      <c r="J1619" s="425">
        <v>0</v>
      </c>
      <c r="K1619" s="425">
        <v>0</v>
      </c>
      <c r="L1619" s="425">
        <v>0</v>
      </c>
      <c r="M1619" s="425">
        <v>0</v>
      </c>
      <c r="N1619" s="425">
        <v>0</v>
      </c>
      <c r="O1619" s="425">
        <v>0</v>
      </c>
    </row>
    <row r="1620" spans="3:15" hidden="1" x14ac:dyDescent="0.3">
      <c r="C1620" t="s">
        <v>2295</v>
      </c>
      <c r="D1620" t="s">
        <v>2267</v>
      </c>
      <c r="E1620" t="s">
        <v>5443</v>
      </c>
      <c r="F1620" t="s">
        <v>5444</v>
      </c>
      <c r="G1620" s="425">
        <v>0</v>
      </c>
      <c r="H1620" s="425">
        <v>0</v>
      </c>
      <c r="I1620" s="425">
        <v>0</v>
      </c>
      <c r="J1620" s="425">
        <v>0</v>
      </c>
      <c r="K1620" s="425">
        <v>0</v>
      </c>
      <c r="L1620" s="425">
        <v>0</v>
      </c>
      <c r="M1620" s="425">
        <v>0</v>
      </c>
      <c r="N1620" s="425">
        <v>0</v>
      </c>
      <c r="O1620" s="425">
        <v>0</v>
      </c>
    </row>
    <row r="1621" spans="3:15" hidden="1" x14ac:dyDescent="0.3">
      <c r="C1621" t="s">
        <v>2295</v>
      </c>
      <c r="D1621" t="s">
        <v>2267</v>
      </c>
      <c r="E1621" t="s">
        <v>5445</v>
      </c>
      <c r="F1621" t="s">
        <v>5446</v>
      </c>
      <c r="G1621" s="425">
        <v>0</v>
      </c>
      <c r="H1621" s="425">
        <v>0</v>
      </c>
      <c r="I1621" s="425">
        <v>0</v>
      </c>
      <c r="J1621" s="425">
        <v>0</v>
      </c>
      <c r="K1621" s="425">
        <v>0</v>
      </c>
      <c r="L1621" s="425">
        <v>0</v>
      </c>
      <c r="M1621" s="425">
        <v>0</v>
      </c>
      <c r="N1621" s="425">
        <v>0</v>
      </c>
      <c r="O1621" s="425">
        <v>0</v>
      </c>
    </row>
    <row r="1622" spans="3:15" hidden="1" x14ac:dyDescent="0.3">
      <c r="C1622" t="s">
        <v>2295</v>
      </c>
      <c r="D1622" t="s">
        <v>2267</v>
      </c>
      <c r="E1622" t="s">
        <v>5447</v>
      </c>
      <c r="F1622" t="s">
        <v>5448</v>
      </c>
      <c r="G1622" s="425">
        <v>0</v>
      </c>
      <c r="H1622" s="425">
        <v>0</v>
      </c>
      <c r="I1622" s="425">
        <v>0</v>
      </c>
      <c r="J1622" s="425">
        <v>0</v>
      </c>
      <c r="K1622" s="425">
        <v>0</v>
      </c>
      <c r="L1622" s="425">
        <v>0</v>
      </c>
      <c r="M1622" s="425">
        <v>0</v>
      </c>
      <c r="N1622" s="425">
        <v>0</v>
      </c>
      <c r="O1622" s="425">
        <v>0</v>
      </c>
    </row>
    <row r="1623" spans="3:15" hidden="1" x14ac:dyDescent="0.3">
      <c r="C1623" t="s">
        <v>2295</v>
      </c>
      <c r="D1623" t="s">
        <v>2267</v>
      </c>
      <c r="E1623" t="s">
        <v>5449</v>
      </c>
      <c r="F1623" t="s">
        <v>5450</v>
      </c>
      <c r="G1623" s="425">
        <v>452680</v>
      </c>
      <c r="H1623" s="425">
        <v>0</v>
      </c>
      <c r="I1623" s="425">
        <v>452680</v>
      </c>
      <c r="J1623" s="425">
        <v>0</v>
      </c>
      <c r="K1623" s="425">
        <v>0</v>
      </c>
      <c r="L1623" s="425">
        <v>0</v>
      </c>
      <c r="M1623" s="425">
        <v>0</v>
      </c>
      <c r="N1623" s="425">
        <v>0</v>
      </c>
      <c r="O1623" s="425">
        <v>0</v>
      </c>
    </row>
    <row r="1624" spans="3:15" hidden="1" x14ac:dyDescent="0.3">
      <c r="C1624" t="s">
        <v>2295</v>
      </c>
      <c r="D1624" t="s">
        <v>2267</v>
      </c>
      <c r="E1624" t="s">
        <v>5451</v>
      </c>
      <c r="F1624" t="s">
        <v>5452</v>
      </c>
      <c r="G1624" s="425">
        <v>5000</v>
      </c>
      <c r="H1624" s="425">
        <v>0</v>
      </c>
      <c r="I1624" s="425">
        <v>5000</v>
      </c>
      <c r="J1624" s="425">
        <v>0</v>
      </c>
      <c r="K1624" s="425">
        <v>0</v>
      </c>
      <c r="L1624" s="425">
        <v>0</v>
      </c>
      <c r="M1624" s="425">
        <v>0</v>
      </c>
      <c r="N1624" s="425">
        <v>0</v>
      </c>
      <c r="O1624" s="425">
        <v>0</v>
      </c>
    </row>
    <row r="1625" spans="3:15" hidden="1" x14ac:dyDescent="0.3">
      <c r="C1625" t="s">
        <v>2295</v>
      </c>
      <c r="D1625" t="s">
        <v>2267</v>
      </c>
      <c r="E1625" t="s">
        <v>5453</v>
      </c>
      <c r="F1625" t="s">
        <v>5454</v>
      </c>
      <c r="G1625" s="425">
        <v>0</v>
      </c>
      <c r="H1625" s="425">
        <v>0</v>
      </c>
      <c r="I1625" s="425">
        <v>0</v>
      </c>
      <c r="J1625" s="425">
        <v>0</v>
      </c>
      <c r="K1625" s="425">
        <v>0</v>
      </c>
      <c r="L1625" s="425">
        <v>0</v>
      </c>
      <c r="M1625" s="425">
        <v>0</v>
      </c>
      <c r="N1625" s="425">
        <v>0</v>
      </c>
      <c r="O1625" s="425">
        <v>0</v>
      </c>
    </row>
    <row r="1626" spans="3:15" hidden="1" x14ac:dyDescent="0.3">
      <c r="C1626" t="s">
        <v>2295</v>
      </c>
      <c r="D1626" t="s">
        <v>2267</v>
      </c>
      <c r="E1626" t="s">
        <v>5455</v>
      </c>
      <c r="F1626" t="s">
        <v>5456</v>
      </c>
      <c r="G1626" s="425">
        <v>0</v>
      </c>
      <c r="H1626" s="425">
        <v>0</v>
      </c>
      <c r="I1626" s="425">
        <v>0</v>
      </c>
      <c r="J1626" s="425">
        <v>0</v>
      </c>
      <c r="K1626" s="425">
        <v>0</v>
      </c>
      <c r="L1626" s="425">
        <v>0</v>
      </c>
      <c r="M1626" s="425">
        <v>0</v>
      </c>
      <c r="N1626" s="425">
        <v>0</v>
      </c>
      <c r="O1626" s="425">
        <v>0</v>
      </c>
    </row>
    <row r="1627" spans="3:15" hidden="1" x14ac:dyDescent="0.3">
      <c r="C1627" t="s">
        <v>2295</v>
      </c>
      <c r="D1627" t="s">
        <v>2267</v>
      </c>
      <c r="E1627" t="s">
        <v>5457</v>
      </c>
      <c r="F1627" t="s">
        <v>5458</v>
      </c>
      <c r="G1627" s="425">
        <v>0</v>
      </c>
      <c r="H1627" s="425">
        <v>0</v>
      </c>
      <c r="I1627" s="425">
        <v>0</v>
      </c>
      <c r="J1627" s="425">
        <v>0</v>
      </c>
      <c r="K1627" s="425">
        <v>0</v>
      </c>
      <c r="L1627" s="425">
        <v>0</v>
      </c>
      <c r="M1627" s="425">
        <v>0</v>
      </c>
      <c r="N1627" s="425">
        <v>0</v>
      </c>
      <c r="O1627" s="425">
        <v>0</v>
      </c>
    </row>
    <row r="1628" spans="3:15" hidden="1" x14ac:dyDescent="0.3">
      <c r="C1628" t="s">
        <v>2295</v>
      </c>
      <c r="D1628" t="s">
        <v>2267</v>
      </c>
      <c r="E1628" t="s">
        <v>5459</v>
      </c>
      <c r="F1628" t="s">
        <v>5460</v>
      </c>
      <c r="G1628" s="425">
        <v>0</v>
      </c>
      <c r="H1628" s="425">
        <v>0</v>
      </c>
      <c r="I1628" s="425">
        <v>0</v>
      </c>
      <c r="J1628" s="425">
        <v>0</v>
      </c>
      <c r="K1628" s="425">
        <v>0</v>
      </c>
      <c r="L1628" s="425">
        <v>0</v>
      </c>
      <c r="M1628" s="425">
        <v>0</v>
      </c>
      <c r="N1628" s="425">
        <v>0</v>
      </c>
      <c r="O1628" s="425">
        <v>0</v>
      </c>
    </row>
    <row r="1629" spans="3:15" hidden="1" x14ac:dyDescent="0.3">
      <c r="C1629" t="s">
        <v>2295</v>
      </c>
      <c r="D1629" t="s">
        <v>2267</v>
      </c>
      <c r="E1629" t="s">
        <v>5461</v>
      </c>
      <c r="F1629" t="s">
        <v>5462</v>
      </c>
      <c r="G1629" s="425">
        <v>0</v>
      </c>
      <c r="H1629" s="425">
        <v>0</v>
      </c>
      <c r="I1629" s="425">
        <v>0</v>
      </c>
      <c r="J1629" s="425">
        <v>0</v>
      </c>
      <c r="K1629" s="425">
        <v>0</v>
      </c>
      <c r="L1629" s="425">
        <v>0</v>
      </c>
      <c r="M1629" s="425">
        <v>0</v>
      </c>
      <c r="N1629" s="425">
        <v>0</v>
      </c>
      <c r="O1629" s="425">
        <v>0</v>
      </c>
    </row>
    <row r="1630" spans="3:15" hidden="1" x14ac:dyDescent="0.3">
      <c r="C1630" t="s">
        <v>2295</v>
      </c>
      <c r="D1630" t="s">
        <v>2267</v>
      </c>
      <c r="E1630" t="s">
        <v>4529</v>
      </c>
      <c r="F1630" t="s">
        <v>5463</v>
      </c>
      <c r="G1630" s="425">
        <v>0</v>
      </c>
      <c r="H1630" s="425">
        <v>0</v>
      </c>
      <c r="I1630" s="425">
        <v>0</v>
      </c>
      <c r="J1630" s="425">
        <v>0</v>
      </c>
      <c r="K1630" s="425">
        <v>0</v>
      </c>
      <c r="L1630" s="425">
        <v>0</v>
      </c>
      <c r="M1630" s="425">
        <v>0</v>
      </c>
      <c r="N1630" s="425">
        <v>0</v>
      </c>
      <c r="O1630" s="425">
        <v>0</v>
      </c>
    </row>
    <row r="1631" spans="3:15" hidden="1" x14ac:dyDescent="0.3">
      <c r="C1631" t="s">
        <v>2295</v>
      </c>
      <c r="D1631" t="s">
        <v>2267</v>
      </c>
      <c r="E1631" t="s">
        <v>5464</v>
      </c>
      <c r="F1631" t="s">
        <v>5465</v>
      </c>
      <c r="G1631" s="425">
        <v>0</v>
      </c>
      <c r="H1631" s="425">
        <v>0</v>
      </c>
      <c r="I1631" s="425">
        <v>0</v>
      </c>
      <c r="J1631" s="425">
        <v>0</v>
      </c>
      <c r="K1631" s="425">
        <v>0</v>
      </c>
      <c r="L1631" s="425">
        <v>0</v>
      </c>
      <c r="M1631" s="425">
        <v>0</v>
      </c>
      <c r="N1631" s="425">
        <v>0</v>
      </c>
      <c r="O1631" s="425">
        <v>0</v>
      </c>
    </row>
    <row r="1632" spans="3:15" hidden="1" x14ac:dyDescent="0.3">
      <c r="C1632" t="s">
        <v>2295</v>
      </c>
      <c r="D1632" t="s">
        <v>2267</v>
      </c>
      <c r="E1632" t="s">
        <v>5466</v>
      </c>
      <c r="F1632" t="s">
        <v>5467</v>
      </c>
      <c r="G1632" s="425">
        <v>1902000</v>
      </c>
      <c r="H1632" s="425">
        <v>0</v>
      </c>
      <c r="I1632" s="425">
        <v>1902000</v>
      </c>
      <c r="J1632" s="425">
        <v>0</v>
      </c>
      <c r="K1632" s="425">
        <v>0</v>
      </c>
      <c r="L1632" s="425">
        <v>0</v>
      </c>
      <c r="M1632" s="425">
        <v>0</v>
      </c>
      <c r="N1632" s="425">
        <v>0</v>
      </c>
      <c r="O1632" s="425">
        <v>0</v>
      </c>
    </row>
    <row r="1633" spans="3:15" hidden="1" x14ac:dyDescent="0.3">
      <c r="C1633" t="s">
        <v>2295</v>
      </c>
      <c r="D1633" t="s">
        <v>2267</v>
      </c>
      <c r="E1633" t="s">
        <v>5468</v>
      </c>
      <c r="F1633" t="s">
        <v>5469</v>
      </c>
      <c r="G1633" s="425">
        <v>0</v>
      </c>
      <c r="H1633" s="425">
        <v>0</v>
      </c>
      <c r="I1633" s="425">
        <v>0</v>
      </c>
      <c r="J1633" s="425">
        <v>0</v>
      </c>
      <c r="K1633" s="425">
        <v>0</v>
      </c>
      <c r="L1633" s="425">
        <v>0</v>
      </c>
      <c r="M1633" s="425">
        <v>0</v>
      </c>
      <c r="N1633" s="425">
        <v>0</v>
      </c>
      <c r="O1633" s="425">
        <v>0</v>
      </c>
    </row>
    <row r="1634" spans="3:15" hidden="1" x14ac:dyDescent="0.3">
      <c r="C1634" t="s">
        <v>2295</v>
      </c>
      <c r="D1634" t="s">
        <v>2267</v>
      </c>
      <c r="E1634" t="s">
        <v>5470</v>
      </c>
      <c r="F1634" t="s">
        <v>5471</v>
      </c>
      <c r="G1634" s="425">
        <v>0</v>
      </c>
      <c r="H1634" s="425">
        <v>0</v>
      </c>
      <c r="I1634" s="425">
        <v>0</v>
      </c>
      <c r="J1634" s="425">
        <v>0</v>
      </c>
      <c r="K1634" s="425">
        <v>0</v>
      </c>
      <c r="L1634" s="425">
        <v>0</v>
      </c>
      <c r="M1634" s="425">
        <v>0</v>
      </c>
      <c r="N1634" s="425">
        <v>0</v>
      </c>
      <c r="O1634" s="425">
        <v>0</v>
      </c>
    </row>
    <row r="1635" spans="3:15" hidden="1" x14ac:dyDescent="0.3">
      <c r="C1635" t="s">
        <v>2295</v>
      </c>
      <c r="D1635" t="s">
        <v>2267</v>
      </c>
      <c r="E1635" t="s">
        <v>5472</v>
      </c>
      <c r="F1635" t="s">
        <v>5473</v>
      </c>
      <c r="G1635" s="425">
        <v>0</v>
      </c>
      <c r="H1635" s="425">
        <v>0</v>
      </c>
      <c r="I1635" s="425">
        <v>0</v>
      </c>
      <c r="J1635" s="425">
        <v>0</v>
      </c>
      <c r="K1635" s="425">
        <v>0</v>
      </c>
      <c r="L1635" s="425">
        <v>0</v>
      </c>
      <c r="M1635" s="425">
        <v>0</v>
      </c>
      <c r="N1635" s="425">
        <v>0</v>
      </c>
      <c r="O1635" s="425">
        <v>0</v>
      </c>
    </row>
    <row r="1636" spans="3:15" hidden="1" x14ac:dyDescent="0.3">
      <c r="C1636" t="s">
        <v>2295</v>
      </c>
      <c r="D1636" t="s">
        <v>2267</v>
      </c>
      <c r="E1636" t="s">
        <v>5474</v>
      </c>
      <c r="F1636" t="s">
        <v>5475</v>
      </c>
      <c r="G1636" s="425">
        <v>0</v>
      </c>
      <c r="H1636" s="425">
        <v>0</v>
      </c>
      <c r="I1636" s="425">
        <v>0</v>
      </c>
      <c r="J1636" s="425">
        <v>0</v>
      </c>
      <c r="K1636" s="425">
        <v>0</v>
      </c>
      <c r="L1636" s="425">
        <v>0</v>
      </c>
      <c r="M1636" s="425">
        <v>0</v>
      </c>
      <c r="N1636" s="425">
        <v>0</v>
      </c>
      <c r="O1636" s="425">
        <v>0</v>
      </c>
    </row>
    <row r="1637" spans="3:15" hidden="1" x14ac:dyDescent="0.3">
      <c r="C1637" t="s">
        <v>2295</v>
      </c>
      <c r="D1637" t="s">
        <v>2267</v>
      </c>
      <c r="E1637" t="s">
        <v>5476</v>
      </c>
      <c r="F1637" t="s">
        <v>5477</v>
      </c>
      <c r="G1637" s="425">
        <v>0</v>
      </c>
      <c r="H1637" s="425">
        <v>0</v>
      </c>
      <c r="I1637" s="425">
        <v>0</v>
      </c>
      <c r="J1637" s="425">
        <v>0</v>
      </c>
      <c r="K1637" s="425">
        <v>0</v>
      </c>
      <c r="L1637" s="425">
        <v>0</v>
      </c>
      <c r="M1637" s="425">
        <v>0</v>
      </c>
      <c r="N1637" s="425">
        <v>0</v>
      </c>
      <c r="O1637" s="425">
        <v>0</v>
      </c>
    </row>
    <row r="1638" spans="3:15" hidden="1" x14ac:dyDescent="0.3">
      <c r="C1638" t="s">
        <v>2295</v>
      </c>
      <c r="D1638" t="s">
        <v>2267</v>
      </c>
      <c r="E1638" t="s">
        <v>5478</v>
      </c>
      <c r="F1638" t="s">
        <v>5479</v>
      </c>
      <c r="G1638" s="425">
        <v>0</v>
      </c>
      <c r="H1638" s="425">
        <v>0</v>
      </c>
      <c r="I1638" s="425">
        <v>0</v>
      </c>
      <c r="J1638" s="425">
        <v>0</v>
      </c>
      <c r="K1638" s="425">
        <v>0</v>
      </c>
      <c r="L1638" s="425">
        <v>0</v>
      </c>
      <c r="M1638" s="425">
        <v>0</v>
      </c>
      <c r="N1638" s="425">
        <v>0</v>
      </c>
      <c r="O1638" s="425">
        <v>0</v>
      </c>
    </row>
    <row r="1639" spans="3:15" hidden="1" x14ac:dyDescent="0.3">
      <c r="C1639" t="s">
        <v>2295</v>
      </c>
      <c r="D1639" t="s">
        <v>2267</v>
      </c>
      <c r="E1639" t="s">
        <v>5480</v>
      </c>
      <c r="F1639" t="s">
        <v>5481</v>
      </c>
      <c r="G1639" s="425">
        <v>0</v>
      </c>
      <c r="H1639" s="425">
        <v>0</v>
      </c>
      <c r="I1639" s="425">
        <v>0</v>
      </c>
      <c r="J1639" s="425">
        <v>0</v>
      </c>
      <c r="K1639" s="425">
        <v>0</v>
      </c>
      <c r="L1639" s="425">
        <v>0</v>
      </c>
      <c r="M1639" s="425">
        <v>0</v>
      </c>
      <c r="N1639" s="425">
        <v>0</v>
      </c>
      <c r="O1639" s="425">
        <v>0</v>
      </c>
    </row>
    <row r="1640" spans="3:15" hidden="1" x14ac:dyDescent="0.3">
      <c r="C1640" t="s">
        <v>2295</v>
      </c>
      <c r="D1640" t="s">
        <v>2267</v>
      </c>
      <c r="E1640" t="s">
        <v>5482</v>
      </c>
      <c r="F1640" t="s">
        <v>5483</v>
      </c>
      <c r="G1640" s="425">
        <v>775000</v>
      </c>
      <c r="H1640" s="425">
        <v>0</v>
      </c>
      <c r="I1640" s="425">
        <v>775000</v>
      </c>
      <c r="J1640" s="425">
        <v>0</v>
      </c>
      <c r="K1640" s="425">
        <v>0</v>
      </c>
      <c r="L1640" s="425">
        <v>0</v>
      </c>
      <c r="M1640" s="425">
        <v>0</v>
      </c>
      <c r="N1640" s="425">
        <v>0</v>
      </c>
      <c r="O1640" s="425">
        <v>0</v>
      </c>
    </row>
    <row r="1641" spans="3:15" hidden="1" x14ac:dyDescent="0.3">
      <c r="C1641" t="s">
        <v>2295</v>
      </c>
      <c r="D1641" t="s">
        <v>2267</v>
      </c>
      <c r="E1641" t="s">
        <v>5484</v>
      </c>
      <c r="F1641" t="s">
        <v>5485</v>
      </c>
      <c r="G1641" s="425">
        <v>0</v>
      </c>
      <c r="H1641" s="425">
        <v>0</v>
      </c>
      <c r="I1641" s="425">
        <v>0</v>
      </c>
      <c r="J1641" s="425">
        <v>0</v>
      </c>
      <c r="K1641" s="425">
        <v>0</v>
      </c>
      <c r="L1641" s="425">
        <v>0</v>
      </c>
      <c r="M1641" s="425">
        <v>0</v>
      </c>
      <c r="N1641" s="425">
        <v>0</v>
      </c>
      <c r="O1641" s="425">
        <v>0</v>
      </c>
    </row>
    <row r="1642" spans="3:15" hidden="1" x14ac:dyDescent="0.3">
      <c r="C1642" t="s">
        <v>2295</v>
      </c>
      <c r="D1642" t="s">
        <v>2267</v>
      </c>
      <c r="E1642" t="s">
        <v>5486</v>
      </c>
      <c r="F1642" t="s">
        <v>5487</v>
      </c>
      <c r="G1642" s="425">
        <v>0</v>
      </c>
      <c r="H1642" s="425">
        <v>0</v>
      </c>
      <c r="I1642" s="425">
        <v>0</v>
      </c>
      <c r="J1642" s="425">
        <v>0</v>
      </c>
      <c r="K1642" s="425">
        <v>0</v>
      </c>
      <c r="L1642" s="425">
        <v>0</v>
      </c>
      <c r="M1642" s="425">
        <v>0</v>
      </c>
      <c r="N1642" s="425">
        <v>0</v>
      </c>
      <c r="O1642" s="425">
        <v>0</v>
      </c>
    </row>
    <row r="1643" spans="3:15" hidden="1" x14ac:dyDescent="0.3">
      <c r="C1643" t="s">
        <v>2295</v>
      </c>
      <c r="D1643" t="s">
        <v>2267</v>
      </c>
      <c r="E1643" t="s">
        <v>5488</v>
      </c>
      <c r="F1643" t="s">
        <v>5489</v>
      </c>
      <c r="G1643" s="425">
        <v>0</v>
      </c>
      <c r="H1643" s="425">
        <v>0</v>
      </c>
      <c r="I1643" s="425">
        <v>0</v>
      </c>
      <c r="J1643" s="425">
        <v>0</v>
      </c>
      <c r="K1643" s="425">
        <v>0</v>
      </c>
      <c r="L1643" s="425">
        <v>0</v>
      </c>
      <c r="M1643" s="425">
        <v>0</v>
      </c>
      <c r="N1643" s="425">
        <v>0</v>
      </c>
      <c r="O1643" s="425">
        <v>0</v>
      </c>
    </row>
    <row r="1644" spans="3:15" hidden="1" x14ac:dyDescent="0.3">
      <c r="C1644" t="s">
        <v>2295</v>
      </c>
      <c r="D1644" t="s">
        <v>2267</v>
      </c>
      <c r="E1644" t="s">
        <v>5490</v>
      </c>
      <c r="F1644" t="s">
        <v>5491</v>
      </c>
      <c r="G1644" s="425">
        <v>0</v>
      </c>
      <c r="H1644" s="425">
        <v>0</v>
      </c>
      <c r="I1644" s="425">
        <v>0</v>
      </c>
      <c r="J1644" s="425">
        <v>0</v>
      </c>
      <c r="K1644" s="425">
        <v>0</v>
      </c>
      <c r="L1644" s="425">
        <v>0</v>
      </c>
      <c r="M1644" s="425">
        <v>0</v>
      </c>
      <c r="N1644" s="425">
        <v>0</v>
      </c>
      <c r="O1644" s="425">
        <v>0</v>
      </c>
    </row>
    <row r="1645" spans="3:15" hidden="1" x14ac:dyDescent="0.3">
      <c r="C1645" t="s">
        <v>2295</v>
      </c>
      <c r="D1645" t="s">
        <v>2267</v>
      </c>
      <c r="E1645" t="s">
        <v>5492</v>
      </c>
      <c r="F1645" t="s">
        <v>5493</v>
      </c>
      <c r="G1645" s="425">
        <v>0</v>
      </c>
      <c r="H1645" s="425">
        <v>0</v>
      </c>
      <c r="I1645" s="425">
        <v>0</v>
      </c>
      <c r="J1645" s="425">
        <v>0</v>
      </c>
      <c r="K1645" s="425">
        <v>0</v>
      </c>
      <c r="L1645" s="425">
        <v>0</v>
      </c>
      <c r="M1645" s="425">
        <v>0</v>
      </c>
      <c r="N1645" s="425">
        <v>0</v>
      </c>
      <c r="O1645" s="425">
        <v>0</v>
      </c>
    </row>
    <row r="1646" spans="3:15" hidden="1" x14ac:dyDescent="0.3">
      <c r="C1646" t="s">
        <v>2295</v>
      </c>
      <c r="D1646" t="s">
        <v>2267</v>
      </c>
      <c r="E1646" t="s">
        <v>5494</v>
      </c>
      <c r="F1646" t="s">
        <v>5495</v>
      </c>
      <c r="G1646" s="425">
        <v>0</v>
      </c>
      <c r="H1646" s="425">
        <v>0</v>
      </c>
      <c r="I1646" s="425">
        <v>0</v>
      </c>
      <c r="J1646" s="425">
        <v>0</v>
      </c>
      <c r="K1646" s="425">
        <v>0</v>
      </c>
      <c r="L1646" s="425">
        <v>0</v>
      </c>
      <c r="M1646" s="425">
        <v>0</v>
      </c>
      <c r="N1646" s="425">
        <v>0</v>
      </c>
      <c r="O1646" s="425">
        <v>0</v>
      </c>
    </row>
    <row r="1647" spans="3:15" hidden="1" x14ac:dyDescent="0.3">
      <c r="C1647" t="s">
        <v>2295</v>
      </c>
      <c r="D1647" t="s">
        <v>2267</v>
      </c>
      <c r="E1647" t="s">
        <v>5496</v>
      </c>
      <c r="F1647" t="s">
        <v>5497</v>
      </c>
      <c r="G1647" s="425">
        <v>0</v>
      </c>
      <c r="H1647" s="425">
        <v>0</v>
      </c>
      <c r="I1647" s="425">
        <v>0</v>
      </c>
      <c r="J1647" s="425">
        <v>0</v>
      </c>
      <c r="K1647" s="425">
        <v>0</v>
      </c>
      <c r="L1647" s="425">
        <v>0</v>
      </c>
      <c r="M1647" s="425">
        <v>0</v>
      </c>
      <c r="N1647" s="425">
        <v>0</v>
      </c>
      <c r="O1647" s="425">
        <v>0</v>
      </c>
    </row>
    <row r="1648" spans="3:15" hidden="1" x14ac:dyDescent="0.3">
      <c r="C1648" t="s">
        <v>2295</v>
      </c>
      <c r="D1648" t="s">
        <v>2267</v>
      </c>
      <c r="E1648" t="s">
        <v>5498</v>
      </c>
      <c r="F1648" t="s">
        <v>5499</v>
      </c>
      <c r="G1648" s="425">
        <v>0</v>
      </c>
      <c r="H1648" s="425">
        <v>0</v>
      </c>
      <c r="I1648" s="425">
        <v>0</v>
      </c>
      <c r="J1648" s="425">
        <v>0</v>
      </c>
      <c r="K1648" s="425">
        <v>0</v>
      </c>
      <c r="L1648" s="425">
        <v>0</v>
      </c>
      <c r="M1648" s="425">
        <v>0</v>
      </c>
      <c r="N1648" s="425">
        <v>0</v>
      </c>
      <c r="O1648" s="425">
        <v>0</v>
      </c>
    </row>
    <row r="1649" spans="3:15" hidden="1" x14ac:dyDescent="0.3">
      <c r="C1649" t="s">
        <v>2295</v>
      </c>
      <c r="D1649" t="s">
        <v>2267</v>
      </c>
      <c r="E1649" t="s">
        <v>5500</v>
      </c>
      <c r="F1649" t="s">
        <v>5501</v>
      </c>
      <c r="G1649" s="425">
        <v>0</v>
      </c>
      <c r="H1649" s="425">
        <v>0</v>
      </c>
      <c r="I1649" s="425">
        <v>0</v>
      </c>
      <c r="J1649" s="425">
        <v>0</v>
      </c>
      <c r="K1649" s="425">
        <v>0</v>
      </c>
      <c r="L1649" s="425">
        <v>0</v>
      </c>
      <c r="M1649" s="425">
        <v>0</v>
      </c>
      <c r="N1649" s="425">
        <v>0</v>
      </c>
      <c r="O1649" s="425">
        <v>0</v>
      </c>
    </row>
    <row r="1650" spans="3:15" hidden="1" x14ac:dyDescent="0.3">
      <c r="C1650" t="s">
        <v>2295</v>
      </c>
      <c r="D1650" t="s">
        <v>2267</v>
      </c>
      <c r="E1650" t="s">
        <v>5502</v>
      </c>
      <c r="F1650" t="s">
        <v>5503</v>
      </c>
      <c r="G1650" s="425">
        <v>0</v>
      </c>
      <c r="H1650" s="425">
        <v>0</v>
      </c>
      <c r="I1650" s="425">
        <v>0</v>
      </c>
      <c r="J1650" s="425">
        <v>0</v>
      </c>
      <c r="K1650" s="425">
        <v>0</v>
      </c>
      <c r="L1650" s="425">
        <v>0</v>
      </c>
      <c r="M1650" s="425">
        <v>0</v>
      </c>
      <c r="N1650" s="425">
        <v>0</v>
      </c>
      <c r="O1650" s="425">
        <v>0</v>
      </c>
    </row>
    <row r="1651" spans="3:15" hidden="1" x14ac:dyDescent="0.3">
      <c r="C1651" t="s">
        <v>2295</v>
      </c>
      <c r="D1651" t="s">
        <v>2267</v>
      </c>
      <c r="E1651" t="s">
        <v>5504</v>
      </c>
      <c r="F1651" t="s">
        <v>5505</v>
      </c>
      <c r="G1651" s="425">
        <v>0</v>
      </c>
      <c r="H1651" s="425">
        <v>0</v>
      </c>
      <c r="I1651" s="425">
        <v>0</v>
      </c>
      <c r="J1651" s="425">
        <v>0</v>
      </c>
      <c r="K1651" s="425">
        <v>0</v>
      </c>
      <c r="L1651" s="425">
        <v>0</v>
      </c>
      <c r="M1651" s="425">
        <v>0</v>
      </c>
      <c r="N1651" s="425">
        <v>0</v>
      </c>
      <c r="O1651" s="425">
        <v>0</v>
      </c>
    </row>
    <row r="1652" spans="3:15" hidden="1" x14ac:dyDescent="0.3">
      <c r="C1652" t="s">
        <v>2295</v>
      </c>
      <c r="D1652" t="s">
        <v>2267</v>
      </c>
      <c r="E1652" t="s">
        <v>5506</v>
      </c>
      <c r="F1652" t="s">
        <v>5507</v>
      </c>
      <c r="G1652" s="425">
        <v>0</v>
      </c>
      <c r="H1652" s="425">
        <v>0</v>
      </c>
      <c r="I1652" s="425">
        <v>0</v>
      </c>
      <c r="J1652" s="425">
        <v>0</v>
      </c>
      <c r="K1652" s="425">
        <v>0</v>
      </c>
      <c r="L1652" s="425">
        <v>0</v>
      </c>
      <c r="M1652" s="425">
        <v>0</v>
      </c>
      <c r="N1652" s="425">
        <v>0</v>
      </c>
      <c r="O1652" s="425">
        <v>0</v>
      </c>
    </row>
    <row r="1653" spans="3:15" hidden="1" x14ac:dyDescent="0.3">
      <c r="C1653" t="s">
        <v>2295</v>
      </c>
      <c r="D1653" t="s">
        <v>2267</v>
      </c>
      <c r="E1653" t="s">
        <v>5508</v>
      </c>
      <c r="F1653" t="s">
        <v>5509</v>
      </c>
      <c r="G1653" s="425">
        <v>0</v>
      </c>
      <c r="H1653" s="425">
        <v>0</v>
      </c>
      <c r="I1653" s="425">
        <v>0</v>
      </c>
      <c r="J1653" s="425">
        <v>0</v>
      </c>
      <c r="K1653" s="425">
        <v>0</v>
      </c>
      <c r="L1653" s="425">
        <v>0</v>
      </c>
      <c r="M1653" s="425">
        <v>0</v>
      </c>
      <c r="N1653" s="425">
        <v>0</v>
      </c>
      <c r="O1653" s="425">
        <v>0</v>
      </c>
    </row>
    <row r="1654" spans="3:15" hidden="1" x14ac:dyDescent="0.3">
      <c r="C1654" t="s">
        <v>2295</v>
      </c>
      <c r="D1654" t="s">
        <v>2267</v>
      </c>
      <c r="E1654" t="s">
        <v>5510</v>
      </c>
      <c r="F1654" t="s">
        <v>5511</v>
      </c>
      <c r="G1654" s="425">
        <v>0</v>
      </c>
      <c r="H1654" s="425">
        <v>0</v>
      </c>
      <c r="I1654" s="425">
        <v>0</v>
      </c>
      <c r="J1654" s="425">
        <v>0</v>
      </c>
      <c r="K1654" s="425">
        <v>0</v>
      </c>
      <c r="L1654" s="425">
        <v>0</v>
      </c>
      <c r="M1654" s="425">
        <v>0</v>
      </c>
      <c r="N1654" s="425">
        <v>0</v>
      </c>
      <c r="O1654" s="425">
        <v>0</v>
      </c>
    </row>
    <row r="1655" spans="3:15" hidden="1" x14ac:dyDescent="0.3">
      <c r="C1655" t="s">
        <v>2295</v>
      </c>
      <c r="D1655" t="s">
        <v>2267</v>
      </c>
      <c r="E1655" t="s">
        <v>5512</v>
      </c>
      <c r="F1655" t="s">
        <v>5513</v>
      </c>
      <c r="G1655" s="425">
        <v>0</v>
      </c>
      <c r="H1655" s="425">
        <v>0</v>
      </c>
      <c r="I1655" s="425">
        <v>0</v>
      </c>
      <c r="J1655" s="425">
        <v>0</v>
      </c>
      <c r="K1655" s="425">
        <v>0</v>
      </c>
      <c r="L1655" s="425">
        <v>0</v>
      </c>
      <c r="M1655" s="425">
        <v>0</v>
      </c>
      <c r="N1655" s="425">
        <v>0</v>
      </c>
      <c r="O1655" s="425">
        <v>0</v>
      </c>
    </row>
    <row r="1656" spans="3:15" hidden="1" x14ac:dyDescent="0.3">
      <c r="C1656" t="s">
        <v>2295</v>
      </c>
      <c r="D1656" t="s">
        <v>2267</v>
      </c>
      <c r="E1656" t="s">
        <v>5514</v>
      </c>
      <c r="F1656" t="s">
        <v>5515</v>
      </c>
      <c r="G1656" s="425">
        <v>0</v>
      </c>
      <c r="H1656" s="425">
        <v>0</v>
      </c>
      <c r="I1656" s="425">
        <v>0</v>
      </c>
      <c r="J1656" s="425">
        <v>0</v>
      </c>
      <c r="K1656" s="425">
        <v>0</v>
      </c>
      <c r="L1656" s="425">
        <v>0</v>
      </c>
      <c r="M1656" s="425">
        <v>0</v>
      </c>
      <c r="N1656" s="425">
        <v>0</v>
      </c>
      <c r="O1656" s="425">
        <v>0</v>
      </c>
    </row>
    <row r="1657" spans="3:15" hidden="1" x14ac:dyDescent="0.3">
      <c r="C1657" t="s">
        <v>2295</v>
      </c>
      <c r="D1657" t="s">
        <v>2267</v>
      </c>
      <c r="E1657" t="s">
        <v>5516</v>
      </c>
      <c r="F1657" t="s">
        <v>5517</v>
      </c>
      <c r="G1657" s="425">
        <v>0</v>
      </c>
      <c r="H1657" s="425">
        <v>0</v>
      </c>
      <c r="I1657" s="425">
        <v>0</v>
      </c>
      <c r="J1657" s="425">
        <v>0</v>
      </c>
      <c r="K1657" s="425">
        <v>0</v>
      </c>
      <c r="L1657" s="425">
        <v>0</v>
      </c>
      <c r="M1657" s="425">
        <v>0</v>
      </c>
      <c r="N1657" s="425">
        <v>0</v>
      </c>
      <c r="O1657" s="425">
        <v>0</v>
      </c>
    </row>
    <row r="1658" spans="3:15" hidden="1" x14ac:dyDescent="0.3">
      <c r="C1658" t="s">
        <v>2295</v>
      </c>
      <c r="D1658" t="s">
        <v>2267</v>
      </c>
      <c r="E1658" t="s">
        <v>5518</v>
      </c>
      <c r="F1658" t="s">
        <v>5519</v>
      </c>
      <c r="G1658" s="425">
        <v>0</v>
      </c>
      <c r="H1658" s="425">
        <v>0</v>
      </c>
      <c r="I1658" s="425">
        <v>0</v>
      </c>
      <c r="J1658" s="425">
        <v>0</v>
      </c>
      <c r="K1658" s="425">
        <v>0</v>
      </c>
      <c r="L1658" s="425">
        <v>0</v>
      </c>
      <c r="M1658" s="425">
        <v>0</v>
      </c>
      <c r="N1658" s="425">
        <v>0</v>
      </c>
      <c r="O1658" s="425">
        <v>0</v>
      </c>
    </row>
    <row r="1659" spans="3:15" hidden="1" x14ac:dyDescent="0.3">
      <c r="C1659" t="s">
        <v>2295</v>
      </c>
      <c r="D1659" t="s">
        <v>2267</v>
      </c>
      <c r="E1659" t="s">
        <v>5520</v>
      </c>
      <c r="F1659" t="s">
        <v>5521</v>
      </c>
      <c r="G1659" s="425">
        <v>0</v>
      </c>
      <c r="H1659" s="425">
        <v>0</v>
      </c>
      <c r="I1659" s="425">
        <v>0</v>
      </c>
      <c r="J1659" s="425">
        <v>0</v>
      </c>
      <c r="K1659" s="425">
        <v>0</v>
      </c>
      <c r="L1659" s="425">
        <v>0</v>
      </c>
      <c r="M1659" s="425">
        <v>0</v>
      </c>
      <c r="N1659" s="425">
        <v>0</v>
      </c>
      <c r="O1659" s="425">
        <v>0</v>
      </c>
    </row>
    <row r="1660" spans="3:15" hidden="1" x14ac:dyDescent="0.3">
      <c r="C1660" t="s">
        <v>2295</v>
      </c>
      <c r="D1660" t="s">
        <v>2267</v>
      </c>
      <c r="E1660" t="s">
        <v>5522</v>
      </c>
      <c r="F1660" t="s">
        <v>5523</v>
      </c>
      <c r="G1660" s="425">
        <v>0</v>
      </c>
      <c r="H1660" s="425">
        <v>0</v>
      </c>
      <c r="I1660" s="425">
        <v>0</v>
      </c>
      <c r="J1660" s="425">
        <v>0</v>
      </c>
      <c r="K1660" s="425">
        <v>0</v>
      </c>
      <c r="L1660" s="425">
        <v>0</v>
      </c>
      <c r="M1660" s="425">
        <v>0</v>
      </c>
      <c r="N1660" s="425">
        <v>0</v>
      </c>
      <c r="O1660" s="425">
        <v>0</v>
      </c>
    </row>
    <row r="1661" spans="3:15" hidden="1" x14ac:dyDescent="0.3">
      <c r="C1661" t="s">
        <v>2295</v>
      </c>
      <c r="D1661" t="s">
        <v>2267</v>
      </c>
      <c r="E1661" t="s">
        <v>5524</v>
      </c>
      <c r="F1661" t="s">
        <v>5525</v>
      </c>
      <c r="G1661" s="425">
        <v>0</v>
      </c>
      <c r="H1661" s="425">
        <v>0</v>
      </c>
      <c r="I1661" s="425">
        <v>0</v>
      </c>
      <c r="J1661" s="425">
        <v>0</v>
      </c>
      <c r="K1661" s="425">
        <v>0</v>
      </c>
      <c r="L1661" s="425">
        <v>0</v>
      </c>
      <c r="M1661" s="425">
        <v>0</v>
      </c>
      <c r="N1661" s="425">
        <v>0</v>
      </c>
      <c r="O1661" s="425">
        <v>0</v>
      </c>
    </row>
    <row r="1662" spans="3:15" hidden="1" x14ac:dyDescent="0.3">
      <c r="C1662" t="s">
        <v>2295</v>
      </c>
      <c r="D1662" t="s">
        <v>2267</v>
      </c>
      <c r="E1662" t="s">
        <v>5526</v>
      </c>
      <c r="F1662" t="s">
        <v>5527</v>
      </c>
      <c r="G1662" s="425">
        <v>0</v>
      </c>
      <c r="H1662" s="425">
        <v>0</v>
      </c>
      <c r="I1662" s="425">
        <v>0</v>
      </c>
      <c r="J1662" s="425">
        <v>0</v>
      </c>
      <c r="K1662" s="425">
        <v>0</v>
      </c>
      <c r="L1662" s="425">
        <v>0</v>
      </c>
      <c r="M1662" s="425">
        <v>0</v>
      </c>
      <c r="N1662" s="425">
        <v>0</v>
      </c>
      <c r="O1662" s="425">
        <v>0</v>
      </c>
    </row>
    <row r="1663" spans="3:15" hidden="1" x14ac:dyDescent="0.3">
      <c r="C1663" t="s">
        <v>2295</v>
      </c>
      <c r="D1663" t="s">
        <v>2267</v>
      </c>
      <c r="E1663" t="s">
        <v>5528</v>
      </c>
      <c r="F1663" t="s">
        <v>5529</v>
      </c>
      <c r="G1663" s="425">
        <v>0</v>
      </c>
      <c r="H1663" s="425">
        <v>0</v>
      </c>
      <c r="I1663" s="425">
        <v>0</v>
      </c>
      <c r="J1663" s="425">
        <v>0</v>
      </c>
      <c r="K1663" s="425">
        <v>0</v>
      </c>
      <c r="L1663" s="425">
        <v>0</v>
      </c>
      <c r="M1663" s="425">
        <v>0</v>
      </c>
      <c r="N1663" s="425">
        <v>0</v>
      </c>
      <c r="O1663" s="425">
        <v>0</v>
      </c>
    </row>
    <row r="1664" spans="3:15" hidden="1" x14ac:dyDescent="0.3">
      <c r="C1664" t="s">
        <v>2295</v>
      </c>
      <c r="D1664" t="s">
        <v>2267</v>
      </c>
      <c r="E1664" t="s">
        <v>5530</v>
      </c>
      <c r="F1664" t="s">
        <v>5531</v>
      </c>
      <c r="G1664" s="425">
        <v>0</v>
      </c>
      <c r="H1664" s="425">
        <v>0</v>
      </c>
      <c r="I1664" s="425">
        <v>0</v>
      </c>
      <c r="J1664" s="425">
        <v>0</v>
      </c>
      <c r="K1664" s="425">
        <v>0</v>
      </c>
      <c r="L1664" s="425">
        <v>0</v>
      </c>
      <c r="M1664" s="425">
        <v>0</v>
      </c>
      <c r="N1664" s="425">
        <v>0</v>
      </c>
      <c r="O1664" s="425">
        <v>0</v>
      </c>
    </row>
    <row r="1665" spans="3:15" hidden="1" x14ac:dyDescent="0.3">
      <c r="C1665" t="s">
        <v>2295</v>
      </c>
      <c r="D1665" t="s">
        <v>2267</v>
      </c>
      <c r="E1665" t="s">
        <v>5532</v>
      </c>
      <c r="F1665" t="s">
        <v>5533</v>
      </c>
      <c r="G1665" s="425">
        <v>2220000</v>
      </c>
      <c r="H1665" s="425">
        <v>0</v>
      </c>
      <c r="I1665" s="425">
        <v>2220000</v>
      </c>
      <c r="J1665" s="425">
        <v>0</v>
      </c>
      <c r="K1665" s="425">
        <v>0</v>
      </c>
      <c r="L1665" s="425">
        <v>0</v>
      </c>
      <c r="M1665" s="425">
        <v>0</v>
      </c>
      <c r="N1665" s="425">
        <v>0</v>
      </c>
      <c r="O1665" s="425">
        <v>0</v>
      </c>
    </row>
    <row r="1666" spans="3:15" hidden="1" x14ac:dyDescent="0.3">
      <c r="C1666" t="s">
        <v>2295</v>
      </c>
      <c r="D1666" t="s">
        <v>2267</v>
      </c>
      <c r="E1666" t="s">
        <v>5534</v>
      </c>
      <c r="F1666" t="s">
        <v>5535</v>
      </c>
      <c r="G1666" s="425">
        <v>0</v>
      </c>
      <c r="H1666" s="425">
        <v>0</v>
      </c>
      <c r="I1666" s="425">
        <v>0</v>
      </c>
      <c r="J1666" s="425">
        <v>0</v>
      </c>
      <c r="K1666" s="425">
        <v>0</v>
      </c>
      <c r="L1666" s="425">
        <v>0</v>
      </c>
      <c r="M1666" s="425">
        <v>0</v>
      </c>
      <c r="N1666" s="425">
        <v>0</v>
      </c>
      <c r="O1666" s="425">
        <v>0</v>
      </c>
    </row>
    <row r="1667" spans="3:15" hidden="1" x14ac:dyDescent="0.3">
      <c r="C1667" t="s">
        <v>2295</v>
      </c>
      <c r="D1667" t="s">
        <v>2267</v>
      </c>
      <c r="E1667" t="s">
        <v>5536</v>
      </c>
      <c r="F1667" t="s">
        <v>5537</v>
      </c>
      <c r="G1667" s="425">
        <v>0</v>
      </c>
      <c r="H1667" s="425">
        <v>0</v>
      </c>
      <c r="I1667" s="425">
        <v>0</v>
      </c>
      <c r="J1667" s="425">
        <v>0</v>
      </c>
      <c r="K1667" s="425">
        <v>0</v>
      </c>
      <c r="L1667" s="425">
        <v>0</v>
      </c>
      <c r="M1667" s="425">
        <v>0</v>
      </c>
      <c r="N1667" s="425">
        <v>0</v>
      </c>
      <c r="O1667" s="425">
        <v>0</v>
      </c>
    </row>
    <row r="1668" spans="3:15" hidden="1" x14ac:dyDescent="0.3">
      <c r="C1668" t="s">
        <v>2295</v>
      </c>
      <c r="D1668" t="s">
        <v>2267</v>
      </c>
      <c r="E1668" t="s">
        <v>5538</v>
      </c>
      <c r="F1668" t="s">
        <v>5539</v>
      </c>
      <c r="G1668" s="425">
        <v>0</v>
      </c>
      <c r="H1668" s="425">
        <v>0</v>
      </c>
      <c r="I1668" s="425">
        <v>0</v>
      </c>
      <c r="J1668" s="425">
        <v>0</v>
      </c>
      <c r="K1668" s="425">
        <v>0</v>
      </c>
      <c r="L1668" s="425">
        <v>0</v>
      </c>
      <c r="M1668" s="425">
        <v>0</v>
      </c>
      <c r="N1668" s="425">
        <v>0</v>
      </c>
      <c r="O1668" s="425">
        <v>0</v>
      </c>
    </row>
    <row r="1669" spans="3:15" hidden="1" x14ac:dyDescent="0.3">
      <c r="C1669" t="s">
        <v>2295</v>
      </c>
      <c r="D1669" t="s">
        <v>2267</v>
      </c>
      <c r="E1669" t="s">
        <v>5540</v>
      </c>
      <c r="F1669" t="s">
        <v>5541</v>
      </c>
      <c r="G1669" s="425">
        <v>0</v>
      </c>
      <c r="H1669" s="425">
        <v>0</v>
      </c>
      <c r="I1669" s="425">
        <v>0</v>
      </c>
      <c r="J1669" s="425">
        <v>0</v>
      </c>
      <c r="K1669" s="425">
        <v>0</v>
      </c>
      <c r="L1669" s="425">
        <v>0</v>
      </c>
      <c r="M1669" s="425">
        <v>0</v>
      </c>
      <c r="N1669" s="425">
        <v>0</v>
      </c>
      <c r="O1669" s="425">
        <v>0</v>
      </c>
    </row>
    <row r="1670" spans="3:15" hidden="1" x14ac:dyDescent="0.3">
      <c r="C1670" t="s">
        <v>2295</v>
      </c>
      <c r="D1670" t="s">
        <v>2267</v>
      </c>
      <c r="E1670" t="s">
        <v>5542</v>
      </c>
      <c r="F1670" t="s">
        <v>5543</v>
      </c>
      <c r="G1670" s="425">
        <v>0</v>
      </c>
      <c r="H1670" s="425">
        <v>0</v>
      </c>
      <c r="I1670" s="425">
        <v>0</v>
      </c>
      <c r="J1670" s="425">
        <v>0</v>
      </c>
      <c r="K1670" s="425">
        <v>0</v>
      </c>
      <c r="L1670" s="425">
        <v>0</v>
      </c>
      <c r="M1670" s="425">
        <v>0</v>
      </c>
      <c r="N1670" s="425">
        <v>0</v>
      </c>
      <c r="O1670" s="425">
        <v>0</v>
      </c>
    </row>
    <row r="1671" spans="3:15" hidden="1" x14ac:dyDescent="0.3">
      <c r="C1671" t="s">
        <v>2295</v>
      </c>
      <c r="D1671" t="s">
        <v>2267</v>
      </c>
      <c r="E1671" t="s">
        <v>5544</v>
      </c>
      <c r="F1671" t="s">
        <v>5545</v>
      </c>
      <c r="G1671" s="425">
        <v>0</v>
      </c>
      <c r="H1671" s="425">
        <v>0</v>
      </c>
      <c r="I1671" s="425">
        <v>0</v>
      </c>
      <c r="J1671" s="425">
        <v>0</v>
      </c>
      <c r="K1671" s="425">
        <v>0</v>
      </c>
      <c r="L1671" s="425">
        <v>0</v>
      </c>
      <c r="M1671" s="425">
        <v>0</v>
      </c>
      <c r="N1671" s="425">
        <v>0</v>
      </c>
      <c r="O1671" s="425">
        <v>0</v>
      </c>
    </row>
    <row r="1672" spans="3:15" hidden="1" x14ac:dyDescent="0.3">
      <c r="C1672" t="s">
        <v>2295</v>
      </c>
      <c r="D1672" t="s">
        <v>2267</v>
      </c>
      <c r="E1672" t="s">
        <v>5546</v>
      </c>
      <c r="F1672" t="s">
        <v>5547</v>
      </c>
      <c r="G1672" s="425">
        <v>0</v>
      </c>
      <c r="H1672" s="425">
        <v>0</v>
      </c>
      <c r="I1672" s="425">
        <v>0</v>
      </c>
      <c r="J1672" s="425">
        <v>0</v>
      </c>
      <c r="K1672" s="425">
        <v>0</v>
      </c>
      <c r="L1672" s="425">
        <v>0</v>
      </c>
      <c r="M1672" s="425">
        <v>0</v>
      </c>
      <c r="N1672" s="425">
        <v>0</v>
      </c>
      <c r="O1672" s="425">
        <v>0</v>
      </c>
    </row>
    <row r="1673" spans="3:15" hidden="1" x14ac:dyDescent="0.3">
      <c r="C1673" t="s">
        <v>2295</v>
      </c>
      <c r="D1673" t="s">
        <v>2267</v>
      </c>
      <c r="E1673" t="s">
        <v>5548</v>
      </c>
      <c r="F1673" t="s">
        <v>5549</v>
      </c>
      <c r="G1673" s="425">
        <v>0</v>
      </c>
      <c r="H1673" s="425">
        <v>0</v>
      </c>
      <c r="I1673" s="425">
        <v>0</v>
      </c>
      <c r="J1673" s="425">
        <v>0</v>
      </c>
      <c r="K1673" s="425">
        <v>0</v>
      </c>
      <c r="L1673" s="425">
        <v>0</v>
      </c>
      <c r="M1673" s="425">
        <v>0</v>
      </c>
      <c r="N1673" s="425">
        <v>0</v>
      </c>
      <c r="O1673" s="425">
        <v>0</v>
      </c>
    </row>
    <row r="1674" spans="3:15" hidden="1" x14ac:dyDescent="0.3">
      <c r="C1674" t="s">
        <v>2295</v>
      </c>
      <c r="D1674" t="s">
        <v>2267</v>
      </c>
      <c r="E1674" t="s">
        <v>5550</v>
      </c>
      <c r="F1674" t="s">
        <v>5551</v>
      </c>
      <c r="G1674" s="425">
        <v>0</v>
      </c>
      <c r="H1674" s="425">
        <v>0</v>
      </c>
      <c r="I1674" s="425">
        <v>0</v>
      </c>
      <c r="J1674" s="425">
        <v>0</v>
      </c>
      <c r="K1674" s="425">
        <v>0</v>
      </c>
      <c r="L1674" s="425">
        <v>0</v>
      </c>
      <c r="M1674" s="425">
        <v>0</v>
      </c>
      <c r="N1674" s="425">
        <v>0</v>
      </c>
      <c r="O1674" s="425">
        <v>0</v>
      </c>
    </row>
    <row r="1675" spans="3:15" hidden="1" x14ac:dyDescent="0.3">
      <c r="C1675" t="s">
        <v>2295</v>
      </c>
      <c r="D1675" t="s">
        <v>2267</v>
      </c>
      <c r="E1675" t="s">
        <v>5552</v>
      </c>
      <c r="F1675" t="s">
        <v>5553</v>
      </c>
      <c r="G1675" s="425">
        <v>0</v>
      </c>
      <c r="H1675" s="425">
        <v>0</v>
      </c>
      <c r="I1675" s="425">
        <v>0</v>
      </c>
      <c r="J1675" s="425">
        <v>0</v>
      </c>
      <c r="K1675" s="425">
        <v>0</v>
      </c>
      <c r="L1675" s="425">
        <v>0</v>
      </c>
      <c r="M1675" s="425">
        <v>0</v>
      </c>
      <c r="N1675" s="425">
        <v>0</v>
      </c>
      <c r="O1675" s="425">
        <v>0</v>
      </c>
    </row>
    <row r="1676" spans="3:15" hidden="1" x14ac:dyDescent="0.3">
      <c r="C1676" t="s">
        <v>2295</v>
      </c>
      <c r="D1676" t="s">
        <v>2267</v>
      </c>
      <c r="E1676" t="s">
        <v>4496</v>
      </c>
      <c r="F1676" t="s">
        <v>5554</v>
      </c>
      <c r="G1676" s="425">
        <v>0</v>
      </c>
      <c r="H1676" s="425">
        <v>0</v>
      </c>
      <c r="I1676" s="425">
        <v>0</v>
      </c>
      <c r="J1676" s="425">
        <v>0</v>
      </c>
      <c r="K1676" s="425">
        <v>0</v>
      </c>
      <c r="L1676" s="425">
        <v>0</v>
      </c>
      <c r="M1676" s="425">
        <v>0</v>
      </c>
      <c r="N1676" s="425">
        <v>0</v>
      </c>
      <c r="O1676" s="425">
        <v>0</v>
      </c>
    </row>
    <row r="1677" spans="3:15" hidden="1" x14ac:dyDescent="0.3">
      <c r="C1677" t="s">
        <v>2295</v>
      </c>
      <c r="D1677" t="s">
        <v>2267</v>
      </c>
      <c r="E1677" t="s">
        <v>5555</v>
      </c>
      <c r="F1677" t="s">
        <v>5556</v>
      </c>
      <c r="G1677" s="425">
        <v>0</v>
      </c>
      <c r="H1677" s="425">
        <v>0</v>
      </c>
      <c r="I1677" s="425">
        <v>0</v>
      </c>
      <c r="J1677" s="425">
        <v>0</v>
      </c>
      <c r="K1677" s="425">
        <v>0</v>
      </c>
      <c r="L1677" s="425">
        <v>0</v>
      </c>
      <c r="M1677" s="425">
        <v>0</v>
      </c>
      <c r="N1677" s="425">
        <v>0</v>
      </c>
      <c r="O1677" s="425">
        <v>0</v>
      </c>
    </row>
    <row r="1678" spans="3:15" hidden="1" x14ac:dyDescent="0.3">
      <c r="C1678" t="s">
        <v>2295</v>
      </c>
      <c r="D1678" t="s">
        <v>2267</v>
      </c>
      <c r="E1678" t="s">
        <v>5557</v>
      </c>
      <c r="F1678" t="s">
        <v>5558</v>
      </c>
      <c r="G1678" s="425">
        <v>0</v>
      </c>
      <c r="H1678" s="425">
        <v>0</v>
      </c>
      <c r="I1678" s="425">
        <v>0</v>
      </c>
      <c r="J1678" s="425">
        <v>0</v>
      </c>
      <c r="K1678" s="425">
        <v>0</v>
      </c>
      <c r="L1678" s="425">
        <v>0</v>
      </c>
      <c r="M1678" s="425">
        <v>0</v>
      </c>
      <c r="N1678" s="425">
        <v>0</v>
      </c>
      <c r="O1678" s="425">
        <v>0</v>
      </c>
    </row>
    <row r="1679" spans="3:15" hidden="1" x14ac:dyDescent="0.3">
      <c r="C1679" t="s">
        <v>2295</v>
      </c>
      <c r="D1679" t="s">
        <v>2267</v>
      </c>
      <c r="E1679" t="s">
        <v>5559</v>
      </c>
      <c r="F1679" t="s">
        <v>5560</v>
      </c>
      <c r="G1679" s="425">
        <v>0</v>
      </c>
      <c r="H1679" s="425">
        <v>0</v>
      </c>
      <c r="I1679" s="425">
        <v>0</v>
      </c>
      <c r="J1679" s="425">
        <v>0</v>
      </c>
      <c r="K1679" s="425">
        <v>0</v>
      </c>
      <c r="L1679" s="425">
        <v>0</v>
      </c>
      <c r="M1679" s="425">
        <v>0</v>
      </c>
      <c r="N1679" s="425">
        <v>0</v>
      </c>
      <c r="O1679" s="425">
        <v>0</v>
      </c>
    </row>
    <row r="1680" spans="3:15" hidden="1" x14ac:dyDescent="0.3">
      <c r="C1680" t="s">
        <v>2295</v>
      </c>
      <c r="D1680" t="s">
        <v>2267</v>
      </c>
      <c r="E1680" t="s">
        <v>5561</v>
      </c>
      <c r="F1680" t="s">
        <v>5562</v>
      </c>
      <c r="G1680" s="425">
        <v>0</v>
      </c>
      <c r="H1680" s="425">
        <v>0</v>
      </c>
      <c r="I1680" s="425">
        <v>0</v>
      </c>
      <c r="J1680" s="425">
        <v>0</v>
      </c>
      <c r="K1680" s="425">
        <v>0</v>
      </c>
      <c r="L1680" s="425">
        <v>0</v>
      </c>
      <c r="M1680" s="425">
        <v>0</v>
      </c>
      <c r="N1680" s="425">
        <v>0</v>
      </c>
      <c r="O1680" s="425">
        <v>0</v>
      </c>
    </row>
    <row r="1681" spans="3:15" hidden="1" x14ac:dyDescent="0.3">
      <c r="C1681" t="s">
        <v>2295</v>
      </c>
      <c r="D1681" t="s">
        <v>2267</v>
      </c>
      <c r="E1681" t="s">
        <v>5563</v>
      </c>
      <c r="F1681" t="s">
        <v>5564</v>
      </c>
      <c r="G1681" s="425">
        <v>0</v>
      </c>
      <c r="H1681" s="425">
        <v>0</v>
      </c>
      <c r="I1681" s="425">
        <v>0</v>
      </c>
      <c r="J1681" s="425">
        <v>0</v>
      </c>
      <c r="K1681" s="425">
        <v>0</v>
      </c>
      <c r="L1681" s="425">
        <v>0</v>
      </c>
      <c r="M1681" s="425">
        <v>0</v>
      </c>
      <c r="N1681" s="425">
        <v>0</v>
      </c>
      <c r="O1681" s="425">
        <v>0</v>
      </c>
    </row>
    <row r="1682" spans="3:15" hidden="1" x14ac:dyDescent="0.3">
      <c r="C1682" t="s">
        <v>2295</v>
      </c>
      <c r="D1682" t="s">
        <v>2267</v>
      </c>
      <c r="E1682" t="s">
        <v>5565</v>
      </c>
      <c r="F1682" t="s">
        <v>5566</v>
      </c>
      <c r="G1682" s="425">
        <v>0</v>
      </c>
      <c r="H1682" s="425">
        <v>0</v>
      </c>
      <c r="I1682" s="425">
        <v>0</v>
      </c>
      <c r="J1682" s="425">
        <v>0</v>
      </c>
      <c r="K1682" s="425">
        <v>0</v>
      </c>
      <c r="L1682" s="425">
        <v>0</v>
      </c>
      <c r="M1682" s="425">
        <v>0</v>
      </c>
      <c r="N1682" s="425">
        <v>0</v>
      </c>
      <c r="O1682" s="425">
        <v>0</v>
      </c>
    </row>
    <row r="1683" spans="3:15" hidden="1" x14ac:dyDescent="0.3">
      <c r="C1683" t="s">
        <v>2295</v>
      </c>
      <c r="D1683" t="s">
        <v>2267</v>
      </c>
      <c r="E1683" t="s">
        <v>5567</v>
      </c>
      <c r="F1683" t="s">
        <v>5568</v>
      </c>
      <c r="G1683" s="425">
        <v>0</v>
      </c>
      <c r="H1683" s="425">
        <v>0</v>
      </c>
      <c r="I1683" s="425">
        <v>0</v>
      </c>
      <c r="J1683" s="425">
        <v>0</v>
      </c>
      <c r="K1683" s="425">
        <v>0</v>
      </c>
      <c r="L1683" s="425">
        <v>0</v>
      </c>
      <c r="M1683" s="425">
        <v>0</v>
      </c>
      <c r="N1683" s="425">
        <v>0</v>
      </c>
      <c r="O1683" s="425">
        <v>0</v>
      </c>
    </row>
    <row r="1684" spans="3:15" hidden="1" x14ac:dyDescent="0.3">
      <c r="C1684" t="s">
        <v>2295</v>
      </c>
      <c r="D1684" t="s">
        <v>2267</v>
      </c>
      <c r="E1684" t="s">
        <v>5569</v>
      </c>
      <c r="F1684" t="s">
        <v>5570</v>
      </c>
      <c r="G1684" s="425">
        <v>0</v>
      </c>
      <c r="H1684" s="425">
        <v>0</v>
      </c>
      <c r="I1684" s="425">
        <v>0</v>
      </c>
      <c r="J1684" s="425">
        <v>0</v>
      </c>
      <c r="K1684" s="425">
        <v>0</v>
      </c>
      <c r="L1684" s="425">
        <v>0</v>
      </c>
      <c r="M1684" s="425">
        <v>0</v>
      </c>
      <c r="N1684" s="425">
        <v>0</v>
      </c>
      <c r="O1684" s="425">
        <v>0</v>
      </c>
    </row>
    <row r="1685" spans="3:15" hidden="1" x14ac:dyDescent="0.3">
      <c r="C1685" t="s">
        <v>2295</v>
      </c>
      <c r="D1685" t="s">
        <v>2267</v>
      </c>
      <c r="E1685" t="s">
        <v>5571</v>
      </c>
      <c r="F1685" t="s">
        <v>5572</v>
      </c>
      <c r="G1685" s="425">
        <v>0</v>
      </c>
      <c r="H1685" s="425">
        <v>0</v>
      </c>
      <c r="I1685" s="425">
        <v>0</v>
      </c>
      <c r="J1685" s="425">
        <v>0</v>
      </c>
      <c r="K1685" s="425">
        <v>0</v>
      </c>
      <c r="L1685" s="425">
        <v>0</v>
      </c>
      <c r="M1685" s="425">
        <v>0</v>
      </c>
      <c r="N1685" s="425">
        <v>0</v>
      </c>
      <c r="O1685" s="425">
        <v>0</v>
      </c>
    </row>
    <row r="1686" spans="3:15" hidden="1" x14ac:dyDescent="0.3">
      <c r="C1686" t="s">
        <v>2295</v>
      </c>
      <c r="D1686" t="s">
        <v>2267</v>
      </c>
      <c r="E1686" t="s">
        <v>5573</v>
      </c>
      <c r="F1686" t="s">
        <v>5574</v>
      </c>
      <c r="G1686" s="425">
        <v>0</v>
      </c>
      <c r="H1686" s="425">
        <v>0</v>
      </c>
      <c r="I1686" s="425">
        <v>0</v>
      </c>
      <c r="J1686" s="425">
        <v>0</v>
      </c>
      <c r="K1686" s="425">
        <v>0</v>
      </c>
      <c r="L1686" s="425">
        <v>0</v>
      </c>
      <c r="M1686" s="425">
        <v>0</v>
      </c>
      <c r="N1686" s="425">
        <v>0</v>
      </c>
      <c r="O1686" s="425">
        <v>0</v>
      </c>
    </row>
    <row r="1687" spans="3:15" hidden="1" x14ac:dyDescent="0.3">
      <c r="C1687" t="s">
        <v>2295</v>
      </c>
      <c r="D1687" t="s">
        <v>2267</v>
      </c>
      <c r="E1687" t="s">
        <v>5575</v>
      </c>
      <c r="F1687" t="s">
        <v>5576</v>
      </c>
      <c r="G1687" s="425">
        <v>0</v>
      </c>
      <c r="H1687" s="425">
        <v>0</v>
      </c>
      <c r="I1687" s="425">
        <v>0</v>
      </c>
      <c r="J1687" s="425">
        <v>0</v>
      </c>
      <c r="K1687" s="425">
        <v>0</v>
      </c>
      <c r="L1687" s="425">
        <v>0</v>
      </c>
      <c r="M1687" s="425">
        <v>0</v>
      </c>
      <c r="N1687" s="425">
        <v>0</v>
      </c>
      <c r="O1687" s="425">
        <v>0</v>
      </c>
    </row>
    <row r="1688" spans="3:15" hidden="1" x14ac:dyDescent="0.3">
      <c r="C1688" t="s">
        <v>2295</v>
      </c>
      <c r="D1688" t="s">
        <v>2267</v>
      </c>
      <c r="E1688" t="s">
        <v>5577</v>
      </c>
      <c r="F1688" t="s">
        <v>5578</v>
      </c>
      <c r="G1688" s="425">
        <v>0</v>
      </c>
      <c r="H1688" s="425">
        <v>0</v>
      </c>
      <c r="I1688" s="425">
        <v>0</v>
      </c>
      <c r="J1688" s="425">
        <v>0</v>
      </c>
      <c r="K1688" s="425">
        <v>0</v>
      </c>
      <c r="L1688" s="425">
        <v>0</v>
      </c>
      <c r="M1688" s="425">
        <v>0</v>
      </c>
      <c r="N1688" s="425">
        <v>0</v>
      </c>
      <c r="O1688" s="425">
        <v>0</v>
      </c>
    </row>
    <row r="1689" spans="3:15" hidden="1" x14ac:dyDescent="0.3">
      <c r="C1689" t="s">
        <v>2295</v>
      </c>
      <c r="D1689" t="s">
        <v>2267</v>
      </c>
      <c r="E1689" t="s">
        <v>5579</v>
      </c>
      <c r="F1689" t="s">
        <v>5580</v>
      </c>
      <c r="G1689" s="425">
        <v>0</v>
      </c>
      <c r="H1689" s="425">
        <v>0</v>
      </c>
      <c r="I1689" s="425">
        <v>0</v>
      </c>
      <c r="J1689" s="425">
        <v>0</v>
      </c>
      <c r="K1689" s="425">
        <v>0</v>
      </c>
      <c r="L1689" s="425">
        <v>0</v>
      </c>
      <c r="M1689" s="425">
        <v>0</v>
      </c>
      <c r="N1689" s="425">
        <v>0</v>
      </c>
      <c r="O1689" s="425">
        <v>0</v>
      </c>
    </row>
    <row r="1690" spans="3:15" hidden="1" x14ac:dyDescent="0.3">
      <c r="C1690" t="s">
        <v>2295</v>
      </c>
      <c r="D1690" t="s">
        <v>2267</v>
      </c>
      <c r="E1690" t="s">
        <v>5581</v>
      </c>
      <c r="F1690" t="s">
        <v>5582</v>
      </c>
      <c r="G1690" s="425">
        <v>0</v>
      </c>
      <c r="H1690" s="425">
        <v>0</v>
      </c>
      <c r="I1690" s="425">
        <v>0</v>
      </c>
      <c r="J1690" s="425">
        <v>0</v>
      </c>
      <c r="K1690" s="425">
        <v>0</v>
      </c>
      <c r="L1690" s="425">
        <v>0</v>
      </c>
      <c r="M1690" s="425">
        <v>0</v>
      </c>
      <c r="N1690" s="425">
        <v>0</v>
      </c>
      <c r="O1690" s="425">
        <v>0</v>
      </c>
    </row>
    <row r="1691" spans="3:15" hidden="1" x14ac:dyDescent="0.3">
      <c r="C1691" t="s">
        <v>2295</v>
      </c>
      <c r="D1691" t="s">
        <v>2267</v>
      </c>
      <c r="E1691" t="s">
        <v>5583</v>
      </c>
      <c r="F1691" t="s">
        <v>5584</v>
      </c>
      <c r="G1691" s="425">
        <v>0</v>
      </c>
      <c r="H1691" s="425">
        <v>0</v>
      </c>
      <c r="I1691" s="425">
        <v>0</v>
      </c>
      <c r="J1691" s="425">
        <v>0</v>
      </c>
      <c r="K1691" s="425">
        <v>0</v>
      </c>
      <c r="L1691" s="425">
        <v>0</v>
      </c>
      <c r="M1691" s="425">
        <v>0</v>
      </c>
      <c r="N1691" s="425">
        <v>0</v>
      </c>
      <c r="O1691" s="425">
        <v>0</v>
      </c>
    </row>
    <row r="1692" spans="3:15" hidden="1" x14ac:dyDescent="0.3">
      <c r="C1692" t="s">
        <v>2295</v>
      </c>
      <c r="D1692" t="s">
        <v>2267</v>
      </c>
      <c r="E1692" t="s">
        <v>5585</v>
      </c>
      <c r="F1692" t="s">
        <v>5586</v>
      </c>
      <c r="G1692" s="425">
        <v>0</v>
      </c>
      <c r="H1692" s="425">
        <v>0</v>
      </c>
      <c r="I1692" s="425">
        <v>0</v>
      </c>
      <c r="J1692" s="425">
        <v>0</v>
      </c>
      <c r="K1692" s="425">
        <v>0</v>
      </c>
      <c r="L1692" s="425">
        <v>0</v>
      </c>
      <c r="M1692" s="425">
        <v>0</v>
      </c>
      <c r="N1692" s="425">
        <v>0</v>
      </c>
      <c r="O1692" s="425">
        <v>0</v>
      </c>
    </row>
    <row r="1693" spans="3:15" hidden="1" x14ac:dyDescent="0.3">
      <c r="C1693" t="s">
        <v>2295</v>
      </c>
      <c r="D1693" t="s">
        <v>2267</v>
      </c>
      <c r="E1693" t="s">
        <v>5587</v>
      </c>
      <c r="F1693" t="s">
        <v>5588</v>
      </c>
      <c r="G1693" s="425">
        <v>0</v>
      </c>
      <c r="H1693" s="425">
        <v>0</v>
      </c>
      <c r="I1693" s="425">
        <v>0</v>
      </c>
      <c r="J1693" s="425">
        <v>0</v>
      </c>
      <c r="K1693" s="425">
        <v>0</v>
      </c>
      <c r="L1693" s="425">
        <v>0</v>
      </c>
      <c r="M1693" s="425">
        <v>0</v>
      </c>
      <c r="N1693" s="425">
        <v>0</v>
      </c>
      <c r="O1693" s="425">
        <v>0</v>
      </c>
    </row>
    <row r="1694" spans="3:15" hidden="1" x14ac:dyDescent="0.3">
      <c r="C1694" t="s">
        <v>2295</v>
      </c>
      <c r="D1694" t="s">
        <v>2267</v>
      </c>
      <c r="E1694" t="s">
        <v>5589</v>
      </c>
      <c r="F1694" t="s">
        <v>5590</v>
      </c>
      <c r="G1694" s="425">
        <v>0</v>
      </c>
      <c r="H1694" s="425">
        <v>0</v>
      </c>
      <c r="I1694" s="425">
        <v>0</v>
      </c>
      <c r="J1694" s="425">
        <v>0</v>
      </c>
      <c r="K1694" s="425">
        <v>0</v>
      </c>
      <c r="L1694" s="425">
        <v>0</v>
      </c>
      <c r="M1694" s="425">
        <v>0</v>
      </c>
      <c r="N1694" s="425">
        <v>0</v>
      </c>
      <c r="O1694" s="425">
        <v>0</v>
      </c>
    </row>
    <row r="1695" spans="3:15" hidden="1" x14ac:dyDescent="0.3">
      <c r="C1695" t="s">
        <v>2295</v>
      </c>
      <c r="D1695" t="s">
        <v>2267</v>
      </c>
      <c r="E1695" t="s">
        <v>5591</v>
      </c>
      <c r="F1695" t="s">
        <v>5592</v>
      </c>
      <c r="G1695" s="425">
        <v>0</v>
      </c>
      <c r="H1695" s="425">
        <v>0</v>
      </c>
      <c r="I1695" s="425">
        <v>0</v>
      </c>
      <c r="J1695" s="425">
        <v>0</v>
      </c>
      <c r="K1695" s="425">
        <v>0</v>
      </c>
      <c r="L1695" s="425">
        <v>0</v>
      </c>
      <c r="M1695" s="425">
        <v>0</v>
      </c>
      <c r="N1695" s="425">
        <v>0</v>
      </c>
      <c r="O1695" s="425">
        <v>0</v>
      </c>
    </row>
    <row r="1696" spans="3:15" hidden="1" x14ac:dyDescent="0.3">
      <c r="C1696" t="s">
        <v>2295</v>
      </c>
      <c r="D1696" t="s">
        <v>2267</v>
      </c>
      <c r="E1696" t="s">
        <v>5593</v>
      </c>
      <c r="F1696" t="s">
        <v>5594</v>
      </c>
      <c r="G1696" s="425">
        <v>0</v>
      </c>
      <c r="H1696" s="425">
        <v>0</v>
      </c>
      <c r="I1696" s="425">
        <v>0</v>
      </c>
      <c r="J1696" s="425">
        <v>0</v>
      </c>
      <c r="K1696" s="425">
        <v>0</v>
      </c>
      <c r="L1696" s="425">
        <v>0</v>
      </c>
      <c r="M1696" s="425">
        <v>0</v>
      </c>
      <c r="N1696" s="425">
        <v>0</v>
      </c>
      <c r="O1696" s="425">
        <v>0</v>
      </c>
    </row>
    <row r="1697" spans="3:15" hidden="1" x14ac:dyDescent="0.3">
      <c r="C1697" t="s">
        <v>2295</v>
      </c>
      <c r="D1697" t="s">
        <v>2267</v>
      </c>
      <c r="E1697" t="s">
        <v>5595</v>
      </c>
      <c r="F1697" t="s">
        <v>5596</v>
      </c>
      <c r="G1697" s="425">
        <v>0</v>
      </c>
      <c r="H1697" s="425">
        <v>0</v>
      </c>
      <c r="I1697" s="425">
        <v>0</v>
      </c>
      <c r="J1697" s="425">
        <v>0</v>
      </c>
      <c r="K1697" s="425">
        <v>0</v>
      </c>
      <c r="L1697" s="425">
        <v>0</v>
      </c>
      <c r="M1697" s="425">
        <v>0</v>
      </c>
      <c r="N1697" s="425">
        <v>0</v>
      </c>
      <c r="O1697" s="425">
        <v>0</v>
      </c>
    </row>
    <row r="1698" spans="3:15" hidden="1" x14ac:dyDescent="0.3">
      <c r="C1698" t="s">
        <v>2295</v>
      </c>
      <c r="D1698" t="s">
        <v>2267</v>
      </c>
      <c r="E1698" t="s">
        <v>5597</v>
      </c>
      <c r="F1698" t="s">
        <v>5598</v>
      </c>
      <c r="G1698" s="425">
        <v>0</v>
      </c>
      <c r="H1698" s="425">
        <v>0</v>
      </c>
      <c r="I1698" s="425">
        <v>0</v>
      </c>
      <c r="J1698" s="425">
        <v>0</v>
      </c>
      <c r="K1698" s="425">
        <v>0</v>
      </c>
      <c r="L1698" s="425">
        <v>0</v>
      </c>
      <c r="M1698" s="425">
        <v>0</v>
      </c>
      <c r="N1698" s="425">
        <v>0</v>
      </c>
      <c r="O1698" s="425">
        <v>0</v>
      </c>
    </row>
    <row r="1699" spans="3:15" hidden="1" x14ac:dyDescent="0.3">
      <c r="C1699" t="s">
        <v>2295</v>
      </c>
      <c r="D1699" t="s">
        <v>2267</v>
      </c>
      <c r="E1699" t="s">
        <v>5599</v>
      </c>
      <c r="F1699" t="s">
        <v>5600</v>
      </c>
      <c r="G1699" s="425">
        <v>0</v>
      </c>
      <c r="H1699" s="425">
        <v>0</v>
      </c>
      <c r="I1699" s="425">
        <v>0</v>
      </c>
      <c r="J1699" s="425">
        <v>0</v>
      </c>
      <c r="K1699" s="425">
        <v>0</v>
      </c>
      <c r="L1699" s="425">
        <v>0</v>
      </c>
      <c r="M1699" s="425">
        <v>0</v>
      </c>
      <c r="N1699" s="425">
        <v>0</v>
      </c>
      <c r="O1699" s="425">
        <v>0</v>
      </c>
    </row>
    <row r="1700" spans="3:15" hidden="1" x14ac:dyDescent="0.3">
      <c r="C1700" t="s">
        <v>2295</v>
      </c>
      <c r="D1700" t="s">
        <v>2267</v>
      </c>
      <c r="E1700" t="s">
        <v>5601</v>
      </c>
      <c r="F1700" t="s">
        <v>5602</v>
      </c>
      <c r="G1700" s="425">
        <v>0</v>
      </c>
      <c r="H1700" s="425">
        <v>0</v>
      </c>
      <c r="I1700" s="425">
        <v>0</v>
      </c>
      <c r="J1700" s="425">
        <v>0</v>
      </c>
      <c r="K1700" s="425">
        <v>0</v>
      </c>
      <c r="L1700" s="425">
        <v>0</v>
      </c>
      <c r="M1700" s="425">
        <v>0</v>
      </c>
      <c r="N1700" s="425">
        <v>0</v>
      </c>
      <c r="O1700" s="425">
        <v>0</v>
      </c>
    </row>
    <row r="1701" spans="3:15" hidden="1" x14ac:dyDescent="0.3">
      <c r="C1701" t="s">
        <v>2295</v>
      </c>
      <c r="D1701" t="s">
        <v>2267</v>
      </c>
      <c r="E1701" t="s">
        <v>5603</v>
      </c>
      <c r="F1701" t="s">
        <v>5604</v>
      </c>
      <c r="G1701" s="425">
        <v>0</v>
      </c>
      <c r="H1701" s="425">
        <v>0</v>
      </c>
      <c r="I1701" s="425">
        <v>0</v>
      </c>
      <c r="J1701" s="425">
        <v>0</v>
      </c>
      <c r="K1701" s="425">
        <v>0</v>
      </c>
      <c r="L1701" s="425">
        <v>0</v>
      </c>
      <c r="M1701" s="425">
        <v>0</v>
      </c>
      <c r="N1701" s="425">
        <v>0</v>
      </c>
      <c r="O1701" s="425">
        <v>0</v>
      </c>
    </row>
    <row r="1702" spans="3:15" hidden="1" x14ac:dyDescent="0.3">
      <c r="C1702" t="s">
        <v>2295</v>
      </c>
      <c r="D1702" t="s">
        <v>2267</v>
      </c>
      <c r="E1702" t="s">
        <v>5605</v>
      </c>
      <c r="F1702" t="s">
        <v>5606</v>
      </c>
      <c r="G1702" s="425">
        <v>0</v>
      </c>
      <c r="H1702" s="425">
        <v>0</v>
      </c>
      <c r="I1702" s="425">
        <v>0</v>
      </c>
      <c r="J1702" s="425">
        <v>0</v>
      </c>
      <c r="K1702" s="425">
        <v>0</v>
      </c>
      <c r="L1702" s="425">
        <v>0</v>
      </c>
      <c r="M1702" s="425">
        <v>0</v>
      </c>
      <c r="N1702" s="425">
        <v>0</v>
      </c>
      <c r="O1702" s="425">
        <v>0</v>
      </c>
    </row>
    <row r="1703" spans="3:15" hidden="1" x14ac:dyDescent="0.3">
      <c r="C1703" t="s">
        <v>2295</v>
      </c>
      <c r="D1703" t="s">
        <v>2267</v>
      </c>
      <c r="E1703" t="s">
        <v>5607</v>
      </c>
      <c r="F1703" t="s">
        <v>5608</v>
      </c>
      <c r="G1703" s="425">
        <v>0</v>
      </c>
      <c r="H1703" s="425">
        <v>0</v>
      </c>
      <c r="I1703" s="425">
        <v>0</v>
      </c>
      <c r="J1703" s="425">
        <v>0</v>
      </c>
      <c r="K1703" s="425">
        <v>0</v>
      </c>
      <c r="L1703" s="425">
        <v>0</v>
      </c>
      <c r="M1703" s="425">
        <v>0</v>
      </c>
      <c r="N1703" s="425">
        <v>0</v>
      </c>
      <c r="O1703" s="425">
        <v>0</v>
      </c>
    </row>
    <row r="1704" spans="3:15" hidden="1" x14ac:dyDescent="0.3">
      <c r="C1704" t="s">
        <v>2295</v>
      </c>
      <c r="D1704" t="s">
        <v>2267</v>
      </c>
      <c r="E1704" t="s">
        <v>4647</v>
      </c>
      <c r="F1704" t="s">
        <v>5609</v>
      </c>
      <c r="G1704" s="425">
        <v>0</v>
      </c>
      <c r="H1704" s="425">
        <v>0</v>
      </c>
      <c r="I1704" s="425">
        <v>0</v>
      </c>
      <c r="J1704" s="425">
        <v>0</v>
      </c>
      <c r="K1704" s="425">
        <v>0</v>
      </c>
      <c r="L1704" s="425">
        <v>0</v>
      </c>
      <c r="M1704" s="425">
        <v>0</v>
      </c>
      <c r="N1704" s="425">
        <v>0</v>
      </c>
      <c r="O1704" s="425">
        <v>0</v>
      </c>
    </row>
    <row r="1705" spans="3:15" hidden="1" x14ac:dyDescent="0.3">
      <c r="C1705" t="s">
        <v>2295</v>
      </c>
      <c r="D1705" t="s">
        <v>2267</v>
      </c>
      <c r="E1705" t="s">
        <v>5610</v>
      </c>
      <c r="F1705" t="s">
        <v>5611</v>
      </c>
      <c r="G1705" s="425">
        <v>0</v>
      </c>
      <c r="H1705" s="425">
        <v>0</v>
      </c>
      <c r="I1705" s="425">
        <v>0</v>
      </c>
      <c r="J1705" s="425">
        <v>0</v>
      </c>
      <c r="K1705" s="425">
        <v>0</v>
      </c>
      <c r="L1705" s="425">
        <v>0</v>
      </c>
      <c r="M1705" s="425">
        <v>0</v>
      </c>
      <c r="N1705" s="425">
        <v>0</v>
      </c>
      <c r="O1705" s="425">
        <v>0</v>
      </c>
    </row>
    <row r="1706" spans="3:15" hidden="1" x14ac:dyDescent="0.3">
      <c r="C1706" t="s">
        <v>2295</v>
      </c>
      <c r="D1706" t="s">
        <v>2267</v>
      </c>
      <c r="E1706" t="s">
        <v>5612</v>
      </c>
      <c r="F1706" t="s">
        <v>5613</v>
      </c>
      <c r="G1706" s="425">
        <v>0</v>
      </c>
      <c r="H1706" s="425">
        <v>0</v>
      </c>
      <c r="I1706" s="425">
        <v>0</v>
      </c>
      <c r="J1706" s="425">
        <v>0</v>
      </c>
      <c r="K1706" s="425">
        <v>0</v>
      </c>
      <c r="L1706" s="425">
        <v>0</v>
      </c>
      <c r="M1706" s="425">
        <v>0</v>
      </c>
      <c r="N1706" s="425">
        <v>0</v>
      </c>
      <c r="O1706" s="425">
        <v>0</v>
      </c>
    </row>
    <row r="1707" spans="3:15" hidden="1" x14ac:dyDescent="0.3">
      <c r="C1707" t="s">
        <v>2295</v>
      </c>
      <c r="D1707" t="s">
        <v>2267</v>
      </c>
      <c r="E1707" t="s">
        <v>5614</v>
      </c>
      <c r="F1707" t="s">
        <v>5615</v>
      </c>
      <c r="G1707" s="425">
        <v>0</v>
      </c>
      <c r="H1707" s="425">
        <v>0</v>
      </c>
      <c r="I1707" s="425">
        <v>0</v>
      </c>
      <c r="J1707" s="425">
        <v>0</v>
      </c>
      <c r="K1707" s="425">
        <v>0</v>
      </c>
      <c r="L1707" s="425">
        <v>0</v>
      </c>
      <c r="M1707" s="425">
        <v>0</v>
      </c>
      <c r="N1707" s="425">
        <v>0</v>
      </c>
      <c r="O1707" s="425">
        <v>0</v>
      </c>
    </row>
    <row r="1708" spans="3:15" hidden="1" x14ac:dyDescent="0.3">
      <c r="C1708" t="s">
        <v>2295</v>
      </c>
      <c r="D1708" t="s">
        <v>2267</v>
      </c>
      <c r="E1708" t="s">
        <v>5616</v>
      </c>
      <c r="F1708" t="s">
        <v>5617</v>
      </c>
      <c r="G1708" s="425">
        <v>0</v>
      </c>
      <c r="H1708" s="425">
        <v>0</v>
      </c>
      <c r="I1708" s="425">
        <v>0</v>
      </c>
      <c r="J1708" s="425">
        <v>0</v>
      </c>
      <c r="K1708" s="425">
        <v>0</v>
      </c>
      <c r="L1708" s="425">
        <v>0</v>
      </c>
      <c r="M1708" s="425">
        <v>0</v>
      </c>
      <c r="N1708" s="425">
        <v>0</v>
      </c>
      <c r="O1708" s="425">
        <v>0</v>
      </c>
    </row>
    <row r="1709" spans="3:15" hidden="1" x14ac:dyDescent="0.3">
      <c r="C1709" t="s">
        <v>2295</v>
      </c>
      <c r="D1709" t="s">
        <v>2267</v>
      </c>
      <c r="E1709" t="s">
        <v>5618</v>
      </c>
      <c r="F1709" t="s">
        <v>5619</v>
      </c>
      <c r="G1709" s="425">
        <v>0</v>
      </c>
      <c r="H1709" s="425">
        <v>0</v>
      </c>
      <c r="I1709" s="425">
        <v>0</v>
      </c>
      <c r="J1709" s="425">
        <v>0</v>
      </c>
      <c r="K1709" s="425">
        <v>0</v>
      </c>
      <c r="L1709" s="425">
        <v>0</v>
      </c>
      <c r="M1709" s="425">
        <v>0</v>
      </c>
      <c r="N1709" s="425">
        <v>0</v>
      </c>
      <c r="O1709" s="425">
        <v>0</v>
      </c>
    </row>
    <row r="1710" spans="3:15" hidden="1" x14ac:dyDescent="0.3">
      <c r="C1710" t="s">
        <v>2295</v>
      </c>
      <c r="D1710" t="s">
        <v>2267</v>
      </c>
      <c r="E1710" t="s">
        <v>5620</v>
      </c>
      <c r="F1710" t="s">
        <v>5621</v>
      </c>
      <c r="G1710" s="425">
        <v>0</v>
      </c>
      <c r="H1710" s="425">
        <v>0</v>
      </c>
      <c r="I1710" s="425">
        <v>0</v>
      </c>
      <c r="J1710" s="425">
        <v>0</v>
      </c>
      <c r="K1710" s="425">
        <v>0</v>
      </c>
      <c r="L1710" s="425">
        <v>0</v>
      </c>
      <c r="M1710" s="425">
        <v>0</v>
      </c>
      <c r="N1710" s="425">
        <v>0</v>
      </c>
      <c r="O1710" s="425">
        <v>0</v>
      </c>
    </row>
    <row r="1711" spans="3:15" hidden="1" x14ac:dyDescent="0.3">
      <c r="C1711" t="s">
        <v>2295</v>
      </c>
      <c r="D1711" t="s">
        <v>2267</v>
      </c>
      <c r="E1711" t="s">
        <v>5622</v>
      </c>
      <c r="F1711" t="s">
        <v>5623</v>
      </c>
      <c r="G1711" s="425">
        <v>0</v>
      </c>
      <c r="H1711" s="425">
        <v>0</v>
      </c>
      <c r="I1711" s="425">
        <v>0</v>
      </c>
      <c r="J1711" s="425">
        <v>0</v>
      </c>
      <c r="K1711" s="425">
        <v>0</v>
      </c>
      <c r="L1711" s="425">
        <v>0</v>
      </c>
      <c r="M1711" s="425">
        <v>0</v>
      </c>
      <c r="N1711" s="425">
        <v>0</v>
      </c>
      <c r="O1711" s="425">
        <v>0</v>
      </c>
    </row>
    <row r="1712" spans="3:15" hidden="1" x14ac:dyDescent="0.3">
      <c r="C1712" t="s">
        <v>2295</v>
      </c>
      <c r="D1712" t="s">
        <v>2267</v>
      </c>
      <c r="E1712" t="s">
        <v>5624</v>
      </c>
      <c r="F1712" t="s">
        <v>5625</v>
      </c>
      <c r="G1712" s="425">
        <v>0</v>
      </c>
      <c r="H1712" s="425">
        <v>0</v>
      </c>
      <c r="I1712" s="425">
        <v>0</v>
      </c>
      <c r="J1712" s="425">
        <v>0</v>
      </c>
      <c r="K1712" s="425">
        <v>0</v>
      </c>
      <c r="L1712" s="425">
        <v>0</v>
      </c>
      <c r="M1712" s="425">
        <v>0</v>
      </c>
      <c r="N1712" s="425">
        <v>0</v>
      </c>
      <c r="O1712" s="425">
        <v>0</v>
      </c>
    </row>
    <row r="1713" spans="3:15" hidden="1" x14ac:dyDescent="0.3">
      <c r="C1713" t="s">
        <v>2295</v>
      </c>
      <c r="D1713" t="s">
        <v>2267</v>
      </c>
      <c r="E1713" t="s">
        <v>5626</v>
      </c>
      <c r="F1713" t="s">
        <v>5627</v>
      </c>
      <c r="G1713" s="425">
        <v>0</v>
      </c>
      <c r="H1713" s="425">
        <v>0</v>
      </c>
      <c r="I1713" s="425">
        <v>0</v>
      </c>
      <c r="J1713" s="425">
        <v>0</v>
      </c>
      <c r="K1713" s="425">
        <v>0</v>
      </c>
      <c r="L1713" s="425">
        <v>0</v>
      </c>
      <c r="M1713" s="425">
        <v>0</v>
      </c>
      <c r="N1713" s="425">
        <v>0</v>
      </c>
      <c r="O1713" s="425">
        <v>0</v>
      </c>
    </row>
    <row r="1714" spans="3:15" hidden="1" x14ac:dyDescent="0.3">
      <c r="C1714" t="s">
        <v>2295</v>
      </c>
      <c r="D1714" t="s">
        <v>2267</v>
      </c>
      <c r="E1714" t="s">
        <v>5628</v>
      </c>
      <c r="F1714" t="s">
        <v>5629</v>
      </c>
      <c r="G1714" s="425">
        <v>0</v>
      </c>
      <c r="H1714" s="425">
        <v>0</v>
      </c>
      <c r="I1714" s="425">
        <v>0</v>
      </c>
      <c r="J1714" s="425">
        <v>0</v>
      </c>
      <c r="K1714" s="425">
        <v>0</v>
      </c>
      <c r="L1714" s="425">
        <v>0</v>
      </c>
      <c r="M1714" s="425">
        <v>0</v>
      </c>
      <c r="N1714" s="425">
        <v>0</v>
      </c>
      <c r="O1714" s="425">
        <v>0</v>
      </c>
    </row>
    <row r="1715" spans="3:15" hidden="1" x14ac:dyDescent="0.3">
      <c r="C1715" t="s">
        <v>2295</v>
      </c>
      <c r="D1715" t="s">
        <v>2267</v>
      </c>
      <c r="E1715" t="s">
        <v>5630</v>
      </c>
      <c r="F1715" t="s">
        <v>5631</v>
      </c>
      <c r="G1715" s="425">
        <v>0</v>
      </c>
      <c r="H1715" s="425">
        <v>0</v>
      </c>
      <c r="I1715" s="425">
        <v>0</v>
      </c>
      <c r="J1715" s="425">
        <v>0</v>
      </c>
      <c r="K1715" s="425">
        <v>0</v>
      </c>
      <c r="L1715" s="425">
        <v>0</v>
      </c>
      <c r="M1715" s="425">
        <v>0</v>
      </c>
      <c r="N1715" s="425">
        <v>0</v>
      </c>
      <c r="O1715" s="425">
        <v>0</v>
      </c>
    </row>
    <row r="1716" spans="3:15" hidden="1" x14ac:dyDescent="0.3">
      <c r="C1716" t="s">
        <v>2295</v>
      </c>
      <c r="D1716" t="s">
        <v>2267</v>
      </c>
      <c r="E1716" t="s">
        <v>5632</v>
      </c>
      <c r="F1716" t="s">
        <v>5633</v>
      </c>
      <c r="G1716" s="425">
        <v>920000</v>
      </c>
      <c r="H1716" s="425">
        <v>0</v>
      </c>
      <c r="I1716" s="425">
        <v>920000</v>
      </c>
      <c r="J1716" s="425">
        <v>0</v>
      </c>
      <c r="K1716" s="425">
        <v>0</v>
      </c>
      <c r="L1716" s="425">
        <v>0</v>
      </c>
      <c r="M1716" s="425">
        <v>0</v>
      </c>
      <c r="N1716" s="425">
        <v>0</v>
      </c>
      <c r="O1716" s="425">
        <v>0</v>
      </c>
    </row>
    <row r="1717" spans="3:15" hidden="1" x14ac:dyDescent="0.3">
      <c r="C1717" t="s">
        <v>2295</v>
      </c>
      <c r="D1717" t="s">
        <v>2267</v>
      </c>
      <c r="E1717" t="s">
        <v>5634</v>
      </c>
      <c r="F1717" t="s">
        <v>5635</v>
      </c>
      <c r="G1717" s="425">
        <v>866000</v>
      </c>
      <c r="H1717" s="425">
        <v>0</v>
      </c>
      <c r="I1717" s="425">
        <v>866000</v>
      </c>
      <c r="J1717" s="425">
        <v>0</v>
      </c>
      <c r="K1717" s="425">
        <v>0</v>
      </c>
      <c r="L1717" s="425">
        <v>0</v>
      </c>
      <c r="M1717" s="425">
        <v>0</v>
      </c>
      <c r="N1717" s="425">
        <v>0</v>
      </c>
      <c r="O1717" s="425">
        <v>0</v>
      </c>
    </row>
    <row r="1718" spans="3:15" hidden="1" x14ac:dyDescent="0.3">
      <c r="C1718" t="s">
        <v>2295</v>
      </c>
      <c r="D1718" t="s">
        <v>2267</v>
      </c>
      <c r="E1718" t="s">
        <v>5636</v>
      </c>
      <c r="F1718" t="s">
        <v>5637</v>
      </c>
      <c r="G1718" s="425">
        <v>0</v>
      </c>
      <c r="H1718" s="425">
        <v>0</v>
      </c>
      <c r="I1718" s="425">
        <v>0</v>
      </c>
      <c r="J1718" s="425">
        <v>0</v>
      </c>
      <c r="K1718" s="425">
        <v>0</v>
      </c>
      <c r="L1718" s="425">
        <v>0</v>
      </c>
      <c r="M1718" s="425">
        <v>0</v>
      </c>
      <c r="N1718" s="425">
        <v>0</v>
      </c>
      <c r="O1718" s="425">
        <v>0</v>
      </c>
    </row>
    <row r="1719" spans="3:15" hidden="1" x14ac:dyDescent="0.3">
      <c r="C1719" t="s">
        <v>2295</v>
      </c>
      <c r="D1719" t="s">
        <v>2267</v>
      </c>
      <c r="E1719" t="s">
        <v>5638</v>
      </c>
      <c r="F1719" t="s">
        <v>5639</v>
      </c>
      <c r="G1719" s="425">
        <v>0</v>
      </c>
      <c r="H1719" s="425">
        <v>0</v>
      </c>
      <c r="I1719" s="425">
        <v>0</v>
      </c>
      <c r="J1719" s="425">
        <v>0</v>
      </c>
      <c r="K1719" s="425">
        <v>0</v>
      </c>
      <c r="L1719" s="425">
        <v>0</v>
      </c>
      <c r="M1719" s="425">
        <v>0</v>
      </c>
      <c r="N1719" s="425">
        <v>0</v>
      </c>
      <c r="O1719" s="425">
        <v>0</v>
      </c>
    </row>
    <row r="1720" spans="3:15" hidden="1" x14ac:dyDescent="0.3">
      <c r="C1720" t="s">
        <v>2295</v>
      </c>
      <c r="D1720" t="s">
        <v>2267</v>
      </c>
      <c r="E1720" t="s">
        <v>5640</v>
      </c>
      <c r="F1720" t="s">
        <v>5641</v>
      </c>
      <c r="G1720" s="425">
        <v>0</v>
      </c>
      <c r="H1720" s="425">
        <v>0</v>
      </c>
      <c r="I1720" s="425">
        <v>0</v>
      </c>
      <c r="J1720" s="425">
        <v>0</v>
      </c>
      <c r="K1720" s="425">
        <v>0</v>
      </c>
      <c r="L1720" s="425">
        <v>0</v>
      </c>
      <c r="M1720" s="425">
        <v>0</v>
      </c>
      <c r="N1720" s="425">
        <v>0</v>
      </c>
      <c r="O1720" s="425">
        <v>0</v>
      </c>
    </row>
    <row r="1721" spans="3:15" hidden="1" x14ac:dyDescent="0.3">
      <c r="C1721" t="s">
        <v>2295</v>
      </c>
      <c r="D1721" t="s">
        <v>2267</v>
      </c>
      <c r="E1721" t="s">
        <v>5642</v>
      </c>
      <c r="F1721" t="s">
        <v>5643</v>
      </c>
      <c r="G1721" s="425">
        <v>0</v>
      </c>
      <c r="H1721" s="425">
        <v>0</v>
      </c>
      <c r="I1721" s="425">
        <v>0</v>
      </c>
      <c r="J1721" s="425">
        <v>0</v>
      </c>
      <c r="K1721" s="425">
        <v>0</v>
      </c>
      <c r="L1721" s="425">
        <v>0</v>
      </c>
      <c r="M1721" s="425">
        <v>0</v>
      </c>
      <c r="N1721" s="425">
        <v>0</v>
      </c>
      <c r="O1721" s="425">
        <v>0</v>
      </c>
    </row>
    <row r="1722" spans="3:15" hidden="1" x14ac:dyDescent="0.3">
      <c r="C1722" t="s">
        <v>2295</v>
      </c>
      <c r="D1722" t="s">
        <v>2267</v>
      </c>
      <c r="E1722" t="s">
        <v>5644</v>
      </c>
      <c r="F1722" t="s">
        <v>5645</v>
      </c>
      <c r="G1722" s="425">
        <v>0</v>
      </c>
      <c r="H1722" s="425">
        <v>0</v>
      </c>
      <c r="I1722" s="425">
        <v>0</v>
      </c>
      <c r="J1722" s="425">
        <v>0</v>
      </c>
      <c r="K1722" s="425">
        <v>0</v>
      </c>
      <c r="L1722" s="425">
        <v>0</v>
      </c>
      <c r="M1722" s="425">
        <v>0</v>
      </c>
      <c r="N1722" s="425">
        <v>0</v>
      </c>
      <c r="O1722" s="425">
        <v>0</v>
      </c>
    </row>
    <row r="1723" spans="3:15" hidden="1" x14ac:dyDescent="0.3">
      <c r="C1723" t="s">
        <v>2295</v>
      </c>
      <c r="D1723" t="s">
        <v>2267</v>
      </c>
      <c r="E1723" t="s">
        <v>5646</v>
      </c>
      <c r="F1723" t="s">
        <v>5647</v>
      </c>
      <c r="G1723" s="425">
        <v>0</v>
      </c>
      <c r="H1723" s="425">
        <v>0</v>
      </c>
      <c r="I1723" s="425">
        <v>0</v>
      </c>
      <c r="J1723" s="425">
        <v>0</v>
      </c>
      <c r="K1723" s="425">
        <v>0</v>
      </c>
      <c r="L1723" s="425">
        <v>0</v>
      </c>
      <c r="M1723" s="425">
        <v>0</v>
      </c>
      <c r="N1723" s="425">
        <v>0</v>
      </c>
      <c r="O1723" s="425">
        <v>0</v>
      </c>
    </row>
    <row r="1724" spans="3:15" hidden="1" x14ac:dyDescent="0.3">
      <c r="C1724" t="s">
        <v>2295</v>
      </c>
      <c r="D1724" t="s">
        <v>2267</v>
      </c>
      <c r="E1724" t="s">
        <v>5648</v>
      </c>
      <c r="F1724" t="s">
        <v>5649</v>
      </c>
      <c r="G1724" s="425">
        <v>0</v>
      </c>
      <c r="H1724" s="425">
        <v>0</v>
      </c>
      <c r="I1724" s="425">
        <v>0</v>
      </c>
      <c r="J1724" s="425">
        <v>0</v>
      </c>
      <c r="K1724" s="425">
        <v>0</v>
      </c>
      <c r="L1724" s="425">
        <v>0</v>
      </c>
      <c r="M1724" s="425">
        <v>0</v>
      </c>
      <c r="N1724" s="425">
        <v>0</v>
      </c>
      <c r="O1724" s="425">
        <v>0</v>
      </c>
    </row>
    <row r="1725" spans="3:15" hidden="1" x14ac:dyDescent="0.3">
      <c r="C1725" t="s">
        <v>2295</v>
      </c>
      <c r="D1725" t="s">
        <v>2267</v>
      </c>
      <c r="E1725" t="s">
        <v>5650</v>
      </c>
      <c r="F1725" t="s">
        <v>5651</v>
      </c>
      <c r="G1725" s="425">
        <v>0</v>
      </c>
      <c r="H1725" s="425">
        <v>0</v>
      </c>
      <c r="I1725" s="425">
        <v>0</v>
      </c>
      <c r="J1725" s="425">
        <v>0</v>
      </c>
      <c r="K1725" s="425">
        <v>0</v>
      </c>
      <c r="L1725" s="425">
        <v>0</v>
      </c>
      <c r="M1725" s="425">
        <v>0</v>
      </c>
      <c r="N1725" s="425">
        <v>0</v>
      </c>
      <c r="O1725" s="425">
        <v>0</v>
      </c>
    </row>
    <row r="1726" spans="3:15" hidden="1" x14ac:dyDescent="0.3">
      <c r="C1726" t="s">
        <v>2295</v>
      </c>
      <c r="D1726" t="s">
        <v>2267</v>
      </c>
      <c r="E1726" t="s">
        <v>5652</v>
      </c>
      <c r="F1726" t="s">
        <v>5653</v>
      </c>
      <c r="G1726" s="425">
        <v>0</v>
      </c>
      <c r="H1726" s="425">
        <v>0</v>
      </c>
      <c r="I1726" s="425">
        <v>0</v>
      </c>
      <c r="J1726" s="425">
        <v>0</v>
      </c>
      <c r="K1726" s="425">
        <v>0</v>
      </c>
      <c r="L1726" s="425">
        <v>0</v>
      </c>
      <c r="M1726" s="425">
        <v>0</v>
      </c>
      <c r="N1726" s="425">
        <v>0</v>
      </c>
      <c r="O1726" s="425">
        <v>0</v>
      </c>
    </row>
    <row r="1727" spans="3:15" hidden="1" x14ac:dyDescent="0.3">
      <c r="C1727" t="s">
        <v>2295</v>
      </c>
      <c r="D1727" t="s">
        <v>2267</v>
      </c>
      <c r="E1727" t="s">
        <v>5654</v>
      </c>
      <c r="F1727" t="s">
        <v>5655</v>
      </c>
      <c r="G1727" s="425">
        <v>0</v>
      </c>
      <c r="H1727" s="425">
        <v>0</v>
      </c>
      <c r="I1727" s="425">
        <v>0</v>
      </c>
      <c r="J1727" s="425">
        <v>0</v>
      </c>
      <c r="K1727" s="425">
        <v>0</v>
      </c>
      <c r="L1727" s="425">
        <v>0</v>
      </c>
      <c r="M1727" s="425">
        <v>0</v>
      </c>
      <c r="N1727" s="425">
        <v>0</v>
      </c>
      <c r="O1727" s="425">
        <v>0</v>
      </c>
    </row>
    <row r="1728" spans="3:15" hidden="1" x14ac:dyDescent="0.3">
      <c r="C1728" t="s">
        <v>2295</v>
      </c>
      <c r="D1728" t="s">
        <v>2267</v>
      </c>
      <c r="E1728" t="s">
        <v>5656</v>
      </c>
      <c r="F1728" t="s">
        <v>5657</v>
      </c>
      <c r="G1728" s="425">
        <v>0</v>
      </c>
      <c r="H1728" s="425">
        <v>0</v>
      </c>
      <c r="I1728" s="425">
        <v>0</v>
      </c>
      <c r="J1728" s="425">
        <v>0</v>
      </c>
      <c r="K1728" s="425">
        <v>0</v>
      </c>
      <c r="L1728" s="425">
        <v>0</v>
      </c>
      <c r="M1728" s="425">
        <v>0</v>
      </c>
      <c r="N1728" s="425">
        <v>0</v>
      </c>
      <c r="O1728" s="425">
        <v>0</v>
      </c>
    </row>
    <row r="1729" spans="3:15" hidden="1" x14ac:dyDescent="0.3">
      <c r="C1729" t="s">
        <v>2295</v>
      </c>
      <c r="D1729" t="s">
        <v>2267</v>
      </c>
      <c r="E1729" t="s">
        <v>5658</v>
      </c>
      <c r="F1729" t="s">
        <v>5659</v>
      </c>
      <c r="G1729" s="425">
        <v>0</v>
      </c>
      <c r="H1729" s="425">
        <v>0</v>
      </c>
      <c r="I1729" s="425">
        <v>0</v>
      </c>
      <c r="J1729" s="425">
        <v>0</v>
      </c>
      <c r="K1729" s="425">
        <v>0</v>
      </c>
      <c r="L1729" s="425">
        <v>0</v>
      </c>
      <c r="M1729" s="425">
        <v>0</v>
      </c>
      <c r="N1729" s="425">
        <v>0</v>
      </c>
      <c r="O1729" s="425">
        <v>0</v>
      </c>
    </row>
    <row r="1730" spans="3:15" hidden="1" x14ac:dyDescent="0.3">
      <c r="C1730" t="s">
        <v>2295</v>
      </c>
      <c r="D1730" t="s">
        <v>2267</v>
      </c>
      <c r="E1730" t="s">
        <v>5660</v>
      </c>
      <c r="F1730" t="s">
        <v>5661</v>
      </c>
      <c r="G1730" s="425">
        <v>0</v>
      </c>
      <c r="H1730" s="425">
        <v>0</v>
      </c>
      <c r="I1730" s="425">
        <v>0</v>
      </c>
      <c r="J1730" s="425">
        <v>0</v>
      </c>
      <c r="K1730" s="425">
        <v>0</v>
      </c>
      <c r="L1730" s="425">
        <v>0</v>
      </c>
      <c r="M1730" s="425">
        <v>0</v>
      </c>
      <c r="N1730" s="425">
        <v>0</v>
      </c>
      <c r="O1730" s="425">
        <v>0</v>
      </c>
    </row>
    <row r="1731" spans="3:15" hidden="1" x14ac:dyDescent="0.3">
      <c r="C1731" t="s">
        <v>2295</v>
      </c>
      <c r="D1731" t="s">
        <v>2267</v>
      </c>
      <c r="E1731" t="s">
        <v>5662</v>
      </c>
      <c r="F1731" t="s">
        <v>5663</v>
      </c>
      <c r="G1731" s="425">
        <v>0</v>
      </c>
      <c r="H1731" s="425">
        <v>0</v>
      </c>
      <c r="I1731" s="425">
        <v>0</v>
      </c>
      <c r="J1731" s="425">
        <v>0</v>
      </c>
      <c r="K1731" s="425">
        <v>0</v>
      </c>
      <c r="L1731" s="425">
        <v>0</v>
      </c>
      <c r="M1731" s="425">
        <v>0</v>
      </c>
      <c r="N1731" s="425">
        <v>0</v>
      </c>
      <c r="O1731" s="425">
        <v>0</v>
      </c>
    </row>
    <row r="1732" spans="3:15" hidden="1" x14ac:dyDescent="0.3">
      <c r="C1732" t="s">
        <v>2295</v>
      </c>
      <c r="D1732" t="s">
        <v>2267</v>
      </c>
      <c r="E1732" t="s">
        <v>5664</v>
      </c>
      <c r="F1732" t="s">
        <v>5665</v>
      </c>
      <c r="G1732" s="425">
        <v>0</v>
      </c>
      <c r="H1732" s="425">
        <v>0</v>
      </c>
      <c r="I1732" s="425">
        <v>0</v>
      </c>
      <c r="J1732" s="425">
        <v>0</v>
      </c>
      <c r="K1732" s="425">
        <v>0</v>
      </c>
      <c r="L1732" s="425">
        <v>0</v>
      </c>
      <c r="M1732" s="425">
        <v>0</v>
      </c>
      <c r="N1732" s="425">
        <v>0</v>
      </c>
      <c r="O1732" s="425">
        <v>0</v>
      </c>
    </row>
    <row r="1733" spans="3:15" hidden="1" x14ac:dyDescent="0.3">
      <c r="C1733" t="s">
        <v>2295</v>
      </c>
      <c r="D1733" t="s">
        <v>2267</v>
      </c>
      <c r="E1733" t="s">
        <v>5666</v>
      </c>
      <c r="F1733" t="s">
        <v>5667</v>
      </c>
      <c r="G1733" s="425">
        <v>0</v>
      </c>
      <c r="H1733" s="425">
        <v>0</v>
      </c>
      <c r="I1733" s="425">
        <v>0</v>
      </c>
      <c r="J1733" s="425">
        <v>0</v>
      </c>
      <c r="K1733" s="425">
        <v>0</v>
      </c>
      <c r="L1733" s="425">
        <v>0</v>
      </c>
      <c r="M1733" s="425">
        <v>0</v>
      </c>
      <c r="N1733" s="425">
        <v>0</v>
      </c>
      <c r="O1733" s="425">
        <v>0</v>
      </c>
    </row>
    <row r="1734" spans="3:15" hidden="1" x14ac:dyDescent="0.3">
      <c r="C1734" t="s">
        <v>2295</v>
      </c>
      <c r="D1734" t="s">
        <v>2267</v>
      </c>
      <c r="E1734" t="s">
        <v>5668</v>
      </c>
      <c r="F1734" t="s">
        <v>5669</v>
      </c>
      <c r="G1734" s="425">
        <v>0</v>
      </c>
      <c r="H1734" s="425">
        <v>0</v>
      </c>
      <c r="I1734" s="425">
        <v>0</v>
      </c>
      <c r="J1734" s="425">
        <v>0</v>
      </c>
      <c r="K1734" s="425">
        <v>0</v>
      </c>
      <c r="L1734" s="425">
        <v>0</v>
      </c>
      <c r="M1734" s="425">
        <v>0</v>
      </c>
      <c r="N1734" s="425">
        <v>0</v>
      </c>
      <c r="O1734" s="425">
        <v>0</v>
      </c>
    </row>
    <row r="1735" spans="3:15" hidden="1" x14ac:dyDescent="0.3">
      <c r="C1735" t="s">
        <v>2295</v>
      </c>
      <c r="D1735" t="s">
        <v>2267</v>
      </c>
      <c r="E1735" t="s">
        <v>5670</v>
      </c>
      <c r="F1735" t="s">
        <v>5671</v>
      </c>
      <c r="G1735" s="425">
        <v>0</v>
      </c>
      <c r="H1735" s="425">
        <v>0</v>
      </c>
      <c r="I1735" s="425">
        <v>0</v>
      </c>
      <c r="J1735" s="425">
        <v>0</v>
      </c>
      <c r="K1735" s="425">
        <v>0</v>
      </c>
      <c r="L1735" s="425">
        <v>0</v>
      </c>
      <c r="M1735" s="425">
        <v>0</v>
      </c>
      <c r="N1735" s="425">
        <v>0</v>
      </c>
      <c r="O1735" s="425">
        <v>0</v>
      </c>
    </row>
    <row r="1736" spans="3:15" hidden="1" x14ac:dyDescent="0.3">
      <c r="C1736" t="s">
        <v>2295</v>
      </c>
      <c r="D1736" t="s">
        <v>2267</v>
      </c>
      <c r="E1736" t="s">
        <v>5672</v>
      </c>
      <c r="F1736" t="s">
        <v>5673</v>
      </c>
      <c r="G1736" s="425">
        <v>0</v>
      </c>
      <c r="H1736" s="425">
        <v>0</v>
      </c>
      <c r="I1736" s="425">
        <v>0</v>
      </c>
      <c r="J1736" s="425">
        <v>0</v>
      </c>
      <c r="K1736" s="425">
        <v>0</v>
      </c>
      <c r="L1736" s="425">
        <v>0</v>
      </c>
      <c r="M1736" s="425">
        <v>0</v>
      </c>
      <c r="N1736" s="425">
        <v>0</v>
      </c>
      <c r="O1736" s="425">
        <v>0</v>
      </c>
    </row>
    <row r="1737" spans="3:15" hidden="1" x14ac:dyDescent="0.3">
      <c r="C1737" t="s">
        <v>2295</v>
      </c>
      <c r="D1737" t="s">
        <v>2267</v>
      </c>
      <c r="E1737" t="s">
        <v>5674</v>
      </c>
      <c r="F1737" t="s">
        <v>5675</v>
      </c>
      <c r="G1737" s="425">
        <v>0</v>
      </c>
      <c r="H1737" s="425">
        <v>0</v>
      </c>
      <c r="I1737" s="425">
        <v>0</v>
      </c>
      <c r="J1737" s="425">
        <v>0</v>
      </c>
      <c r="K1737" s="425">
        <v>0</v>
      </c>
      <c r="L1737" s="425">
        <v>0</v>
      </c>
      <c r="M1737" s="425">
        <v>0</v>
      </c>
      <c r="N1737" s="425">
        <v>0</v>
      </c>
      <c r="O1737" s="425">
        <v>0</v>
      </c>
    </row>
    <row r="1738" spans="3:15" hidden="1" x14ac:dyDescent="0.3">
      <c r="C1738" t="s">
        <v>2295</v>
      </c>
      <c r="D1738" t="s">
        <v>2267</v>
      </c>
      <c r="E1738" t="s">
        <v>5676</v>
      </c>
      <c r="F1738" t="s">
        <v>5677</v>
      </c>
      <c r="G1738" s="425">
        <v>0</v>
      </c>
      <c r="H1738" s="425">
        <v>0</v>
      </c>
      <c r="I1738" s="425">
        <v>0</v>
      </c>
      <c r="J1738" s="425">
        <v>0</v>
      </c>
      <c r="K1738" s="425">
        <v>0</v>
      </c>
      <c r="L1738" s="425">
        <v>0</v>
      </c>
      <c r="M1738" s="425">
        <v>0</v>
      </c>
      <c r="N1738" s="425">
        <v>0</v>
      </c>
      <c r="O1738" s="425">
        <v>0</v>
      </c>
    </row>
    <row r="1739" spans="3:15" hidden="1" x14ac:dyDescent="0.3">
      <c r="C1739" t="s">
        <v>2295</v>
      </c>
      <c r="D1739" t="s">
        <v>2267</v>
      </c>
      <c r="E1739" t="s">
        <v>5678</v>
      </c>
      <c r="F1739" t="s">
        <v>5679</v>
      </c>
      <c r="G1739" s="425">
        <v>0</v>
      </c>
      <c r="H1739" s="425">
        <v>0</v>
      </c>
      <c r="I1739" s="425">
        <v>0</v>
      </c>
      <c r="J1739" s="425">
        <v>0</v>
      </c>
      <c r="K1739" s="425">
        <v>0</v>
      </c>
      <c r="L1739" s="425">
        <v>0</v>
      </c>
      <c r="M1739" s="425">
        <v>0</v>
      </c>
      <c r="N1739" s="425">
        <v>0</v>
      </c>
      <c r="O1739" s="425">
        <v>0</v>
      </c>
    </row>
    <row r="1740" spans="3:15" hidden="1" x14ac:dyDescent="0.3">
      <c r="C1740" t="s">
        <v>2295</v>
      </c>
      <c r="D1740" t="s">
        <v>2267</v>
      </c>
      <c r="E1740" t="s">
        <v>5680</v>
      </c>
      <c r="F1740" t="s">
        <v>5681</v>
      </c>
      <c r="G1740" s="425">
        <v>0</v>
      </c>
      <c r="H1740" s="425">
        <v>0</v>
      </c>
      <c r="I1740" s="425">
        <v>0</v>
      </c>
      <c r="J1740" s="425">
        <v>0</v>
      </c>
      <c r="K1740" s="425">
        <v>0</v>
      </c>
      <c r="L1740" s="425">
        <v>0</v>
      </c>
      <c r="M1740" s="425">
        <v>0</v>
      </c>
      <c r="N1740" s="425">
        <v>0</v>
      </c>
      <c r="O1740" s="425">
        <v>0</v>
      </c>
    </row>
    <row r="1741" spans="3:15" hidden="1" x14ac:dyDescent="0.3">
      <c r="C1741" t="s">
        <v>2295</v>
      </c>
      <c r="D1741" t="s">
        <v>2267</v>
      </c>
      <c r="E1741" t="s">
        <v>5612</v>
      </c>
      <c r="F1741" t="s">
        <v>5682</v>
      </c>
      <c r="G1741" s="425">
        <v>0</v>
      </c>
      <c r="H1741" s="425">
        <v>0</v>
      </c>
      <c r="I1741" s="425">
        <v>0</v>
      </c>
      <c r="J1741" s="425">
        <v>0</v>
      </c>
      <c r="K1741" s="425">
        <v>0</v>
      </c>
      <c r="L1741" s="425">
        <v>0</v>
      </c>
      <c r="M1741" s="425">
        <v>0</v>
      </c>
      <c r="N1741" s="425">
        <v>0</v>
      </c>
      <c r="O1741" s="425">
        <v>0</v>
      </c>
    </row>
    <row r="1742" spans="3:15" hidden="1" x14ac:dyDescent="0.3">
      <c r="C1742" t="s">
        <v>2295</v>
      </c>
      <c r="D1742" t="s">
        <v>2267</v>
      </c>
      <c r="E1742" t="s">
        <v>5683</v>
      </c>
      <c r="F1742" t="s">
        <v>5684</v>
      </c>
      <c r="G1742" s="425">
        <v>0</v>
      </c>
      <c r="H1742" s="425">
        <v>0</v>
      </c>
      <c r="I1742" s="425">
        <v>0</v>
      </c>
      <c r="J1742" s="425">
        <v>0</v>
      </c>
      <c r="K1742" s="425">
        <v>0</v>
      </c>
      <c r="L1742" s="425">
        <v>0</v>
      </c>
      <c r="M1742" s="425">
        <v>0</v>
      </c>
      <c r="N1742" s="425">
        <v>0</v>
      </c>
      <c r="O1742" s="425">
        <v>0</v>
      </c>
    </row>
    <row r="1743" spans="3:15" hidden="1" x14ac:dyDescent="0.3">
      <c r="C1743" t="s">
        <v>2295</v>
      </c>
      <c r="D1743" t="s">
        <v>2267</v>
      </c>
      <c r="E1743" t="s">
        <v>5685</v>
      </c>
      <c r="F1743" t="s">
        <v>5686</v>
      </c>
      <c r="G1743" s="425">
        <v>0</v>
      </c>
      <c r="H1743" s="425">
        <v>0</v>
      </c>
      <c r="I1743" s="425">
        <v>0</v>
      </c>
      <c r="J1743" s="425">
        <v>0</v>
      </c>
      <c r="K1743" s="425">
        <v>0</v>
      </c>
      <c r="L1743" s="425">
        <v>0</v>
      </c>
      <c r="M1743" s="425">
        <v>0</v>
      </c>
      <c r="N1743" s="425">
        <v>0</v>
      </c>
      <c r="O1743" s="425">
        <v>0</v>
      </c>
    </row>
    <row r="1744" spans="3:15" hidden="1" x14ac:dyDescent="0.3">
      <c r="C1744" t="s">
        <v>2295</v>
      </c>
      <c r="D1744" t="s">
        <v>2267</v>
      </c>
      <c r="E1744" t="s">
        <v>5687</v>
      </c>
      <c r="F1744" t="s">
        <v>5688</v>
      </c>
      <c r="G1744" s="425">
        <v>0</v>
      </c>
      <c r="H1744" s="425">
        <v>0</v>
      </c>
      <c r="I1744" s="425">
        <v>0</v>
      </c>
      <c r="J1744" s="425">
        <v>0</v>
      </c>
      <c r="K1744" s="425">
        <v>0</v>
      </c>
      <c r="L1744" s="425">
        <v>0</v>
      </c>
      <c r="M1744" s="425">
        <v>0</v>
      </c>
      <c r="N1744" s="425">
        <v>0</v>
      </c>
      <c r="O1744" s="425">
        <v>0</v>
      </c>
    </row>
    <row r="1745" spans="3:15" hidden="1" x14ac:dyDescent="0.3">
      <c r="C1745" t="s">
        <v>2295</v>
      </c>
      <c r="D1745" t="s">
        <v>2267</v>
      </c>
      <c r="E1745" t="s">
        <v>5689</v>
      </c>
      <c r="F1745" t="s">
        <v>5690</v>
      </c>
      <c r="G1745" s="425">
        <v>0</v>
      </c>
      <c r="H1745" s="425">
        <v>0</v>
      </c>
      <c r="I1745" s="425">
        <v>0</v>
      </c>
      <c r="J1745" s="425">
        <v>0</v>
      </c>
      <c r="K1745" s="425">
        <v>0</v>
      </c>
      <c r="L1745" s="425">
        <v>0</v>
      </c>
      <c r="M1745" s="425">
        <v>0</v>
      </c>
      <c r="N1745" s="425">
        <v>0</v>
      </c>
      <c r="O1745" s="425">
        <v>0</v>
      </c>
    </row>
    <row r="1746" spans="3:15" hidden="1" x14ac:dyDescent="0.3">
      <c r="C1746" t="s">
        <v>2295</v>
      </c>
      <c r="D1746" t="s">
        <v>2267</v>
      </c>
      <c r="E1746" t="s">
        <v>5691</v>
      </c>
      <c r="F1746" t="s">
        <v>5692</v>
      </c>
      <c r="G1746" s="425">
        <v>0</v>
      </c>
      <c r="H1746" s="425">
        <v>0</v>
      </c>
      <c r="I1746" s="425">
        <v>0</v>
      </c>
      <c r="J1746" s="425">
        <v>0</v>
      </c>
      <c r="K1746" s="425">
        <v>0</v>
      </c>
      <c r="L1746" s="425">
        <v>0</v>
      </c>
      <c r="M1746" s="425">
        <v>0</v>
      </c>
      <c r="N1746" s="425">
        <v>0</v>
      </c>
      <c r="O1746" s="425">
        <v>0</v>
      </c>
    </row>
    <row r="1747" spans="3:15" hidden="1" x14ac:dyDescent="0.3">
      <c r="C1747" t="s">
        <v>2295</v>
      </c>
      <c r="D1747" t="s">
        <v>2267</v>
      </c>
      <c r="E1747" t="s">
        <v>5693</v>
      </c>
      <c r="F1747" t="s">
        <v>5694</v>
      </c>
      <c r="G1747" s="425">
        <v>537170</v>
      </c>
      <c r="H1747" s="425">
        <v>0</v>
      </c>
      <c r="I1747" s="425">
        <v>537170</v>
      </c>
      <c r="J1747" s="425">
        <v>0</v>
      </c>
      <c r="K1747" s="425">
        <v>0</v>
      </c>
      <c r="L1747" s="425">
        <v>0</v>
      </c>
      <c r="M1747" s="425">
        <v>0</v>
      </c>
      <c r="N1747" s="425">
        <v>0</v>
      </c>
      <c r="O1747" s="425">
        <v>0</v>
      </c>
    </row>
    <row r="1748" spans="3:15" hidden="1" x14ac:dyDescent="0.3">
      <c r="C1748" t="s">
        <v>2295</v>
      </c>
      <c r="D1748" t="s">
        <v>2267</v>
      </c>
      <c r="E1748" t="s">
        <v>5695</v>
      </c>
      <c r="F1748" t="s">
        <v>5696</v>
      </c>
      <c r="G1748" s="425">
        <v>0</v>
      </c>
      <c r="H1748" s="425">
        <v>0</v>
      </c>
      <c r="I1748" s="425">
        <v>0</v>
      </c>
      <c r="J1748" s="425">
        <v>0</v>
      </c>
      <c r="K1748" s="425">
        <v>0</v>
      </c>
      <c r="L1748" s="425">
        <v>0</v>
      </c>
      <c r="M1748" s="425">
        <v>0</v>
      </c>
      <c r="N1748" s="425">
        <v>0</v>
      </c>
      <c r="O1748" s="425">
        <v>0</v>
      </c>
    </row>
    <row r="1749" spans="3:15" hidden="1" x14ac:dyDescent="0.3">
      <c r="C1749" t="s">
        <v>2295</v>
      </c>
      <c r="D1749" t="s">
        <v>2267</v>
      </c>
      <c r="E1749" t="s">
        <v>5697</v>
      </c>
      <c r="F1749" t="s">
        <v>5698</v>
      </c>
      <c r="G1749" s="425">
        <v>826000</v>
      </c>
      <c r="H1749" s="425">
        <v>0</v>
      </c>
      <c r="I1749" s="425">
        <v>826000</v>
      </c>
      <c r="J1749" s="425">
        <v>0</v>
      </c>
      <c r="K1749" s="425">
        <v>0</v>
      </c>
      <c r="L1749" s="425">
        <v>0</v>
      </c>
      <c r="M1749" s="425">
        <v>0</v>
      </c>
      <c r="N1749" s="425">
        <v>0</v>
      </c>
      <c r="O1749" s="425">
        <v>0</v>
      </c>
    </row>
    <row r="1750" spans="3:15" hidden="1" x14ac:dyDescent="0.3">
      <c r="C1750" t="s">
        <v>2295</v>
      </c>
      <c r="D1750" t="s">
        <v>2267</v>
      </c>
      <c r="E1750" t="s">
        <v>5699</v>
      </c>
      <c r="F1750" t="s">
        <v>5700</v>
      </c>
      <c r="G1750" s="425">
        <v>0</v>
      </c>
      <c r="H1750" s="425">
        <v>0</v>
      </c>
      <c r="I1750" s="425">
        <v>0</v>
      </c>
      <c r="J1750" s="425">
        <v>0</v>
      </c>
      <c r="K1750" s="425">
        <v>0</v>
      </c>
      <c r="L1750" s="425">
        <v>0</v>
      </c>
      <c r="M1750" s="425">
        <v>0</v>
      </c>
      <c r="N1750" s="425">
        <v>0</v>
      </c>
      <c r="O1750" s="425">
        <v>0</v>
      </c>
    </row>
    <row r="1751" spans="3:15" hidden="1" x14ac:dyDescent="0.3">
      <c r="C1751" t="s">
        <v>2295</v>
      </c>
      <c r="D1751" t="s">
        <v>2267</v>
      </c>
      <c r="E1751" t="s">
        <v>5701</v>
      </c>
      <c r="F1751" t="s">
        <v>5702</v>
      </c>
      <c r="G1751" s="425">
        <v>0</v>
      </c>
      <c r="H1751" s="425">
        <v>0</v>
      </c>
      <c r="I1751" s="425">
        <v>0</v>
      </c>
      <c r="J1751" s="425">
        <v>0</v>
      </c>
      <c r="K1751" s="425">
        <v>0</v>
      </c>
      <c r="L1751" s="425">
        <v>0</v>
      </c>
      <c r="M1751" s="425">
        <v>0</v>
      </c>
      <c r="N1751" s="425">
        <v>0</v>
      </c>
      <c r="O1751" s="425">
        <v>0</v>
      </c>
    </row>
    <row r="1752" spans="3:15" hidden="1" x14ac:dyDescent="0.3">
      <c r="C1752" t="s">
        <v>2295</v>
      </c>
      <c r="D1752" t="s">
        <v>2267</v>
      </c>
      <c r="E1752" t="s">
        <v>5703</v>
      </c>
      <c r="F1752" t="s">
        <v>5704</v>
      </c>
      <c r="G1752" s="425">
        <v>0</v>
      </c>
      <c r="H1752" s="425">
        <v>0</v>
      </c>
      <c r="I1752" s="425">
        <v>0</v>
      </c>
      <c r="J1752" s="425">
        <v>0</v>
      </c>
      <c r="K1752" s="425">
        <v>0</v>
      </c>
      <c r="L1752" s="425">
        <v>0</v>
      </c>
      <c r="M1752" s="425">
        <v>0</v>
      </c>
      <c r="N1752" s="425">
        <v>0</v>
      </c>
      <c r="O1752" s="425">
        <v>0</v>
      </c>
    </row>
    <row r="1753" spans="3:15" hidden="1" x14ac:dyDescent="0.3">
      <c r="C1753" t="s">
        <v>2295</v>
      </c>
      <c r="D1753" t="s">
        <v>2267</v>
      </c>
      <c r="E1753" t="s">
        <v>5705</v>
      </c>
      <c r="F1753" t="s">
        <v>5706</v>
      </c>
      <c r="G1753" s="425">
        <v>0</v>
      </c>
      <c r="H1753" s="425">
        <v>0</v>
      </c>
      <c r="I1753" s="425">
        <v>0</v>
      </c>
      <c r="J1753" s="425">
        <v>0</v>
      </c>
      <c r="K1753" s="425">
        <v>0</v>
      </c>
      <c r="L1753" s="425">
        <v>0</v>
      </c>
      <c r="M1753" s="425">
        <v>0</v>
      </c>
      <c r="N1753" s="425">
        <v>0</v>
      </c>
      <c r="O1753" s="425">
        <v>0</v>
      </c>
    </row>
    <row r="1754" spans="3:15" hidden="1" x14ac:dyDescent="0.3">
      <c r="C1754" t="s">
        <v>2295</v>
      </c>
      <c r="D1754" t="s">
        <v>2267</v>
      </c>
      <c r="E1754" t="s">
        <v>5707</v>
      </c>
      <c r="F1754" t="s">
        <v>5708</v>
      </c>
      <c r="G1754" s="425">
        <v>0</v>
      </c>
      <c r="H1754" s="425">
        <v>0</v>
      </c>
      <c r="I1754" s="425">
        <v>0</v>
      </c>
      <c r="J1754" s="425">
        <v>0</v>
      </c>
      <c r="K1754" s="425">
        <v>0</v>
      </c>
      <c r="L1754" s="425">
        <v>0</v>
      </c>
      <c r="M1754" s="425">
        <v>0</v>
      </c>
      <c r="N1754" s="425">
        <v>0</v>
      </c>
      <c r="O1754" s="425">
        <v>0</v>
      </c>
    </row>
    <row r="1755" spans="3:15" hidden="1" x14ac:dyDescent="0.3">
      <c r="C1755" t="s">
        <v>2295</v>
      </c>
      <c r="D1755" t="s">
        <v>2267</v>
      </c>
      <c r="E1755" t="s">
        <v>5709</v>
      </c>
      <c r="F1755" t="s">
        <v>5710</v>
      </c>
      <c r="G1755" s="425">
        <v>0</v>
      </c>
      <c r="H1755" s="425">
        <v>0</v>
      </c>
      <c r="I1755" s="425">
        <v>0</v>
      </c>
      <c r="J1755" s="425">
        <v>0</v>
      </c>
      <c r="K1755" s="425">
        <v>0</v>
      </c>
      <c r="L1755" s="425">
        <v>0</v>
      </c>
      <c r="M1755" s="425">
        <v>0</v>
      </c>
      <c r="N1755" s="425">
        <v>0</v>
      </c>
      <c r="O1755" s="425">
        <v>0</v>
      </c>
    </row>
    <row r="1756" spans="3:15" hidden="1" x14ac:dyDescent="0.3">
      <c r="C1756" t="s">
        <v>2295</v>
      </c>
      <c r="D1756" t="s">
        <v>2267</v>
      </c>
      <c r="E1756" t="s">
        <v>5711</v>
      </c>
      <c r="F1756" t="s">
        <v>5712</v>
      </c>
      <c r="G1756" s="425">
        <v>0</v>
      </c>
      <c r="H1756" s="425">
        <v>0</v>
      </c>
      <c r="I1756" s="425">
        <v>0</v>
      </c>
      <c r="J1756" s="425">
        <v>0</v>
      </c>
      <c r="K1756" s="425">
        <v>0</v>
      </c>
      <c r="L1756" s="425">
        <v>0</v>
      </c>
      <c r="M1756" s="425">
        <v>0</v>
      </c>
      <c r="N1756" s="425">
        <v>0</v>
      </c>
      <c r="O1756" s="425">
        <v>0</v>
      </c>
    </row>
    <row r="1757" spans="3:15" hidden="1" x14ac:dyDescent="0.3">
      <c r="C1757" t="s">
        <v>2295</v>
      </c>
      <c r="D1757" t="s">
        <v>2267</v>
      </c>
      <c r="E1757" t="s">
        <v>5707</v>
      </c>
      <c r="F1757" t="s">
        <v>5713</v>
      </c>
      <c r="G1757" s="425">
        <v>0</v>
      </c>
      <c r="H1757" s="425">
        <v>0</v>
      </c>
      <c r="I1757" s="425">
        <v>0</v>
      </c>
      <c r="J1757" s="425">
        <v>0</v>
      </c>
      <c r="K1757" s="425">
        <v>0</v>
      </c>
      <c r="L1757" s="425">
        <v>0</v>
      </c>
      <c r="M1757" s="425">
        <v>0</v>
      </c>
      <c r="N1757" s="425">
        <v>0</v>
      </c>
      <c r="O1757" s="425">
        <v>0</v>
      </c>
    </row>
    <row r="1758" spans="3:15" hidden="1" x14ac:dyDescent="0.3">
      <c r="C1758" t="s">
        <v>2295</v>
      </c>
      <c r="D1758" t="s">
        <v>2267</v>
      </c>
      <c r="E1758" t="s">
        <v>5714</v>
      </c>
      <c r="F1758" t="s">
        <v>5715</v>
      </c>
      <c r="G1758" s="425">
        <v>0</v>
      </c>
      <c r="H1758" s="425">
        <v>0</v>
      </c>
      <c r="I1758" s="425">
        <v>0</v>
      </c>
      <c r="J1758" s="425">
        <v>0</v>
      </c>
      <c r="K1758" s="425">
        <v>0</v>
      </c>
      <c r="L1758" s="425">
        <v>0</v>
      </c>
      <c r="M1758" s="425">
        <v>0</v>
      </c>
      <c r="N1758" s="425">
        <v>0</v>
      </c>
      <c r="O1758" s="425">
        <v>0</v>
      </c>
    </row>
    <row r="1759" spans="3:15" hidden="1" x14ac:dyDescent="0.3">
      <c r="C1759" t="s">
        <v>2295</v>
      </c>
      <c r="D1759" t="s">
        <v>2267</v>
      </c>
      <c r="E1759" t="s">
        <v>5716</v>
      </c>
      <c r="F1759" t="s">
        <v>5717</v>
      </c>
      <c r="G1759" s="425">
        <v>0</v>
      </c>
      <c r="H1759" s="425">
        <v>0</v>
      </c>
      <c r="I1759" s="425">
        <v>0</v>
      </c>
      <c r="J1759" s="425">
        <v>0</v>
      </c>
      <c r="K1759" s="425">
        <v>0</v>
      </c>
      <c r="L1759" s="425">
        <v>0</v>
      </c>
      <c r="M1759" s="425">
        <v>0</v>
      </c>
      <c r="N1759" s="425">
        <v>0</v>
      </c>
      <c r="O1759" s="425">
        <v>0</v>
      </c>
    </row>
    <row r="1760" spans="3:15" hidden="1" x14ac:dyDescent="0.3">
      <c r="C1760" t="s">
        <v>2295</v>
      </c>
      <c r="D1760" t="s">
        <v>2267</v>
      </c>
      <c r="E1760" t="s">
        <v>5718</v>
      </c>
      <c r="F1760" t="s">
        <v>5719</v>
      </c>
      <c r="G1760" s="425">
        <v>0</v>
      </c>
      <c r="H1760" s="425">
        <v>0</v>
      </c>
      <c r="I1760" s="425">
        <v>0</v>
      </c>
      <c r="J1760" s="425">
        <v>0</v>
      </c>
      <c r="K1760" s="425">
        <v>0</v>
      </c>
      <c r="L1760" s="425">
        <v>0</v>
      </c>
      <c r="M1760" s="425">
        <v>0</v>
      </c>
      <c r="N1760" s="425">
        <v>0</v>
      </c>
      <c r="O1760" s="425">
        <v>0</v>
      </c>
    </row>
    <row r="1761" spans="3:15" hidden="1" x14ac:dyDescent="0.3">
      <c r="C1761" t="s">
        <v>2295</v>
      </c>
      <c r="D1761" t="s">
        <v>2267</v>
      </c>
      <c r="E1761" t="s">
        <v>5720</v>
      </c>
      <c r="F1761" t="s">
        <v>5721</v>
      </c>
      <c r="G1761" s="425">
        <v>0</v>
      </c>
      <c r="H1761" s="425">
        <v>0</v>
      </c>
      <c r="I1761" s="425">
        <v>0</v>
      </c>
      <c r="J1761" s="425">
        <v>0</v>
      </c>
      <c r="K1761" s="425">
        <v>0</v>
      </c>
      <c r="L1761" s="425">
        <v>0</v>
      </c>
      <c r="M1761" s="425">
        <v>0</v>
      </c>
      <c r="N1761" s="425">
        <v>0</v>
      </c>
      <c r="O1761" s="425">
        <v>0</v>
      </c>
    </row>
    <row r="1762" spans="3:15" hidden="1" x14ac:dyDescent="0.3">
      <c r="C1762" t="s">
        <v>2295</v>
      </c>
      <c r="D1762" t="s">
        <v>2267</v>
      </c>
      <c r="E1762" t="s">
        <v>5722</v>
      </c>
      <c r="F1762" t="s">
        <v>5723</v>
      </c>
      <c r="G1762" s="425">
        <v>0</v>
      </c>
      <c r="H1762" s="425">
        <v>0</v>
      </c>
      <c r="I1762" s="425">
        <v>0</v>
      </c>
      <c r="J1762" s="425">
        <v>0</v>
      </c>
      <c r="K1762" s="425">
        <v>0</v>
      </c>
      <c r="L1762" s="425">
        <v>0</v>
      </c>
      <c r="M1762" s="425">
        <v>0</v>
      </c>
      <c r="N1762" s="425">
        <v>0</v>
      </c>
      <c r="O1762" s="425">
        <v>0</v>
      </c>
    </row>
    <row r="1763" spans="3:15" hidden="1" x14ac:dyDescent="0.3">
      <c r="C1763" t="s">
        <v>2295</v>
      </c>
      <c r="D1763" t="s">
        <v>2267</v>
      </c>
      <c r="E1763" t="s">
        <v>5724</v>
      </c>
      <c r="F1763" t="s">
        <v>5725</v>
      </c>
      <c r="G1763" s="425">
        <v>0</v>
      </c>
      <c r="H1763" s="425">
        <v>0</v>
      </c>
      <c r="I1763" s="425">
        <v>0</v>
      </c>
      <c r="J1763" s="425">
        <v>0</v>
      </c>
      <c r="K1763" s="425">
        <v>0</v>
      </c>
      <c r="L1763" s="425">
        <v>0</v>
      </c>
      <c r="M1763" s="425">
        <v>0</v>
      </c>
      <c r="N1763" s="425">
        <v>0</v>
      </c>
      <c r="O1763" s="425">
        <v>0</v>
      </c>
    </row>
    <row r="1764" spans="3:15" hidden="1" x14ac:dyDescent="0.3">
      <c r="C1764" t="s">
        <v>2295</v>
      </c>
      <c r="D1764" t="s">
        <v>2267</v>
      </c>
      <c r="E1764" t="s">
        <v>5726</v>
      </c>
      <c r="F1764" t="s">
        <v>5727</v>
      </c>
      <c r="G1764" s="425">
        <v>0</v>
      </c>
      <c r="H1764" s="425">
        <v>0</v>
      </c>
      <c r="I1764" s="425">
        <v>0</v>
      </c>
      <c r="J1764" s="425">
        <v>0</v>
      </c>
      <c r="K1764" s="425">
        <v>0</v>
      </c>
      <c r="L1764" s="425">
        <v>0</v>
      </c>
      <c r="M1764" s="425">
        <v>0</v>
      </c>
      <c r="N1764" s="425">
        <v>0</v>
      </c>
      <c r="O1764" s="425">
        <v>0</v>
      </c>
    </row>
    <row r="1765" spans="3:15" hidden="1" x14ac:dyDescent="0.3">
      <c r="C1765" t="s">
        <v>2295</v>
      </c>
      <c r="D1765" t="s">
        <v>2267</v>
      </c>
      <c r="E1765" t="s">
        <v>5728</v>
      </c>
      <c r="F1765" t="s">
        <v>5729</v>
      </c>
      <c r="G1765" s="425">
        <v>0</v>
      </c>
      <c r="H1765" s="425">
        <v>0</v>
      </c>
      <c r="I1765" s="425">
        <v>0</v>
      </c>
      <c r="J1765" s="425">
        <v>0</v>
      </c>
      <c r="K1765" s="425">
        <v>0</v>
      </c>
      <c r="L1765" s="425">
        <v>0</v>
      </c>
      <c r="M1765" s="425">
        <v>0</v>
      </c>
      <c r="N1765" s="425">
        <v>0</v>
      </c>
      <c r="O1765" s="425">
        <v>0</v>
      </c>
    </row>
    <row r="1766" spans="3:15" hidden="1" x14ac:dyDescent="0.3">
      <c r="C1766" t="s">
        <v>2295</v>
      </c>
      <c r="D1766" t="s">
        <v>2267</v>
      </c>
      <c r="E1766" t="s">
        <v>5730</v>
      </c>
      <c r="F1766" t="s">
        <v>5731</v>
      </c>
      <c r="G1766" s="425">
        <v>0</v>
      </c>
      <c r="H1766" s="425">
        <v>0</v>
      </c>
      <c r="I1766" s="425">
        <v>0</v>
      </c>
      <c r="J1766" s="425">
        <v>0</v>
      </c>
      <c r="K1766" s="425">
        <v>0</v>
      </c>
      <c r="L1766" s="425">
        <v>0</v>
      </c>
      <c r="M1766" s="425">
        <v>0</v>
      </c>
      <c r="N1766" s="425">
        <v>0</v>
      </c>
      <c r="O1766" s="425">
        <v>0</v>
      </c>
    </row>
    <row r="1767" spans="3:15" hidden="1" x14ac:dyDescent="0.3">
      <c r="C1767" t="s">
        <v>2295</v>
      </c>
      <c r="D1767" t="s">
        <v>2267</v>
      </c>
      <c r="E1767" t="s">
        <v>5732</v>
      </c>
      <c r="F1767" t="s">
        <v>5733</v>
      </c>
      <c r="G1767" s="425">
        <v>0</v>
      </c>
      <c r="H1767" s="425">
        <v>0</v>
      </c>
      <c r="I1767" s="425">
        <v>0</v>
      </c>
      <c r="J1767" s="425">
        <v>0</v>
      </c>
      <c r="K1767" s="425">
        <v>0</v>
      </c>
      <c r="L1767" s="425">
        <v>0</v>
      </c>
      <c r="M1767" s="425">
        <v>0</v>
      </c>
      <c r="N1767" s="425">
        <v>0</v>
      </c>
      <c r="O1767" s="425">
        <v>0</v>
      </c>
    </row>
    <row r="1768" spans="3:15" hidden="1" x14ac:dyDescent="0.3">
      <c r="C1768" t="s">
        <v>2295</v>
      </c>
      <c r="D1768" t="s">
        <v>2267</v>
      </c>
      <c r="E1768" t="s">
        <v>5734</v>
      </c>
      <c r="F1768" t="s">
        <v>5735</v>
      </c>
      <c r="G1768" s="425">
        <v>0</v>
      </c>
      <c r="H1768" s="425">
        <v>0</v>
      </c>
      <c r="I1768" s="425">
        <v>0</v>
      </c>
      <c r="J1768" s="425">
        <v>0</v>
      </c>
      <c r="K1768" s="425">
        <v>0</v>
      </c>
      <c r="L1768" s="425">
        <v>0</v>
      </c>
      <c r="M1768" s="425">
        <v>0</v>
      </c>
      <c r="N1768" s="425">
        <v>0</v>
      </c>
      <c r="O1768" s="425">
        <v>0</v>
      </c>
    </row>
    <row r="1769" spans="3:15" hidden="1" x14ac:dyDescent="0.3">
      <c r="C1769" t="s">
        <v>2295</v>
      </c>
      <c r="D1769" t="s">
        <v>2267</v>
      </c>
      <c r="E1769" t="s">
        <v>5736</v>
      </c>
      <c r="F1769" t="s">
        <v>5737</v>
      </c>
      <c r="G1769" s="425">
        <v>0</v>
      </c>
      <c r="H1769" s="425">
        <v>0</v>
      </c>
      <c r="I1769" s="425">
        <v>0</v>
      </c>
      <c r="J1769" s="425">
        <v>0</v>
      </c>
      <c r="K1769" s="425">
        <v>0</v>
      </c>
      <c r="L1769" s="425">
        <v>0</v>
      </c>
      <c r="M1769" s="425">
        <v>0</v>
      </c>
      <c r="N1769" s="425">
        <v>0</v>
      </c>
      <c r="O1769" s="425">
        <v>0</v>
      </c>
    </row>
    <row r="1770" spans="3:15" hidden="1" x14ac:dyDescent="0.3">
      <c r="C1770" t="s">
        <v>2295</v>
      </c>
      <c r="D1770" t="s">
        <v>2267</v>
      </c>
      <c r="E1770" t="s">
        <v>5738</v>
      </c>
      <c r="F1770" t="s">
        <v>5739</v>
      </c>
      <c r="G1770" s="425">
        <v>0</v>
      </c>
      <c r="H1770" s="425">
        <v>0</v>
      </c>
      <c r="I1770" s="425">
        <v>0</v>
      </c>
      <c r="J1770" s="425">
        <v>0</v>
      </c>
      <c r="K1770" s="425">
        <v>0</v>
      </c>
      <c r="L1770" s="425">
        <v>0</v>
      </c>
      <c r="M1770" s="425">
        <v>0</v>
      </c>
      <c r="N1770" s="425">
        <v>0</v>
      </c>
      <c r="O1770" s="425">
        <v>0</v>
      </c>
    </row>
    <row r="1771" spans="3:15" hidden="1" x14ac:dyDescent="0.3">
      <c r="C1771" t="s">
        <v>2295</v>
      </c>
      <c r="D1771" t="s">
        <v>2267</v>
      </c>
      <c r="E1771" t="s">
        <v>5740</v>
      </c>
      <c r="F1771" t="s">
        <v>5741</v>
      </c>
      <c r="G1771" s="425">
        <v>0</v>
      </c>
      <c r="H1771" s="425">
        <v>0</v>
      </c>
      <c r="I1771" s="425">
        <v>0</v>
      </c>
      <c r="J1771" s="425">
        <v>0</v>
      </c>
      <c r="K1771" s="425">
        <v>0</v>
      </c>
      <c r="L1771" s="425">
        <v>0</v>
      </c>
      <c r="M1771" s="425">
        <v>0</v>
      </c>
      <c r="N1771" s="425">
        <v>0</v>
      </c>
      <c r="O1771" s="425">
        <v>0</v>
      </c>
    </row>
    <row r="1772" spans="3:15" hidden="1" x14ac:dyDescent="0.3">
      <c r="C1772" t="s">
        <v>2295</v>
      </c>
      <c r="D1772" t="s">
        <v>2267</v>
      </c>
      <c r="E1772" t="s">
        <v>5742</v>
      </c>
      <c r="F1772" t="s">
        <v>5743</v>
      </c>
      <c r="G1772" s="425">
        <v>0</v>
      </c>
      <c r="H1772" s="425">
        <v>0</v>
      </c>
      <c r="I1772" s="425">
        <v>0</v>
      </c>
      <c r="J1772" s="425">
        <v>0</v>
      </c>
      <c r="K1772" s="425">
        <v>0</v>
      </c>
      <c r="L1772" s="425">
        <v>0</v>
      </c>
      <c r="M1772" s="425">
        <v>0</v>
      </c>
      <c r="N1772" s="425">
        <v>0</v>
      </c>
      <c r="O1772" s="425">
        <v>0</v>
      </c>
    </row>
    <row r="1773" spans="3:15" hidden="1" x14ac:dyDescent="0.3">
      <c r="C1773" t="s">
        <v>2295</v>
      </c>
      <c r="D1773" t="s">
        <v>2267</v>
      </c>
      <c r="E1773" t="s">
        <v>5744</v>
      </c>
      <c r="F1773" t="s">
        <v>5745</v>
      </c>
      <c r="G1773" s="425">
        <v>0</v>
      </c>
      <c r="H1773" s="425">
        <v>0</v>
      </c>
      <c r="I1773" s="425">
        <v>0</v>
      </c>
      <c r="J1773" s="425">
        <v>0</v>
      </c>
      <c r="K1773" s="425">
        <v>0</v>
      </c>
      <c r="L1773" s="425">
        <v>0</v>
      </c>
      <c r="M1773" s="425">
        <v>0</v>
      </c>
      <c r="N1773" s="425">
        <v>0</v>
      </c>
      <c r="O1773" s="425">
        <v>0</v>
      </c>
    </row>
    <row r="1774" spans="3:15" hidden="1" x14ac:dyDescent="0.3">
      <c r="C1774" t="s">
        <v>2295</v>
      </c>
      <c r="D1774" t="s">
        <v>2267</v>
      </c>
      <c r="E1774" t="s">
        <v>5746</v>
      </c>
      <c r="F1774" t="s">
        <v>5747</v>
      </c>
      <c r="G1774" s="425">
        <v>0</v>
      </c>
      <c r="H1774" s="425">
        <v>0</v>
      </c>
      <c r="I1774" s="425">
        <v>0</v>
      </c>
      <c r="J1774" s="425">
        <v>0</v>
      </c>
      <c r="K1774" s="425">
        <v>0</v>
      </c>
      <c r="L1774" s="425">
        <v>0</v>
      </c>
      <c r="M1774" s="425">
        <v>0</v>
      </c>
      <c r="N1774" s="425">
        <v>0</v>
      </c>
      <c r="O1774" s="425">
        <v>0</v>
      </c>
    </row>
    <row r="1775" spans="3:15" hidden="1" x14ac:dyDescent="0.3">
      <c r="C1775" t="s">
        <v>2295</v>
      </c>
      <c r="D1775" t="s">
        <v>2267</v>
      </c>
      <c r="E1775" t="s">
        <v>5748</v>
      </c>
      <c r="F1775" t="s">
        <v>5749</v>
      </c>
      <c r="G1775" s="425">
        <v>0</v>
      </c>
      <c r="H1775" s="425">
        <v>0</v>
      </c>
      <c r="I1775" s="425">
        <v>0</v>
      </c>
      <c r="J1775" s="425">
        <v>0</v>
      </c>
      <c r="K1775" s="425">
        <v>0</v>
      </c>
      <c r="L1775" s="425">
        <v>0</v>
      </c>
      <c r="M1775" s="425">
        <v>0</v>
      </c>
      <c r="N1775" s="425">
        <v>0</v>
      </c>
      <c r="O1775" s="425">
        <v>0</v>
      </c>
    </row>
    <row r="1776" spans="3:15" hidden="1" x14ac:dyDescent="0.3">
      <c r="C1776" t="s">
        <v>2295</v>
      </c>
      <c r="D1776" t="s">
        <v>2267</v>
      </c>
      <c r="E1776" t="s">
        <v>5750</v>
      </c>
      <c r="F1776" t="s">
        <v>5751</v>
      </c>
      <c r="G1776" s="425">
        <v>0</v>
      </c>
      <c r="H1776" s="425">
        <v>0</v>
      </c>
      <c r="I1776" s="425">
        <v>0</v>
      </c>
      <c r="J1776" s="425">
        <v>0</v>
      </c>
      <c r="K1776" s="425">
        <v>0</v>
      </c>
      <c r="L1776" s="425">
        <v>0</v>
      </c>
      <c r="M1776" s="425">
        <v>0</v>
      </c>
      <c r="N1776" s="425">
        <v>0</v>
      </c>
      <c r="O1776" s="425">
        <v>0</v>
      </c>
    </row>
    <row r="1777" spans="3:15" hidden="1" x14ac:dyDescent="0.3">
      <c r="C1777" t="s">
        <v>2295</v>
      </c>
      <c r="D1777" t="s">
        <v>2267</v>
      </c>
      <c r="E1777" t="s">
        <v>5752</v>
      </c>
      <c r="F1777" t="s">
        <v>5753</v>
      </c>
      <c r="G1777" s="425">
        <v>0</v>
      </c>
      <c r="H1777" s="425">
        <v>0</v>
      </c>
      <c r="I1777" s="425">
        <v>0</v>
      </c>
      <c r="J1777" s="425">
        <v>0</v>
      </c>
      <c r="K1777" s="425">
        <v>0</v>
      </c>
      <c r="L1777" s="425">
        <v>0</v>
      </c>
      <c r="M1777" s="425">
        <v>0</v>
      </c>
      <c r="N1777" s="425">
        <v>0</v>
      </c>
      <c r="O1777" s="425">
        <v>0</v>
      </c>
    </row>
    <row r="1778" spans="3:15" hidden="1" x14ac:dyDescent="0.3">
      <c r="C1778" t="s">
        <v>2295</v>
      </c>
      <c r="D1778" t="s">
        <v>2267</v>
      </c>
      <c r="E1778" t="s">
        <v>5754</v>
      </c>
      <c r="F1778" t="s">
        <v>5755</v>
      </c>
      <c r="G1778" s="425">
        <v>0</v>
      </c>
      <c r="H1778" s="425">
        <v>0</v>
      </c>
      <c r="I1778" s="425">
        <v>0</v>
      </c>
      <c r="J1778" s="425">
        <v>0</v>
      </c>
      <c r="K1778" s="425">
        <v>0</v>
      </c>
      <c r="L1778" s="425">
        <v>0</v>
      </c>
      <c r="M1778" s="425">
        <v>0</v>
      </c>
      <c r="N1778" s="425">
        <v>0</v>
      </c>
      <c r="O1778" s="425">
        <v>0</v>
      </c>
    </row>
    <row r="1779" spans="3:15" hidden="1" x14ac:dyDescent="0.3">
      <c r="C1779" t="s">
        <v>2295</v>
      </c>
      <c r="D1779" t="s">
        <v>2267</v>
      </c>
      <c r="E1779" t="s">
        <v>5756</v>
      </c>
      <c r="F1779" t="s">
        <v>5757</v>
      </c>
      <c r="G1779" s="425">
        <v>0</v>
      </c>
      <c r="H1779" s="425">
        <v>0</v>
      </c>
      <c r="I1779" s="425">
        <v>0</v>
      </c>
      <c r="J1779" s="425">
        <v>0</v>
      </c>
      <c r="K1779" s="425">
        <v>0</v>
      </c>
      <c r="L1779" s="425">
        <v>0</v>
      </c>
      <c r="M1779" s="425">
        <v>0</v>
      </c>
      <c r="N1779" s="425">
        <v>0</v>
      </c>
      <c r="O1779" s="425">
        <v>0</v>
      </c>
    </row>
    <row r="1780" spans="3:15" hidden="1" x14ac:dyDescent="0.3">
      <c r="C1780" t="s">
        <v>2295</v>
      </c>
      <c r="D1780" t="s">
        <v>2267</v>
      </c>
      <c r="E1780" t="s">
        <v>5758</v>
      </c>
      <c r="F1780" t="s">
        <v>5759</v>
      </c>
      <c r="G1780" s="425">
        <v>0</v>
      </c>
      <c r="H1780" s="425">
        <v>0</v>
      </c>
      <c r="I1780" s="425">
        <v>0</v>
      </c>
      <c r="J1780" s="425">
        <v>0</v>
      </c>
      <c r="K1780" s="425">
        <v>0</v>
      </c>
      <c r="L1780" s="425">
        <v>0</v>
      </c>
      <c r="M1780" s="425">
        <v>0</v>
      </c>
      <c r="N1780" s="425">
        <v>0</v>
      </c>
      <c r="O1780" s="425">
        <v>0</v>
      </c>
    </row>
    <row r="1781" spans="3:15" hidden="1" x14ac:dyDescent="0.3">
      <c r="C1781" t="s">
        <v>2295</v>
      </c>
      <c r="D1781" t="s">
        <v>2267</v>
      </c>
      <c r="E1781" t="s">
        <v>5760</v>
      </c>
      <c r="F1781" t="s">
        <v>5761</v>
      </c>
      <c r="G1781" s="425">
        <v>0</v>
      </c>
      <c r="H1781" s="425">
        <v>0</v>
      </c>
      <c r="I1781" s="425">
        <v>0</v>
      </c>
      <c r="J1781" s="425">
        <v>0</v>
      </c>
      <c r="K1781" s="425">
        <v>0</v>
      </c>
      <c r="L1781" s="425">
        <v>0</v>
      </c>
      <c r="M1781" s="425">
        <v>0</v>
      </c>
      <c r="N1781" s="425">
        <v>0</v>
      </c>
      <c r="O1781" s="425">
        <v>0</v>
      </c>
    </row>
    <row r="1782" spans="3:15" hidden="1" x14ac:dyDescent="0.3">
      <c r="C1782" t="s">
        <v>2295</v>
      </c>
      <c r="D1782" t="s">
        <v>2267</v>
      </c>
      <c r="E1782" t="s">
        <v>5762</v>
      </c>
      <c r="F1782" t="s">
        <v>5763</v>
      </c>
      <c r="G1782" s="425">
        <v>0</v>
      </c>
      <c r="H1782" s="425">
        <v>0</v>
      </c>
      <c r="I1782" s="425">
        <v>0</v>
      </c>
      <c r="J1782" s="425">
        <v>0</v>
      </c>
      <c r="K1782" s="425">
        <v>0</v>
      </c>
      <c r="L1782" s="425">
        <v>0</v>
      </c>
      <c r="M1782" s="425">
        <v>0</v>
      </c>
      <c r="N1782" s="425">
        <v>0</v>
      </c>
      <c r="O1782" s="425">
        <v>0</v>
      </c>
    </row>
    <row r="1783" spans="3:15" hidden="1" x14ac:dyDescent="0.3">
      <c r="C1783" t="s">
        <v>2295</v>
      </c>
      <c r="D1783" t="s">
        <v>2267</v>
      </c>
      <c r="E1783" t="s">
        <v>5764</v>
      </c>
      <c r="F1783" t="s">
        <v>5765</v>
      </c>
      <c r="G1783" s="425">
        <v>0</v>
      </c>
      <c r="H1783" s="425">
        <v>0</v>
      </c>
      <c r="I1783" s="425">
        <v>0</v>
      </c>
      <c r="J1783" s="425">
        <v>0</v>
      </c>
      <c r="K1783" s="425">
        <v>0</v>
      </c>
      <c r="L1783" s="425">
        <v>0</v>
      </c>
      <c r="M1783" s="425">
        <v>0</v>
      </c>
      <c r="N1783" s="425">
        <v>0</v>
      </c>
      <c r="O1783" s="425">
        <v>0</v>
      </c>
    </row>
    <row r="1784" spans="3:15" hidden="1" x14ac:dyDescent="0.3">
      <c r="C1784" t="s">
        <v>2295</v>
      </c>
      <c r="D1784" t="s">
        <v>2267</v>
      </c>
      <c r="E1784" t="s">
        <v>5766</v>
      </c>
      <c r="F1784" t="s">
        <v>5767</v>
      </c>
      <c r="G1784" s="425">
        <v>0</v>
      </c>
      <c r="H1784" s="425">
        <v>0</v>
      </c>
      <c r="I1784" s="425">
        <v>0</v>
      </c>
      <c r="J1784" s="425">
        <v>0</v>
      </c>
      <c r="K1784" s="425">
        <v>0</v>
      </c>
      <c r="L1784" s="425">
        <v>0</v>
      </c>
      <c r="M1784" s="425">
        <v>0</v>
      </c>
      <c r="N1784" s="425">
        <v>0</v>
      </c>
      <c r="O1784" s="425">
        <v>0</v>
      </c>
    </row>
    <row r="1785" spans="3:15" hidden="1" x14ac:dyDescent="0.3">
      <c r="C1785" t="s">
        <v>2295</v>
      </c>
      <c r="D1785" t="s">
        <v>2267</v>
      </c>
      <c r="E1785" t="s">
        <v>5768</v>
      </c>
      <c r="F1785" t="s">
        <v>5769</v>
      </c>
      <c r="G1785" s="425">
        <v>0</v>
      </c>
      <c r="H1785" s="425">
        <v>0</v>
      </c>
      <c r="I1785" s="425">
        <v>0</v>
      </c>
      <c r="J1785" s="425">
        <v>0</v>
      </c>
      <c r="K1785" s="425">
        <v>0</v>
      </c>
      <c r="L1785" s="425">
        <v>0</v>
      </c>
      <c r="M1785" s="425">
        <v>0</v>
      </c>
      <c r="N1785" s="425">
        <v>0</v>
      </c>
      <c r="O1785" s="425">
        <v>0</v>
      </c>
    </row>
    <row r="1786" spans="3:15" hidden="1" x14ac:dyDescent="0.3">
      <c r="C1786" t="s">
        <v>2295</v>
      </c>
      <c r="D1786" t="s">
        <v>2267</v>
      </c>
      <c r="E1786" t="s">
        <v>5770</v>
      </c>
      <c r="F1786" t="s">
        <v>5771</v>
      </c>
      <c r="G1786" s="425">
        <v>0</v>
      </c>
      <c r="H1786" s="425">
        <v>0</v>
      </c>
      <c r="I1786" s="425">
        <v>0</v>
      </c>
      <c r="J1786" s="425">
        <v>0</v>
      </c>
      <c r="K1786" s="425">
        <v>0</v>
      </c>
      <c r="L1786" s="425">
        <v>0</v>
      </c>
      <c r="M1786" s="425">
        <v>0</v>
      </c>
      <c r="N1786" s="425">
        <v>0</v>
      </c>
      <c r="O1786" s="425">
        <v>0</v>
      </c>
    </row>
    <row r="1787" spans="3:15" hidden="1" x14ac:dyDescent="0.3">
      <c r="C1787" t="s">
        <v>2295</v>
      </c>
      <c r="D1787" t="s">
        <v>2267</v>
      </c>
      <c r="E1787" t="s">
        <v>5772</v>
      </c>
      <c r="F1787" t="s">
        <v>5773</v>
      </c>
      <c r="G1787" s="425">
        <v>0</v>
      </c>
      <c r="H1787" s="425">
        <v>0</v>
      </c>
      <c r="I1787" s="425">
        <v>0</v>
      </c>
      <c r="J1787" s="425">
        <v>0</v>
      </c>
      <c r="K1787" s="425">
        <v>0</v>
      </c>
      <c r="L1787" s="425">
        <v>0</v>
      </c>
      <c r="M1787" s="425">
        <v>0</v>
      </c>
      <c r="N1787" s="425">
        <v>0</v>
      </c>
      <c r="O1787" s="425">
        <v>0</v>
      </c>
    </row>
    <row r="1788" spans="3:15" hidden="1" x14ac:dyDescent="0.3">
      <c r="C1788" t="s">
        <v>2295</v>
      </c>
      <c r="D1788" t="s">
        <v>2267</v>
      </c>
      <c r="E1788" t="s">
        <v>5774</v>
      </c>
      <c r="F1788" t="s">
        <v>5775</v>
      </c>
      <c r="G1788" s="425">
        <v>0</v>
      </c>
      <c r="H1788" s="425">
        <v>0</v>
      </c>
      <c r="I1788" s="425">
        <v>0</v>
      </c>
      <c r="J1788" s="425">
        <v>0</v>
      </c>
      <c r="K1788" s="425">
        <v>0</v>
      </c>
      <c r="L1788" s="425">
        <v>0</v>
      </c>
      <c r="M1788" s="425">
        <v>0</v>
      </c>
      <c r="N1788" s="425">
        <v>0</v>
      </c>
      <c r="O1788" s="425">
        <v>0</v>
      </c>
    </row>
    <row r="1789" spans="3:15" hidden="1" x14ac:dyDescent="0.3">
      <c r="C1789" t="s">
        <v>2295</v>
      </c>
      <c r="D1789" t="s">
        <v>2267</v>
      </c>
      <c r="E1789" t="s">
        <v>5776</v>
      </c>
      <c r="F1789" t="s">
        <v>5777</v>
      </c>
      <c r="G1789" s="425">
        <v>0</v>
      </c>
      <c r="H1789" s="425">
        <v>0</v>
      </c>
      <c r="I1789" s="425">
        <v>0</v>
      </c>
      <c r="J1789" s="425">
        <v>0</v>
      </c>
      <c r="K1789" s="425">
        <v>0</v>
      </c>
      <c r="L1789" s="425">
        <v>0</v>
      </c>
      <c r="M1789" s="425">
        <v>0</v>
      </c>
      <c r="N1789" s="425">
        <v>0</v>
      </c>
      <c r="O1789" s="425">
        <v>0</v>
      </c>
    </row>
    <row r="1790" spans="3:15" hidden="1" x14ac:dyDescent="0.3">
      <c r="C1790" t="s">
        <v>2295</v>
      </c>
      <c r="D1790" t="s">
        <v>2267</v>
      </c>
      <c r="E1790" t="s">
        <v>5778</v>
      </c>
      <c r="F1790" t="s">
        <v>5779</v>
      </c>
      <c r="G1790" s="425">
        <v>0</v>
      </c>
      <c r="H1790" s="425">
        <v>0</v>
      </c>
      <c r="I1790" s="425">
        <v>0</v>
      </c>
      <c r="J1790" s="425">
        <v>0</v>
      </c>
      <c r="K1790" s="425">
        <v>0</v>
      </c>
      <c r="L1790" s="425">
        <v>0</v>
      </c>
      <c r="M1790" s="425">
        <v>0</v>
      </c>
      <c r="N1790" s="425">
        <v>0</v>
      </c>
      <c r="O1790" s="425">
        <v>0</v>
      </c>
    </row>
    <row r="1791" spans="3:15" hidden="1" x14ac:dyDescent="0.3">
      <c r="C1791" t="s">
        <v>2295</v>
      </c>
      <c r="D1791" t="s">
        <v>2267</v>
      </c>
      <c r="E1791" t="s">
        <v>5780</v>
      </c>
      <c r="F1791" t="s">
        <v>5781</v>
      </c>
      <c r="G1791" s="425">
        <v>0</v>
      </c>
      <c r="H1791" s="425">
        <v>0</v>
      </c>
      <c r="I1791" s="425">
        <v>0</v>
      </c>
      <c r="J1791" s="425">
        <v>0</v>
      </c>
      <c r="K1791" s="425">
        <v>0</v>
      </c>
      <c r="L1791" s="425">
        <v>0</v>
      </c>
      <c r="M1791" s="425">
        <v>0</v>
      </c>
      <c r="N1791" s="425">
        <v>0</v>
      </c>
      <c r="O1791" s="425">
        <v>0</v>
      </c>
    </row>
    <row r="1792" spans="3:15" hidden="1" x14ac:dyDescent="0.3">
      <c r="C1792" t="s">
        <v>2295</v>
      </c>
      <c r="D1792" t="s">
        <v>2267</v>
      </c>
      <c r="E1792" t="s">
        <v>5782</v>
      </c>
      <c r="F1792" t="s">
        <v>5783</v>
      </c>
      <c r="G1792" s="425">
        <v>0</v>
      </c>
      <c r="H1792" s="425">
        <v>0</v>
      </c>
      <c r="I1792" s="425">
        <v>0</v>
      </c>
      <c r="J1792" s="425">
        <v>0</v>
      </c>
      <c r="K1792" s="425">
        <v>0</v>
      </c>
      <c r="L1792" s="425">
        <v>0</v>
      </c>
      <c r="M1792" s="425">
        <v>0</v>
      </c>
      <c r="N1792" s="425">
        <v>0</v>
      </c>
      <c r="O1792" s="425">
        <v>0</v>
      </c>
    </row>
    <row r="1793" spans="3:15" hidden="1" x14ac:dyDescent="0.3">
      <c r="C1793" t="s">
        <v>2295</v>
      </c>
      <c r="D1793" t="s">
        <v>2267</v>
      </c>
      <c r="E1793" t="s">
        <v>5784</v>
      </c>
      <c r="F1793" t="s">
        <v>5785</v>
      </c>
      <c r="G1793" s="425">
        <v>0</v>
      </c>
      <c r="H1793" s="425">
        <v>0</v>
      </c>
      <c r="I1793" s="425">
        <v>0</v>
      </c>
      <c r="J1793" s="425">
        <v>0</v>
      </c>
      <c r="K1793" s="425">
        <v>0</v>
      </c>
      <c r="L1793" s="425">
        <v>0</v>
      </c>
      <c r="M1793" s="425">
        <v>0</v>
      </c>
      <c r="N1793" s="425">
        <v>0</v>
      </c>
      <c r="O1793" s="425">
        <v>0</v>
      </c>
    </row>
    <row r="1794" spans="3:15" hidden="1" x14ac:dyDescent="0.3">
      <c r="C1794" t="s">
        <v>2295</v>
      </c>
      <c r="D1794" t="s">
        <v>2267</v>
      </c>
      <c r="E1794" t="s">
        <v>5786</v>
      </c>
      <c r="F1794" t="s">
        <v>5787</v>
      </c>
      <c r="G1794" s="425">
        <v>0</v>
      </c>
      <c r="H1794" s="425">
        <v>0</v>
      </c>
      <c r="I1794" s="425">
        <v>0</v>
      </c>
      <c r="J1794" s="425">
        <v>0</v>
      </c>
      <c r="K1794" s="425">
        <v>0</v>
      </c>
      <c r="L1794" s="425">
        <v>0</v>
      </c>
      <c r="M1794" s="425">
        <v>0</v>
      </c>
      <c r="N1794" s="425">
        <v>0</v>
      </c>
      <c r="O1794" s="425">
        <v>0</v>
      </c>
    </row>
    <row r="1795" spans="3:15" hidden="1" x14ac:dyDescent="0.3">
      <c r="C1795" t="s">
        <v>2295</v>
      </c>
      <c r="D1795" t="s">
        <v>2267</v>
      </c>
      <c r="E1795" t="s">
        <v>5788</v>
      </c>
      <c r="F1795" t="s">
        <v>5789</v>
      </c>
      <c r="G1795" s="425">
        <v>0</v>
      </c>
      <c r="H1795" s="425">
        <v>0</v>
      </c>
      <c r="I1795" s="425">
        <v>0</v>
      </c>
      <c r="J1795" s="425">
        <v>0</v>
      </c>
      <c r="K1795" s="425">
        <v>0</v>
      </c>
      <c r="L1795" s="425">
        <v>0</v>
      </c>
      <c r="M1795" s="425">
        <v>0</v>
      </c>
      <c r="N1795" s="425">
        <v>0</v>
      </c>
      <c r="O1795" s="425">
        <v>0</v>
      </c>
    </row>
    <row r="1796" spans="3:15" hidden="1" x14ac:dyDescent="0.3">
      <c r="C1796" t="s">
        <v>2295</v>
      </c>
      <c r="D1796" t="s">
        <v>2267</v>
      </c>
      <c r="E1796" t="s">
        <v>5790</v>
      </c>
      <c r="F1796" t="s">
        <v>5791</v>
      </c>
      <c r="G1796" s="425">
        <v>0</v>
      </c>
      <c r="H1796" s="425">
        <v>0</v>
      </c>
      <c r="I1796" s="425">
        <v>0</v>
      </c>
      <c r="J1796" s="425">
        <v>0</v>
      </c>
      <c r="K1796" s="425">
        <v>0</v>
      </c>
      <c r="L1796" s="425">
        <v>0</v>
      </c>
      <c r="M1796" s="425">
        <v>0</v>
      </c>
      <c r="N1796" s="425">
        <v>0</v>
      </c>
      <c r="O1796" s="425">
        <v>0</v>
      </c>
    </row>
    <row r="1797" spans="3:15" hidden="1" x14ac:dyDescent="0.3">
      <c r="C1797" t="s">
        <v>2295</v>
      </c>
      <c r="D1797" t="s">
        <v>2267</v>
      </c>
      <c r="E1797" t="s">
        <v>5792</v>
      </c>
      <c r="F1797" t="s">
        <v>5793</v>
      </c>
      <c r="G1797" s="425">
        <v>0</v>
      </c>
      <c r="H1797" s="425">
        <v>0</v>
      </c>
      <c r="I1797" s="425">
        <v>0</v>
      </c>
      <c r="J1797" s="425">
        <v>0</v>
      </c>
      <c r="K1797" s="425">
        <v>0</v>
      </c>
      <c r="L1797" s="425">
        <v>0</v>
      </c>
      <c r="M1797" s="425">
        <v>0</v>
      </c>
      <c r="N1797" s="425">
        <v>0</v>
      </c>
      <c r="O1797" s="425">
        <v>0</v>
      </c>
    </row>
    <row r="1798" spans="3:15" hidden="1" x14ac:dyDescent="0.3">
      <c r="C1798" t="s">
        <v>2295</v>
      </c>
      <c r="D1798" t="s">
        <v>2267</v>
      </c>
      <c r="E1798" t="s">
        <v>5794</v>
      </c>
      <c r="F1798" t="s">
        <v>5795</v>
      </c>
      <c r="G1798" s="425">
        <v>0</v>
      </c>
      <c r="H1798" s="425">
        <v>0</v>
      </c>
      <c r="I1798" s="425">
        <v>0</v>
      </c>
      <c r="J1798" s="425">
        <v>0</v>
      </c>
      <c r="K1798" s="425">
        <v>0</v>
      </c>
      <c r="L1798" s="425">
        <v>0</v>
      </c>
      <c r="M1798" s="425">
        <v>0</v>
      </c>
      <c r="N1798" s="425">
        <v>0</v>
      </c>
      <c r="O1798" s="425">
        <v>0</v>
      </c>
    </row>
    <row r="1799" spans="3:15" hidden="1" x14ac:dyDescent="0.3">
      <c r="C1799" t="s">
        <v>2295</v>
      </c>
      <c r="D1799" t="s">
        <v>2267</v>
      </c>
      <c r="E1799" t="s">
        <v>5796</v>
      </c>
      <c r="F1799" t="s">
        <v>5797</v>
      </c>
      <c r="G1799" s="425">
        <v>0</v>
      </c>
      <c r="H1799" s="425">
        <v>0</v>
      </c>
      <c r="I1799" s="425">
        <v>0</v>
      </c>
      <c r="J1799" s="425">
        <v>0</v>
      </c>
      <c r="K1799" s="425">
        <v>0</v>
      </c>
      <c r="L1799" s="425">
        <v>0</v>
      </c>
      <c r="M1799" s="425">
        <v>0</v>
      </c>
      <c r="N1799" s="425">
        <v>0</v>
      </c>
      <c r="O1799" s="425">
        <v>0</v>
      </c>
    </row>
    <row r="1800" spans="3:15" hidden="1" x14ac:dyDescent="0.3">
      <c r="C1800" t="s">
        <v>2295</v>
      </c>
      <c r="D1800" t="s">
        <v>2267</v>
      </c>
      <c r="E1800" t="s">
        <v>5798</v>
      </c>
      <c r="F1800" t="s">
        <v>5799</v>
      </c>
      <c r="G1800" s="425">
        <v>6430</v>
      </c>
      <c r="H1800" s="425">
        <v>0</v>
      </c>
      <c r="I1800" s="425">
        <v>6430</v>
      </c>
      <c r="J1800" s="425">
        <v>0</v>
      </c>
      <c r="K1800" s="425">
        <v>0</v>
      </c>
      <c r="L1800" s="425">
        <v>0</v>
      </c>
      <c r="M1800" s="425">
        <v>0</v>
      </c>
      <c r="N1800" s="425">
        <v>0</v>
      </c>
      <c r="O1800" s="425">
        <v>0</v>
      </c>
    </row>
    <row r="1801" spans="3:15" hidden="1" x14ac:dyDescent="0.3">
      <c r="C1801" t="s">
        <v>2295</v>
      </c>
      <c r="D1801" t="s">
        <v>2267</v>
      </c>
      <c r="E1801" t="s">
        <v>5800</v>
      </c>
      <c r="F1801" t="s">
        <v>5801</v>
      </c>
      <c r="G1801" s="425">
        <v>0</v>
      </c>
      <c r="H1801" s="425">
        <v>0</v>
      </c>
      <c r="I1801" s="425">
        <v>0</v>
      </c>
      <c r="J1801" s="425">
        <v>0</v>
      </c>
      <c r="K1801" s="425">
        <v>0</v>
      </c>
      <c r="L1801" s="425">
        <v>0</v>
      </c>
      <c r="M1801" s="425">
        <v>0</v>
      </c>
      <c r="N1801" s="425">
        <v>0</v>
      </c>
      <c r="O1801" s="425">
        <v>0</v>
      </c>
    </row>
    <row r="1802" spans="3:15" hidden="1" x14ac:dyDescent="0.3">
      <c r="C1802" t="s">
        <v>2295</v>
      </c>
      <c r="D1802" t="s">
        <v>2267</v>
      </c>
      <c r="E1802" t="s">
        <v>5802</v>
      </c>
      <c r="F1802" t="s">
        <v>5803</v>
      </c>
      <c r="G1802" s="425">
        <v>0</v>
      </c>
      <c r="H1802" s="425">
        <v>0</v>
      </c>
      <c r="I1802" s="425">
        <v>0</v>
      </c>
      <c r="J1802" s="425">
        <v>0</v>
      </c>
      <c r="K1802" s="425">
        <v>0</v>
      </c>
      <c r="L1802" s="425">
        <v>0</v>
      </c>
      <c r="M1802" s="425">
        <v>0</v>
      </c>
      <c r="N1802" s="425">
        <v>0</v>
      </c>
      <c r="O1802" s="425">
        <v>0</v>
      </c>
    </row>
    <row r="1803" spans="3:15" hidden="1" x14ac:dyDescent="0.3">
      <c r="C1803" t="s">
        <v>2295</v>
      </c>
      <c r="D1803" t="s">
        <v>2267</v>
      </c>
      <c r="E1803" t="s">
        <v>5804</v>
      </c>
      <c r="F1803" t="s">
        <v>5805</v>
      </c>
      <c r="G1803" s="425">
        <v>0</v>
      </c>
      <c r="H1803" s="425">
        <v>0</v>
      </c>
      <c r="I1803" s="425">
        <v>0</v>
      </c>
      <c r="J1803" s="425">
        <v>0</v>
      </c>
      <c r="K1803" s="425">
        <v>0</v>
      </c>
      <c r="L1803" s="425">
        <v>0</v>
      </c>
      <c r="M1803" s="425">
        <v>0</v>
      </c>
      <c r="N1803" s="425">
        <v>0</v>
      </c>
      <c r="O1803" s="425">
        <v>0</v>
      </c>
    </row>
    <row r="1804" spans="3:15" hidden="1" x14ac:dyDescent="0.3">
      <c r="C1804" t="s">
        <v>2295</v>
      </c>
      <c r="D1804" t="s">
        <v>2267</v>
      </c>
      <c r="E1804" t="s">
        <v>5806</v>
      </c>
      <c r="F1804" t="s">
        <v>5807</v>
      </c>
      <c r="G1804" s="425">
        <v>0</v>
      </c>
      <c r="H1804" s="425">
        <v>0</v>
      </c>
      <c r="I1804" s="425">
        <v>0</v>
      </c>
      <c r="J1804" s="425">
        <v>0</v>
      </c>
      <c r="K1804" s="425">
        <v>0</v>
      </c>
      <c r="L1804" s="425">
        <v>0</v>
      </c>
      <c r="M1804" s="425">
        <v>0</v>
      </c>
      <c r="N1804" s="425">
        <v>0</v>
      </c>
      <c r="O1804" s="425">
        <v>0</v>
      </c>
    </row>
    <row r="1805" spans="3:15" hidden="1" x14ac:dyDescent="0.3">
      <c r="C1805" t="s">
        <v>2295</v>
      </c>
      <c r="D1805" t="s">
        <v>2267</v>
      </c>
      <c r="E1805" t="s">
        <v>5808</v>
      </c>
      <c r="F1805" t="s">
        <v>5809</v>
      </c>
      <c r="G1805" s="425">
        <v>0</v>
      </c>
      <c r="H1805" s="425">
        <v>0</v>
      </c>
      <c r="I1805" s="425">
        <v>0</v>
      </c>
      <c r="J1805" s="425">
        <v>0</v>
      </c>
      <c r="K1805" s="425">
        <v>0</v>
      </c>
      <c r="L1805" s="425">
        <v>0</v>
      </c>
      <c r="M1805" s="425">
        <v>0</v>
      </c>
      <c r="N1805" s="425">
        <v>0</v>
      </c>
      <c r="O1805" s="425">
        <v>0</v>
      </c>
    </row>
    <row r="1806" spans="3:15" hidden="1" x14ac:dyDescent="0.3">
      <c r="C1806" t="s">
        <v>2295</v>
      </c>
      <c r="D1806" t="s">
        <v>2267</v>
      </c>
      <c r="E1806" t="s">
        <v>5810</v>
      </c>
      <c r="F1806" t="s">
        <v>5811</v>
      </c>
      <c r="G1806" s="425">
        <v>0</v>
      </c>
      <c r="H1806" s="425">
        <v>0</v>
      </c>
      <c r="I1806" s="425">
        <v>0</v>
      </c>
      <c r="J1806" s="425">
        <v>0</v>
      </c>
      <c r="K1806" s="425">
        <v>0</v>
      </c>
      <c r="L1806" s="425">
        <v>0</v>
      </c>
      <c r="M1806" s="425">
        <v>0</v>
      </c>
      <c r="N1806" s="425">
        <v>0</v>
      </c>
      <c r="O1806" s="425">
        <v>0</v>
      </c>
    </row>
    <row r="1807" spans="3:15" hidden="1" x14ac:dyDescent="0.3">
      <c r="C1807" t="s">
        <v>2295</v>
      </c>
      <c r="D1807" t="s">
        <v>2267</v>
      </c>
      <c r="E1807" t="s">
        <v>5812</v>
      </c>
      <c r="F1807" t="s">
        <v>5813</v>
      </c>
      <c r="G1807" s="425">
        <v>0</v>
      </c>
      <c r="H1807" s="425">
        <v>0</v>
      </c>
      <c r="I1807" s="425">
        <v>0</v>
      </c>
      <c r="J1807" s="425">
        <v>0</v>
      </c>
      <c r="K1807" s="425">
        <v>0</v>
      </c>
      <c r="L1807" s="425">
        <v>0</v>
      </c>
      <c r="M1807" s="425">
        <v>0</v>
      </c>
      <c r="N1807" s="425">
        <v>0</v>
      </c>
      <c r="O1807" s="425">
        <v>0</v>
      </c>
    </row>
    <row r="1808" spans="3:15" hidden="1" x14ac:dyDescent="0.3">
      <c r="C1808" t="s">
        <v>2295</v>
      </c>
      <c r="D1808" t="s">
        <v>2267</v>
      </c>
      <c r="E1808" t="s">
        <v>5814</v>
      </c>
      <c r="F1808" t="s">
        <v>5815</v>
      </c>
      <c r="G1808" s="425">
        <v>0</v>
      </c>
      <c r="H1808" s="425">
        <v>0</v>
      </c>
      <c r="I1808" s="425">
        <v>0</v>
      </c>
      <c r="J1808" s="425">
        <v>0</v>
      </c>
      <c r="K1808" s="425">
        <v>0</v>
      </c>
      <c r="L1808" s="425">
        <v>0</v>
      </c>
      <c r="M1808" s="425">
        <v>0</v>
      </c>
      <c r="N1808" s="425">
        <v>0</v>
      </c>
      <c r="O1808" s="425">
        <v>0</v>
      </c>
    </row>
    <row r="1809" spans="3:15" hidden="1" x14ac:dyDescent="0.3">
      <c r="C1809" t="s">
        <v>2295</v>
      </c>
      <c r="D1809" t="s">
        <v>2267</v>
      </c>
      <c r="E1809" t="s">
        <v>5816</v>
      </c>
      <c r="F1809" t="s">
        <v>5817</v>
      </c>
      <c r="G1809" s="425">
        <v>0</v>
      </c>
      <c r="H1809" s="425">
        <v>0</v>
      </c>
      <c r="I1809" s="425">
        <v>0</v>
      </c>
      <c r="J1809" s="425">
        <v>0</v>
      </c>
      <c r="K1809" s="425">
        <v>0</v>
      </c>
      <c r="L1809" s="425">
        <v>0</v>
      </c>
      <c r="M1809" s="425">
        <v>0</v>
      </c>
      <c r="N1809" s="425">
        <v>0</v>
      </c>
      <c r="O1809" s="425">
        <v>0</v>
      </c>
    </row>
    <row r="1810" spans="3:15" hidden="1" x14ac:dyDescent="0.3">
      <c r="C1810" t="s">
        <v>2295</v>
      </c>
      <c r="D1810" t="s">
        <v>2267</v>
      </c>
      <c r="E1810" t="s">
        <v>5818</v>
      </c>
      <c r="F1810" t="s">
        <v>5819</v>
      </c>
      <c r="G1810" s="425">
        <v>0</v>
      </c>
      <c r="H1810" s="425">
        <v>0</v>
      </c>
      <c r="I1810" s="425">
        <v>0</v>
      </c>
      <c r="J1810" s="425">
        <v>0</v>
      </c>
      <c r="K1810" s="425">
        <v>0</v>
      </c>
      <c r="L1810" s="425">
        <v>0</v>
      </c>
      <c r="M1810" s="425">
        <v>0</v>
      </c>
      <c r="N1810" s="425">
        <v>0</v>
      </c>
      <c r="O1810" s="425">
        <v>0</v>
      </c>
    </row>
    <row r="1811" spans="3:15" hidden="1" x14ac:dyDescent="0.3">
      <c r="C1811" t="s">
        <v>2295</v>
      </c>
      <c r="D1811" t="s">
        <v>2267</v>
      </c>
      <c r="E1811" t="s">
        <v>5820</v>
      </c>
      <c r="F1811" t="s">
        <v>5821</v>
      </c>
      <c r="G1811" s="425">
        <v>0</v>
      </c>
      <c r="H1811" s="425">
        <v>0</v>
      </c>
      <c r="I1811" s="425">
        <v>0</v>
      </c>
      <c r="J1811" s="425">
        <v>0</v>
      </c>
      <c r="K1811" s="425">
        <v>0</v>
      </c>
      <c r="L1811" s="425">
        <v>0</v>
      </c>
      <c r="M1811" s="425">
        <v>0</v>
      </c>
      <c r="N1811" s="425">
        <v>0</v>
      </c>
      <c r="O1811" s="425">
        <v>0</v>
      </c>
    </row>
    <row r="1812" spans="3:15" hidden="1" x14ac:dyDescent="0.3">
      <c r="C1812" t="s">
        <v>2295</v>
      </c>
      <c r="D1812" t="s">
        <v>2267</v>
      </c>
      <c r="E1812" t="s">
        <v>5822</v>
      </c>
      <c r="F1812" t="s">
        <v>5823</v>
      </c>
      <c r="G1812" s="425">
        <v>0</v>
      </c>
      <c r="H1812" s="425">
        <v>0</v>
      </c>
      <c r="I1812" s="425">
        <v>0</v>
      </c>
      <c r="J1812" s="425">
        <v>0</v>
      </c>
      <c r="K1812" s="425">
        <v>0</v>
      </c>
      <c r="L1812" s="425">
        <v>0</v>
      </c>
      <c r="M1812" s="425">
        <v>0</v>
      </c>
      <c r="N1812" s="425">
        <v>0</v>
      </c>
      <c r="O1812" s="425">
        <v>0</v>
      </c>
    </row>
    <row r="1813" spans="3:15" hidden="1" x14ac:dyDescent="0.3">
      <c r="C1813" t="s">
        <v>2295</v>
      </c>
      <c r="D1813" t="s">
        <v>2267</v>
      </c>
      <c r="E1813" t="s">
        <v>5824</v>
      </c>
      <c r="F1813" t="s">
        <v>5825</v>
      </c>
      <c r="G1813" s="425">
        <v>0</v>
      </c>
      <c r="H1813" s="425">
        <v>0</v>
      </c>
      <c r="I1813" s="425">
        <v>0</v>
      </c>
      <c r="J1813" s="425">
        <v>0</v>
      </c>
      <c r="K1813" s="425">
        <v>0</v>
      </c>
      <c r="L1813" s="425">
        <v>0</v>
      </c>
      <c r="M1813" s="425">
        <v>0</v>
      </c>
      <c r="N1813" s="425">
        <v>0</v>
      </c>
      <c r="O1813" s="425">
        <v>0</v>
      </c>
    </row>
    <row r="1814" spans="3:15" hidden="1" x14ac:dyDescent="0.3">
      <c r="C1814" t="s">
        <v>2295</v>
      </c>
      <c r="D1814" t="s">
        <v>2267</v>
      </c>
      <c r="E1814" t="s">
        <v>5826</v>
      </c>
      <c r="F1814" t="s">
        <v>5827</v>
      </c>
      <c r="G1814" s="425">
        <v>0</v>
      </c>
      <c r="H1814" s="425">
        <v>0</v>
      </c>
      <c r="I1814" s="425">
        <v>0</v>
      </c>
      <c r="J1814" s="425">
        <v>0</v>
      </c>
      <c r="K1814" s="425">
        <v>0</v>
      </c>
      <c r="L1814" s="425">
        <v>0</v>
      </c>
      <c r="M1814" s="425">
        <v>0</v>
      </c>
      <c r="N1814" s="425">
        <v>0</v>
      </c>
      <c r="O1814" s="425">
        <v>0</v>
      </c>
    </row>
    <row r="1815" spans="3:15" hidden="1" x14ac:dyDescent="0.3">
      <c r="C1815" t="s">
        <v>2295</v>
      </c>
      <c r="D1815" t="s">
        <v>2267</v>
      </c>
      <c r="E1815" t="s">
        <v>5828</v>
      </c>
      <c r="F1815" t="s">
        <v>5829</v>
      </c>
      <c r="G1815" s="425">
        <v>0</v>
      </c>
      <c r="H1815" s="425">
        <v>0</v>
      </c>
      <c r="I1815" s="425">
        <v>0</v>
      </c>
      <c r="J1815" s="425">
        <v>0</v>
      </c>
      <c r="K1815" s="425">
        <v>0</v>
      </c>
      <c r="L1815" s="425">
        <v>0</v>
      </c>
      <c r="M1815" s="425">
        <v>0</v>
      </c>
      <c r="N1815" s="425">
        <v>0</v>
      </c>
      <c r="O1815" s="425">
        <v>0</v>
      </c>
    </row>
    <row r="1816" spans="3:15" hidden="1" x14ac:dyDescent="0.3">
      <c r="C1816" t="s">
        <v>2295</v>
      </c>
      <c r="D1816" t="s">
        <v>2267</v>
      </c>
      <c r="E1816" t="s">
        <v>5830</v>
      </c>
      <c r="F1816" t="s">
        <v>5831</v>
      </c>
      <c r="G1816" s="425">
        <v>0</v>
      </c>
      <c r="H1816" s="425">
        <v>0</v>
      </c>
      <c r="I1816" s="425">
        <v>0</v>
      </c>
      <c r="J1816" s="425">
        <v>0</v>
      </c>
      <c r="K1816" s="425">
        <v>0</v>
      </c>
      <c r="L1816" s="425">
        <v>0</v>
      </c>
      <c r="M1816" s="425">
        <v>0</v>
      </c>
      <c r="N1816" s="425">
        <v>0</v>
      </c>
      <c r="O1816" s="425">
        <v>0</v>
      </c>
    </row>
    <row r="1817" spans="3:15" hidden="1" x14ac:dyDescent="0.3">
      <c r="C1817" t="s">
        <v>2295</v>
      </c>
      <c r="D1817" t="s">
        <v>2267</v>
      </c>
      <c r="E1817" t="s">
        <v>5832</v>
      </c>
      <c r="F1817" t="s">
        <v>5833</v>
      </c>
      <c r="G1817" s="425">
        <v>0</v>
      </c>
      <c r="H1817" s="425">
        <v>0</v>
      </c>
      <c r="I1817" s="425">
        <v>0</v>
      </c>
      <c r="J1817" s="425">
        <v>0</v>
      </c>
      <c r="K1817" s="425">
        <v>0</v>
      </c>
      <c r="L1817" s="425">
        <v>0</v>
      </c>
      <c r="M1817" s="425">
        <v>0</v>
      </c>
      <c r="N1817" s="425">
        <v>0</v>
      </c>
      <c r="O1817" s="425">
        <v>0</v>
      </c>
    </row>
    <row r="1818" spans="3:15" hidden="1" x14ac:dyDescent="0.3">
      <c r="C1818" t="s">
        <v>2295</v>
      </c>
      <c r="D1818" t="s">
        <v>2267</v>
      </c>
      <c r="E1818" t="s">
        <v>5834</v>
      </c>
      <c r="F1818" t="s">
        <v>5835</v>
      </c>
      <c r="G1818" s="425">
        <v>0</v>
      </c>
      <c r="H1818" s="425">
        <v>0</v>
      </c>
      <c r="I1818" s="425">
        <v>0</v>
      </c>
      <c r="J1818" s="425">
        <v>0</v>
      </c>
      <c r="K1818" s="425">
        <v>0</v>
      </c>
      <c r="L1818" s="425">
        <v>0</v>
      </c>
      <c r="M1818" s="425">
        <v>0</v>
      </c>
      <c r="N1818" s="425">
        <v>0</v>
      </c>
      <c r="O1818" s="425">
        <v>0</v>
      </c>
    </row>
    <row r="1819" spans="3:15" hidden="1" x14ac:dyDescent="0.3">
      <c r="C1819" t="s">
        <v>2295</v>
      </c>
      <c r="D1819" t="s">
        <v>2267</v>
      </c>
      <c r="E1819" t="s">
        <v>5836</v>
      </c>
      <c r="F1819" t="s">
        <v>5837</v>
      </c>
      <c r="G1819" s="425">
        <v>0</v>
      </c>
      <c r="H1819" s="425">
        <v>0</v>
      </c>
      <c r="I1819" s="425">
        <v>0</v>
      </c>
      <c r="J1819" s="425">
        <v>0</v>
      </c>
      <c r="K1819" s="425">
        <v>0</v>
      </c>
      <c r="L1819" s="425">
        <v>0</v>
      </c>
      <c r="M1819" s="425">
        <v>0</v>
      </c>
      <c r="N1819" s="425">
        <v>0</v>
      </c>
      <c r="O1819" s="425">
        <v>0</v>
      </c>
    </row>
    <row r="1820" spans="3:15" hidden="1" x14ac:dyDescent="0.3">
      <c r="C1820" t="s">
        <v>2295</v>
      </c>
      <c r="D1820" t="s">
        <v>2267</v>
      </c>
      <c r="E1820" t="s">
        <v>5838</v>
      </c>
      <c r="F1820" t="s">
        <v>5839</v>
      </c>
      <c r="G1820" s="425">
        <v>0</v>
      </c>
      <c r="H1820" s="425">
        <v>0</v>
      </c>
      <c r="I1820" s="425">
        <v>0</v>
      </c>
      <c r="J1820" s="425">
        <v>0</v>
      </c>
      <c r="K1820" s="425">
        <v>0</v>
      </c>
      <c r="L1820" s="425">
        <v>0</v>
      </c>
      <c r="M1820" s="425">
        <v>0</v>
      </c>
      <c r="N1820" s="425">
        <v>0</v>
      </c>
      <c r="O1820" s="425">
        <v>0</v>
      </c>
    </row>
    <row r="1821" spans="3:15" hidden="1" x14ac:dyDescent="0.3">
      <c r="C1821" t="s">
        <v>2295</v>
      </c>
      <c r="D1821" t="s">
        <v>2267</v>
      </c>
      <c r="E1821" t="s">
        <v>5840</v>
      </c>
      <c r="F1821" t="s">
        <v>5841</v>
      </c>
      <c r="G1821" s="425">
        <v>0</v>
      </c>
      <c r="H1821" s="425">
        <v>0</v>
      </c>
      <c r="I1821" s="425">
        <v>0</v>
      </c>
      <c r="J1821" s="425">
        <v>0</v>
      </c>
      <c r="K1821" s="425">
        <v>0</v>
      </c>
      <c r="L1821" s="425">
        <v>0</v>
      </c>
      <c r="M1821" s="425">
        <v>0</v>
      </c>
      <c r="N1821" s="425">
        <v>0</v>
      </c>
      <c r="O1821" s="425">
        <v>0</v>
      </c>
    </row>
    <row r="1822" spans="3:15" hidden="1" x14ac:dyDescent="0.3">
      <c r="C1822" t="s">
        <v>2295</v>
      </c>
      <c r="D1822" t="s">
        <v>2267</v>
      </c>
      <c r="E1822" t="s">
        <v>5842</v>
      </c>
      <c r="F1822" t="s">
        <v>5843</v>
      </c>
      <c r="G1822" s="425">
        <v>0</v>
      </c>
      <c r="H1822" s="425">
        <v>0</v>
      </c>
      <c r="I1822" s="425">
        <v>0</v>
      </c>
      <c r="J1822" s="425">
        <v>0</v>
      </c>
      <c r="K1822" s="425">
        <v>0</v>
      </c>
      <c r="L1822" s="425">
        <v>0</v>
      </c>
      <c r="M1822" s="425">
        <v>0</v>
      </c>
      <c r="N1822" s="425">
        <v>0</v>
      </c>
      <c r="O1822" s="425">
        <v>0</v>
      </c>
    </row>
    <row r="1823" spans="3:15" hidden="1" x14ac:dyDescent="0.3">
      <c r="C1823" t="s">
        <v>2295</v>
      </c>
      <c r="D1823" t="s">
        <v>2267</v>
      </c>
      <c r="E1823" t="s">
        <v>5844</v>
      </c>
      <c r="F1823" t="s">
        <v>5845</v>
      </c>
      <c r="G1823" s="425">
        <v>0</v>
      </c>
      <c r="H1823" s="425">
        <v>0</v>
      </c>
      <c r="I1823" s="425">
        <v>0</v>
      </c>
      <c r="J1823" s="425">
        <v>0</v>
      </c>
      <c r="K1823" s="425">
        <v>0</v>
      </c>
      <c r="L1823" s="425">
        <v>0</v>
      </c>
      <c r="M1823" s="425">
        <v>0</v>
      </c>
      <c r="N1823" s="425">
        <v>0</v>
      </c>
      <c r="O1823" s="425">
        <v>0</v>
      </c>
    </row>
    <row r="1824" spans="3:15" hidden="1" x14ac:dyDescent="0.3">
      <c r="C1824" t="s">
        <v>2295</v>
      </c>
      <c r="D1824" t="s">
        <v>2267</v>
      </c>
      <c r="E1824" t="s">
        <v>5846</v>
      </c>
      <c r="F1824" t="s">
        <v>5847</v>
      </c>
      <c r="G1824" s="425">
        <v>0</v>
      </c>
      <c r="H1824" s="425">
        <v>0</v>
      </c>
      <c r="I1824" s="425">
        <v>0</v>
      </c>
      <c r="J1824" s="425">
        <v>0</v>
      </c>
      <c r="K1824" s="425">
        <v>0</v>
      </c>
      <c r="L1824" s="425">
        <v>0</v>
      </c>
      <c r="M1824" s="425">
        <v>0</v>
      </c>
      <c r="N1824" s="425">
        <v>0</v>
      </c>
      <c r="O1824" s="425">
        <v>0</v>
      </c>
    </row>
    <row r="1825" spans="3:15" hidden="1" x14ac:dyDescent="0.3">
      <c r="C1825" t="s">
        <v>2295</v>
      </c>
      <c r="D1825" t="s">
        <v>2267</v>
      </c>
      <c r="E1825" t="s">
        <v>5848</v>
      </c>
      <c r="F1825" t="s">
        <v>5849</v>
      </c>
      <c r="G1825" s="425">
        <v>0</v>
      </c>
      <c r="H1825" s="425">
        <v>0</v>
      </c>
      <c r="I1825" s="425">
        <v>0</v>
      </c>
      <c r="J1825" s="425">
        <v>0</v>
      </c>
      <c r="K1825" s="425">
        <v>0</v>
      </c>
      <c r="L1825" s="425">
        <v>0</v>
      </c>
      <c r="M1825" s="425">
        <v>0</v>
      </c>
      <c r="N1825" s="425">
        <v>0</v>
      </c>
      <c r="O1825" s="425">
        <v>0</v>
      </c>
    </row>
    <row r="1826" spans="3:15" hidden="1" x14ac:dyDescent="0.3">
      <c r="C1826" t="s">
        <v>2295</v>
      </c>
      <c r="D1826" t="s">
        <v>2267</v>
      </c>
      <c r="E1826" t="s">
        <v>5850</v>
      </c>
      <c r="F1826" t="s">
        <v>5851</v>
      </c>
      <c r="G1826" s="425">
        <v>0</v>
      </c>
      <c r="H1826" s="425">
        <v>0</v>
      </c>
      <c r="I1826" s="425">
        <v>0</v>
      </c>
      <c r="J1826" s="425">
        <v>0</v>
      </c>
      <c r="K1826" s="425">
        <v>0</v>
      </c>
      <c r="L1826" s="425">
        <v>0</v>
      </c>
      <c r="M1826" s="425">
        <v>0</v>
      </c>
      <c r="N1826" s="425">
        <v>0</v>
      </c>
      <c r="O1826" s="425">
        <v>0</v>
      </c>
    </row>
    <row r="1827" spans="3:15" hidden="1" x14ac:dyDescent="0.3">
      <c r="C1827" t="s">
        <v>2295</v>
      </c>
      <c r="D1827" t="s">
        <v>2267</v>
      </c>
      <c r="E1827" t="s">
        <v>5852</v>
      </c>
      <c r="F1827" t="s">
        <v>5853</v>
      </c>
      <c r="G1827" s="425">
        <v>0</v>
      </c>
      <c r="H1827" s="425">
        <v>0</v>
      </c>
      <c r="I1827" s="425">
        <v>0</v>
      </c>
      <c r="J1827" s="425">
        <v>0</v>
      </c>
      <c r="K1827" s="425">
        <v>0</v>
      </c>
      <c r="L1827" s="425">
        <v>0</v>
      </c>
      <c r="M1827" s="425">
        <v>0</v>
      </c>
      <c r="N1827" s="425">
        <v>0</v>
      </c>
      <c r="O1827" s="425">
        <v>0</v>
      </c>
    </row>
    <row r="1828" spans="3:15" hidden="1" x14ac:dyDescent="0.3">
      <c r="C1828" t="s">
        <v>2295</v>
      </c>
      <c r="D1828" t="s">
        <v>2267</v>
      </c>
      <c r="E1828" t="s">
        <v>5854</v>
      </c>
      <c r="F1828" t="s">
        <v>5855</v>
      </c>
      <c r="G1828" s="425">
        <v>0</v>
      </c>
      <c r="H1828" s="425">
        <v>0</v>
      </c>
      <c r="I1828" s="425">
        <v>0</v>
      </c>
      <c r="J1828" s="425">
        <v>0</v>
      </c>
      <c r="K1828" s="425">
        <v>0</v>
      </c>
      <c r="L1828" s="425">
        <v>0</v>
      </c>
      <c r="M1828" s="425">
        <v>0</v>
      </c>
      <c r="N1828" s="425">
        <v>0</v>
      </c>
      <c r="O1828" s="425">
        <v>0</v>
      </c>
    </row>
    <row r="1829" spans="3:15" hidden="1" x14ac:dyDescent="0.3">
      <c r="C1829" t="s">
        <v>2295</v>
      </c>
      <c r="D1829" t="s">
        <v>2267</v>
      </c>
      <c r="E1829" t="s">
        <v>5856</v>
      </c>
      <c r="F1829" t="s">
        <v>5857</v>
      </c>
      <c r="G1829" s="425">
        <v>0</v>
      </c>
      <c r="H1829" s="425">
        <v>0</v>
      </c>
      <c r="I1829" s="425">
        <v>0</v>
      </c>
      <c r="J1829" s="425">
        <v>0</v>
      </c>
      <c r="K1829" s="425">
        <v>0</v>
      </c>
      <c r="L1829" s="425">
        <v>0</v>
      </c>
      <c r="M1829" s="425">
        <v>0</v>
      </c>
      <c r="N1829" s="425">
        <v>0</v>
      </c>
      <c r="O1829" s="425">
        <v>0</v>
      </c>
    </row>
    <row r="1830" spans="3:15" hidden="1" x14ac:dyDescent="0.3">
      <c r="C1830" t="s">
        <v>2295</v>
      </c>
      <c r="D1830" t="s">
        <v>2267</v>
      </c>
      <c r="E1830" t="s">
        <v>5858</v>
      </c>
      <c r="F1830" t="s">
        <v>5859</v>
      </c>
      <c r="G1830" s="425">
        <v>0</v>
      </c>
      <c r="H1830" s="425">
        <v>0</v>
      </c>
      <c r="I1830" s="425">
        <v>0</v>
      </c>
      <c r="J1830" s="425">
        <v>0</v>
      </c>
      <c r="K1830" s="425">
        <v>0</v>
      </c>
      <c r="L1830" s="425">
        <v>0</v>
      </c>
      <c r="M1830" s="425">
        <v>0</v>
      </c>
      <c r="N1830" s="425">
        <v>0</v>
      </c>
      <c r="O1830" s="425">
        <v>0</v>
      </c>
    </row>
    <row r="1831" spans="3:15" hidden="1" x14ac:dyDescent="0.3">
      <c r="C1831" t="s">
        <v>2295</v>
      </c>
      <c r="D1831" t="s">
        <v>2267</v>
      </c>
      <c r="E1831" t="s">
        <v>5860</v>
      </c>
      <c r="F1831" t="s">
        <v>5861</v>
      </c>
      <c r="G1831" s="425">
        <v>0</v>
      </c>
      <c r="H1831" s="425">
        <v>0</v>
      </c>
      <c r="I1831" s="425">
        <v>0</v>
      </c>
      <c r="J1831" s="425">
        <v>0</v>
      </c>
      <c r="K1831" s="425">
        <v>0</v>
      </c>
      <c r="L1831" s="425">
        <v>0</v>
      </c>
      <c r="M1831" s="425">
        <v>0</v>
      </c>
      <c r="N1831" s="425">
        <v>0</v>
      </c>
      <c r="O1831" s="425">
        <v>0</v>
      </c>
    </row>
    <row r="1832" spans="3:15" hidden="1" x14ac:dyDescent="0.3">
      <c r="C1832" t="s">
        <v>2295</v>
      </c>
      <c r="D1832" t="s">
        <v>2267</v>
      </c>
      <c r="E1832" t="s">
        <v>5862</v>
      </c>
      <c r="F1832" t="s">
        <v>5863</v>
      </c>
      <c r="G1832" s="425">
        <v>0</v>
      </c>
      <c r="H1832" s="425">
        <v>0</v>
      </c>
      <c r="I1832" s="425">
        <v>0</v>
      </c>
      <c r="J1832" s="425">
        <v>0</v>
      </c>
      <c r="K1832" s="425">
        <v>0</v>
      </c>
      <c r="L1832" s="425">
        <v>0</v>
      </c>
      <c r="M1832" s="425">
        <v>0</v>
      </c>
      <c r="N1832" s="425">
        <v>0</v>
      </c>
      <c r="O1832" s="425">
        <v>0</v>
      </c>
    </row>
    <row r="1833" spans="3:15" hidden="1" x14ac:dyDescent="0.3">
      <c r="C1833" t="s">
        <v>2295</v>
      </c>
      <c r="D1833" t="s">
        <v>2267</v>
      </c>
      <c r="E1833" t="s">
        <v>5864</v>
      </c>
      <c r="F1833" t="s">
        <v>5865</v>
      </c>
      <c r="G1833" s="425">
        <v>0</v>
      </c>
      <c r="H1833" s="425">
        <v>0</v>
      </c>
      <c r="I1833" s="425">
        <v>0</v>
      </c>
      <c r="J1833" s="425">
        <v>0</v>
      </c>
      <c r="K1833" s="425">
        <v>0</v>
      </c>
      <c r="L1833" s="425">
        <v>0</v>
      </c>
      <c r="M1833" s="425">
        <v>0</v>
      </c>
      <c r="N1833" s="425">
        <v>0</v>
      </c>
      <c r="O1833" s="425">
        <v>0</v>
      </c>
    </row>
    <row r="1834" spans="3:15" hidden="1" x14ac:dyDescent="0.3">
      <c r="C1834" t="s">
        <v>2295</v>
      </c>
      <c r="D1834" t="s">
        <v>2267</v>
      </c>
      <c r="E1834" t="s">
        <v>5866</v>
      </c>
      <c r="F1834" t="s">
        <v>5867</v>
      </c>
      <c r="G1834" s="425">
        <v>0</v>
      </c>
      <c r="H1834" s="425">
        <v>0</v>
      </c>
      <c r="I1834" s="425">
        <v>0</v>
      </c>
      <c r="J1834" s="425">
        <v>0</v>
      </c>
      <c r="K1834" s="425">
        <v>0</v>
      </c>
      <c r="L1834" s="425">
        <v>0</v>
      </c>
      <c r="M1834" s="425">
        <v>0</v>
      </c>
      <c r="N1834" s="425">
        <v>0</v>
      </c>
      <c r="O1834" s="425">
        <v>0</v>
      </c>
    </row>
    <row r="1835" spans="3:15" hidden="1" x14ac:dyDescent="0.3">
      <c r="C1835" t="s">
        <v>2295</v>
      </c>
      <c r="D1835" t="s">
        <v>2267</v>
      </c>
      <c r="E1835" t="s">
        <v>5868</v>
      </c>
      <c r="F1835" t="s">
        <v>5869</v>
      </c>
      <c r="G1835" s="425">
        <v>0</v>
      </c>
      <c r="H1835" s="425">
        <v>0</v>
      </c>
      <c r="I1835" s="425">
        <v>0</v>
      </c>
      <c r="J1835" s="425">
        <v>0</v>
      </c>
      <c r="K1835" s="425">
        <v>0</v>
      </c>
      <c r="L1835" s="425">
        <v>0</v>
      </c>
      <c r="M1835" s="425">
        <v>0</v>
      </c>
      <c r="N1835" s="425">
        <v>0</v>
      </c>
      <c r="O1835" s="425">
        <v>0</v>
      </c>
    </row>
    <row r="1836" spans="3:15" hidden="1" x14ac:dyDescent="0.3">
      <c r="C1836" t="s">
        <v>2295</v>
      </c>
      <c r="D1836" t="s">
        <v>2267</v>
      </c>
      <c r="E1836" t="s">
        <v>5870</v>
      </c>
      <c r="F1836" t="s">
        <v>5871</v>
      </c>
      <c r="G1836" s="425">
        <v>0</v>
      </c>
      <c r="H1836" s="425">
        <v>0</v>
      </c>
      <c r="I1836" s="425">
        <v>0</v>
      </c>
      <c r="J1836" s="425">
        <v>0</v>
      </c>
      <c r="K1836" s="425">
        <v>0</v>
      </c>
      <c r="L1836" s="425">
        <v>0</v>
      </c>
      <c r="M1836" s="425">
        <v>0</v>
      </c>
      <c r="N1836" s="425">
        <v>0</v>
      </c>
      <c r="O1836" s="425">
        <v>0</v>
      </c>
    </row>
    <row r="1837" spans="3:15" hidden="1" x14ac:dyDescent="0.3">
      <c r="C1837" t="s">
        <v>2295</v>
      </c>
      <c r="D1837" t="s">
        <v>2267</v>
      </c>
      <c r="E1837" t="s">
        <v>5872</v>
      </c>
      <c r="F1837" t="s">
        <v>5873</v>
      </c>
      <c r="G1837" s="425">
        <v>0</v>
      </c>
      <c r="H1837" s="425">
        <v>0</v>
      </c>
      <c r="I1837" s="425">
        <v>0</v>
      </c>
      <c r="J1837" s="425">
        <v>0</v>
      </c>
      <c r="K1837" s="425">
        <v>0</v>
      </c>
      <c r="L1837" s="425">
        <v>0</v>
      </c>
      <c r="M1837" s="425">
        <v>0</v>
      </c>
      <c r="N1837" s="425">
        <v>0</v>
      </c>
      <c r="O1837" s="425">
        <v>0</v>
      </c>
    </row>
    <row r="1838" spans="3:15" hidden="1" x14ac:dyDescent="0.3">
      <c r="C1838" t="s">
        <v>2295</v>
      </c>
      <c r="D1838" t="s">
        <v>2267</v>
      </c>
      <c r="E1838" t="s">
        <v>5874</v>
      </c>
      <c r="F1838" t="s">
        <v>5875</v>
      </c>
      <c r="G1838" s="425">
        <v>0</v>
      </c>
      <c r="H1838" s="425">
        <v>0</v>
      </c>
      <c r="I1838" s="425">
        <v>0</v>
      </c>
      <c r="J1838" s="425">
        <v>0</v>
      </c>
      <c r="K1838" s="425">
        <v>0</v>
      </c>
      <c r="L1838" s="425">
        <v>0</v>
      </c>
      <c r="M1838" s="425">
        <v>0</v>
      </c>
      <c r="N1838" s="425">
        <v>0</v>
      </c>
      <c r="O1838" s="425">
        <v>0</v>
      </c>
    </row>
    <row r="1839" spans="3:15" hidden="1" x14ac:dyDescent="0.3">
      <c r="C1839" t="s">
        <v>2295</v>
      </c>
      <c r="D1839" t="s">
        <v>2267</v>
      </c>
      <c r="E1839" t="s">
        <v>5876</v>
      </c>
      <c r="F1839" t="s">
        <v>5877</v>
      </c>
      <c r="G1839" s="425">
        <v>0</v>
      </c>
      <c r="H1839" s="425">
        <v>0</v>
      </c>
      <c r="I1839" s="425">
        <v>0</v>
      </c>
      <c r="J1839" s="425">
        <v>0</v>
      </c>
      <c r="K1839" s="425">
        <v>0</v>
      </c>
      <c r="L1839" s="425">
        <v>0</v>
      </c>
      <c r="M1839" s="425">
        <v>0</v>
      </c>
      <c r="N1839" s="425">
        <v>0</v>
      </c>
      <c r="O1839" s="425">
        <v>0</v>
      </c>
    </row>
    <row r="1840" spans="3:15" hidden="1" x14ac:dyDescent="0.3">
      <c r="C1840" t="s">
        <v>2295</v>
      </c>
      <c r="D1840" t="s">
        <v>2267</v>
      </c>
      <c r="E1840" t="s">
        <v>5878</v>
      </c>
      <c r="F1840" t="s">
        <v>5879</v>
      </c>
      <c r="G1840" s="425">
        <v>0</v>
      </c>
      <c r="H1840" s="425">
        <v>0</v>
      </c>
      <c r="I1840" s="425">
        <v>0</v>
      </c>
      <c r="J1840" s="425">
        <v>0</v>
      </c>
      <c r="K1840" s="425">
        <v>0</v>
      </c>
      <c r="L1840" s="425">
        <v>0</v>
      </c>
      <c r="M1840" s="425">
        <v>0</v>
      </c>
      <c r="N1840" s="425">
        <v>0</v>
      </c>
      <c r="O1840" s="425">
        <v>0</v>
      </c>
    </row>
    <row r="1841" spans="3:15" hidden="1" x14ac:dyDescent="0.3">
      <c r="C1841" t="s">
        <v>2295</v>
      </c>
      <c r="D1841" t="s">
        <v>2267</v>
      </c>
      <c r="E1841" t="s">
        <v>5880</v>
      </c>
      <c r="F1841" t="s">
        <v>5881</v>
      </c>
      <c r="G1841" s="425">
        <v>0</v>
      </c>
      <c r="H1841" s="425">
        <v>0</v>
      </c>
      <c r="I1841" s="425">
        <v>0</v>
      </c>
      <c r="J1841" s="425">
        <v>0</v>
      </c>
      <c r="K1841" s="425">
        <v>0</v>
      </c>
      <c r="L1841" s="425">
        <v>0</v>
      </c>
      <c r="M1841" s="425">
        <v>0</v>
      </c>
      <c r="N1841" s="425">
        <v>0</v>
      </c>
      <c r="O1841" s="425">
        <v>0</v>
      </c>
    </row>
    <row r="1842" spans="3:15" hidden="1" x14ac:dyDescent="0.3">
      <c r="C1842" t="s">
        <v>2295</v>
      </c>
      <c r="D1842" t="s">
        <v>2267</v>
      </c>
      <c r="E1842" t="s">
        <v>5882</v>
      </c>
      <c r="F1842" t="s">
        <v>5883</v>
      </c>
      <c r="G1842" s="425">
        <v>0</v>
      </c>
      <c r="H1842" s="425">
        <v>0</v>
      </c>
      <c r="I1842" s="425">
        <v>0</v>
      </c>
      <c r="J1842" s="425">
        <v>0</v>
      </c>
      <c r="K1842" s="425">
        <v>0</v>
      </c>
      <c r="L1842" s="425">
        <v>0</v>
      </c>
      <c r="M1842" s="425">
        <v>0</v>
      </c>
      <c r="N1842" s="425">
        <v>0</v>
      </c>
      <c r="O1842" s="425">
        <v>0</v>
      </c>
    </row>
    <row r="1843" spans="3:15" hidden="1" x14ac:dyDescent="0.3">
      <c r="C1843" t="s">
        <v>2295</v>
      </c>
      <c r="D1843" t="s">
        <v>2267</v>
      </c>
      <c r="E1843" t="s">
        <v>5884</v>
      </c>
      <c r="F1843" t="s">
        <v>5885</v>
      </c>
      <c r="G1843" s="425">
        <v>0</v>
      </c>
      <c r="H1843" s="425">
        <v>0</v>
      </c>
      <c r="I1843" s="425">
        <v>0</v>
      </c>
      <c r="J1843" s="425">
        <v>0</v>
      </c>
      <c r="K1843" s="425">
        <v>0</v>
      </c>
      <c r="L1843" s="425">
        <v>0</v>
      </c>
      <c r="M1843" s="425">
        <v>0</v>
      </c>
      <c r="N1843" s="425">
        <v>0</v>
      </c>
      <c r="O1843" s="425">
        <v>0</v>
      </c>
    </row>
    <row r="1844" spans="3:15" hidden="1" x14ac:dyDescent="0.3">
      <c r="C1844" t="s">
        <v>2295</v>
      </c>
      <c r="D1844" t="s">
        <v>2267</v>
      </c>
      <c r="E1844" t="s">
        <v>5886</v>
      </c>
      <c r="F1844" t="s">
        <v>5887</v>
      </c>
      <c r="G1844" s="425">
        <v>0</v>
      </c>
      <c r="H1844" s="425">
        <v>0</v>
      </c>
      <c r="I1844" s="425">
        <v>0</v>
      </c>
      <c r="J1844" s="425">
        <v>0</v>
      </c>
      <c r="K1844" s="425">
        <v>0</v>
      </c>
      <c r="L1844" s="425">
        <v>0</v>
      </c>
      <c r="M1844" s="425">
        <v>0</v>
      </c>
      <c r="N1844" s="425">
        <v>0</v>
      </c>
      <c r="O1844" s="425">
        <v>0</v>
      </c>
    </row>
    <row r="1845" spans="3:15" hidden="1" x14ac:dyDescent="0.3">
      <c r="C1845" t="s">
        <v>2295</v>
      </c>
      <c r="D1845" t="s">
        <v>2267</v>
      </c>
      <c r="E1845" t="s">
        <v>5888</v>
      </c>
      <c r="F1845" t="s">
        <v>5889</v>
      </c>
      <c r="G1845" s="425">
        <v>0</v>
      </c>
      <c r="H1845" s="425">
        <v>0</v>
      </c>
      <c r="I1845" s="425">
        <v>0</v>
      </c>
      <c r="J1845" s="425">
        <v>0</v>
      </c>
      <c r="K1845" s="425">
        <v>0</v>
      </c>
      <c r="L1845" s="425">
        <v>0</v>
      </c>
      <c r="M1845" s="425">
        <v>0</v>
      </c>
      <c r="N1845" s="425">
        <v>0</v>
      </c>
      <c r="O1845" s="425">
        <v>0</v>
      </c>
    </row>
    <row r="1846" spans="3:15" hidden="1" x14ac:dyDescent="0.3">
      <c r="C1846" t="s">
        <v>2295</v>
      </c>
      <c r="D1846" t="s">
        <v>2267</v>
      </c>
      <c r="E1846" t="s">
        <v>5890</v>
      </c>
      <c r="F1846" t="s">
        <v>5891</v>
      </c>
      <c r="G1846" s="425">
        <v>0</v>
      </c>
      <c r="H1846" s="425">
        <v>0</v>
      </c>
      <c r="I1846" s="425">
        <v>0</v>
      </c>
      <c r="J1846" s="425">
        <v>0</v>
      </c>
      <c r="K1846" s="425">
        <v>0</v>
      </c>
      <c r="L1846" s="425">
        <v>0</v>
      </c>
      <c r="M1846" s="425">
        <v>0</v>
      </c>
      <c r="N1846" s="425">
        <v>0</v>
      </c>
      <c r="O1846" s="425">
        <v>0</v>
      </c>
    </row>
    <row r="1847" spans="3:15" hidden="1" x14ac:dyDescent="0.3">
      <c r="C1847" t="s">
        <v>2295</v>
      </c>
      <c r="D1847" t="s">
        <v>2267</v>
      </c>
      <c r="E1847" t="s">
        <v>5892</v>
      </c>
      <c r="F1847" t="s">
        <v>5893</v>
      </c>
      <c r="G1847" s="425">
        <v>0</v>
      </c>
      <c r="H1847" s="425">
        <v>0</v>
      </c>
      <c r="I1847" s="425">
        <v>0</v>
      </c>
      <c r="J1847" s="425">
        <v>0</v>
      </c>
      <c r="K1847" s="425">
        <v>0</v>
      </c>
      <c r="L1847" s="425">
        <v>0</v>
      </c>
      <c r="M1847" s="425">
        <v>0</v>
      </c>
      <c r="N1847" s="425">
        <v>0</v>
      </c>
      <c r="O1847" s="425">
        <v>0</v>
      </c>
    </row>
    <row r="1848" spans="3:15" hidden="1" x14ac:dyDescent="0.3">
      <c r="C1848" t="s">
        <v>2295</v>
      </c>
      <c r="D1848" t="s">
        <v>2267</v>
      </c>
      <c r="E1848" t="s">
        <v>5894</v>
      </c>
      <c r="F1848" t="s">
        <v>5895</v>
      </c>
      <c r="G1848" s="425">
        <v>0</v>
      </c>
      <c r="H1848" s="425">
        <v>0</v>
      </c>
      <c r="I1848" s="425">
        <v>0</v>
      </c>
      <c r="J1848" s="425">
        <v>0</v>
      </c>
      <c r="K1848" s="425">
        <v>0</v>
      </c>
      <c r="L1848" s="425">
        <v>0</v>
      </c>
      <c r="M1848" s="425">
        <v>0</v>
      </c>
      <c r="N1848" s="425">
        <v>0</v>
      </c>
      <c r="O1848" s="425">
        <v>0</v>
      </c>
    </row>
    <row r="1849" spans="3:15" hidden="1" x14ac:dyDescent="0.3">
      <c r="C1849" t="s">
        <v>2295</v>
      </c>
      <c r="D1849" t="s">
        <v>2267</v>
      </c>
      <c r="E1849" t="s">
        <v>5896</v>
      </c>
      <c r="F1849" t="s">
        <v>5897</v>
      </c>
      <c r="G1849" s="425">
        <v>0</v>
      </c>
      <c r="H1849" s="425">
        <v>0</v>
      </c>
      <c r="I1849" s="425">
        <v>0</v>
      </c>
      <c r="J1849" s="425">
        <v>0</v>
      </c>
      <c r="K1849" s="425">
        <v>0</v>
      </c>
      <c r="L1849" s="425">
        <v>0</v>
      </c>
      <c r="M1849" s="425">
        <v>0</v>
      </c>
      <c r="N1849" s="425">
        <v>0</v>
      </c>
      <c r="O1849" s="425">
        <v>0</v>
      </c>
    </row>
    <row r="1850" spans="3:15" hidden="1" x14ac:dyDescent="0.3">
      <c r="C1850" t="s">
        <v>2295</v>
      </c>
      <c r="D1850" t="s">
        <v>2267</v>
      </c>
      <c r="E1850" t="s">
        <v>5898</v>
      </c>
      <c r="F1850" t="s">
        <v>5899</v>
      </c>
      <c r="G1850" s="425">
        <v>0</v>
      </c>
      <c r="H1850" s="425">
        <v>0</v>
      </c>
      <c r="I1850" s="425">
        <v>0</v>
      </c>
      <c r="J1850" s="425">
        <v>0</v>
      </c>
      <c r="K1850" s="425">
        <v>0</v>
      </c>
      <c r="L1850" s="425">
        <v>0</v>
      </c>
      <c r="M1850" s="425">
        <v>0</v>
      </c>
      <c r="N1850" s="425">
        <v>0</v>
      </c>
      <c r="O1850" s="425">
        <v>0</v>
      </c>
    </row>
    <row r="1851" spans="3:15" hidden="1" x14ac:dyDescent="0.3">
      <c r="C1851" t="s">
        <v>2295</v>
      </c>
      <c r="D1851" t="s">
        <v>2267</v>
      </c>
      <c r="E1851" t="s">
        <v>5900</v>
      </c>
      <c r="F1851" t="s">
        <v>5901</v>
      </c>
      <c r="G1851" s="425">
        <v>0</v>
      </c>
      <c r="H1851" s="425">
        <v>0</v>
      </c>
      <c r="I1851" s="425">
        <v>0</v>
      </c>
      <c r="J1851" s="425">
        <v>0</v>
      </c>
      <c r="K1851" s="425">
        <v>0</v>
      </c>
      <c r="L1851" s="425">
        <v>0</v>
      </c>
      <c r="M1851" s="425">
        <v>0</v>
      </c>
      <c r="N1851" s="425">
        <v>0</v>
      </c>
      <c r="O1851" s="425">
        <v>0</v>
      </c>
    </row>
    <row r="1852" spans="3:15" hidden="1" x14ac:dyDescent="0.3">
      <c r="C1852" t="s">
        <v>2295</v>
      </c>
      <c r="D1852" t="s">
        <v>2267</v>
      </c>
      <c r="E1852" t="s">
        <v>5902</v>
      </c>
      <c r="F1852" t="s">
        <v>5903</v>
      </c>
      <c r="G1852" s="425">
        <v>0</v>
      </c>
      <c r="H1852" s="425">
        <v>0</v>
      </c>
      <c r="I1852" s="425">
        <v>0</v>
      </c>
      <c r="J1852" s="425">
        <v>0</v>
      </c>
      <c r="K1852" s="425">
        <v>0</v>
      </c>
      <c r="L1852" s="425">
        <v>0</v>
      </c>
      <c r="M1852" s="425">
        <v>0</v>
      </c>
      <c r="N1852" s="425">
        <v>0</v>
      </c>
      <c r="O1852" s="425">
        <v>0</v>
      </c>
    </row>
    <row r="1853" spans="3:15" hidden="1" x14ac:dyDescent="0.3">
      <c r="C1853" t="s">
        <v>2295</v>
      </c>
      <c r="D1853" t="s">
        <v>2267</v>
      </c>
      <c r="E1853" t="s">
        <v>5904</v>
      </c>
      <c r="F1853" t="s">
        <v>5905</v>
      </c>
      <c r="G1853" s="425">
        <v>0</v>
      </c>
      <c r="H1853" s="425">
        <v>0</v>
      </c>
      <c r="I1853" s="425">
        <v>0</v>
      </c>
      <c r="J1853" s="425">
        <v>0</v>
      </c>
      <c r="K1853" s="425">
        <v>0</v>
      </c>
      <c r="L1853" s="425">
        <v>0</v>
      </c>
      <c r="M1853" s="425">
        <v>0</v>
      </c>
      <c r="N1853" s="425">
        <v>0</v>
      </c>
      <c r="O1853" s="425">
        <v>0</v>
      </c>
    </row>
    <row r="1854" spans="3:15" hidden="1" x14ac:dyDescent="0.3">
      <c r="C1854" t="s">
        <v>2295</v>
      </c>
      <c r="D1854" t="s">
        <v>2267</v>
      </c>
      <c r="E1854" t="s">
        <v>5906</v>
      </c>
      <c r="F1854" t="s">
        <v>5907</v>
      </c>
      <c r="G1854" s="425">
        <v>0</v>
      </c>
      <c r="H1854" s="425">
        <v>0</v>
      </c>
      <c r="I1854" s="425">
        <v>0</v>
      </c>
      <c r="J1854" s="425">
        <v>0</v>
      </c>
      <c r="K1854" s="425">
        <v>0</v>
      </c>
      <c r="L1854" s="425">
        <v>0</v>
      </c>
      <c r="M1854" s="425">
        <v>0</v>
      </c>
      <c r="N1854" s="425">
        <v>0</v>
      </c>
      <c r="O1854" s="425">
        <v>0</v>
      </c>
    </row>
    <row r="1855" spans="3:15" hidden="1" x14ac:dyDescent="0.3">
      <c r="C1855" t="s">
        <v>2295</v>
      </c>
      <c r="D1855" t="s">
        <v>2267</v>
      </c>
      <c r="E1855" t="s">
        <v>5908</v>
      </c>
      <c r="F1855" t="s">
        <v>5909</v>
      </c>
      <c r="G1855" s="425">
        <v>0</v>
      </c>
      <c r="H1855" s="425">
        <v>0</v>
      </c>
      <c r="I1855" s="425">
        <v>0</v>
      </c>
      <c r="J1855" s="425">
        <v>0</v>
      </c>
      <c r="K1855" s="425">
        <v>0</v>
      </c>
      <c r="L1855" s="425">
        <v>0</v>
      </c>
      <c r="M1855" s="425">
        <v>0</v>
      </c>
      <c r="N1855" s="425">
        <v>0</v>
      </c>
      <c r="O1855" s="425">
        <v>0</v>
      </c>
    </row>
    <row r="1856" spans="3:15" hidden="1" x14ac:dyDescent="0.3">
      <c r="C1856" t="s">
        <v>2295</v>
      </c>
      <c r="D1856" t="s">
        <v>2267</v>
      </c>
      <c r="E1856" t="s">
        <v>5910</v>
      </c>
      <c r="F1856" t="s">
        <v>5911</v>
      </c>
      <c r="G1856" s="425">
        <v>0</v>
      </c>
      <c r="H1856" s="425">
        <v>0</v>
      </c>
      <c r="I1856" s="425">
        <v>0</v>
      </c>
      <c r="J1856" s="425">
        <v>0</v>
      </c>
      <c r="K1856" s="425">
        <v>0</v>
      </c>
      <c r="L1856" s="425">
        <v>0</v>
      </c>
      <c r="M1856" s="425">
        <v>0</v>
      </c>
      <c r="N1856" s="425">
        <v>0</v>
      </c>
      <c r="O1856" s="425">
        <v>0</v>
      </c>
    </row>
    <row r="1857" spans="3:15" hidden="1" x14ac:dyDescent="0.3">
      <c r="C1857" t="s">
        <v>2295</v>
      </c>
      <c r="D1857" t="s">
        <v>2267</v>
      </c>
      <c r="E1857" t="s">
        <v>5912</v>
      </c>
      <c r="F1857" t="s">
        <v>5913</v>
      </c>
      <c r="G1857" s="425">
        <v>0</v>
      </c>
      <c r="H1857" s="425">
        <v>0</v>
      </c>
      <c r="I1857" s="425">
        <v>0</v>
      </c>
      <c r="J1857" s="425">
        <v>0</v>
      </c>
      <c r="K1857" s="425">
        <v>0</v>
      </c>
      <c r="L1857" s="425">
        <v>0</v>
      </c>
      <c r="M1857" s="425">
        <v>0</v>
      </c>
      <c r="N1857" s="425">
        <v>0</v>
      </c>
      <c r="O1857" s="425">
        <v>0</v>
      </c>
    </row>
    <row r="1858" spans="3:15" hidden="1" x14ac:dyDescent="0.3">
      <c r="C1858" t="s">
        <v>2295</v>
      </c>
      <c r="D1858" t="s">
        <v>2267</v>
      </c>
      <c r="E1858" t="s">
        <v>5914</v>
      </c>
      <c r="F1858" t="s">
        <v>5915</v>
      </c>
      <c r="G1858" s="425">
        <v>0</v>
      </c>
      <c r="H1858" s="425">
        <v>0</v>
      </c>
      <c r="I1858" s="425">
        <v>0</v>
      </c>
      <c r="J1858" s="425">
        <v>0</v>
      </c>
      <c r="K1858" s="425">
        <v>0</v>
      </c>
      <c r="L1858" s="425">
        <v>0</v>
      </c>
      <c r="M1858" s="425">
        <v>0</v>
      </c>
      <c r="N1858" s="425">
        <v>0</v>
      </c>
      <c r="O1858" s="425">
        <v>0</v>
      </c>
    </row>
    <row r="1859" spans="3:15" hidden="1" x14ac:dyDescent="0.3">
      <c r="C1859" t="s">
        <v>2295</v>
      </c>
      <c r="D1859" t="s">
        <v>2267</v>
      </c>
      <c r="E1859" t="s">
        <v>5916</v>
      </c>
      <c r="F1859" t="s">
        <v>5917</v>
      </c>
      <c r="G1859" s="425">
        <v>0</v>
      </c>
      <c r="H1859" s="425">
        <v>0</v>
      </c>
      <c r="I1859" s="425">
        <v>0</v>
      </c>
      <c r="J1859" s="425">
        <v>0</v>
      </c>
      <c r="K1859" s="425">
        <v>0</v>
      </c>
      <c r="L1859" s="425">
        <v>0</v>
      </c>
      <c r="M1859" s="425">
        <v>0</v>
      </c>
      <c r="N1859" s="425">
        <v>0</v>
      </c>
      <c r="O1859" s="425">
        <v>0</v>
      </c>
    </row>
    <row r="1860" spans="3:15" hidden="1" x14ac:dyDescent="0.3">
      <c r="C1860" t="s">
        <v>2295</v>
      </c>
      <c r="D1860" t="s">
        <v>2267</v>
      </c>
      <c r="E1860" t="s">
        <v>5918</v>
      </c>
      <c r="F1860" t="s">
        <v>5919</v>
      </c>
      <c r="G1860" s="425">
        <v>0</v>
      </c>
      <c r="H1860" s="425">
        <v>0</v>
      </c>
      <c r="I1860" s="425">
        <v>0</v>
      </c>
      <c r="J1860" s="425">
        <v>0</v>
      </c>
      <c r="K1860" s="425">
        <v>0</v>
      </c>
      <c r="L1860" s="425">
        <v>0</v>
      </c>
      <c r="M1860" s="425">
        <v>0</v>
      </c>
      <c r="N1860" s="425">
        <v>0</v>
      </c>
      <c r="O1860" s="425">
        <v>0</v>
      </c>
    </row>
    <row r="1861" spans="3:15" hidden="1" x14ac:dyDescent="0.3">
      <c r="C1861" t="s">
        <v>2295</v>
      </c>
      <c r="D1861" t="s">
        <v>2267</v>
      </c>
      <c r="E1861" t="s">
        <v>5920</v>
      </c>
      <c r="F1861" t="s">
        <v>5921</v>
      </c>
      <c r="G1861" s="425">
        <v>0</v>
      </c>
      <c r="H1861" s="425">
        <v>0</v>
      </c>
      <c r="I1861" s="425">
        <v>0</v>
      </c>
      <c r="J1861" s="425">
        <v>0</v>
      </c>
      <c r="K1861" s="425">
        <v>0</v>
      </c>
      <c r="L1861" s="425">
        <v>0</v>
      </c>
      <c r="M1861" s="425">
        <v>0</v>
      </c>
      <c r="N1861" s="425">
        <v>0</v>
      </c>
      <c r="O1861" s="425">
        <v>0</v>
      </c>
    </row>
    <row r="1862" spans="3:15" hidden="1" x14ac:dyDescent="0.3">
      <c r="C1862" t="s">
        <v>2295</v>
      </c>
      <c r="D1862" t="s">
        <v>2267</v>
      </c>
      <c r="E1862" t="s">
        <v>5922</v>
      </c>
      <c r="F1862" t="s">
        <v>5923</v>
      </c>
      <c r="G1862" s="425">
        <v>0</v>
      </c>
      <c r="H1862" s="425">
        <v>0</v>
      </c>
      <c r="I1862" s="425">
        <v>0</v>
      </c>
      <c r="J1862" s="425">
        <v>0</v>
      </c>
      <c r="K1862" s="425">
        <v>0</v>
      </c>
      <c r="L1862" s="425">
        <v>0</v>
      </c>
      <c r="M1862" s="425">
        <v>0</v>
      </c>
      <c r="N1862" s="425">
        <v>0</v>
      </c>
      <c r="O1862" s="425">
        <v>0</v>
      </c>
    </row>
    <row r="1863" spans="3:15" hidden="1" x14ac:dyDescent="0.3">
      <c r="C1863" t="s">
        <v>2295</v>
      </c>
      <c r="D1863" t="s">
        <v>2267</v>
      </c>
      <c r="E1863" t="s">
        <v>5924</v>
      </c>
      <c r="F1863" t="s">
        <v>5925</v>
      </c>
      <c r="G1863" s="425">
        <v>0</v>
      </c>
      <c r="H1863" s="425">
        <v>0</v>
      </c>
      <c r="I1863" s="425">
        <v>0</v>
      </c>
      <c r="J1863" s="425">
        <v>0</v>
      </c>
      <c r="K1863" s="425">
        <v>0</v>
      </c>
      <c r="L1863" s="425">
        <v>0</v>
      </c>
      <c r="M1863" s="425">
        <v>0</v>
      </c>
      <c r="N1863" s="425">
        <v>0</v>
      </c>
      <c r="O1863" s="425">
        <v>0</v>
      </c>
    </row>
    <row r="1864" spans="3:15" hidden="1" x14ac:dyDescent="0.3">
      <c r="C1864" t="s">
        <v>2295</v>
      </c>
      <c r="D1864" t="s">
        <v>2267</v>
      </c>
      <c r="E1864" t="s">
        <v>5926</v>
      </c>
      <c r="F1864" t="s">
        <v>5927</v>
      </c>
      <c r="G1864" s="425">
        <v>0</v>
      </c>
      <c r="H1864" s="425">
        <v>0</v>
      </c>
      <c r="I1864" s="425">
        <v>0</v>
      </c>
      <c r="J1864" s="425">
        <v>0</v>
      </c>
      <c r="K1864" s="425">
        <v>0</v>
      </c>
      <c r="L1864" s="425">
        <v>0</v>
      </c>
      <c r="M1864" s="425">
        <v>0</v>
      </c>
      <c r="N1864" s="425">
        <v>0</v>
      </c>
      <c r="O1864" s="425">
        <v>0</v>
      </c>
    </row>
    <row r="1865" spans="3:15" hidden="1" x14ac:dyDescent="0.3">
      <c r="C1865" t="s">
        <v>2295</v>
      </c>
      <c r="D1865" t="s">
        <v>2267</v>
      </c>
      <c r="E1865" t="s">
        <v>5928</v>
      </c>
      <c r="F1865" t="s">
        <v>5929</v>
      </c>
      <c r="G1865" s="425">
        <v>0</v>
      </c>
      <c r="H1865" s="425">
        <v>0</v>
      </c>
      <c r="I1865" s="425">
        <v>0</v>
      </c>
      <c r="J1865" s="425">
        <v>0</v>
      </c>
      <c r="K1865" s="425">
        <v>0</v>
      </c>
      <c r="L1865" s="425">
        <v>0</v>
      </c>
      <c r="M1865" s="425">
        <v>0</v>
      </c>
      <c r="N1865" s="425">
        <v>0</v>
      </c>
      <c r="O1865" s="425">
        <v>0</v>
      </c>
    </row>
    <row r="1866" spans="3:15" hidden="1" x14ac:dyDescent="0.3">
      <c r="C1866" t="s">
        <v>2295</v>
      </c>
      <c r="D1866" t="s">
        <v>2267</v>
      </c>
      <c r="E1866" t="s">
        <v>5930</v>
      </c>
      <c r="F1866" t="s">
        <v>5931</v>
      </c>
      <c r="G1866" s="425">
        <v>0</v>
      </c>
      <c r="H1866" s="425">
        <v>0</v>
      </c>
      <c r="I1866" s="425">
        <v>0</v>
      </c>
      <c r="J1866" s="425">
        <v>0</v>
      </c>
      <c r="K1866" s="425">
        <v>0</v>
      </c>
      <c r="L1866" s="425">
        <v>0</v>
      </c>
      <c r="M1866" s="425">
        <v>0</v>
      </c>
      <c r="N1866" s="425">
        <v>0</v>
      </c>
      <c r="O1866" s="425">
        <v>0</v>
      </c>
    </row>
    <row r="1867" spans="3:15" hidden="1" x14ac:dyDescent="0.3">
      <c r="C1867" t="s">
        <v>2295</v>
      </c>
      <c r="D1867" t="s">
        <v>2267</v>
      </c>
      <c r="E1867" t="s">
        <v>5932</v>
      </c>
      <c r="F1867" t="s">
        <v>5933</v>
      </c>
      <c r="G1867" s="425">
        <v>0</v>
      </c>
      <c r="H1867" s="425">
        <v>0</v>
      </c>
      <c r="I1867" s="425">
        <v>0</v>
      </c>
      <c r="J1867" s="425">
        <v>0</v>
      </c>
      <c r="K1867" s="425">
        <v>0</v>
      </c>
      <c r="L1867" s="425">
        <v>0</v>
      </c>
      <c r="M1867" s="425">
        <v>0</v>
      </c>
      <c r="N1867" s="425">
        <v>0</v>
      </c>
      <c r="O1867" s="425">
        <v>0</v>
      </c>
    </row>
    <row r="1868" spans="3:15" hidden="1" x14ac:dyDescent="0.3">
      <c r="C1868" t="s">
        <v>2295</v>
      </c>
      <c r="D1868" t="s">
        <v>2267</v>
      </c>
      <c r="E1868" t="s">
        <v>5934</v>
      </c>
      <c r="F1868" t="s">
        <v>5935</v>
      </c>
      <c r="G1868" s="425">
        <v>0</v>
      </c>
      <c r="H1868" s="425">
        <v>0</v>
      </c>
      <c r="I1868" s="425">
        <v>0</v>
      </c>
      <c r="J1868" s="425">
        <v>0</v>
      </c>
      <c r="K1868" s="425">
        <v>0</v>
      </c>
      <c r="L1868" s="425">
        <v>0</v>
      </c>
      <c r="M1868" s="425">
        <v>0</v>
      </c>
      <c r="N1868" s="425">
        <v>0</v>
      </c>
      <c r="O1868" s="425">
        <v>0</v>
      </c>
    </row>
    <row r="1869" spans="3:15" hidden="1" x14ac:dyDescent="0.3">
      <c r="C1869" t="s">
        <v>2295</v>
      </c>
      <c r="D1869" t="s">
        <v>2267</v>
      </c>
      <c r="E1869" t="s">
        <v>5936</v>
      </c>
      <c r="F1869" t="s">
        <v>5937</v>
      </c>
      <c r="G1869" s="425">
        <v>0</v>
      </c>
      <c r="H1869" s="425">
        <v>0</v>
      </c>
      <c r="I1869" s="425">
        <v>0</v>
      </c>
      <c r="J1869" s="425">
        <v>0</v>
      </c>
      <c r="K1869" s="425">
        <v>0</v>
      </c>
      <c r="L1869" s="425">
        <v>0</v>
      </c>
      <c r="M1869" s="425">
        <v>0</v>
      </c>
      <c r="N1869" s="425">
        <v>0</v>
      </c>
      <c r="O1869" s="425">
        <v>0</v>
      </c>
    </row>
    <row r="1870" spans="3:15" hidden="1" x14ac:dyDescent="0.3">
      <c r="C1870" t="s">
        <v>2295</v>
      </c>
      <c r="D1870" t="s">
        <v>2267</v>
      </c>
      <c r="E1870" t="s">
        <v>5938</v>
      </c>
      <c r="F1870" t="s">
        <v>5939</v>
      </c>
      <c r="G1870" s="425">
        <v>0</v>
      </c>
      <c r="H1870" s="425">
        <v>0</v>
      </c>
      <c r="I1870" s="425">
        <v>0</v>
      </c>
      <c r="J1870" s="425">
        <v>0</v>
      </c>
      <c r="K1870" s="425">
        <v>0</v>
      </c>
      <c r="L1870" s="425">
        <v>0</v>
      </c>
      <c r="M1870" s="425">
        <v>0</v>
      </c>
      <c r="N1870" s="425">
        <v>0</v>
      </c>
      <c r="O1870" s="425">
        <v>0</v>
      </c>
    </row>
    <row r="1871" spans="3:15" hidden="1" x14ac:dyDescent="0.3">
      <c r="C1871" t="s">
        <v>2295</v>
      </c>
      <c r="D1871" t="s">
        <v>2267</v>
      </c>
      <c r="E1871" t="s">
        <v>5940</v>
      </c>
      <c r="F1871" t="s">
        <v>5941</v>
      </c>
      <c r="G1871" s="425">
        <v>0</v>
      </c>
      <c r="H1871" s="425">
        <v>0</v>
      </c>
      <c r="I1871" s="425">
        <v>0</v>
      </c>
      <c r="J1871" s="425">
        <v>0</v>
      </c>
      <c r="K1871" s="425">
        <v>0</v>
      </c>
      <c r="L1871" s="425">
        <v>0</v>
      </c>
      <c r="M1871" s="425">
        <v>0</v>
      </c>
      <c r="N1871" s="425">
        <v>0</v>
      </c>
      <c r="O1871" s="425">
        <v>0</v>
      </c>
    </row>
    <row r="1872" spans="3:15" hidden="1" x14ac:dyDescent="0.3">
      <c r="C1872" t="s">
        <v>2295</v>
      </c>
      <c r="D1872" t="s">
        <v>2267</v>
      </c>
      <c r="E1872" t="s">
        <v>5942</v>
      </c>
      <c r="F1872" t="s">
        <v>5943</v>
      </c>
      <c r="G1872" s="425">
        <v>0</v>
      </c>
      <c r="H1872" s="425">
        <v>0</v>
      </c>
      <c r="I1872" s="425">
        <v>0</v>
      </c>
      <c r="J1872" s="425">
        <v>0</v>
      </c>
      <c r="K1872" s="425">
        <v>0</v>
      </c>
      <c r="L1872" s="425">
        <v>0</v>
      </c>
      <c r="M1872" s="425">
        <v>0</v>
      </c>
      <c r="N1872" s="425">
        <v>0</v>
      </c>
      <c r="O1872" s="425">
        <v>0</v>
      </c>
    </row>
    <row r="1873" spans="3:15" hidden="1" x14ac:dyDescent="0.3">
      <c r="C1873" t="s">
        <v>2295</v>
      </c>
      <c r="D1873" t="s">
        <v>2267</v>
      </c>
      <c r="E1873" t="s">
        <v>5944</v>
      </c>
      <c r="F1873" t="s">
        <v>5945</v>
      </c>
      <c r="G1873" s="425">
        <v>0</v>
      </c>
      <c r="H1873" s="425">
        <v>0</v>
      </c>
      <c r="I1873" s="425">
        <v>0</v>
      </c>
      <c r="J1873" s="425">
        <v>0</v>
      </c>
      <c r="K1873" s="425">
        <v>0</v>
      </c>
      <c r="L1873" s="425">
        <v>0</v>
      </c>
      <c r="M1873" s="425">
        <v>0</v>
      </c>
      <c r="N1873" s="425">
        <v>0</v>
      </c>
      <c r="O1873" s="425">
        <v>0</v>
      </c>
    </row>
    <row r="1874" spans="3:15" hidden="1" x14ac:dyDescent="0.3">
      <c r="C1874" t="s">
        <v>2295</v>
      </c>
      <c r="D1874" t="s">
        <v>2267</v>
      </c>
      <c r="E1874" t="s">
        <v>5946</v>
      </c>
      <c r="F1874" t="s">
        <v>5947</v>
      </c>
      <c r="G1874" s="425">
        <v>0</v>
      </c>
      <c r="H1874" s="425">
        <v>0</v>
      </c>
      <c r="I1874" s="425">
        <v>0</v>
      </c>
      <c r="J1874" s="425">
        <v>0</v>
      </c>
      <c r="K1874" s="425">
        <v>0</v>
      </c>
      <c r="L1874" s="425">
        <v>0</v>
      </c>
      <c r="M1874" s="425">
        <v>0</v>
      </c>
      <c r="N1874" s="425">
        <v>0</v>
      </c>
      <c r="O1874" s="425">
        <v>0</v>
      </c>
    </row>
    <row r="1875" spans="3:15" hidden="1" x14ac:dyDescent="0.3">
      <c r="C1875" t="s">
        <v>2295</v>
      </c>
      <c r="D1875" t="s">
        <v>2267</v>
      </c>
      <c r="E1875" t="s">
        <v>5948</v>
      </c>
      <c r="F1875" t="s">
        <v>5949</v>
      </c>
      <c r="G1875" s="425">
        <v>0</v>
      </c>
      <c r="H1875" s="425">
        <v>0</v>
      </c>
      <c r="I1875" s="425">
        <v>0</v>
      </c>
      <c r="J1875" s="425">
        <v>0</v>
      </c>
      <c r="K1875" s="425">
        <v>0</v>
      </c>
      <c r="L1875" s="425">
        <v>0</v>
      </c>
      <c r="M1875" s="425">
        <v>0</v>
      </c>
      <c r="N1875" s="425">
        <v>0</v>
      </c>
      <c r="O1875" s="425">
        <v>0</v>
      </c>
    </row>
    <row r="1876" spans="3:15" hidden="1" x14ac:dyDescent="0.3">
      <c r="C1876" t="s">
        <v>2295</v>
      </c>
      <c r="D1876" t="s">
        <v>2267</v>
      </c>
      <c r="E1876" t="s">
        <v>5950</v>
      </c>
      <c r="F1876" t="s">
        <v>5951</v>
      </c>
      <c r="G1876" s="425">
        <v>0</v>
      </c>
      <c r="H1876" s="425">
        <v>0</v>
      </c>
      <c r="I1876" s="425">
        <v>0</v>
      </c>
      <c r="J1876" s="425">
        <v>0</v>
      </c>
      <c r="K1876" s="425">
        <v>0</v>
      </c>
      <c r="L1876" s="425">
        <v>0</v>
      </c>
      <c r="M1876" s="425">
        <v>0</v>
      </c>
      <c r="N1876" s="425">
        <v>0</v>
      </c>
      <c r="O1876" s="425">
        <v>0</v>
      </c>
    </row>
    <row r="1877" spans="3:15" hidden="1" x14ac:dyDescent="0.3">
      <c r="C1877" t="s">
        <v>2295</v>
      </c>
      <c r="D1877" t="s">
        <v>2267</v>
      </c>
      <c r="E1877" t="s">
        <v>5952</v>
      </c>
      <c r="F1877" t="s">
        <v>5953</v>
      </c>
      <c r="G1877" s="425">
        <v>0</v>
      </c>
      <c r="H1877" s="425">
        <v>0</v>
      </c>
      <c r="I1877" s="425">
        <v>0</v>
      </c>
      <c r="J1877" s="425">
        <v>0</v>
      </c>
      <c r="K1877" s="425">
        <v>0</v>
      </c>
      <c r="L1877" s="425">
        <v>0</v>
      </c>
      <c r="M1877" s="425">
        <v>0</v>
      </c>
      <c r="N1877" s="425">
        <v>0</v>
      </c>
      <c r="O1877" s="425">
        <v>0</v>
      </c>
    </row>
    <row r="1878" spans="3:15" hidden="1" x14ac:dyDescent="0.3">
      <c r="C1878" t="s">
        <v>2295</v>
      </c>
      <c r="D1878" t="s">
        <v>2267</v>
      </c>
      <c r="E1878" t="s">
        <v>5954</v>
      </c>
      <c r="F1878" t="s">
        <v>5955</v>
      </c>
      <c r="G1878" s="425">
        <v>0</v>
      </c>
      <c r="H1878" s="425">
        <v>0</v>
      </c>
      <c r="I1878" s="425">
        <v>0</v>
      </c>
      <c r="J1878" s="425">
        <v>0</v>
      </c>
      <c r="K1878" s="425">
        <v>0</v>
      </c>
      <c r="L1878" s="425">
        <v>0</v>
      </c>
      <c r="M1878" s="425">
        <v>0</v>
      </c>
      <c r="N1878" s="425">
        <v>0</v>
      </c>
      <c r="O1878" s="425">
        <v>0</v>
      </c>
    </row>
    <row r="1879" spans="3:15" hidden="1" x14ac:dyDescent="0.3">
      <c r="C1879" t="s">
        <v>2295</v>
      </c>
      <c r="D1879" t="s">
        <v>2267</v>
      </c>
      <c r="E1879" t="s">
        <v>5956</v>
      </c>
      <c r="F1879" t="s">
        <v>5957</v>
      </c>
      <c r="G1879" s="425">
        <v>0</v>
      </c>
      <c r="H1879" s="425">
        <v>0</v>
      </c>
      <c r="I1879" s="425">
        <v>0</v>
      </c>
      <c r="J1879" s="425">
        <v>0</v>
      </c>
      <c r="K1879" s="425">
        <v>0</v>
      </c>
      <c r="L1879" s="425">
        <v>0</v>
      </c>
      <c r="M1879" s="425">
        <v>0</v>
      </c>
      <c r="N1879" s="425">
        <v>0</v>
      </c>
      <c r="O1879" s="425">
        <v>0</v>
      </c>
    </row>
    <row r="1880" spans="3:15" hidden="1" x14ac:dyDescent="0.3">
      <c r="C1880" t="s">
        <v>2295</v>
      </c>
      <c r="D1880" t="s">
        <v>2267</v>
      </c>
      <c r="E1880" t="s">
        <v>5958</v>
      </c>
      <c r="F1880" t="s">
        <v>5959</v>
      </c>
      <c r="G1880" s="425">
        <v>0</v>
      </c>
      <c r="H1880" s="425">
        <v>0</v>
      </c>
      <c r="I1880" s="425">
        <v>0</v>
      </c>
      <c r="J1880" s="425">
        <v>0</v>
      </c>
      <c r="K1880" s="425">
        <v>0</v>
      </c>
      <c r="L1880" s="425">
        <v>0</v>
      </c>
      <c r="M1880" s="425">
        <v>0</v>
      </c>
      <c r="N1880" s="425">
        <v>0</v>
      </c>
      <c r="O1880" s="425">
        <v>0</v>
      </c>
    </row>
    <row r="1881" spans="3:15" hidden="1" x14ac:dyDescent="0.3">
      <c r="C1881" t="s">
        <v>2295</v>
      </c>
      <c r="D1881" t="s">
        <v>2267</v>
      </c>
      <c r="E1881" t="s">
        <v>5960</v>
      </c>
      <c r="F1881" t="s">
        <v>5961</v>
      </c>
      <c r="G1881" s="425">
        <v>0</v>
      </c>
      <c r="H1881" s="425">
        <v>0</v>
      </c>
      <c r="I1881" s="425">
        <v>0</v>
      </c>
      <c r="J1881" s="425">
        <v>0</v>
      </c>
      <c r="K1881" s="425">
        <v>0</v>
      </c>
      <c r="L1881" s="425">
        <v>0</v>
      </c>
      <c r="M1881" s="425">
        <v>0</v>
      </c>
      <c r="N1881" s="425">
        <v>0</v>
      </c>
      <c r="O1881" s="425">
        <v>0</v>
      </c>
    </row>
    <row r="1882" spans="3:15" hidden="1" x14ac:dyDescent="0.3">
      <c r="C1882" t="s">
        <v>2295</v>
      </c>
      <c r="D1882" t="s">
        <v>2267</v>
      </c>
      <c r="E1882" t="s">
        <v>5962</v>
      </c>
      <c r="F1882" t="s">
        <v>5963</v>
      </c>
      <c r="G1882" s="425">
        <v>0</v>
      </c>
      <c r="H1882" s="425">
        <v>0</v>
      </c>
      <c r="I1882" s="425">
        <v>0</v>
      </c>
      <c r="J1882" s="425">
        <v>0</v>
      </c>
      <c r="K1882" s="425">
        <v>0</v>
      </c>
      <c r="L1882" s="425">
        <v>0</v>
      </c>
      <c r="M1882" s="425">
        <v>0</v>
      </c>
      <c r="N1882" s="425">
        <v>0</v>
      </c>
      <c r="O1882" s="425">
        <v>0</v>
      </c>
    </row>
    <row r="1883" spans="3:15" hidden="1" x14ac:dyDescent="0.3">
      <c r="C1883" t="s">
        <v>2295</v>
      </c>
      <c r="D1883" t="s">
        <v>2267</v>
      </c>
      <c r="E1883" t="s">
        <v>5964</v>
      </c>
      <c r="F1883" t="s">
        <v>5965</v>
      </c>
      <c r="G1883" s="425">
        <v>0</v>
      </c>
      <c r="H1883" s="425">
        <v>0</v>
      </c>
      <c r="I1883" s="425">
        <v>0</v>
      </c>
      <c r="J1883" s="425">
        <v>0</v>
      </c>
      <c r="K1883" s="425">
        <v>0</v>
      </c>
      <c r="L1883" s="425">
        <v>0</v>
      </c>
      <c r="M1883" s="425">
        <v>0</v>
      </c>
      <c r="N1883" s="425">
        <v>0</v>
      </c>
      <c r="O1883" s="425">
        <v>0</v>
      </c>
    </row>
    <row r="1884" spans="3:15" hidden="1" x14ac:dyDescent="0.3">
      <c r="C1884" t="s">
        <v>2295</v>
      </c>
      <c r="D1884" t="s">
        <v>2267</v>
      </c>
      <c r="E1884" t="s">
        <v>5966</v>
      </c>
      <c r="F1884" t="s">
        <v>5967</v>
      </c>
      <c r="G1884" s="425">
        <v>0</v>
      </c>
      <c r="H1884" s="425">
        <v>0</v>
      </c>
      <c r="I1884" s="425">
        <v>0</v>
      </c>
      <c r="J1884" s="425">
        <v>0</v>
      </c>
      <c r="K1884" s="425">
        <v>0</v>
      </c>
      <c r="L1884" s="425">
        <v>0</v>
      </c>
      <c r="M1884" s="425">
        <v>0</v>
      </c>
      <c r="N1884" s="425">
        <v>0</v>
      </c>
      <c r="O1884" s="425">
        <v>0</v>
      </c>
    </row>
    <row r="1885" spans="3:15" hidden="1" x14ac:dyDescent="0.3">
      <c r="C1885" t="s">
        <v>2295</v>
      </c>
      <c r="D1885" t="s">
        <v>2267</v>
      </c>
      <c r="E1885" t="s">
        <v>5968</v>
      </c>
      <c r="F1885" t="s">
        <v>5969</v>
      </c>
      <c r="G1885" s="425">
        <v>0</v>
      </c>
      <c r="H1885" s="425">
        <v>0</v>
      </c>
      <c r="I1885" s="425">
        <v>0</v>
      </c>
      <c r="J1885" s="425">
        <v>0</v>
      </c>
      <c r="K1885" s="425">
        <v>0</v>
      </c>
      <c r="L1885" s="425">
        <v>0</v>
      </c>
      <c r="M1885" s="425">
        <v>0</v>
      </c>
      <c r="N1885" s="425">
        <v>0</v>
      </c>
      <c r="O1885" s="425">
        <v>0</v>
      </c>
    </row>
    <row r="1886" spans="3:15" hidden="1" x14ac:dyDescent="0.3">
      <c r="C1886" t="s">
        <v>2295</v>
      </c>
      <c r="D1886" t="s">
        <v>2267</v>
      </c>
      <c r="E1886" t="s">
        <v>5970</v>
      </c>
      <c r="F1886" t="s">
        <v>5971</v>
      </c>
      <c r="G1886" s="425">
        <v>0</v>
      </c>
      <c r="H1886" s="425">
        <v>0</v>
      </c>
      <c r="I1886" s="425">
        <v>0</v>
      </c>
      <c r="J1886" s="425">
        <v>0</v>
      </c>
      <c r="K1886" s="425">
        <v>0</v>
      </c>
      <c r="L1886" s="425">
        <v>0</v>
      </c>
      <c r="M1886" s="425">
        <v>0</v>
      </c>
      <c r="N1886" s="425">
        <v>0</v>
      </c>
      <c r="O1886" s="425">
        <v>0</v>
      </c>
    </row>
    <row r="1887" spans="3:15" hidden="1" x14ac:dyDescent="0.3">
      <c r="C1887" t="s">
        <v>2295</v>
      </c>
      <c r="D1887" t="s">
        <v>2267</v>
      </c>
      <c r="E1887" t="s">
        <v>5972</v>
      </c>
      <c r="F1887" t="s">
        <v>5973</v>
      </c>
      <c r="G1887" s="425">
        <v>0</v>
      </c>
      <c r="H1887" s="425">
        <v>0</v>
      </c>
      <c r="I1887" s="425">
        <v>0</v>
      </c>
      <c r="J1887" s="425">
        <v>0</v>
      </c>
      <c r="K1887" s="425">
        <v>0</v>
      </c>
      <c r="L1887" s="425">
        <v>0</v>
      </c>
      <c r="M1887" s="425">
        <v>0</v>
      </c>
      <c r="N1887" s="425">
        <v>0</v>
      </c>
      <c r="O1887" s="425">
        <v>0</v>
      </c>
    </row>
    <row r="1888" spans="3:15" hidden="1" x14ac:dyDescent="0.3">
      <c r="C1888" t="s">
        <v>2295</v>
      </c>
      <c r="D1888" t="s">
        <v>2267</v>
      </c>
      <c r="E1888" t="s">
        <v>5974</v>
      </c>
      <c r="F1888" t="s">
        <v>5975</v>
      </c>
      <c r="G1888" s="425">
        <v>0</v>
      </c>
      <c r="H1888" s="425">
        <v>0</v>
      </c>
      <c r="I1888" s="425">
        <v>0</v>
      </c>
      <c r="J1888" s="425">
        <v>0</v>
      </c>
      <c r="K1888" s="425">
        <v>0</v>
      </c>
      <c r="L1888" s="425">
        <v>0</v>
      </c>
      <c r="M1888" s="425">
        <v>0</v>
      </c>
      <c r="N1888" s="425">
        <v>0</v>
      </c>
      <c r="O1888" s="425">
        <v>0</v>
      </c>
    </row>
    <row r="1889" spans="3:15" hidden="1" x14ac:dyDescent="0.3">
      <c r="C1889" t="s">
        <v>2295</v>
      </c>
      <c r="D1889" t="s">
        <v>2267</v>
      </c>
      <c r="E1889" t="s">
        <v>5976</v>
      </c>
      <c r="F1889" t="s">
        <v>5977</v>
      </c>
      <c r="G1889" s="425">
        <v>0</v>
      </c>
      <c r="H1889" s="425">
        <v>0</v>
      </c>
      <c r="I1889" s="425">
        <v>0</v>
      </c>
      <c r="J1889" s="425">
        <v>0</v>
      </c>
      <c r="K1889" s="425">
        <v>0</v>
      </c>
      <c r="L1889" s="425">
        <v>0</v>
      </c>
      <c r="M1889" s="425">
        <v>0</v>
      </c>
      <c r="N1889" s="425">
        <v>0</v>
      </c>
      <c r="O1889" s="425">
        <v>0</v>
      </c>
    </row>
    <row r="1890" spans="3:15" hidden="1" x14ac:dyDescent="0.3">
      <c r="C1890" t="s">
        <v>2295</v>
      </c>
      <c r="D1890" t="s">
        <v>2267</v>
      </c>
      <c r="E1890" t="s">
        <v>5978</v>
      </c>
      <c r="F1890" t="s">
        <v>5979</v>
      </c>
      <c r="G1890" s="425">
        <v>0</v>
      </c>
      <c r="H1890" s="425">
        <v>0</v>
      </c>
      <c r="I1890" s="425">
        <v>0</v>
      </c>
      <c r="J1890" s="425">
        <v>0</v>
      </c>
      <c r="K1890" s="425">
        <v>0</v>
      </c>
      <c r="L1890" s="425">
        <v>0</v>
      </c>
      <c r="M1890" s="425">
        <v>0</v>
      </c>
      <c r="N1890" s="425">
        <v>0</v>
      </c>
      <c r="O1890" s="425">
        <v>0</v>
      </c>
    </row>
    <row r="1891" spans="3:15" hidden="1" x14ac:dyDescent="0.3">
      <c r="C1891" t="s">
        <v>2295</v>
      </c>
      <c r="D1891" t="s">
        <v>2267</v>
      </c>
      <c r="E1891" t="s">
        <v>5980</v>
      </c>
      <c r="F1891" t="s">
        <v>5981</v>
      </c>
      <c r="G1891" s="425">
        <v>0</v>
      </c>
      <c r="H1891" s="425">
        <v>0</v>
      </c>
      <c r="I1891" s="425">
        <v>0</v>
      </c>
      <c r="J1891" s="425">
        <v>0</v>
      </c>
      <c r="K1891" s="425">
        <v>0</v>
      </c>
      <c r="L1891" s="425">
        <v>0</v>
      </c>
      <c r="M1891" s="425">
        <v>0</v>
      </c>
      <c r="N1891" s="425">
        <v>0</v>
      </c>
      <c r="O1891" s="425">
        <v>0</v>
      </c>
    </row>
    <row r="1892" spans="3:15" hidden="1" x14ac:dyDescent="0.3">
      <c r="C1892" t="s">
        <v>2295</v>
      </c>
      <c r="D1892" t="s">
        <v>2267</v>
      </c>
      <c r="E1892" t="s">
        <v>5982</v>
      </c>
      <c r="F1892" t="s">
        <v>5983</v>
      </c>
      <c r="G1892" s="425">
        <v>0</v>
      </c>
      <c r="H1892" s="425">
        <v>0</v>
      </c>
      <c r="I1892" s="425">
        <v>0</v>
      </c>
      <c r="J1892" s="425">
        <v>0</v>
      </c>
      <c r="K1892" s="425">
        <v>0</v>
      </c>
      <c r="L1892" s="425">
        <v>0</v>
      </c>
      <c r="M1892" s="425">
        <v>0</v>
      </c>
      <c r="N1892" s="425">
        <v>0</v>
      </c>
      <c r="O1892" s="425">
        <v>0</v>
      </c>
    </row>
    <row r="1893" spans="3:15" hidden="1" x14ac:dyDescent="0.3">
      <c r="C1893" t="s">
        <v>2295</v>
      </c>
      <c r="D1893" t="s">
        <v>2267</v>
      </c>
      <c r="E1893" t="s">
        <v>5984</v>
      </c>
      <c r="F1893" t="s">
        <v>5985</v>
      </c>
      <c r="G1893" s="425">
        <v>0</v>
      </c>
      <c r="H1893" s="425">
        <v>0</v>
      </c>
      <c r="I1893" s="425">
        <v>0</v>
      </c>
      <c r="J1893" s="425">
        <v>0</v>
      </c>
      <c r="K1893" s="425">
        <v>0</v>
      </c>
      <c r="L1893" s="425">
        <v>0</v>
      </c>
      <c r="M1893" s="425">
        <v>0</v>
      </c>
      <c r="N1893" s="425">
        <v>0</v>
      </c>
      <c r="O1893" s="425">
        <v>0</v>
      </c>
    </row>
    <row r="1894" spans="3:15" hidden="1" x14ac:dyDescent="0.3">
      <c r="C1894" t="s">
        <v>2295</v>
      </c>
      <c r="D1894" t="s">
        <v>2267</v>
      </c>
      <c r="E1894" t="s">
        <v>5986</v>
      </c>
      <c r="F1894" t="s">
        <v>5987</v>
      </c>
      <c r="G1894" s="425">
        <v>0</v>
      </c>
      <c r="H1894" s="425">
        <v>0</v>
      </c>
      <c r="I1894" s="425">
        <v>0</v>
      </c>
      <c r="J1894" s="425">
        <v>0</v>
      </c>
      <c r="K1894" s="425">
        <v>0</v>
      </c>
      <c r="L1894" s="425">
        <v>0</v>
      </c>
      <c r="M1894" s="425">
        <v>0</v>
      </c>
      <c r="N1894" s="425">
        <v>0</v>
      </c>
      <c r="O1894" s="425">
        <v>0</v>
      </c>
    </row>
    <row r="1895" spans="3:15" hidden="1" x14ac:dyDescent="0.3">
      <c r="C1895" t="s">
        <v>2295</v>
      </c>
      <c r="D1895" t="s">
        <v>2267</v>
      </c>
      <c r="E1895" t="s">
        <v>5988</v>
      </c>
      <c r="F1895" t="s">
        <v>5989</v>
      </c>
      <c r="G1895" s="425">
        <v>0</v>
      </c>
      <c r="H1895" s="425">
        <v>0</v>
      </c>
      <c r="I1895" s="425">
        <v>0</v>
      </c>
      <c r="J1895" s="425">
        <v>0</v>
      </c>
      <c r="K1895" s="425">
        <v>0</v>
      </c>
      <c r="L1895" s="425">
        <v>0</v>
      </c>
      <c r="M1895" s="425">
        <v>0</v>
      </c>
      <c r="N1895" s="425">
        <v>0</v>
      </c>
      <c r="O1895" s="425">
        <v>0</v>
      </c>
    </row>
    <row r="1896" spans="3:15" hidden="1" x14ac:dyDescent="0.3">
      <c r="C1896" t="s">
        <v>2295</v>
      </c>
      <c r="D1896" t="s">
        <v>2267</v>
      </c>
      <c r="E1896" t="s">
        <v>5990</v>
      </c>
      <c r="F1896" t="s">
        <v>5991</v>
      </c>
      <c r="G1896" s="425">
        <v>0</v>
      </c>
      <c r="H1896" s="425">
        <v>0</v>
      </c>
      <c r="I1896" s="425">
        <v>0</v>
      </c>
      <c r="J1896" s="425">
        <v>0</v>
      </c>
      <c r="K1896" s="425">
        <v>0</v>
      </c>
      <c r="L1896" s="425">
        <v>0</v>
      </c>
      <c r="M1896" s="425">
        <v>0</v>
      </c>
      <c r="N1896" s="425">
        <v>0</v>
      </c>
      <c r="O1896" s="425">
        <v>0</v>
      </c>
    </row>
    <row r="1897" spans="3:15" hidden="1" x14ac:dyDescent="0.3">
      <c r="C1897" t="s">
        <v>2295</v>
      </c>
      <c r="D1897" t="s">
        <v>2267</v>
      </c>
      <c r="E1897" t="s">
        <v>5992</v>
      </c>
      <c r="F1897" t="s">
        <v>5993</v>
      </c>
      <c r="G1897" s="425">
        <v>0</v>
      </c>
      <c r="H1897" s="425">
        <v>0</v>
      </c>
      <c r="I1897" s="425">
        <v>0</v>
      </c>
      <c r="J1897" s="425">
        <v>0</v>
      </c>
      <c r="K1897" s="425">
        <v>0</v>
      </c>
      <c r="L1897" s="425">
        <v>0</v>
      </c>
      <c r="M1897" s="425">
        <v>0</v>
      </c>
      <c r="N1897" s="425">
        <v>0</v>
      </c>
      <c r="O1897" s="425">
        <v>0</v>
      </c>
    </row>
    <row r="1898" spans="3:15" hidden="1" x14ac:dyDescent="0.3">
      <c r="C1898" t="s">
        <v>2295</v>
      </c>
      <c r="D1898" t="s">
        <v>2267</v>
      </c>
      <c r="E1898" t="s">
        <v>5994</v>
      </c>
      <c r="F1898" t="s">
        <v>5995</v>
      </c>
      <c r="G1898" s="425">
        <v>0</v>
      </c>
      <c r="H1898" s="425">
        <v>0</v>
      </c>
      <c r="I1898" s="425">
        <v>0</v>
      </c>
      <c r="J1898" s="425">
        <v>0</v>
      </c>
      <c r="K1898" s="425">
        <v>0</v>
      </c>
      <c r="L1898" s="425">
        <v>0</v>
      </c>
      <c r="M1898" s="425">
        <v>0</v>
      </c>
      <c r="N1898" s="425">
        <v>0</v>
      </c>
      <c r="O1898" s="425">
        <v>0</v>
      </c>
    </row>
    <row r="1899" spans="3:15" hidden="1" x14ac:dyDescent="0.3">
      <c r="C1899" t="s">
        <v>2295</v>
      </c>
      <c r="D1899" t="s">
        <v>2267</v>
      </c>
      <c r="E1899" t="s">
        <v>5996</v>
      </c>
      <c r="F1899" t="s">
        <v>5997</v>
      </c>
      <c r="G1899" s="425">
        <v>0</v>
      </c>
      <c r="H1899" s="425">
        <v>0</v>
      </c>
      <c r="I1899" s="425">
        <v>0</v>
      </c>
      <c r="J1899" s="425">
        <v>0</v>
      </c>
      <c r="K1899" s="425">
        <v>0</v>
      </c>
      <c r="L1899" s="425">
        <v>0</v>
      </c>
      <c r="M1899" s="425">
        <v>0</v>
      </c>
      <c r="N1899" s="425">
        <v>0</v>
      </c>
      <c r="O1899" s="425">
        <v>0</v>
      </c>
    </row>
    <row r="1900" spans="3:15" hidden="1" x14ac:dyDescent="0.3">
      <c r="C1900" t="s">
        <v>2295</v>
      </c>
      <c r="D1900" t="s">
        <v>2267</v>
      </c>
      <c r="E1900" t="s">
        <v>5998</v>
      </c>
      <c r="F1900" t="s">
        <v>5999</v>
      </c>
      <c r="G1900" s="425">
        <v>0</v>
      </c>
      <c r="H1900" s="425">
        <v>0</v>
      </c>
      <c r="I1900" s="425">
        <v>0</v>
      </c>
      <c r="J1900" s="425">
        <v>0</v>
      </c>
      <c r="K1900" s="425">
        <v>0</v>
      </c>
      <c r="L1900" s="425">
        <v>0</v>
      </c>
      <c r="M1900" s="425">
        <v>0</v>
      </c>
      <c r="N1900" s="425">
        <v>0</v>
      </c>
      <c r="O1900" s="425">
        <v>0</v>
      </c>
    </row>
    <row r="1901" spans="3:15" hidden="1" x14ac:dyDescent="0.3">
      <c r="C1901" t="s">
        <v>2295</v>
      </c>
      <c r="D1901" t="s">
        <v>2267</v>
      </c>
      <c r="E1901" t="s">
        <v>6000</v>
      </c>
      <c r="F1901" t="s">
        <v>6001</v>
      </c>
      <c r="G1901" s="425">
        <v>0</v>
      </c>
      <c r="H1901" s="425">
        <v>0</v>
      </c>
      <c r="I1901" s="425">
        <v>0</v>
      </c>
      <c r="J1901" s="425">
        <v>0</v>
      </c>
      <c r="K1901" s="425">
        <v>0</v>
      </c>
      <c r="L1901" s="425">
        <v>0</v>
      </c>
      <c r="M1901" s="425">
        <v>0</v>
      </c>
      <c r="N1901" s="425">
        <v>0</v>
      </c>
      <c r="O1901" s="425">
        <v>0</v>
      </c>
    </row>
    <row r="1902" spans="3:15" hidden="1" x14ac:dyDescent="0.3">
      <c r="C1902" t="s">
        <v>2295</v>
      </c>
      <c r="D1902" t="s">
        <v>2267</v>
      </c>
      <c r="E1902" t="s">
        <v>6002</v>
      </c>
      <c r="F1902" t="s">
        <v>6003</v>
      </c>
      <c r="G1902" s="425">
        <v>0</v>
      </c>
      <c r="H1902" s="425">
        <v>0</v>
      </c>
      <c r="I1902" s="425">
        <v>0</v>
      </c>
      <c r="J1902" s="425">
        <v>0</v>
      </c>
      <c r="K1902" s="425">
        <v>0</v>
      </c>
      <c r="L1902" s="425">
        <v>0</v>
      </c>
      <c r="M1902" s="425">
        <v>0</v>
      </c>
      <c r="N1902" s="425">
        <v>0</v>
      </c>
      <c r="O1902" s="425">
        <v>0</v>
      </c>
    </row>
    <row r="1903" spans="3:15" hidden="1" x14ac:dyDescent="0.3">
      <c r="C1903" t="s">
        <v>2295</v>
      </c>
      <c r="D1903" t="s">
        <v>2267</v>
      </c>
      <c r="E1903" t="s">
        <v>6004</v>
      </c>
      <c r="F1903" t="s">
        <v>6005</v>
      </c>
      <c r="G1903" s="425">
        <v>0</v>
      </c>
      <c r="H1903" s="425">
        <v>0</v>
      </c>
      <c r="I1903" s="425">
        <v>0</v>
      </c>
      <c r="J1903" s="425">
        <v>0</v>
      </c>
      <c r="K1903" s="425">
        <v>0</v>
      </c>
      <c r="L1903" s="425">
        <v>0</v>
      </c>
      <c r="M1903" s="425">
        <v>0</v>
      </c>
      <c r="N1903" s="425">
        <v>0</v>
      </c>
      <c r="O1903" s="425">
        <v>0</v>
      </c>
    </row>
    <row r="1904" spans="3:15" hidden="1" x14ac:dyDescent="0.3">
      <c r="C1904" t="s">
        <v>2295</v>
      </c>
      <c r="D1904" t="s">
        <v>2267</v>
      </c>
      <c r="E1904" t="s">
        <v>6006</v>
      </c>
      <c r="F1904" t="s">
        <v>6007</v>
      </c>
      <c r="G1904" s="425">
        <v>0</v>
      </c>
      <c r="H1904" s="425">
        <v>0</v>
      </c>
      <c r="I1904" s="425">
        <v>0</v>
      </c>
      <c r="J1904" s="425">
        <v>0</v>
      </c>
      <c r="K1904" s="425">
        <v>0</v>
      </c>
      <c r="L1904" s="425">
        <v>0</v>
      </c>
      <c r="M1904" s="425">
        <v>0</v>
      </c>
      <c r="N1904" s="425">
        <v>0</v>
      </c>
      <c r="O1904" s="425">
        <v>0</v>
      </c>
    </row>
    <row r="1905" spans="3:15" hidden="1" x14ac:dyDescent="0.3">
      <c r="C1905" t="s">
        <v>2295</v>
      </c>
      <c r="D1905" t="s">
        <v>2267</v>
      </c>
      <c r="E1905" t="s">
        <v>6008</v>
      </c>
      <c r="F1905" t="s">
        <v>6009</v>
      </c>
      <c r="G1905" s="425">
        <v>0</v>
      </c>
      <c r="H1905" s="425">
        <v>0</v>
      </c>
      <c r="I1905" s="425">
        <v>0</v>
      </c>
      <c r="J1905" s="425">
        <v>0</v>
      </c>
      <c r="K1905" s="425">
        <v>0</v>
      </c>
      <c r="L1905" s="425">
        <v>0</v>
      </c>
      <c r="M1905" s="425">
        <v>0</v>
      </c>
      <c r="N1905" s="425">
        <v>0</v>
      </c>
      <c r="O1905" s="425">
        <v>0</v>
      </c>
    </row>
    <row r="1906" spans="3:15" hidden="1" x14ac:dyDescent="0.3">
      <c r="C1906" t="s">
        <v>2295</v>
      </c>
      <c r="D1906" t="s">
        <v>2267</v>
      </c>
      <c r="E1906" t="s">
        <v>6010</v>
      </c>
      <c r="F1906" t="s">
        <v>6011</v>
      </c>
      <c r="G1906" s="425">
        <v>0</v>
      </c>
      <c r="H1906" s="425">
        <v>0</v>
      </c>
      <c r="I1906" s="425">
        <v>0</v>
      </c>
      <c r="J1906" s="425">
        <v>0</v>
      </c>
      <c r="K1906" s="425">
        <v>0</v>
      </c>
      <c r="L1906" s="425">
        <v>0</v>
      </c>
      <c r="M1906" s="425">
        <v>0</v>
      </c>
      <c r="N1906" s="425">
        <v>0</v>
      </c>
      <c r="O1906" s="425">
        <v>0</v>
      </c>
    </row>
    <row r="1907" spans="3:15" hidden="1" x14ac:dyDescent="0.3">
      <c r="C1907" t="s">
        <v>2295</v>
      </c>
      <c r="D1907" t="s">
        <v>2267</v>
      </c>
      <c r="E1907" t="s">
        <v>6012</v>
      </c>
      <c r="F1907" t="s">
        <v>6013</v>
      </c>
      <c r="G1907" s="425">
        <v>0</v>
      </c>
      <c r="H1907" s="425">
        <v>0</v>
      </c>
      <c r="I1907" s="425">
        <v>0</v>
      </c>
      <c r="J1907" s="425">
        <v>0</v>
      </c>
      <c r="K1907" s="425">
        <v>0</v>
      </c>
      <c r="L1907" s="425">
        <v>0</v>
      </c>
      <c r="M1907" s="425">
        <v>0</v>
      </c>
      <c r="N1907" s="425">
        <v>0</v>
      </c>
      <c r="O1907" s="425">
        <v>0</v>
      </c>
    </row>
    <row r="1908" spans="3:15" hidden="1" x14ac:dyDescent="0.3">
      <c r="C1908" t="s">
        <v>2295</v>
      </c>
      <c r="D1908" t="s">
        <v>2267</v>
      </c>
      <c r="E1908" t="s">
        <v>6014</v>
      </c>
      <c r="F1908" t="s">
        <v>6015</v>
      </c>
      <c r="G1908" s="425">
        <v>0</v>
      </c>
      <c r="H1908" s="425">
        <v>0</v>
      </c>
      <c r="I1908" s="425">
        <v>0</v>
      </c>
      <c r="J1908" s="425">
        <v>0</v>
      </c>
      <c r="K1908" s="425">
        <v>0</v>
      </c>
      <c r="L1908" s="425">
        <v>0</v>
      </c>
      <c r="M1908" s="425">
        <v>0</v>
      </c>
      <c r="N1908" s="425">
        <v>0</v>
      </c>
      <c r="O1908" s="425">
        <v>0</v>
      </c>
    </row>
    <row r="1909" spans="3:15" hidden="1" x14ac:dyDescent="0.3">
      <c r="C1909" t="s">
        <v>2295</v>
      </c>
      <c r="D1909" t="s">
        <v>2267</v>
      </c>
      <c r="E1909" t="s">
        <v>6016</v>
      </c>
      <c r="F1909" t="s">
        <v>6017</v>
      </c>
      <c r="G1909" s="425">
        <v>8654</v>
      </c>
      <c r="H1909" s="425">
        <v>0</v>
      </c>
      <c r="I1909" s="425">
        <v>8654</v>
      </c>
      <c r="J1909" s="425">
        <v>0</v>
      </c>
      <c r="K1909" s="425">
        <v>0</v>
      </c>
      <c r="L1909" s="425">
        <v>0</v>
      </c>
      <c r="M1909" s="425">
        <v>0</v>
      </c>
      <c r="N1909" s="425">
        <v>0</v>
      </c>
      <c r="O1909" s="425">
        <v>0</v>
      </c>
    </row>
    <row r="1910" spans="3:15" hidden="1" x14ac:dyDescent="0.3">
      <c r="C1910" t="s">
        <v>2295</v>
      </c>
      <c r="D1910" t="s">
        <v>2267</v>
      </c>
      <c r="E1910" t="s">
        <v>6018</v>
      </c>
      <c r="F1910" t="s">
        <v>6019</v>
      </c>
      <c r="G1910" s="425">
        <v>0</v>
      </c>
      <c r="H1910" s="425">
        <v>0</v>
      </c>
      <c r="I1910" s="425">
        <v>0</v>
      </c>
      <c r="J1910" s="425">
        <v>0</v>
      </c>
      <c r="K1910" s="425">
        <v>0</v>
      </c>
      <c r="L1910" s="425">
        <v>0</v>
      </c>
      <c r="M1910" s="425">
        <v>0</v>
      </c>
      <c r="N1910" s="425">
        <v>0</v>
      </c>
      <c r="O1910" s="425">
        <v>0</v>
      </c>
    </row>
    <row r="1911" spans="3:15" hidden="1" x14ac:dyDescent="0.3">
      <c r="C1911" t="s">
        <v>2295</v>
      </c>
      <c r="D1911" t="s">
        <v>2267</v>
      </c>
      <c r="E1911" t="s">
        <v>6020</v>
      </c>
      <c r="F1911" t="s">
        <v>6021</v>
      </c>
      <c r="G1911" s="425">
        <v>0</v>
      </c>
      <c r="H1911" s="425">
        <v>0</v>
      </c>
      <c r="I1911" s="425">
        <v>0</v>
      </c>
      <c r="J1911" s="425">
        <v>0</v>
      </c>
      <c r="K1911" s="425">
        <v>0</v>
      </c>
      <c r="L1911" s="425">
        <v>0</v>
      </c>
      <c r="M1911" s="425">
        <v>0</v>
      </c>
      <c r="N1911" s="425">
        <v>0</v>
      </c>
      <c r="O1911" s="425">
        <v>0</v>
      </c>
    </row>
    <row r="1912" spans="3:15" hidden="1" x14ac:dyDescent="0.3">
      <c r="C1912" t="s">
        <v>2295</v>
      </c>
      <c r="D1912" t="s">
        <v>2267</v>
      </c>
      <c r="E1912" t="s">
        <v>6022</v>
      </c>
      <c r="F1912" t="s">
        <v>6023</v>
      </c>
      <c r="G1912" s="425">
        <v>0</v>
      </c>
      <c r="H1912" s="425">
        <v>0</v>
      </c>
      <c r="I1912" s="425">
        <v>0</v>
      </c>
      <c r="J1912" s="425">
        <v>0</v>
      </c>
      <c r="K1912" s="425">
        <v>0</v>
      </c>
      <c r="L1912" s="425">
        <v>0</v>
      </c>
      <c r="M1912" s="425">
        <v>0</v>
      </c>
      <c r="N1912" s="425">
        <v>0</v>
      </c>
      <c r="O1912" s="425">
        <v>0</v>
      </c>
    </row>
    <row r="1913" spans="3:15" hidden="1" x14ac:dyDescent="0.3">
      <c r="C1913" t="s">
        <v>2295</v>
      </c>
      <c r="D1913" t="s">
        <v>2267</v>
      </c>
      <c r="E1913" t="s">
        <v>6024</v>
      </c>
      <c r="F1913" t="s">
        <v>6025</v>
      </c>
      <c r="G1913" s="425">
        <v>0</v>
      </c>
      <c r="H1913" s="425">
        <v>0</v>
      </c>
      <c r="I1913" s="425">
        <v>0</v>
      </c>
      <c r="J1913" s="425">
        <v>0</v>
      </c>
      <c r="K1913" s="425">
        <v>0</v>
      </c>
      <c r="L1913" s="425">
        <v>0</v>
      </c>
      <c r="M1913" s="425">
        <v>0</v>
      </c>
      <c r="N1913" s="425">
        <v>0</v>
      </c>
      <c r="O1913" s="425">
        <v>0</v>
      </c>
    </row>
    <row r="1914" spans="3:15" hidden="1" x14ac:dyDescent="0.3">
      <c r="C1914" t="s">
        <v>2295</v>
      </c>
      <c r="D1914" t="s">
        <v>2267</v>
      </c>
      <c r="E1914" t="s">
        <v>6026</v>
      </c>
      <c r="F1914" t="s">
        <v>6027</v>
      </c>
      <c r="G1914" s="425">
        <v>0</v>
      </c>
      <c r="H1914" s="425">
        <v>0</v>
      </c>
      <c r="I1914" s="425">
        <v>0</v>
      </c>
      <c r="J1914" s="425">
        <v>0</v>
      </c>
      <c r="K1914" s="425">
        <v>0</v>
      </c>
      <c r="L1914" s="425">
        <v>0</v>
      </c>
      <c r="M1914" s="425">
        <v>0</v>
      </c>
      <c r="N1914" s="425">
        <v>0</v>
      </c>
      <c r="O1914" s="425">
        <v>0</v>
      </c>
    </row>
    <row r="1915" spans="3:15" hidden="1" x14ac:dyDescent="0.3">
      <c r="C1915" t="s">
        <v>2295</v>
      </c>
      <c r="D1915" t="s">
        <v>2267</v>
      </c>
      <c r="E1915" t="s">
        <v>6028</v>
      </c>
      <c r="F1915" t="s">
        <v>6029</v>
      </c>
      <c r="G1915" s="425">
        <v>0</v>
      </c>
      <c r="H1915" s="425">
        <v>0</v>
      </c>
      <c r="I1915" s="425">
        <v>0</v>
      </c>
      <c r="J1915" s="425">
        <v>0</v>
      </c>
      <c r="K1915" s="425">
        <v>0</v>
      </c>
      <c r="L1915" s="425">
        <v>0</v>
      </c>
      <c r="M1915" s="425">
        <v>0</v>
      </c>
      <c r="N1915" s="425">
        <v>0</v>
      </c>
      <c r="O1915" s="425">
        <v>0</v>
      </c>
    </row>
    <row r="1916" spans="3:15" hidden="1" x14ac:dyDescent="0.3">
      <c r="C1916" t="s">
        <v>2295</v>
      </c>
      <c r="D1916" t="s">
        <v>2267</v>
      </c>
      <c r="E1916" t="s">
        <v>6030</v>
      </c>
      <c r="F1916" t="s">
        <v>6031</v>
      </c>
      <c r="G1916" s="425">
        <v>0</v>
      </c>
      <c r="H1916" s="425">
        <v>0</v>
      </c>
      <c r="I1916" s="425">
        <v>0</v>
      </c>
      <c r="J1916" s="425">
        <v>0</v>
      </c>
      <c r="K1916" s="425">
        <v>0</v>
      </c>
      <c r="L1916" s="425">
        <v>0</v>
      </c>
      <c r="M1916" s="425">
        <v>0</v>
      </c>
      <c r="N1916" s="425">
        <v>0</v>
      </c>
      <c r="O1916" s="425">
        <v>0</v>
      </c>
    </row>
    <row r="1917" spans="3:15" hidden="1" x14ac:dyDescent="0.3">
      <c r="C1917" t="s">
        <v>2295</v>
      </c>
      <c r="D1917" t="s">
        <v>2267</v>
      </c>
      <c r="E1917" t="s">
        <v>6032</v>
      </c>
      <c r="F1917" t="s">
        <v>6033</v>
      </c>
      <c r="G1917" s="425">
        <v>0</v>
      </c>
      <c r="H1917" s="425">
        <v>0</v>
      </c>
      <c r="I1917" s="425">
        <v>0</v>
      </c>
      <c r="J1917" s="425">
        <v>0</v>
      </c>
      <c r="K1917" s="425">
        <v>0</v>
      </c>
      <c r="L1917" s="425">
        <v>0</v>
      </c>
      <c r="M1917" s="425">
        <v>0</v>
      </c>
      <c r="N1917" s="425">
        <v>0</v>
      </c>
      <c r="O1917" s="425">
        <v>0</v>
      </c>
    </row>
    <row r="1918" spans="3:15" hidden="1" x14ac:dyDescent="0.3">
      <c r="C1918" t="s">
        <v>2295</v>
      </c>
      <c r="D1918" t="s">
        <v>2267</v>
      </c>
      <c r="E1918" t="s">
        <v>6034</v>
      </c>
      <c r="F1918" t="s">
        <v>6035</v>
      </c>
      <c r="G1918" s="425">
        <v>0</v>
      </c>
      <c r="H1918" s="425">
        <v>0</v>
      </c>
      <c r="I1918" s="425">
        <v>0</v>
      </c>
      <c r="J1918" s="425">
        <v>0</v>
      </c>
      <c r="K1918" s="425">
        <v>0</v>
      </c>
      <c r="L1918" s="425">
        <v>0</v>
      </c>
      <c r="M1918" s="425">
        <v>0</v>
      </c>
      <c r="N1918" s="425">
        <v>0</v>
      </c>
      <c r="O1918" s="425">
        <v>0</v>
      </c>
    </row>
    <row r="1919" spans="3:15" hidden="1" x14ac:dyDescent="0.3">
      <c r="C1919" t="s">
        <v>2295</v>
      </c>
      <c r="D1919" t="s">
        <v>2267</v>
      </c>
      <c r="E1919" t="s">
        <v>6036</v>
      </c>
      <c r="F1919" t="s">
        <v>6037</v>
      </c>
      <c r="G1919" s="425">
        <v>0</v>
      </c>
      <c r="H1919" s="425">
        <v>0</v>
      </c>
      <c r="I1919" s="425">
        <v>0</v>
      </c>
      <c r="J1919" s="425">
        <v>0</v>
      </c>
      <c r="K1919" s="425">
        <v>0</v>
      </c>
      <c r="L1919" s="425">
        <v>0</v>
      </c>
      <c r="M1919" s="425">
        <v>0</v>
      </c>
      <c r="N1919" s="425">
        <v>0</v>
      </c>
      <c r="O1919" s="425">
        <v>0</v>
      </c>
    </row>
    <row r="1920" spans="3:15" hidden="1" x14ac:dyDescent="0.3">
      <c r="C1920" t="s">
        <v>2295</v>
      </c>
      <c r="D1920" t="s">
        <v>2267</v>
      </c>
      <c r="E1920" t="s">
        <v>6038</v>
      </c>
      <c r="F1920" t="s">
        <v>6039</v>
      </c>
      <c r="G1920" s="425">
        <v>0</v>
      </c>
      <c r="H1920" s="425">
        <v>0</v>
      </c>
      <c r="I1920" s="425">
        <v>0</v>
      </c>
      <c r="J1920" s="425">
        <v>0</v>
      </c>
      <c r="K1920" s="425">
        <v>0</v>
      </c>
      <c r="L1920" s="425">
        <v>0</v>
      </c>
      <c r="M1920" s="425">
        <v>0</v>
      </c>
      <c r="N1920" s="425">
        <v>0</v>
      </c>
      <c r="O1920" s="425">
        <v>0</v>
      </c>
    </row>
    <row r="1921" spans="3:15" hidden="1" x14ac:dyDescent="0.3">
      <c r="C1921" t="s">
        <v>2295</v>
      </c>
      <c r="D1921" t="s">
        <v>2267</v>
      </c>
      <c r="E1921" t="s">
        <v>6040</v>
      </c>
      <c r="F1921" t="s">
        <v>6041</v>
      </c>
      <c r="G1921" s="425">
        <v>563340</v>
      </c>
      <c r="H1921" s="425">
        <v>0</v>
      </c>
      <c r="I1921" s="425">
        <v>563340</v>
      </c>
      <c r="J1921" s="425">
        <v>0</v>
      </c>
      <c r="K1921" s="425">
        <v>0</v>
      </c>
      <c r="L1921" s="425">
        <v>0</v>
      </c>
      <c r="M1921" s="425">
        <v>0</v>
      </c>
      <c r="N1921" s="425">
        <v>0</v>
      </c>
      <c r="O1921" s="425">
        <v>0</v>
      </c>
    </row>
    <row r="1922" spans="3:15" hidden="1" x14ac:dyDescent="0.3">
      <c r="C1922" t="s">
        <v>2295</v>
      </c>
      <c r="D1922" t="s">
        <v>2267</v>
      </c>
      <c r="E1922" t="s">
        <v>6042</v>
      </c>
      <c r="F1922" t="s">
        <v>6043</v>
      </c>
      <c r="G1922" s="425">
        <v>0</v>
      </c>
      <c r="H1922" s="425">
        <v>0</v>
      </c>
      <c r="I1922" s="425">
        <v>0</v>
      </c>
      <c r="J1922" s="425">
        <v>0</v>
      </c>
      <c r="K1922" s="425">
        <v>0</v>
      </c>
      <c r="L1922" s="425">
        <v>0</v>
      </c>
      <c r="M1922" s="425">
        <v>0</v>
      </c>
      <c r="N1922" s="425">
        <v>0</v>
      </c>
      <c r="O1922" s="425">
        <v>0</v>
      </c>
    </row>
    <row r="1923" spans="3:15" hidden="1" x14ac:dyDescent="0.3">
      <c r="C1923" t="s">
        <v>2295</v>
      </c>
      <c r="D1923" t="s">
        <v>2267</v>
      </c>
      <c r="E1923" t="s">
        <v>6044</v>
      </c>
      <c r="F1923" t="s">
        <v>6045</v>
      </c>
      <c r="G1923" s="425">
        <v>0</v>
      </c>
      <c r="H1923" s="425">
        <v>0</v>
      </c>
      <c r="I1923" s="425">
        <v>0</v>
      </c>
      <c r="J1923" s="425">
        <v>0</v>
      </c>
      <c r="K1923" s="425">
        <v>0</v>
      </c>
      <c r="L1923" s="425">
        <v>0</v>
      </c>
      <c r="M1923" s="425">
        <v>0</v>
      </c>
      <c r="N1923" s="425">
        <v>0</v>
      </c>
      <c r="O1923" s="425">
        <v>0</v>
      </c>
    </row>
    <row r="1924" spans="3:15" hidden="1" x14ac:dyDescent="0.3">
      <c r="C1924" t="s">
        <v>2295</v>
      </c>
      <c r="D1924" t="s">
        <v>2267</v>
      </c>
      <c r="E1924" t="s">
        <v>6046</v>
      </c>
      <c r="F1924" t="s">
        <v>6047</v>
      </c>
      <c r="G1924" s="425">
        <v>0</v>
      </c>
      <c r="H1924" s="425">
        <v>0</v>
      </c>
      <c r="I1924" s="425">
        <v>0</v>
      </c>
      <c r="J1924" s="425">
        <v>0</v>
      </c>
      <c r="K1924" s="425">
        <v>0</v>
      </c>
      <c r="L1924" s="425">
        <v>0</v>
      </c>
      <c r="M1924" s="425">
        <v>0</v>
      </c>
      <c r="N1924" s="425">
        <v>0</v>
      </c>
      <c r="O1924" s="425">
        <v>0</v>
      </c>
    </row>
    <row r="1925" spans="3:15" hidden="1" x14ac:dyDescent="0.3">
      <c r="C1925" t="s">
        <v>2295</v>
      </c>
      <c r="D1925" t="s">
        <v>2267</v>
      </c>
      <c r="E1925" t="s">
        <v>5954</v>
      </c>
      <c r="F1925" t="s">
        <v>6048</v>
      </c>
      <c r="G1925" s="425">
        <v>0</v>
      </c>
      <c r="H1925" s="425">
        <v>0</v>
      </c>
      <c r="I1925" s="425">
        <v>0</v>
      </c>
      <c r="J1925" s="425">
        <v>0</v>
      </c>
      <c r="K1925" s="425">
        <v>0</v>
      </c>
      <c r="L1925" s="425">
        <v>0</v>
      </c>
      <c r="M1925" s="425">
        <v>0</v>
      </c>
      <c r="N1925" s="425">
        <v>0</v>
      </c>
      <c r="O1925" s="425">
        <v>0</v>
      </c>
    </row>
    <row r="1926" spans="3:15" hidden="1" x14ac:dyDescent="0.3">
      <c r="C1926" t="s">
        <v>2295</v>
      </c>
      <c r="D1926" t="s">
        <v>2267</v>
      </c>
      <c r="E1926" t="s">
        <v>6049</v>
      </c>
      <c r="F1926" t="s">
        <v>6050</v>
      </c>
      <c r="G1926" s="425">
        <v>0</v>
      </c>
      <c r="H1926" s="425">
        <v>0</v>
      </c>
      <c r="I1926" s="425">
        <v>0</v>
      </c>
      <c r="J1926" s="425">
        <v>0</v>
      </c>
      <c r="K1926" s="425">
        <v>0</v>
      </c>
      <c r="L1926" s="425">
        <v>0</v>
      </c>
      <c r="M1926" s="425">
        <v>0</v>
      </c>
      <c r="N1926" s="425">
        <v>0</v>
      </c>
      <c r="O1926" s="425">
        <v>0</v>
      </c>
    </row>
    <row r="1927" spans="3:15" hidden="1" x14ac:dyDescent="0.3">
      <c r="C1927" t="s">
        <v>2295</v>
      </c>
      <c r="D1927" t="s">
        <v>2267</v>
      </c>
      <c r="E1927" t="s">
        <v>6051</v>
      </c>
      <c r="F1927" t="s">
        <v>6052</v>
      </c>
      <c r="G1927" s="425">
        <v>0</v>
      </c>
      <c r="H1927" s="425">
        <v>0</v>
      </c>
      <c r="I1927" s="425">
        <v>0</v>
      </c>
      <c r="J1927" s="425">
        <v>0</v>
      </c>
      <c r="K1927" s="425">
        <v>0</v>
      </c>
      <c r="L1927" s="425">
        <v>0</v>
      </c>
      <c r="M1927" s="425">
        <v>0</v>
      </c>
      <c r="N1927" s="425">
        <v>0</v>
      </c>
      <c r="O1927" s="425">
        <v>0</v>
      </c>
    </row>
    <row r="1928" spans="3:15" hidden="1" x14ac:dyDescent="0.3">
      <c r="C1928" t="s">
        <v>2295</v>
      </c>
      <c r="D1928" t="s">
        <v>2267</v>
      </c>
      <c r="E1928" t="s">
        <v>6053</v>
      </c>
      <c r="F1928" t="s">
        <v>6054</v>
      </c>
      <c r="G1928" s="425">
        <v>0</v>
      </c>
      <c r="H1928" s="425">
        <v>0</v>
      </c>
      <c r="I1928" s="425">
        <v>0</v>
      </c>
      <c r="J1928" s="425">
        <v>0</v>
      </c>
      <c r="K1928" s="425">
        <v>0</v>
      </c>
      <c r="L1928" s="425">
        <v>0</v>
      </c>
      <c r="M1928" s="425">
        <v>0</v>
      </c>
      <c r="N1928" s="425">
        <v>0</v>
      </c>
      <c r="O1928" s="425">
        <v>0</v>
      </c>
    </row>
    <row r="1929" spans="3:15" hidden="1" x14ac:dyDescent="0.3">
      <c r="C1929" t="s">
        <v>2295</v>
      </c>
      <c r="D1929" t="s">
        <v>2267</v>
      </c>
      <c r="E1929" t="s">
        <v>6055</v>
      </c>
      <c r="F1929" t="s">
        <v>6056</v>
      </c>
      <c r="G1929" s="425">
        <v>0</v>
      </c>
      <c r="H1929" s="425">
        <v>0</v>
      </c>
      <c r="I1929" s="425">
        <v>0</v>
      </c>
      <c r="J1929" s="425">
        <v>0</v>
      </c>
      <c r="K1929" s="425">
        <v>0</v>
      </c>
      <c r="L1929" s="425">
        <v>0</v>
      </c>
      <c r="M1929" s="425">
        <v>0</v>
      </c>
      <c r="N1929" s="425">
        <v>0</v>
      </c>
      <c r="O1929" s="425">
        <v>0</v>
      </c>
    </row>
    <row r="1930" spans="3:15" hidden="1" x14ac:dyDescent="0.3">
      <c r="C1930" t="s">
        <v>2295</v>
      </c>
      <c r="D1930" t="s">
        <v>2267</v>
      </c>
      <c r="E1930" t="s">
        <v>6057</v>
      </c>
      <c r="F1930" t="s">
        <v>6058</v>
      </c>
      <c r="G1930" s="425">
        <v>0</v>
      </c>
      <c r="H1930" s="425">
        <v>0</v>
      </c>
      <c r="I1930" s="425">
        <v>0</v>
      </c>
      <c r="J1930" s="425">
        <v>0</v>
      </c>
      <c r="K1930" s="425">
        <v>0</v>
      </c>
      <c r="L1930" s="425">
        <v>0</v>
      </c>
      <c r="M1930" s="425">
        <v>0</v>
      </c>
      <c r="N1930" s="425">
        <v>0</v>
      </c>
      <c r="O1930" s="425">
        <v>0</v>
      </c>
    </row>
    <row r="1931" spans="3:15" hidden="1" x14ac:dyDescent="0.3">
      <c r="C1931" t="s">
        <v>2295</v>
      </c>
      <c r="D1931" t="s">
        <v>2267</v>
      </c>
      <c r="E1931" t="s">
        <v>6059</v>
      </c>
      <c r="F1931" t="s">
        <v>6060</v>
      </c>
      <c r="G1931" s="425">
        <v>0</v>
      </c>
      <c r="H1931" s="425">
        <v>0</v>
      </c>
      <c r="I1931" s="425">
        <v>0</v>
      </c>
      <c r="J1931" s="425">
        <v>0</v>
      </c>
      <c r="K1931" s="425">
        <v>0</v>
      </c>
      <c r="L1931" s="425">
        <v>0</v>
      </c>
      <c r="M1931" s="425">
        <v>0</v>
      </c>
      <c r="N1931" s="425">
        <v>0</v>
      </c>
      <c r="O1931" s="425">
        <v>0</v>
      </c>
    </row>
    <row r="1932" spans="3:15" hidden="1" x14ac:dyDescent="0.3">
      <c r="C1932" t="s">
        <v>2295</v>
      </c>
      <c r="D1932" t="s">
        <v>2267</v>
      </c>
      <c r="E1932" t="s">
        <v>6061</v>
      </c>
      <c r="F1932" t="s">
        <v>6062</v>
      </c>
      <c r="G1932" s="425">
        <v>0</v>
      </c>
      <c r="H1932" s="425">
        <v>0</v>
      </c>
      <c r="I1932" s="425">
        <v>0</v>
      </c>
      <c r="J1932" s="425">
        <v>0</v>
      </c>
      <c r="K1932" s="425">
        <v>0</v>
      </c>
      <c r="L1932" s="425">
        <v>0</v>
      </c>
      <c r="M1932" s="425">
        <v>0</v>
      </c>
      <c r="N1932" s="425">
        <v>0</v>
      </c>
      <c r="O1932" s="425">
        <v>0</v>
      </c>
    </row>
    <row r="1933" spans="3:15" hidden="1" x14ac:dyDescent="0.3">
      <c r="C1933" t="s">
        <v>2295</v>
      </c>
      <c r="D1933" t="s">
        <v>2267</v>
      </c>
      <c r="E1933" t="s">
        <v>6063</v>
      </c>
      <c r="F1933" t="s">
        <v>6064</v>
      </c>
      <c r="G1933" s="425">
        <v>0</v>
      </c>
      <c r="H1933" s="425">
        <v>0</v>
      </c>
      <c r="I1933" s="425">
        <v>0</v>
      </c>
      <c r="J1933" s="425">
        <v>0</v>
      </c>
      <c r="K1933" s="425">
        <v>0</v>
      </c>
      <c r="L1933" s="425">
        <v>0</v>
      </c>
      <c r="M1933" s="425">
        <v>0</v>
      </c>
      <c r="N1933" s="425">
        <v>0</v>
      </c>
      <c r="O1933" s="425">
        <v>0</v>
      </c>
    </row>
    <row r="1934" spans="3:15" hidden="1" x14ac:dyDescent="0.3">
      <c r="C1934" t="s">
        <v>2295</v>
      </c>
      <c r="D1934" t="s">
        <v>2267</v>
      </c>
      <c r="E1934" t="s">
        <v>6065</v>
      </c>
      <c r="F1934" t="s">
        <v>6066</v>
      </c>
      <c r="G1934" s="425">
        <v>0</v>
      </c>
      <c r="H1934" s="425">
        <v>0</v>
      </c>
      <c r="I1934" s="425">
        <v>0</v>
      </c>
      <c r="J1934" s="425">
        <v>0</v>
      </c>
      <c r="K1934" s="425">
        <v>0</v>
      </c>
      <c r="L1934" s="425">
        <v>0</v>
      </c>
      <c r="M1934" s="425">
        <v>0</v>
      </c>
      <c r="N1934" s="425">
        <v>0</v>
      </c>
      <c r="O1934" s="425">
        <v>0</v>
      </c>
    </row>
    <row r="1935" spans="3:15" hidden="1" x14ac:dyDescent="0.3">
      <c r="C1935" t="s">
        <v>2295</v>
      </c>
      <c r="D1935" t="s">
        <v>2267</v>
      </c>
      <c r="E1935" t="s">
        <v>6067</v>
      </c>
      <c r="F1935" t="s">
        <v>6068</v>
      </c>
      <c r="G1935" s="425">
        <v>0</v>
      </c>
      <c r="H1935" s="425">
        <v>0</v>
      </c>
      <c r="I1935" s="425">
        <v>0</v>
      </c>
      <c r="J1935" s="425">
        <v>0</v>
      </c>
      <c r="K1935" s="425">
        <v>0</v>
      </c>
      <c r="L1935" s="425">
        <v>0</v>
      </c>
      <c r="M1935" s="425">
        <v>0</v>
      </c>
      <c r="N1935" s="425">
        <v>0</v>
      </c>
      <c r="O1935" s="425">
        <v>0</v>
      </c>
    </row>
    <row r="1936" spans="3:15" hidden="1" x14ac:dyDescent="0.3">
      <c r="C1936" t="s">
        <v>2295</v>
      </c>
      <c r="D1936" t="s">
        <v>2267</v>
      </c>
      <c r="E1936" t="s">
        <v>6069</v>
      </c>
      <c r="F1936" t="s">
        <v>6070</v>
      </c>
      <c r="G1936" s="425">
        <v>0</v>
      </c>
      <c r="H1936" s="425">
        <v>0</v>
      </c>
      <c r="I1936" s="425">
        <v>0</v>
      </c>
      <c r="J1936" s="425">
        <v>0</v>
      </c>
      <c r="K1936" s="425">
        <v>0</v>
      </c>
      <c r="L1936" s="425">
        <v>0</v>
      </c>
      <c r="M1936" s="425">
        <v>0</v>
      </c>
      <c r="N1936" s="425">
        <v>0</v>
      </c>
      <c r="O1936" s="425">
        <v>0</v>
      </c>
    </row>
    <row r="1937" spans="3:15" hidden="1" x14ac:dyDescent="0.3">
      <c r="C1937" t="s">
        <v>2295</v>
      </c>
      <c r="D1937" t="s">
        <v>2267</v>
      </c>
      <c r="E1937" t="s">
        <v>6071</v>
      </c>
      <c r="F1937" t="s">
        <v>6072</v>
      </c>
      <c r="G1937" s="425">
        <v>0</v>
      </c>
      <c r="H1937" s="425">
        <v>0</v>
      </c>
      <c r="I1937" s="425">
        <v>0</v>
      </c>
      <c r="J1937" s="425">
        <v>0</v>
      </c>
      <c r="K1937" s="425">
        <v>0</v>
      </c>
      <c r="L1937" s="425">
        <v>0</v>
      </c>
      <c r="M1937" s="425">
        <v>0</v>
      </c>
      <c r="N1937" s="425">
        <v>0</v>
      </c>
      <c r="O1937" s="425">
        <v>0</v>
      </c>
    </row>
    <row r="1938" spans="3:15" hidden="1" x14ac:dyDescent="0.3">
      <c r="C1938" t="s">
        <v>2295</v>
      </c>
      <c r="D1938" t="s">
        <v>2267</v>
      </c>
      <c r="E1938" t="s">
        <v>6073</v>
      </c>
      <c r="F1938" t="s">
        <v>6074</v>
      </c>
      <c r="G1938" s="425">
        <v>0</v>
      </c>
      <c r="H1938" s="425">
        <v>0</v>
      </c>
      <c r="I1938" s="425">
        <v>0</v>
      </c>
      <c r="J1938" s="425">
        <v>0</v>
      </c>
      <c r="K1938" s="425">
        <v>0</v>
      </c>
      <c r="L1938" s="425">
        <v>0</v>
      </c>
      <c r="M1938" s="425">
        <v>0</v>
      </c>
      <c r="N1938" s="425">
        <v>0</v>
      </c>
      <c r="O1938" s="425">
        <v>0</v>
      </c>
    </row>
    <row r="1939" spans="3:15" hidden="1" x14ac:dyDescent="0.3">
      <c r="C1939" t="s">
        <v>2295</v>
      </c>
      <c r="D1939" t="s">
        <v>2267</v>
      </c>
      <c r="E1939" t="s">
        <v>6075</v>
      </c>
      <c r="F1939" t="s">
        <v>6076</v>
      </c>
      <c r="G1939" s="425">
        <v>0</v>
      </c>
      <c r="H1939" s="425">
        <v>0</v>
      </c>
      <c r="I1939" s="425">
        <v>0</v>
      </c>
      <c r="J1939" s="425">
        <v>0</v>
      </c>
      <c r="K1939" s="425">
        <v>0</v>
      </c>
      <c r="L1939" s="425">
        <v>0</v>
      </c>
      <c r="M1939" s="425">
        <v>0</v>
      </c>
      <c r="N1939" s="425">
        <v>0</v>
      </c>
      <c r="O1939" s="425">
        <v>0</v>
      </c>
    </row>
    <row r="1940" spans="3:15" hidden="1" x14ac:dyDescent="0.3">
      <c r="C1940" t="s">
        <v>2295</v>
      </c>
      <c r="D1940" t="s">
        <v>2267</v>
      </c>
      <c r="E1940" t="s">
        <v>6077</v>
      </c>
      <c r="F1940" t="s">
        <v>6078</v>
      </c>
      <c r="G1940" s="425">
        <v>0</v>
      </c>
      <c r="H1940" s="425">
        <v>0</v>
      </c>
      <c r="I1940" s="425">
        <v>0</v>
      </c>
      <c r="J1940" s="425">
        <v>0</v>
      </c>
      <c r="K1940" s="425">
        <v>0</v>
      </c>
      <c r="L1940" s="425">
        <v>0</v>
      </c>
      <c r="M1940" s="425">
        <v>0</v>
      </c>
      <c r="N1940" s="425">
        <v>0</v>
      </c>
      <c r="O1940" s="425">
        <v>0</v>
      </c>
    </row>
    <row r="1941" spans="3:15" hidden="1" x14ac:dyDescent="0.3">
      <c r="C1941" t="s">
        <v>2295</v>
      </c>
      <c r="D1941" t="s">
        <v>2267</v>
      </c>
      <c r="E1941" t="s">
        <v>6079</v>
      </c>
      <c r="F1941" t="s">
        <v>6080</v>
      </c>
      <c r="G1941" s="425">
        <v>0</v>
      </c>
      <c r="H1941" s="425">
        <v>0</v>
      </c>
      <c r="I1941" s="425">
        <v>0</v>
      </c>
      <c r="J1941" s="425">
        <v>0</v>
      </c>
      <c r="K1941" s="425">
        <v>0</v>
      </c>
      <c r="L1941" s="425">
        <v>0</v>
      </c>
      <c r="M1941" s="425">
        <v>0</v>
      </c>
      <c r="N1941" s="425">
        <v>0</v>
      </c>
      <c r="O1941" s="425">
        <v>0</v>
      </c>
    </row>
    <row r="1942" spans="3:15" hidden="1" x14ac:dyDescent="0.3">
      <c r="C1942" t="s">
        <v>2295</v>
      </c>
      <c r="D1942" t="s">
        <v>2267</v>
      </c>
      <c r="E1942" t="s">
        <v>6081</v>
      </c>
      <c r="F1942" t="s">
        <v>6082</v>
      </c>
      <c r="G1942" s="425">
        <v>0</v>
      </c>
      <c r="H1942" s="425">
        <v>0</v>
      </c>
      <c r="I1942" s="425">
        <v>0</v>
      </c>
      <c r="J1942" s="425">
        <v>0</v>
      </c>
      <c r="K1942" s="425">
        <v>0</v>
      </c>
      <c r="L1942" s="425">
        <v>0</v>
      </c>
      <c r="M1942" s="425">
        <v>0</v>
      </c>
      <c r="N1942" s="425">
        <v>0</v>
      </c>
      <c r="O1942" s="425">
        <v>0</v>
      </c>
    </row>
    <row r="1943" spans="3:15" hidden="1" x14ac:dyDescent="0.3">
      <c r="C1943" t="s">
        <v>2295</v>
      </c>
      <c r="D1943" t="s">
        <v>2267</v>
      </c>
      <c r="E1943" t="s">
        <v>6083</v>
      </c>
      <c r="F1943" t="s">
        <v>6084</v>
      </c>
      <c r="G1943" s="425">
        <v>0</v>
      </c>
      <c r="H1943" s="425">
        <v>0</v>
      </c>
      <c r="I1943" s="425">
        <v>0</v>
      </c>
      <c r="J1943" s="425">
        <v>0</v>
      </c>
      <c r="K1943" s="425">
        <v>0</v>
      </c>
      <c r="L1943" s="425">
        <v>0</v>
      </c>
      <c r="M1943" s="425">
        <v>0</v>
      </c>
      <c r="N1943" s="425">
        <v>0</v>
      </c>
      <c r="O1943" s="425">
        <v>0</v>
      </c>
    </row>
    <row r="1944" spans="3:15" hidden="1" x14ac:dyDescent="0.3">
      <c r="C1944" t="s">
        <v>2295</v>
      </c>
      <c r="D1944" t="s">
        <v>2267</v>
      </c>
      <c r="E1944" t="s">
        <v>6085</v>
      </c>
      <c r="F1944" t="s">
        <v>6086</v>
      </c>
      <c r="G1944" s="425">
        <v>0</v>
      </c>
      <c r="H1944" s="425">
        <v>0</v>
      </c>
      <c r="I1944" s="425">
        <v>0</v>
      </c>
      <c r="J1944" s="425">
        <v>0</v>
      </c>
      <c r="K1944" s="425">
        <v>0</v>
      </c>
      <c r="L1944" s="425">
        <v>0</v>
      </c>
      <c r="M1944" s="425">
        <v>0</v>
      </c>
      <c r="N1944" s="425">
        <v>0</v>
      </c>
      <c r="O1944" s="425">
        <v>0</v>
      </c>
    </row>
    <row r="1945" spans="3:15" hidden="1" x14ac:dyDescent="0.3">
      <c r="C1945" t="s">
        <v>2295</v>
      </c>
      <c r="D1945" t="s">
        <v>2267</v>
      </c>
      <c r="E1945" t="s">
        <v>6087</v>
      </c>
      <c r="F1945" t="s">
        <v>6088</v>
      </c>
      <c r="G1945" s="425">
        <v>0</v>
      </c>
      <c r="H1945" s="425">
        <v>0</v>
      </c>
      <c r="I1945" s="425">
        <v>0</v>
      </c>
      <c r="J1945" s="425">
        <v>0</v>
      </c>
      <c r="K1945" s="425">
        <v>0</v>
      </c>
      <c r="L1945" s="425">
        <v>0</v>
      </c>
      <c r="M1945" s="425">
        <v>0</v>
      </c>
      <c r="N1945" s="425">
        <v>0</v>
      </c>
      <c r="O1945" s="425">
        <v>0</v>
      </c>
    </row>
    <row r="1946" spans="3:15" hidden="1" x14ac:dyDescent="0.3">
      <c r="C1946" t="s">
        <v>2295</v>
      </c>
      <c r="D1946" t="s">
        <v>2267</v>
      </c>
      <c r="E1946" t="s">
        <v>6089</v>
      </c>
      <c r="F1946" t="s">
        <v>6090</v>
      </c>
      <c r="G1946" s="425">
        <v>0</v>
      </c>
      <c r="H1946" s="425">
        <v>0</v>
      </c>
      <c r="I1946" s="425">
        <v>0</v>
      </c>
      <c r="J1946" s="425">
        <v>0</v>
      </c>
      <c r="K1946" s="425">
        <v>0</v>
      </c>
      <c r="L1946" s="425">
        <v>0</v>
      </c>
      <c r="M1946" s="425">
        <v>0</v>
      </c>
      <c r="N1946" s="425">
        <v>0</v>
      </c>
      <c r="O1946" s="425">
        <v>0</v>
      </c>
    </row>
    <row r="1947" spans="3:15" hidden="1" x14ac:dyDescent="0.3">
      <c r="C1947" t="s">
        <v>2295</v>
      </c>
      <c r="D1947" t="s">
        <v>2267</v>
      </c>
      <c r="E1947" t="s">
        <v>6091</v>
      </c>
      <c r="F1947" t="s">
        <v>6092</v>
      </c>
      <c r="G1947" s="425">
        <v>0</v>
      </c>
      <c r="H1947" s="425">
        <v>0</v>
      </c>
      <c r="I1947" s="425">
        <v>0</v>
      </c>
      <c r="J1947" s="425">
        <v>0</v>
      </c>
      <c r="K1947" s="425">
        <v>0</v>
      </c>
      <c r="L1947" s="425">
        <v>0</v>
      </c>
      <c r="M1947" s="425">
        <v>0</v>
      </c>
      <c r="N1947" s="425">
        <v>0</v>
      </c>
      <c r="O1947" s="425">
        <v>0</v>
      </c>
    </row>
    <row r="1948" spans="3:15" hidden="1" x14ac:dyDescent="0.3">
      <c r="C1948" t="s">
        <v>2295</v>
      </c>
      <c r="D1948" t="s">
        <v>2267</v>
      </c>
      <c r="E1948" t="s">
        <v>6093</v>
      </c>
      <c r="F1948" t="s">
        <v>6094</v>
      </c>
      <c r="G1948" s="425">
        <v>0</v>
      </c>
      <c r="H1948" s="425">
        <v>0</v>
      </c>
      <c r="I1948" s="425">
        <v>0</v>
      </c>
      <c r="J1948" s="425">
        <v>0</v>
      </c>
      <c r="K1948" s="425">
        <v>0</v>
      </c>
      <c r="L1948" s="425">
        <v>0</v>
      </c>
      <c r="M1948" s="425">
        <v>0</v>
      </c>
      <c r="N1948" s="425">
        <v>0</v>
      </c>
      <c r="O1948" s="425">
        <v>0</v>
      </c>
    </row>
    <row r="1949" spans="3:15" hidden="1" x14ac:dyDescent="0.3">
      <c r="C1949" t="s">
        <v>2295</v>
      </c>
      <c r="D1949" t="s">
        <v>2267</v>
      </c>
      <c r="E1949" t="s">
        <v>6095</v>
      </c>
      <c r="F1949" t="s">
        <v>6096</v>
      </c>
      <c r="G1949" s="425">
        <v>0</v>
      </c>
      <c r="H1949" s="425">
        <v>0</v>
      </c>
      <c r="I1949" s="425">
        <v>0</v>
      </c>
      <c r="J1949" s="425">
        <v>0</v>
      </c>
      <c r="K1949" s="425">
        <v>0</v>
      </c>
      <c r="L1949" s="425">
        <v>0</v>
      </c>
      <c r="M1949" s="425">
        <v>0</v>
      </c>
      <c r="N1949" s="425">
        <v>0</v>
      </c>
      <c r="O1949" s="425">
        <v>0</v>
      </c>
    </row>
    <row r="1950" spans="3:15" hidden="1" x14ac:dyDescent="0.3">
      <c r="C1950" t="s">
        <v>2295</v>
      </c>
      <c r="D1950" t="s">
        <v>2267</v>
      </c>
      <c r="E1950" t="s">
        <v>6097</v>
      </c>
      <c r="F1950" t="s">
        <v>6098</v>
      </c>
      <c r="G1950" s="425">
        <v>0</v>
      </c>
      <c r="H1950" s="425">
        <v>0</v>
      </c>
      <c r="I1950" s="425">
        <v>0</v>
      </c>
      <c r="J1950" s="425">
        <v>0</v>
      </c>
      <c r="K1950" s="425">
        <v>0</v>
      </c>
      <c r="L1950" s="425">
        <v>0</v>
      </c>
      <c r="M1950" s="425">
        <v>0</v>
      </c>
      <c r="N1950" s="425">
        <v>0</v>
      </c>
      <c r="O1950" s="425">
        <v>0</v>
      </c>
    </row>
    <row r="1951" spans="3:15" hidden="1" x14ac:dyDescent="0.3">
      <c r="C1951" t="s">
        <v>2295</v>
      </c>
      <c r="D1951" t="s">
        <v>2267</v>
      </c>
      <c r="E1951" t="s">
        <v>6099</v>
      </c>
      <c r="F1951" t="s">
        <v>6100</v>
      </c>
      <c r="G1951" s="425">
        <v>0</v>
      </c>
      <c r="H1951" s="425">
        <v>0</v>
      </c>
      <c r="I1951" s="425">
        <v>0</v>
      </c>
      <c r="J1951" s="425">
        <v>0</v>
      </c>
      <c r="K1951" s="425">
        <v>0</v>
      </c>
      <c r="L1951" s="425">
        <v>0</v>
      </c>
      <c r="M1951" s="425">
        <v>0</v>
      </c>
      <c r="N1951" s="425">
        <v>0</v>
      </c>
      <c r="O1951" s="425">
        <v>0</v>
      </c>
    </row>
    <row r="1952" spans="3:15" hidden="1" x14ac:dyDescent="0.3">
      <c r="C1952" t="s">
        <v>2295</v>
      </c>
      <c r="D1952" t="s">
        <v>2267</v>
      </c>
      <c r="E1952" t="s">
        <v>6101</v>
      </c>
      <c r="F1952" t="s">
        <v>6102</v>
      </c>
      <c r="G1952" s="425">
        <v>0</v>
      </c>
      <c r="H1952" s="425">
        <v>0</v>
      </c>
      <c r="I1952" s="425">
        <v>0</v>
      </c>
      <c r="J1952" s="425">
        <v>0</v>
      </c>
      <c r="K1952" s="425">
        <v>0</v>
      </c>
      <c r="L1952" s="425">
        <v>0</v>
      </c>
      <c r="M1952" s="425">
        <v>0</v>
      </c>
      <c r="N1952" s="425">
        <v>0</v>
      </c>
      <c r="O1952" s="425">
        <v>0</v>
      </c>
    </row>
    <row r="1953" spans="3:15" hidden="1" x14ac:dyDescent="0.3">
      <c r="C1953" t="s">
        <v>2295</v>
      </c>
      <c r="D1953" t="s">
        <v>2267</v>
      </c>
      <c r="E1953" t="s">
        <v>6103</v>
      </c>
      <c r="F1953" t="s">
        <v>6104</v>
      </c>
      <c r="G1953" s="425">
        <v>0</v>
      </c>
      <c r="H1953" s="425">
        <v>0</v>
      </c>
      <c r="I1953" s="425">
        <v>0</v>
      </c>
      <c r="J1953" s="425">
        <v>0</v>
      </c>
      <c r="K1953" s="425">
        <v>0</v>
      </c>
      <c r="L1953" s="425">
        <v>0</v>
      </c>
      <c r="M1953" s="425">
        <v>0</v>
      </c>
      <c r="N1953" s="425">
        <v>0</v>
      </c>
      <c r="O1953" s="425">
        <v>0</v>
      </c>
    </row>
    <row r="1954" spans="3:15" hidden="1" x14ac:dyDescent="0.3">
      <c r="C1954" t="s">
        <v>2295</v>
      </c>
      <c r="D1954" t="s">
        <v>2267</v>
      </c>
      <c r="E1954" t="s">
        <v>6105</v>
      </c>
      <c r="F1954" t="s">
        <v>6106</v>
      </c>
      <c r="G1954" s="425">
        <v>0</v>
      </c>
      <c r="H1954" s="425">
        <v>0</v>
      </c>
      <c r="I1954" s="425">
        <v>0</v>
      </c>
      <c r="J1954" s="425">
        <v>0</v>
      </c>
      <c r="K1954" s="425">
        <v>0</v>
      </c>
      <c r="L1954" s="425">
        <v>0</v>
      </c>
      <c r="M1954" s="425">
        <v>0</v>
      </c>
      <c r="N1954" s="425">
        <v>0</v>
      </c>
      <c r="O1954" s="425">
        <v>0</v>
      </c>
    </row>
    <row r="1955" spans="3:15" hidden="1" x14ac:dyDescent="0.3">
      <c r="C1955" t="s">
        <v>2295</v>
      </c>
      <c r="D1955" t="s">
        <v>2267</v>
      </c>
      <c r="E1955" t="s">
        <v>6107</v>
      </c>
      <c r="F1955" t="s">
        <v>6108</v>
      </c>
      <c r="G1955" s="425">
        <v>0</v>
      </c>
      <c r="H1955" s="425">
        <v>0</v>
      </c>
      <c r="I1955" s="425">
        <v>0</v>
      </c>
      <c r="J1955" s="425">
        <v>0</v>
      </c>
      <c r="K1955" s="425">
        <v>0</v>
      </c>
      <c r="L1955" s="425">
        <v>0</v>
      </c>
      <c r="M1955" s="425">
        <v>0</v>
      </c>
      <c r="N1955" s="425">
        <v>0</v>
      </c>
      <c r="O1955" s="425">
        <v>0</v>
      </c>
    </row>
    <row r="1956" spans="3:15" hidden="1" x14ac:dyDescent="0.3">
      <c r="C1956" t="s">
        <v>2295</v>
      </c>
      <c r="D1956" t="s">
        <v>2267</v>
      </c>
      <c r="E1956" t="s">
        <v>6109</v>
      </c>
      <c r="F1956" t="s">
        <v>6110</v>
      </c>
      <c r="G1956" s="425">
        <v>0</v>
      </c>
      <c r="H1956" s="425">
        <v>0</v>
      </c>
      <c r="I1956" s="425">
        <v>0</v>
      </c>
      <c r="J1956" s="425">
        <v>0</v>
      </c>
      <c r="K1956" s="425">
        <v>0</v>
      </c>
      <c r="L1956" s="425">
        <v>0</v>
      </c>
      <c r="M1956" s="425">
        <v>0</v>
      </c>
      <c r="N1956" s="425">
        <v>0</v>
      </c>
      <c r="O1956" s="425">
        <v>0</v>
      </c>
    </row>
    <row r="1957" spans="3:15" hidden="1" x14ac:dyDescent="0.3">
      <c r="C1957" t="s">
        <v>2295</v>
      </c>
      <c r="D1957" t="s">
        <v>2267</v>
      </c>
      <c r="E1957" t="s">
        <v>6111</v>
      </c>
      <c r="F1957" t="s">
        <v>6112</v>
      </c>
      <c r="G1957" s="425">
        <v>0</v>
      </c>
      <c r="H1957" s="425">
        <v>0</v>
      </c>
      <c r="I1957" s="425">
        <v>0</v>
      </c>
      <c r="J1957" s="425">
        <v>0</v>
      </c>
      <c r="K1957" s="425">
        <v>0</v>
      </c>
      <c r="L1957" s="425">
        <v>0</v>
      </c>
      <c r="M1957" s="425">
        <v>0</v>
      </c>
      <c r="N1957" s="425">
        <v>0</v>
      </c>
      <c r="O1957" s="425">
        <v>0</v>
      </c>
    </row>
    <row r="1958" spans="3:15" hidden="1" x14ac:dyDescent="0.3">
      <c r="C1958" t="s">
        <v>2295</v>
      </c>
      <c r="D1958" t="s">
        <v>2267</v>
      </c>
      <c r="E1958" t="s">
        <v>6113</v>
      </c>
      <c r="F1958" t="s">
        <v>6114</v>
      </c>
      <c r="G1958" s="425">
        <v>0</v>
      </c>
      <c r="H1958" s="425">
        <v>0</v>
      </c>
      <c r="I1958" s="425">
        <v>0</v>
      </c>
      <c r="J1958" s="425">
        <v>0</v>
      </c>
      <c r="K1958" s="425">
        <v>0</v>
      </c>
      <c r="L1958" s="425">
        <v>0</v>
      </c>
      <c r="M1958" s="425">
        <v>0</v>
      </c>
      <c r="N1958" s="425">
        <v>0</v>
      </c>
      <c r="O1958" s="425">
        <v>0</v>
      </c>
    </row>
    <row r="1959" spans="3:15" hidden="1" x14ac:dyDescent="0.3">
      <c r="C1959" t="s">
        <v>2295</v>
      </c>
      <c r="D1959" t="s">
        <v>2267</v>
      </c>
      <c r="E1959" t="s">
        <v>6115</v>
      </c>
      <c r="F1959" t="s">
        <v>6116</v>
      </c>
      <c r="G1959" s="425">
        <v>0</v>
      </c>
      <c r="H1959" s="425">
        <v>0</v>
      </c>
      <c r="I1959" s="425">
        <v>0</v>
      </c>
      <c r="J1959" s="425">
        <v>0</v>
      </c>
      <c r="K1959" s="425">
        <v>0</v>
      </c>
      <c r="L1959" s="425">
        <v>0</v>
      </c>
      <c r="M1959" s="425">
        <v>0</v>
      </c>
      <c r="N1959" s="425">
        <v>0</v>
      </c>
      <c r="O1959" s="425">
        <v>0</v>
      </c>
    </row>
    <row r="1960" spans="3:15" hidden="1" x14ac:dyDescent="0.3">
      <c r="C1960" t="s">
        <v>2295</v>
      </c>
      <c r="D1960" t="s">
        <v>2267</v>
      </c>
      <c r="E1960" t="s">
        <v>6117</v>
      </c>
      <c r="F1960" t="s">
        <v>6118</v>
      </c>
      <c r="G1960" s="425">
        <v>0</v>
      </c>
      <c r="H1960" s="425">
        <v>0</v>
      </c>
      <c r="I1960" s="425">
        <v>0</v>
      </c>
      <c r="J1960" s="425">
        <v>0</v>
      </c>
      <c r="K1960" s="425">
        <v>0</v>
      </c>
      <c r="L1960" s="425">
        <v>0</v>
      </c>
      <c r="M1960" s="425">
        <v>0</v>
      </c>
      <c r="N1960" s="425">
        <v>0</v>
      </c>
      <c r="O1960" s="425">
        <v>0</v>
      </c>
    </row>
    <row r="1961" spans="3:15" hidden="1" x14ac:dyDescent="0.3">
      <c r="C1961" t="s">
        <v>2295</v>
      </c>
      <c r="D1961" t="s">
        <v>2267</v>
      </c>
      <c r="E1961" t="s">
        <v>6119</v>
      </c>
      <c r="F1961" t="s">
        <v>6120</v>
      </c>
      <c r="G1961" s="425">
        <v>0</v>
      </c>
      <c r="H1961" s="425">
        <v>0</v>
      </c>
      <c r="I1961" s="425">
        <v>0</v>
      </c>
      <c r="J1961" s="425">
        <v>0</v>
      </c>
      <c r="K1961" s="425">
        <v>0</v>
      </c>
      <c r="L1961" s="425">
        <v>0</v>
      </c>
      <c r="M1961" s="425">
        <v>0</v>
      </c>
      <c r="N1961" s="425">
        <v>0</v>
      </c>
      <c r="O1961" s="425">
        <v>0</v>
      </c>
    </row>
    <row r="1962" spans="3:15" hidden="1" x14ac:dyDescent="0.3">
      <c r="C1962" t="s">
        <v>2295</v>
      </c>
      <c r="D1962" t="s">
        <v>2267</v>
      </c>
      <c r="E1962" t="s">
        <v>6121</v>
      </c>
      <c r="F1962" t="s">
        <v>6122</v>
      </c>
      <c r="G1962" s="425">
        <v>0</v>
      </c>
      <c r="H1962" s="425">
        <v>0</v>
      </c>
      <c r="I1962" s="425">
        <v>0</v>
      </c>
      <c r="J1962" s="425">
        <v>0</v>
      </c>
      <c r="K1962" s="425">
        <v>0</v>
      </c>
      <c r="L1962" s="425">
        <v>0</v>
      </c>
      <c r="M1962" s="425">
        <v>0</v>
      </c>
      <c r="N1962" s="425">
        <v>0</v>
      </c>
      <c r="O1962" s="425">
        <v>0</v>
      </c>
    </row>
    <row r="1963" spans="3:15" hidden="1" x14ac:dyDescent="0.3">
      <c r="C1963" t="s">
        <v>2295</v>
      </c>
      <c r="D1963" t="s">
        <v>2267</v>
      </c>
      <c r="E1963" t="s">
        <v>6123</v>
      </c>
      <c r="F1963" t="s">
        <v>6124</v>
      </c>
      <c r="G1963" s="425">
        <v>0</v>
      </c>
      <c r="H1963" s="425">
        <v>0</v>
      </c>
      <c r="I1963" s="425">
        <v>0</v>
      </c>
      <c r="J1963" s="425">
        <v>0</v>
      </c>
      <c r="K1963" s="425">
        <v>0</v>
      </c>
      <c r="L1963" s="425">
        <v>0</v>
      </c>
      <c r="M1963" s="425">
        <v>0</v>
      </c>
      <c r="N1963" s="425">
        <v>0</v>
      </c>
      <c r="O1963" s="425">
        <v>0</v>
      </c>
    </row>
    <row r="1964" spans="3:15" hidden="1" x14ac:dyDescent="0.3">
      <c r="C1964" t="s">
        <v>2295</v>
      </c>
      <c r="D1964" t="s">
        <v>2267</v>
      </c>
      <c r="E1964" t="s">
        <v>6125</v>
      </c>
      <c r="F1964" t="s">
        <v>6126</v>
      </c>
      <c r="G1964" s="425">
        <v>0</v>
      </c>
      <c r="H1964" s="425">
        <v>0</v>
      </c>
      <c r="I1964" s="425">
        <v>0</v>
      </c>
      <c r="J1964" s="425">
        <v>0</v>
      </c>
      <c r="K1964" s="425">
        <v>0</v>
      </c>
      <c r="L1964" s="425">
        <v>0</v>
      </c>
      <c r="M1964" s="425">
        <v>0</v>
      </c>
      <c r="N1964" s="425">
        <v>0</v>
      </c>
      <c r="O1964" s="425">
        <v>0</v>
      </c>
    </row>
    <row r="1965" spans="3:15" hidden="1" x14ac:dyDescent="0.3">
      <c r="C1965" t="s">
        <v>2295</v>
      </c>
      <c r="D1965" t="s">
        <v>2267</v>
      </c>
      <c r="E1965" t="s">
        <v>6127</v>
      </c>
      <c r="F1965" t="s">
        <v>6128</v>
      </c>
      <c r="G1965" s="425">
        <v>0</v>
      </c>
      <c r="H1965" s="425">
        <v>0</v>
      </c>
      <c r="I1965" s="425">
        <v>0</v>
      </c>
      <c r="J1965" s="425">
        <v>0</v>
      </c>
      <c r="K1965" s="425">
        <v>0</v>
      </c>
      <c r="L1965" s="425">
        <v>0</v>
      </c>
      <c r="M1965" s="425">
        <v>0</v>
      </c>
      <c r="N1965" s="425">
        <v>0</v>
      </c>
      <c r="O1965" s="425">
        <v>0</v>
      </c>
    </row>
    <row r="1966" spans="3:15" hidden="1" x14ac:dyDescent="0.3">
      <c r="C1966" t="s">
        <v>2295</v>
      </c>
      <c r="D1966" t="s">
        <v>2267</v>
      </c>
      <c r="E1966" t="s">
        <v>6129</v>
      </c>
      <c r="F1966" t="s">
        <v>6130</v>
      </c>
      <c r="G1966" s="425">
        <v>0</v>
      </c>
      <c r="H1966" s="425">
        <v>0</v>
      </c>
      <c r="I1966" s="425">
        <v>0</v>
      </c>
      <c r="J1966" s="425">
        <v>0</v>
      </c>
      <c r="K1966" s="425">
        <v>0</v>
      </c>
      <c r="L1966" s="425">
        <v>0</v>
      </c>
      <c r="M1966" s="425">
        <v>0</v>
      </c>
      <c r="N1966" s="425">
        <v>0</v>
      </c>
      <c r="O1966" s="425">
        <v>0</v>
      </c>
    </row>
    <row r="1967" spans="3:15" hidden="1" x14ac:dyDescent="0.3">
      <c r="C1967" t="s">
        <v>2295</v>
      </c>
      <c r="D1967" t="s">
        <v>2267</v>
      </c>
      <c r="E1967" t="s">
        <v>6131</v>
      </c>
      <c r="F1967" t="s">
        <v>6132</v>
      </c>
      <c r="G1967" s="425">
        <v>0</v>
      </c>
      <c r="H1967" s="425">
        <v>0</v>
      </c>
      <c r="I1967" s="425">
        <v>0</v>
      </c>
      <c r="J1967" s="425">
        <v>0</v>
      </c>
      <c r="K1967" s="425">
        <v>0</v>
      </c>
      <c r="L1967" s="425">
        <v>0</v>
      </c>
      <c r="M1967" s="425">
        <v>0</v>
      </c>
      <c r="N1967" s="425">
        <v>0</v>
      </c>
      <c r="O1967" s="425">
        <v>0</v>
      </c>
    </row>
    <row r="1968" spans="3:15" hidden="1" x14ac:dyDescent="0.3">
      <c r="C1968" t="s">
        <v>2295</v>
      </c>
      <c r="D1968" t="s">
        <v>2267</v>
      </c>
      <c r="E1968" t="s">
        <v>6133</v>
      </c>
      <c r="F1968" t="s">
        <v>6134</v>
      </c>
      <c r="G1968" s="425">
        <v>0</v>
      </c>
      <c r="H1968" s="425">
        <v>0</v>
      </c>
      <c r="I1968" s="425">
        <v>0</v>
      </c>
      <c r="J1968" s="425">
        <v>0</v>
      </c>
      <c r="K1968" s="425">
        <v>0</v>
      </c>
      <c r="L1968" s="425">
        <v>0</v>
      </c>
      <c r="M1968" s="425">
        <v>0</v>
      </c>
      <c r="N1968" s="425">
        <v>0</v>
      </c>
      <c r="O1968" s="425">
        <v>0</v>
      </c>
    </row>
    <row r="1969" spans="3:15" hidden="1" x14ac:dyDescent="0.3">
      <c r="C1969" t="s">
        <v>2295</v>
      </c>
      <c r="D1969" t="s">
        <v>2267</v>
      </c>
      <c r="E1969" t="s">
        <v>6135</v>
      </c>
      <c r="F1969" t="s">
        <v>6136</v>
      </c>
      <c r="G1969" s="425">
        <v>0</v>
      </c>
      <c r="H1969" s="425">
        <v>0</v>
      </c>
      <c r="I1969" s="425">
        <v>0</v>
      </c>
      <c r="J1969" s="425">
        <v>0</v>
      </c>
      <c r="K1969" s="425">
        <v>0</v>
      </c>
      <c r="L1969" s="425">
        <v>0</v>
      </c>
      <c r="M1969" s="425">
        <v>0</v>
      </c>
      <c r="N1969" s="425">
        <v>0</v>
      </c>
      <c r="O1969" s="425">
        <v>0</v>
      </c>
    </row>
    <row r="1970" spans="3:15" hidden="1" x14ac:dyDescent="0.3">
      <c r="C1970" t="s">
        <v>2295</v>
      </c>
      <c r="D1970" t="s">
        <v>2267</v>
      </c>
      <c r="E1970" t="s">
        <v>6137</v>
      </c>
      <c r="F1970" t="s">
        <v>6138</v>
      </c>
      <c r="G1970" s="425">
        <v>0</v>
      </c>
      <c r="H1970" s="425">
        <v>0</v>
      </c>
      <c r="I1970" s="425">
        <v>0</v>
      </c>
      <c r="J1970" s="425">
        <v>0</v>
      </c>
      <c r="K1970" s="425">
        <v>0</v>
      </c>
      <c r="L1970" s="425">
        <v>0</v>
      </c>
      <c r="M1970" s="425">
        <v>0</v>
      </c>
      <c r="N1970" s="425">
        <v>0</v>
      </c>
      <c r="O1970" s="425">
        <v>0</v>
      </c>
    </row>
    <row r="1971" spans="3:15" hidden="1" x14ac:dyDescent="0.3">
      <c r="C1971" t="s">
        <v>2295</v>
      </c>
      <c r="D1971" t="s">
        <v>2267</v>
      </c>
      <c r="E1971" t="s">
        <v>6139</v>
      </c>
      <c r="F1971" t="s">
        <v>6140</v>
      </c>
      <c r="G1971" s="425">
        <v>0</v>
      </c>
      <c r="H1971" s="425">
        <v>0</v>
      </c>
      <c r="I1971" s="425">
        <v>0</v>
      </c>
      <c r="J1971" s="425">
        <v>0</v>
      </c>
      <c r="K1971" s="425">
        <v>0</v>
      </c>
      <c r="L1971" s="425">
        <v>0</v>
      </c>
      <c r="M1971" s="425">
        <v>0</v>
      </c>
      <c r="N1971" s="425">
        <v>0</v>
      </c>
      <c r="O1971" s="425">
        <v>0</v>
      </c>
    </row>
    <row r="1972" spans="3:15" hidden="1" x14ac:dyDescent="0.3">
      <c r="C1972" t="s">
        <v>2295</v>
      </c>
      <c r="D1972" t="s">
        <v>2267</v>
      </c>
      <c r="E1972" t="s">
        <v>6141</v>
      </c>
      <c r="F1972" t="s">
        <v>6142</v>
      </c>
      <c r="G1972" s="425">
        <v>0</v>
      </c>
      <c r="H1972" s="425">
        <v>0</v>
      </c>
      <c r="I1972" s="425">
        <v>0</v>
      </c>
      <c r="J1972" s="425">
        <v>0</v>
      </c>
      <c r="K1972" s="425">
        <v>0</v>
      </c>
      <c r="L1972" s="425">
        <v>0</v>
      </c>
      <c r="M1972" s="425">
        <v>0</v>
      </c>
      <c r="N1972" s="425">
        <v>0</v>
      </c>
      <c r="O1972" s="425">
        <v>0</v>
      </c>
    </row>
    <row r="1973" spans="3:15" hidden="1" x14ac:dyDescent="0.3">
      <c r="C1973" t="s">
        <v>2295</v>
      </c>
      <c r="D1973" t="s">
        <v>2267</v>
      </c>
      <c r="E1973" t="s">
        <v>6143</v>
      </c>
      <c r="F1973" t="s">
        <v>6144</v>
      </c>
      <c r="G1973" s="425">
        <v>0</v>
      </c>
      <c r="H1973" s="425">
        <v>0</v>
      </c>
      <c r="I1973" s="425">
        <v>0</v>
      </c>
      <c r="J1973" s="425">
        <v>0</v>
      </c>
      <c r="K1973" s="425">
        <v>0</v>
      </c>
      <c r="L1973" s="425">
        <v>0</v>
      </c>
      <c r="M1973" s="425">
        <v>0</v>
      </c>
      <c r="N1973" s="425">
        <v>0</v>
      </c>
      <c r="O1973" s="425">
        <v>0</v>
      </c>
    </row>
    <row r="1974" spans="3:15" hidden="1" x14ac:dyDescent="0.3">
      <c r="C1974" t="s">
        <v>2295</v>
      </c>
      <c r="D1974" t="s">
        <v>2267</v>
      </c>
      <c r="E1974" t="s">
        <v>6145</v>
      </c>
      <c r="F1974" t="s">
        <v>6146</v>
      </c>
      <c r="G1974" s="425">
        <v>0</v>
      </c>
      <c r="H1974" s="425">
        <v>0</v>
      </c>
      <c r="I1974" s="425">
        <v>0</v>
      </c>
      <c r="J1974" s="425">
        <v>0</v>
      </c>
      <c r="K1974" s="425">
        <v>0</v>
      </c>
      <c r="L1974" s="425">
        <v>0</v>
      </c>
      <c r="M1974" s="425">
        <v>0</v>
      </c>
      <c r="N1974" s="425">
        <v>0</v>
      </c>
      <c r="O1974" s="425">
        <v>0</v>
      </c>
    </row>
    <row r="1975" spans="3:15" hidden="1" x14ac:dyDescent="0.3">
      <c r="C1975" t="s">
        <v>2295</v>
      </c>
      <c r="D1975" t="s">
        <v>2267</v>
      </c>
      <c r="E1975" t="s">
        <v>6147</v>
      </c>
      <c r="F1975" t="s">
        <v>6148</v>
      </c>
      <c r="G1975" s="425">
        <v>0</v>
      </c>
      <c r="H1975" s="425">
        <v>0</v>
      </c>
      <c r="I1975" s="425">
        <v>0</v>
      </c>
      <c r="J1975" s="425">
        <v>0</v>
      </c>
      <c r="K1975" s="425">
        <v>0</v>
      </c>
      <c r="L1975" s="425">
        <v>0</v>
      </c>
      <c r="M1975" s="425">
        <v>0</v>
      </c>
      <c r="N1975" s="425">
        <v>0</v>
      </c>
      <c r="O1975" s="425">
        <v>0</v>
      </c>
    </row>
    <row r="1976" spans="3:15" hidden="1" x14ac:dyDescent="0.3">
      <c r="C1976" t="s">
        <v>2295</v>
      </c>
      <c r="D1976" t="s">
        <v>2267</v>
      </c>
      <c r="E1976" t="s">
        <v>6149</v>
      </c>
      <c r="F1976" t="s">
        <v>6150</v>
      </c>
      <c r="G1976" s="425">
        <v>0</v>
      </c>
      <c r="H1976" s="425">
        <v>0</v>
      </c>
      <c r="I1976" s="425">
        <v>0</v>
      </c>
      <c r="J1976" s="425">
        <v>0</v>
      </c>
      <c r="K1976" s="425">
        <v>0</v>
      </c>
      <c r="L1976" s="425">
        <v>0</v>
      </c>
      <c r="M1976" s="425">
        <v>0</v>
      </c>
      <c r="N1976" s="425">
        <v>0</v>
      </c>
      <c r="O1976" s="425">
        <v>0</v>
      </c>
    </row>
    <row r="1977" spans="3:15" hidden="1" x14ac:dyDescent="0.3">
      <c r="C1977" t="s">
        <v>2295</v>
      </c>
      <c r="D1977" t="s">
        <v>2267</v>
      </c>
      <c r="E1977" t="s">
        <v>6151</v>
      </c>
      <c r="F1977" t="s">
        <v>6152</v>
      </c>
      <c r="G1977" s="425">
        <v>0</v>
      </c>
      <c r="H1977" s="425">
        <v>0</v>
      </c>
      <c r="I1977" s="425">
        <v>0</v>
      </c>
      <c r="J1977" s="425">
        <v>0</v>
      </c>
      <c r="K1977" s="425">
        <v>0</v>
      </c>
      <c r="L1977" s="425">
        <v>0</v>
      </c>
      <c r="M1977" s="425">
        <v>0</v>
      </c>
      <c r="N1977" s="425">
        <v>0</v>
      </c>
      <c r="O1977" s="425">
        <v>0</v>
      </c>
    </row>
    <row r="1978" spans="3:15" hidden="1" x14ac:dyDescent="0.3">
      <c r="C1978" t="s">
        <v>2295</v>
      </c>
      <c r="D1978" t="s">
        <v>2267</v>
      </c>
      <c r="E1978" t="s">
        <v>6153</v>
      </c>
      <c r="F1978" t="s">
        <v>6154</v>
      </c>
      <c r="G1978" s="425">
        <v>0</v>
      </c>
      <c r="H1978" s="425">
        <v>0</v>
      </c>
      <c r="I1978" s="425">
        <v>0</v>
      </c>
      <c r="J1978" s="425">
        <v>0</v>
      </c>
      <c r="K1978" s="425">
        <v>0</v>
      </c>
      <c r="L1978" s="425">
        <v>0</v>
      </c>
      <c r="M1978" s="425">
        <v>0</v>
      </c>
      <c r="N1978" s="425">
        <v>0</v>
      </c>
      <c r="O1978" s="425">
        <v>0</v>
      </c>
    </row>
    <row r="1979" spans="3:15" hidden="1" x14ac:dyDescent="0.3">
      <c r="C1979" t="s">
        <v>2295</v>
      </c>
      <c r="D1979" t="s">
        <v>2267</v>
      </c>
      <c r="E1979" t="s">
        <v>6155</v>
      </c>
      <c r="F1979" t="s">
        <v>6156</v>
      </c>
      <c r="G1979" s="425">
        <v>0</v>
      </c>
      <c r="H1979" s="425">
        <v>0</v>
      </c>
      <c r="I1979" s="425">
        <v>0</v>
      </c>
      <c r="J1979" s="425">
        <v>0</v>
      </c>
      <c r="K1979" s="425">
        <v>0</v>
      </c>
      <c r="L1979" s="425">
        <v>0</v>
      </c>
      <c r="M1979" s="425">
        <v>0</v>
      </c>
      <c r="N1979" s="425">
        <v>0</v>
      </c>
      <c r="O1979" s="425">
        <v>0</v>
      </c>
    </row>
    <row r="1980" spans="3:15" hidden="1" x14ac:dyDescent="0.3">
      <c r="C1980" t="s">
        <v>2295</v>
      </c>
      <c r="D1980" t="s">
        <v>2267</v>
      </c>
      <c r="E1980" t="s">
        <v>6157</v>
      </c>
      <c r="F1980" t="s">
        <v>6158</v>
      </c>
      <c r="G1980" s="425">
        <v>0</v>
      </c>
      <c r="H1980" s="425">
        <v>0</v>
      </c>
      <c r="I1980" s="425">
        <v>0</v>
      </c>
      <c r="J1980" s="425">
        <v>0</v>
      </c>
      <c r="K1980" s="425">
        <v>0</v>
      </c>
      <c r="L1980" s="425">
        <v>0</v>
      </c>
      <c r="M1980" s="425">
        <v>0</v>
      </c>
      <c r="N1980" s="425">
        <v>0</v>
      </c>
      <c r="O1980" s="425">
        <v>0</v>
      </c>
    </row>
    <row r="1981" spans="3:15" hidden="1" x14ac:dyDescent="0.3">
      <c r="C1981" t="s">
        <v>2295</v>
      </c>
      <c r="D1981" t="s">
        <v>2267</v>
      </c>
      <c r="E1981" t="s">
        <v>6159</v>
      </c>
      <c r="F1981" t="s">
        <v>6160</v>
      </c>
      <c r="G1981" s="425">
        <v>0</v>
      </c>
      <c r="H1981" s="425">
        <v>0</v>
      </c>
      <c r="I1981" s="425">
        <v>0</v>
      </c>
      <c r="J1981" s="425">
        <v>0</v>
      </c>
      <c r="K1981" s="425">
        <v>0</v>
      </c>
      <c r="L1981" s="425">
        <v>0</v>
      </c>
      <c r="M1981" s="425">
        <v>0</v>
      </c>
      <c r="N1981" s="425">
        <v>0</v>
      </c>
      <c r="O1981" s="425">
        <v>0</v>
      </c>
    </row>
    <row r="1982" spans="3:15" hidden="1" x14ac:dyDescent="0.3">
      <c r="C1982" t="s">
        <v>2295</v>
      </c>
      <c r="D1982" t="s">
        <v>2267</v>
      </c>
      <c r="E1982" t="s">
        <v>6161</v>
      </c>
      <c r="F1982" t="s">
        <v>6162</v>
      </c>
      <c r="G1982" s="425">
        <v>0</v>
      </c>
      <c r="H1982" s="425">
        <v>0</v>
      </c>
      <c r="I1982" s="425">
        <v>0</v>
      </c>
      <c r="J1982" s="425">
        <v>0</v>
      </c>
      <c r="K1982" s="425">
        <v>0</v>
      </c>
      <c r="L1982" s="425">
        <v>0</v>
      </c>
      <c r="M1982" s="425">
        <v>0</v>
      </c>
      <c r="N1982" s="425">
        <v>0</v>
      </c>
      <c r="O1982" s="425">
        <v>0</v>
      </c>
    </row>
    <row r="1983" spans="3:15" hidden="1" x14ac:dyDescent="0.3">
      <c r="C1983" t="s">
        <v>2295</v>
      </c>
      <c r="D1983" t="s">
        <v>2267</v>
      </c>
      <c r="E1983" t="s">
        <v>6163</v>
      </c>
      <c r="F1983" t="s">
        <v>6164</v>
      </c>
      <c r="G1983" s="425">
        <v>0</v>
      </c>
      <c r="H1983" s="425">
        <v>0</v>
      </c>
      <c r="I1983" s="425">
        <v>0</v>
      </c>
      <c r="J1983" s="425">
        <v>0</v>
      </c>
      <c r="K1983" s="425">
        <v>0</v>
      </c>
      <c r="L1983" s="425">
        <v>0</v>
      </c>
      <c r="M1983" s="425">
        <v>0</v>
      </c>
      <c r="N1983" s="425">
        <v>0</v>
      </c>
      <c r="O1983" s="425">
        <v>0</v>
      </c>
    </row>
    <row r="1984" spans="3:15" hidden="1" x14ac:dyDescent="0.3">
      <c r="C1984" t="s">
        <v>2295</v>
      </c>
      <c r="D1984" t="s">
        <v>2267</v>
      </c>
      <c r="E1984" t="s">
        <v>6165</v>
      </c>
      <c r="F1984" t="s">
        <v>6166</v>
      </c>
      <c r="G1984" s="425">
        <v>615870</v>
      </c>
      <c r="H1984" s="425">
        <v>0</v>
      </c>
      <c r="I1984" s="425">
        <v>615870</v>
      </c>
      <c r="J1984" s="425">
        <v>0</v>
      </c>
      <c r="K1984" s="425">
        <v>0</v>
      </c>
      <c r="L1984" s="425">
        <v>0</v>
      </c>
      <c r="M1984" s="425">
        <v>0</v>
      </c>
      <c r="N1984" s="425">
        <v>0</v>
      </c>
      <c r="O1984" s="425">
        <v>0</v>
      </c>
    </row>
    <row r="1985" spans="3:15" hidden="1" x14ac:dyDescent="0.3">
      <c r="C1985" t="s">
        <v>2295</v>
      </c>
      <c r="D1985" t="s">
        <v>2267</v>
      </c>
      <c r="E1985" t="s">
        <v>6167</v>
      </c>
      <c r="F1985" t="s">
        <v>6168</v>
      </c>
      <c r="G1985" s="425">
        <v>0</v>
      </c>
      <c r="H1985" s="425">
        <v>0</v>
      </c>
      <c r="I1985" s="425">
        <v>0</v>
      </c>
      <c r="J1985" s="425">
        <v>0</v>
      </c>
      <c r="K1985" s="425">
        <v>0</v>
      </c>
      <c r="L1985" s="425">
        <v>0</v>
      </c>
      <c r="M1985" s="425">
        <v>0</v>
      </c>
      <c r="N1985" s="425">
        <v>0</v>
      </c>
      <c r="O1985" s="425">
        <v>0</v>
      </c>
    </row>
    <row r="1986" spans="3:15" hidden="1" x14ac:dyDescent="0.3">
      <c r="C1986" t="s">
        <v>2295</v>
      </c>
      <c r="D1986" t="s">
        <v>2267</v>
      </c>
      <c r="E1986" t="s">
        <v>6169</v>
      </c>
      <c r="F1986" t="s">
        <v>6170</v>
      </c>
      <c r="G1986" s="425">
        <v>0</v>
      </c>
      <c r="H1986" s="425">
        <v>0</v>
      </c>
      <c r="I1986" s="425">
        <v>0</v>
      </c>
      <c r="J1986" s="425">
        <v>0</v>
      </c>
      <c r="K1986" s="425">
        <v>0</v>
      </c>
      <c r="L1986" s="425">
        <v>0</v>
      </c>
      <c r="M1986" s="425">
        <v>0</v>
      </c>
      <c r="N1986" s="425">
        <v>0</v>
      </c>
      <c r="O1986" s="425">
        <v>0</v>
      </c>
    </row>
    <row r="1987" spans="3:15" hidden="1" x14ac:dyDescent="0.3">
      <c r="C1987" t="s">
        <v>2295</v>
      </c>
      <c r="D1987" t="s">
        <v>2267</v>
      </c>
      <c r="E1987" t="s">
        <v>6171</v>
      </c>
      <c r="F1987" t="s">
        <v>6172</v>
      </c>
      <c r="G1987" s="425">
        <v>0</v>
      </c>
      <c r="H1987" s="425">
        <v>0</v>
      </c>
      <c r="I1987" s="425">
        <v>0</v>
      </c>
      <c r="J1987" s="425">
        <v>0</v>
      </c>
      <c r="K1987" s="425">
        <v>0</v>
      </c>
      <c r="L1987" s="425">
        <v>0</v>
      </c>
      <c r="M1987" s="425">
        <v>0</v>
      </c>
      <c r="N1987" s="425">
        <v>0</v>
      </c>
      <c r="O1987" s="425">
        <v>0</v>
      </c>
    </row>
    <row r="1988" spans="3:15" hidden="1" x14ac:dyDescent="0.3">
      <c r="C1988" t="s">
        <v>2295</v>
      </c>
      <c r="D1988" t="s">
        <v>2267</v>
      </c>
      <c r="E1988" t="s">
        <v>6173</v>
      </c>
      <c r="F1988" t="s">
        <v>6174</v>
      </c>
      <c r="G1988" s="425">
        <v>0</v>
      </c>
      <c r="H1988" s="425">
        <v>0</v>
      </c>
      <c r="I1988" s="425">
        <v>0</v>
      </c>
      <c r="J1988" s="425">
        <v>0</v>
      </c>
      <c r="K1988" s="425">
        <v>0</v>
      </c>
      <c r="L1988" s="425">
        <v>0</v>
      </c>
      <c r="M1988" s="425">
        <v>0</v>
      </c>
      <c r="N1988" s="425">
        <v>0</v>
      </c>
      <c r="O1988" s="425">
        <v>0</v>
      </c>
    </row>
    <row r="1989" spans="3:15" hidden="1" x14ac:dyDescent="0.3">
      <c r="C1989" t="s">
        <v>2295</v>
      </c>
      <c r="D1989" t="s">
        <v>2267</v>
      </c>
      <c r="E1989" t="s">
        <v>6175</v>
      </c>
      <c r="F1989" t="s">
        <v>6176</v>
      </c>
      <c r="G1989" s="425">
        <v>0</v>
      </c>
      <c r="H1989" s="425">
        <v>0</v>
      </c>
      <c r="I1989" s="425">
        <v>0</v>
      </c>
      <c r="J1989" s="425">
        <v>0</v>
      </c>
      <c r="K1989" s="425">
        <v>0</v>
      </c>
      <c r="L1989" s="425">
        <v>0</v>
      </c>
      <c r="M1989" s="425">
        <v>0</v>
      </c>
      <c r="N1989" s="425">
        <v>0</v>
      </c>
      <c r="O1989" s="425">
        <v>0</v>
      </c>
    </row>
    <row r="1990" spans="3:15" hidden="1" x14ac:dyDescent="0.3">
      <c r="C1990" t="s">
        <v>2295</v>
      </c>
      <c r="D1990" t="s">
        <v>2267</v>
      </c>
      <c r="E1990" t="s">
        <v>6177</v>
      </c>
      <c r="F1990" t="s">
        <v>6178</v>
      </c>
      <c r="G1990" s="425">
        <v>0</v>
      </c>
      <c r="H1990" s="425">
        <v>0</v>
      </c>
      <c r="I1990" s="425">
        <v>0</v>
      </c>
      <c r="J1990" s="425">
        <v>0</v>
      </c>
      <c r="K1990" s="425">
        <v>0</v>
      </c>
      <c r="L1990" s="425">
        <v>0</v>
      </c>
      <c r="M1990" s="425">
        <v>0</v>
      </c>
      <c r="N1990" s="425">
        <v>0</v>
      </c>
      <c r="O1990" s="425">
        <v>0</v>
      </c>
    </row>
    <row r="1991" spans="3:15" hidden="1" x14ac:dyDescent="0.3">
      <c r="C1991" t="s">
        <v>2295</v>
      </c>
      <c r="D1991" t="s">
        <v>2267</v>
      </c>
      <c r="E1991" t="s">
        <v>6179</v>
      </c>
      <c r="F1991" t="s">
        <v>6180</v>
      </c>
      <c r="G1991" s="425">
        <v>0</v>
      </c>
      <c r="H1991" s="425">
        <v>0</v>
      </c>
      <c r="I1991" s="425">
        <v>0</v>
      </c>
      <c r="J1991" s="425">
        <v>0</v>
      </c>
      <c r="K1991" s="425">
        <v>0</v>
      </c>
      <c r="L1991" s="425">
        <v>0</v>
      </c>
      <c r="M1991" s="425">
        <v>0</v>
      </c>
      <c r="N1991" s="425">
        <v>0</v>
      </c>
      <c r="O1991" s="425">
        <v>0</v>
      </c>
    </row>
    <row r="1992" spans="3:15" hidden="1" x14ac:dyDescent="0.3">
      <c r="C1992" t="s">
        <v>2295</v>
      </c>
      <c r="D1992" t="s">
        <v>2267</v>
      </c>
      <c r="E1992" t="s">
        <v>6181</v>
      </c>
      <c r="F1992" t="s">
        <v>6182</v>
      </c>
      <c r="G1992" s="425">
        <v>0</v>
      </c>
      <c r="H1992" s="425">
        <v>0</v>
      </c>
      <c r="I1992" s="425">
        <v>0</v>
      </c>
      <c r="J1992" s="425">
        <v>0</v>
      </c>
      <c r="K1992" s="425">
        <v>0</v>
      </c>
      <c r="L1992" s="425">
        <v>0</v>
      </c>
      <c r="M1992" s="425">
        <v>0</v>
      </c>
      <c r="N1992" s="425">
        <v>0</v>
      </c>
      <c r="O1992" s="425">
        <v>0</v>
      </c>
    </row>
    <row r="1993" spans="3:15" hidden="1" x14ac:dyDescent="0.3">
      <c r="C1993" t="s">
        <v>2295</v>
      </c>
      <c r="D1993" t="s">
        <v>2267</v>
      </c>
      <c r="E1993" t="s">
        <v>6183</v>
      </c>
      <c r="F1993" t="s">
        <v>6184</v>
      </c>
      <c r="G1993" s="425">
        <v>0</v>
      </c>
      <c r="H1993" s="425">
        <v>0</v>
      </c>
      <c r="I1993" s="425">
        <v>0</v>
      </c>
      <c r="J1993" s="425">
        <v>0</v>
      </c>
      <c r="K1993" s="425">
        <v>0</v>
      </c>
      <c r="L1993" s="425">
        <v>0</v>
      </c>
      <c r="M1993" s="425">
        <v>0</v>
      </c>
      <c r="N1993" s="425">
        <v>0</v>
      </c>
      <c r="O1993" s="425">
        <v>0</v>
      </c>
    </row>
    <row r="1994" spans="3:15" hidden="1" x14ac:dyDescent="0.3">
      <c r="C1994" t="s">
        <v>2295</v>
      </c>
      <c r="D1994" t="s">
        <v>2267</v>
      </c>
      <c r="E1994" t="s">
        <v>6185</v>
      </c>
      <c r="F1994" t="s">
        <v>6186</v>
      </c>
      <c r="G1994" s="425">
        <v>0</v>
      </c>
      <c r="H1994" s="425">
        <v>0</v>
      </c>
      <c r="I1994" s="425">
        <v>0</v>
      </c>
      <c r="J1994" s="425">
        <v>0</v>
      </c>
      <c r="K1994" s="425">
        <v>0</v>
      </c>
      <c r="L1994" s="425">
        <v>0</v>
      </c>
      <c r="M1994" s="425">
        <v>0</v>
      </c>
      <c r="N1994" s="425">
        <v>0</v>
      </c>
      <c r="O1994" s="425">
        <v>0</v>
      </c>
    </row>
    <row r="1995" spans="3:15" hidden="1" x14ac:dyDescent="0.3">
      <c r="C1995" t="s">
        <v>2295</v>
      </c>
      <c r="D1995" t="s">
        <v>2267</v>
      </c>
      <c r="E1995" t="s">
        <v>6187</v>
      </c>
      <c r="F1995" t="s">
        <v>6188</v>
      </c>
      <c r="G1995" s="425">
        <v>1020000</v>
      </c>
      <c r="H1995" s="425">
        <v>0</v>
      </c>
      <c r="I1995" s="425">
        <v>1020000</v>
      </c>
      <c r="J1995" s="425">
        <v>0</v>
      </c>
      <c r="K1995" s="425">
        <v>0</v>
      </c>
      <c r="L1995" s="425">
        <v>0</v>
      </c>
      <c r="M1995" s="425">
        <v>0</v>
      </c>
      <c r="N1995" s="425">
        <v>0</v>
      </c>
      <c r="O1995" s="425">
        <v>0</v>
      </c>
    </row>
    <row r="1996" spans="3:15" hidden="1" x14ac:dyDescent="0.3">
      <c r="C1996" t="s">
        <v>2295</v>
      </c>
      <c r="D1996" t="s">
        <v>2267</v>
      </c>
      <c r="E1996" t="s">
        <v>6189</v>
      </c>
      <c r="F1996" t="s">
        <v>6190</v>
      </c>
      <c r="G1996" s="425">
        <v>0</v>
      </c>
      <c r="H1996" s="425">
        <v>0</v>
      </c>
      <c r="I1996" s="425">
        <v>0</v>
      </c>
      <c r="J1996" s="425">
        <v>0</v>
      </c>
      <c r="K1996" s="425">
        <v>0</v>
      </c>
      <c r="L1996" s="425">
        <v>0</v>
      </c>
      <c r="M1996" s="425">
        <v>0</v>
      </c>
      <c r="N1996" s="425">
        <v>0</v>
      </c>
      <c r="O1996" s="425">
        <v>0</v>
      </c>
    </row>
    <row r="1997" spans="3:15" hidden="1" x14ac:dyDescent="0.3">
      <c r="C1997" t="s">
        <v>2295</v>
      </c>
      <c r="D1997" t="s">
        <v>2267</v>
      </c>
      <c r="E1997" t="s">
        <v>6191</v>
      </c>
      <c r="F1997" t="s">
        <v>6192</v>
      </c>
      <c r="G1997" s="425">
        <v>0</v>
      </c>
      <c r="H1997" s="425">
        <v>0</v>
      </c>
      <c r="I1997" s="425">
        <v>0</v>
      </c>
      <c r="J1997" s="425">
        <v>0</v>
      </c>
      <c r="K1997" s="425">
        <v>0</v>
      </c>
      <c r="L1997" s="425">
        <v>0</v>
      </c>
      <c r="M1997" s="425">
        <v>0</v>
      </c>
      <c r="N1997" s="425">
        <v>0</v>
      </c>
      <c r="O1997" s="425">
        <v>0</v>
      </c>
    </row>
    <row r="1998" spans="3:15" hidden="1" x14ac:dyDescent="0.3">
      <c r="C1998" t="s">
        <v>2295</v>
      </c>
      <c r="D1998" t="s">
        <v>2267</v>
      </c>
      <c r="E1998" t="s">
        <v>6193</v>
      </c>
      <c r="F1998" t="s">
        <v>6194</v>
      </c>
      <c r="G1998" s="425">
        <v>0</v>
      </c>
      <c r="H1998" s="425">
        <v>0</v>
      </c>
      <c r="I1998" s="425">
        <v>0</v>
      </c>
      <c r="J1998" s="425">
        <v>0</v>
      </c>
      <c r="K1998" s="425">
        <v>0</v>
      </c>
      <c r="L1998" s="425">
        <v>0</v>
      </c>
      <c r="M1998" s="425">
        <v>0</v>
      </c>
      <c r="N1998" s="425">
        <v>0</v>
      </c>
      <c r="O1998" s="425">
        <v>0</v>
      </c>
    </row>
    <row r="1999" spans="3:15" hidden="1" x14ac:dyDescent="0.3">
      <c r="C1999" t="s">
        <v>2295</v>
      </c>
      <c r="D1999" t="s">
        <v>2267</v>
      </c>
      <c r="E1999" t="s">
        <v>6195</v>
      </c>
      <c r="F1999" t="s">
        <v>6196</v>
      </c>
      <c r="G1999" s="425">
        <v>0</v>
      </c>
      <c r="H1999" s="425">
        <v>0</v>
      </c>
      <c r="I1999" s="425">
        <v>0</v>
      </c>
      <c r="J1999" s="425">
        <v>0</v>
      </c>
      <c r="K1999" s="425">
        <v>0</v>
      </c>
      <c r="L1999" s="425">
        <v>0</v>
      </c>
      <c r="M1999" s="425">
        <v>0</v>
      </c>
      <c r="N1999" s="425">
        <v>0</v>
      </c>
      <c r="O1999" s="425">
        <v>0</v>
      </c>
    </row>
    <row r="2000" spans="3:15" hidden="1" x14ac:dyDescent="0.3">
      <c r="C2000" t="s">
        <v>2295</v>
      </c>
      <c r="D2000" t="s">
        <v>2267</v>
      </c>
      <c r="E2000" t="s">
        <v>6197</v>
      </c>
      <c r="F2000" t="s">
        <v>6198</v>
      </c>
      <c r="G2000" s="425">
        <v>0</v>
      </c>
      <c r="H2000" s="425">
        <v>0</v>
      </c>
      <c r="I2000" s="425">
        <v>0</v>
      </c>
      <c r="J2000" s="425">
        <v>0</v>
      </c>
      <c r="K2000" s="425">
        <v>0</v>
      </c>
      <c r="L2000" s="425">
        <v>0</v>
      </c>
      <c r="M2000" s="425">
        <v>0</v>
      </c>
      <c r="N2000" s="425">
        <v>0</v>
      </c>
      <c r="O2000" s="425">
        <v>0</v>
      </c>
    </row>
    <row r="2001" spans="3:15" hidden="1" x14ac:dyDescent="0.3">
      <c r="C2001" t="s">
        <v>2295</v>
      </c>
      <c r="D2001" t="s">
        <v>2267</v>
      </c>
      <c r="E2001" t="s">
        <v>6199</v>
      </c>
      <c r="F2001" t="s">
        <v>6200</v>
      </c>
      <c r="G2001" s="425">
        <v>0</v>
      </c>
      <c r="H2001" s="425">
        <v>0</v>
      </c>
      <c r="I2001" s="425">
        <v>0</v>
      </c>
      <c r="J2001" s="425">
        <v>0</v>
      </c>
      <c r="K2001" s="425">
        <v>0</v>
      </c>
      <c r="L2001" s="425">
        <v>0</v>
      </c>
      <c r="M2001" s="425">
        <v>0</v>
      </c>
      <c r="N2001" s="425">
        <v>0</v>
      </c>
      <c r="O2001" s="425">
        <v>0</v>
      </c>
    </row>
    <row r="2002" spans="3:15" hidden="1" x14ac:dyDescent="0.3">
      <c r="C2002" t="s">
        <v>2295</v>
      </c>
      <c r="D2002" t="s">
        <v>2267</v>
      </c>
      <c r="E2002" t="s">
        <v>6201</v>
      </c>
      <c r="F2002" t="s">
        <v>6202</v>
      </c>
      <c r="G2002" s="425">
        <v>0</v>
      </c>
      <c r="H2002" s="425">
        <v>0</v>
      </c>
      <c r="I2002" s="425">
        <v>0</v>
      </c>
      <c r="J2002" s="425">
        <v>0</v>
      </c>
      <c r="K2002" s="425">
        <v>0</v>
      </c>
      <c r="L2002" s="425">
        <v>0</v>
      </c>
      <c r="M2002" s="425">
        <v>0</v>
      </c>
      <c r="N2002" s="425">
        <v>0</v>
      </c>
      <c r="O2002" s="425">
        <v>0</v>
      </c>
    </row>
    <row r="2003" spans="3:15" hidden="1" x14ac:dyDescent="0.3">
      <c r="C2003" t="s">
        <v>2295</v>
      </c>
      <c r="D2003" t="s">
        <v>2267</v>
      </c>
      <c r="E2003" t="s">
        <v>6203</v>
      </c>
      <c r="F2003" t="s">
        <v>6204</v>
      </c>
      <c r="G2003" s="425">
        <v>0</v>
      </c>
      <c r="H2003" s="425">
        <v>0</v>
      </c>
      <c r="I2003" s="425">
        <v>0</v>
      </c>
      <c r="J2003" s="425">
        <v>0</v>
      </c>
      <c r="K2003" s="425">
        <v>0</v>
      </c>
      <c r="L2003" s="425">
        <v>0</v>
      </c>
      <c r="M2003" s="425">
        <v>0</v>
      </c>
      <c r="N2003" s="425">
        <v>0</v>
      </c>
      <c r="O2003" s="425">
        <v>0</v>
      </c>
    </row>
    <row r="2004" spans="3:15" hidden="1" x14ac:dyDescent="0.3">
      <c r="C2004" t="s">
        <v>2295</v>
      </c>
      <c r="D2004" t="s">
        <v>2267</v>
      </c>
      <c r="E2004" t="s">
        <v>6205</v>
      </c>
      <c r="F2004" t="s">
        <v>6206</v>
      </c>
      <c r="G2004" s="425">
        <v>0</v>
      </c>
      <c r="H2004" s="425">
        <v>0</v>
      </c>
      <c r="I2004" s="425">
        <v>0</v>
      </c>
      <c r="J2004" s="425">
        <v>0</v>
      </c>
      <c r="K2004" s="425">
        <v>0</v>
      </c>
      <c r="L2004" s="425">
        <v>0</v>
      </c>
      <c r="M2004" s="425">
        <v>0</v>
      </c>
      <c r="N2004" s="425">
        <v>0</v>
      </c>
      <c r="O2004" s="425">
        <v>0</v>
      </c>
    </row>
    <row r="2005" spans="3:15" hidden="1" x14ac:dyDescent="0.3">
      <c r="C2005" t="s">
        <v>2295</v>
      </c>
      <c r="D2005" t="s">
        <v>2267</v>
      </c>
      <c r="E2005" t="s">
        <v>6207</v>
      </c>
      <c r="F2005" t="s">
        <v>6208</v>
      </c>
      <c r="G2005" s="425">
        <v>0</v>
      </c>
      <c r="H2005" s="425">
        <v>0</v>
      </c>
      <c r="I2005" s="425">
        <v>0</v>
      </c>
      <c r="J2005" s="425">
        <v>0</v>
      </c>
      <c r="K2005" s="425">
        <v>0</v>
      </c>
      <c r="L2005" s="425">
        <v>0</v>
      </c>
      <c r="M2005" s="425">
        <v>0</v>
      </c>
      <c r="N2005" s="425">
        <v>0</v>
      </c>
      <c r="O2005" s="425">
        <v>0</v>
      </c>
    </row>
    <row r="2006" spans="3:15" hidden="1" x14ac:dyDescent="0.3">
      <c r="C2006" t="s">
        <v>2295</v>
      </c>
      <c r="D2006" t="s">
        <v>2267</v>
      </c>
      <c r="E2006" t="s">
        <v>6209</v>
      </c>
      <c r="F2006" t="s">
        <v>6210</v>
      </c>
      <c r="G2006" s="425">
        <v>0</v>
      </c>
      <c r="H2006" s="425">
        <v>0</v>
      </c>
      <c r="I2006" s="425">
        <v>0</v>
      </c>
      <c r="J2006" s="425">
        <v>0</v>
      </c>
      <c r="K2006" s="425">
        <v>0</v>
      </c>
      <c r="L2006" s="425">
        <v>0</v>
      </c>
      <c r="M2006" s="425">
        <v>0</v>
      </c>
      <c r="N2006" s="425">
        <v>0</v>
      </c>
      <c r="O2006" s="425">
        <v>0</v>
      </c>
    </row>
    <row r="2007" spans="3:15" hidden="1" x14ac:dyDescent="0.3">
      <c r="C2007" t="s">
        <v>2295</v>
      </c>
      <c r="D2007" t="s">
        <v>2267</v>
      </c>
      <c r="E2007" t="s">
        <v>6211</v>
      </c>
      <c r="F2007" t="s">
        <v>6212</v>
      </c>
      <c r="G2007" s="425">
        <v>0</v>
      </c>
      <c r="H2007" s="425">
        <v>0</v>
      </c>
      <c r="I2007" s="425">
        <v>0</v>
      </c>
      <c r="J2007" s="425">
        <v>0</v>
      </c>
      <c r="K2007" s="425">
        <v>0</v>
      </c>
      <c r="L2007" s="425">
        <v>0</v>
      </c>
      <c r="M2007" s="425">
        <v>0</v>
      </c>
      <c r="N2007" s="425">
        <v>0</v>
      </c>
      <c r="O2007" s="425">
        <v>0</v>
      </c>
    </row>
    <row r="2008" spans="3:15" hidden="1" x14ac:dyDescent="0.3">
      <c r="C2008" t="s">
        <v>2295</v>
      </c>
      <c r="D2008" t="s">
        <v>2267</v>
      </c>
      <c r="E2008" t="s">
        <v>6213</v>
      </c>
      <c r="F2008" t="s">
        <v>6214</v>
      </c>
      <c r="G2008" s="425">
        <v>0</v>
      </c>
      <c r="H2008" s="425">
        <v>0</v>
      </c>
      <c r="I2008" s="425">
        <v>0</v>
      </c>
      <c r="J2008" s="425">
        <v>0</v>
      </c>
      <c r="K2008" s="425">
        <v>0</v>
      </c>
      <c r="L2008" s="425">
        <v>0</v>
      </c>
      <c r="M2008" s="425">
        <v>0</v>
      </c>
      <c r="N2008" s="425">
        <v>0</v>
      </c>
      <c r="O2008" s="425">
        <v>0</v>
      </c>
    </row>
    <row r="2009" spans="3:15" hidden="1" x14ac:dyDescent="0.3">
      <c r="C2009" t="s">
        <v>2295</v>
      </c>
      <c r="D2009" t="s">
        <v>2267</v>
      </c>
      <c r="E2009" t="s">
        <v>6215</v>
      </c>
      <c r="F2009" t="s">
        <v>6216</v>
      </c>
      <c r="G2009" s="425">
        <v>0</v>
      </c>
      <c r="H2009" s="425">
        <v>0</v>
      </c>
      <c r="I2009" s="425">
        <v>0</v>
      </c>
      <c r="J2009" s="425">
        <v>0</v>
      </c>
      <c r="K2009" s="425">
        <v>0</v>
      </c>
      <c r="L2009" s="425">
        <v>0</v>
      </c>
      <c r="M2009" s="425">
        <v>0</v>
      </c>
      <c r="N2009" s="425">
        <v>0</v>
      </c>
      <c r="O2009" s="425">
        <v>0</v>
      </c>
    </row>
    <row r="2010" spans="3:15" hidden="1" x14ac:dyDescent="0.3">
      <c r="C2010" t="s">
        <v>2295</v>
      </c>
      <c r="D2010" t="s">
        <v>2267</v>
      </c>
      <c r="E2010" t="s">
        <v>6217</v>
      </c>
      <c r="F2010" t="s">
        <v>6218</v>
      </c>
      <c r="G2010" s="425">
        <v>0</v>
      </c>
      <c r="H2010" s="425">
        <v>0</v>
      </c>
      <c r="I2010" s="425">
        <v>0</v>
      </c>
      <c r="J2010" s="425">
        <v>0</v>
      </c>
      <c r="K2010" s="425">
        <v>0</v>
      </c>
      <c r="L2010" s="425">
        <v>0</v>
      </c>
      <c r="M2010" s="425">
        <v>0</v>
      </c>
      <c r="N2010" s="425">
        <v>0</v>
      </c>
      <c r="O2010" s="425">
        <v>0</v>
      </c>
    </row>
    <row r="2011" spans="3:15" hidden="1" x14ac:dyDescent="0.3">
      <c r="C2011" t="s">
        <v>2295</v>
      </c>
      <c r="D2011" t="s">
        <v>2267</v>
      </c>
      <c r="E2011" t="s">
        <v>6219</v>
      </c>
      <c r="F2011" t="s">
        <v>6220</v>
      </c>
      <c r="G2011" s="425">
        <v>0</v>
      </c>
      <c r="H2011" s="425">
        <v>0</v>
      </c>
      <c r="I2011" s="425">
        <v>0</v>
      </c>
      <c r="J2011" s="425">
        <v>0</v>
      </c>
      <c r="K2011" s="425">
        <v>0</v>
      </c>
      <c r="L2011" s="425">
        <v>0</v>
      </c>
      <c r="M2011" s="425">
        <v>0</v>
      </c>
      <c r="N2011" s="425">
        <v>0</v>
      </c>
      <c r="O2011" s="425">
        <v>0</v>
      </c>
    </row>
    <row r="2012" spans="3:15" hidden="1" x14ac:dyDescent="0.3">
      <c r="C2012" t="s">
        <v>2295</v>
      </c>
      <c r="D2012" t="s">
        <v>2267</v>
      </c>
      <c r="E2012" t="s">
        <v>6221</v>
      </c>
      <c r="F2012" t="s">
        <v>6222</v>
      </c>
      <c r="G2012" s="425">
        <v>0</v>
      </c>
      <c r="H2012" s="425">
        <v>0</v>
      </c>
      <c r="I2012" s="425">
        <v>0</v>
      </c>
      <c r="J2012" s="425">
        <v>0</v>
      </c>
      <c r="K2012" s="425">
        <v>0</v>
      </c>
      <c r="L2012" s="425">
        <v>0</v>
      </c>
      <c r="M2012" s="425">
        <v>0</v>
      </c>
      <c r="N2012" s="425">
        <v>0</v>
      </c>
      <c r="O2012" s="425">
        <v>0</v>
      </c>
    </row>
    <row r="2013" spans="3:15" hidden="1" x14ac:dyDescent="0.3">
      <c r="C2013" t="s">
        <v>2295</v>
      </c>
      <c r="D2013" t="s">
        <v>2267</v>
      </c>
      <c r="E2013" t="s">
        <v>6223</v>
      </c>
      <c r="F2013" t="s">
        <v>6224</v>
      </c>
      <c r="G2013" s="425">
        <v>0</v>
      </c>
      <c r="H2013" s="425">
        <v>0</v>
      </c>
      <c r="I2013" s="425">
        <v>0</v>
      </c>
      <c r="J2013" s="425">
        <v>0</v>
      </c>
      <c r="K2013" s="425">
        <v>0</v>
      </c>
      <c r="L2013" s="425">
        <v>0</v>
      </c>
      <c r="M2013" s="425">
        <v>0</v>
      </c>
      <c r="N2013" s="425">
        <v>0</v>
      </c>
      <c r="O2013" s="425">
        <v>0</v>
      </c>
    </row>
    <row r="2014" spans="3:15" hidden="1" x14ac:dyDescent="0.3">
      <c r="C2014" t="s">
        <v>2295</v>
      </c>
      <c r="D2014" t="s">
        <v>2267</v>
      </c>
      <c r="E2014" t="s">
        <v>6225</v>
      </c>
      <c r="F2014" t="s">
        <v>6226</v>
      </c>
      <c r="G2014" s="425">
        <v>0</v>
      </c>
      <c r="H2014" s="425">
        <v>0</v>
      </c>
      <c r="I2014" s="425">
        <v>0</v>
      </c>
      <c r="J2014" s="425">
        <v>0</v>
      </c>
      <c r="K2014" s="425">
        <v>0</v>
      </c>
      <c r="L2014" s="425">
        <v>0</v>
      </c>
      <c r="M2014" s="425">
        <v>0</v>
      </c>
      <c r="N2014" s="425">
        <v>0</v>
      </c>
      <c r="O2014" s="425">
        <v>0</v>
      </c>
    </row>
    <row r="2015" spans="3:15" hidden="1" x14ac:dyDescent="0.3">
      <c r="C2015" t="s">
        <v>2295</v>
      </c>
      <c r="D2015" t="s">
        <v>2267</v>
      </c>
      <c r="E2015" t="s">
        <v>6227</v>
      </c>
      <c r="F2015" t="s">
        <v>6228</v>
      </c>
      <c r="G2015" s="425">
        <v>0</v>
      </c>
      <c r="H2015" s="425">
        <v>0</v>
      </c>
      <c r="I2015" s="425">
        <v>0</v>
      </c>
      <c r="J2015" s="425">
        <v>0</v>
      </c>
      <c r="K2015" s="425">
        <v>0</v>
      </c>
      <c r="L2015" s="425">
        <v>0</v>
      </c>
      <c r="M2015" s="425">
        <v>0</v>
      </c>
      <c r="N2015" s="425">
        <v>0</v>
      </c>
      <c r="O2015" s="425">
        <v>0</v>
      </c>
    </row>
    <row r="2016" spans="3:15" hidden="1" x14ac:dyDescent="0.3">
      <c r="C2016" t="s">
        <v>2295</v>
      </c>
      <c r="D2016" t="s">
        <v>2267</v>
      </c>
      <c r="E2016" t="s">
        <v>6229</v>
      </c>
      <c r="F2016" t="s">
        <v>6230</v>
      </c>
      <c r="G2016" s="425">
        <v>0</v>
      </c>
      <c r="H2016" s="425">
        <v>0</v>
      </c>
      <c r="I2016" s="425">
        <v>0</v>
      </c>
      <c r="J2016" s="425">
        <v>0</v>
      </c>
      <c r="K2016" s="425">
        <v>0</v>
      </c>
      <c r="L2016" s="425">
        <v>0</v>
      </c>
      <c r="M2016" s="425">
        <v>0</v>
      </c>
      <c r="N2016" s="425">
        <v>0</v>
      </c>
      <c r="O2016" s="425">
        <v>0</v>
      </c>
    </row>
    <row r="2017" spans="3:15" hidden="1" x14ac:dyDescent="0.3">
      <c r="C2017" t="s">
        <v>2295</v>
      </c>
      <c r="D2017" t="s">
        <v>2267</v>
      </c>
      <c r="E2017" t="s">
        <v>6231</v>
      </c>
      <c r="F2017" t="s">
        <v>6232</v>
      </c>
      <c r="G2017" s="425">
        <v>0</v>
      </c>
      <c r="H2017" s="425">
        <v>0</v>
      </c>
      <c r="I2017" s="425">
        <v>0</v>
      </c>
      <c r="J2017" s="425">
        <v>0</v>
      </c>
      <c r="K2017" s="425">
        <v>0</v>
      </c>
      <c r="L2017" s="425">
        <v>0</v>
      </c>
      <c r="M2017" s="425">
        <v>0</v>
      </c>
      <c r="N2017" s="425">
        <v>0</v>
      </c>
      <c r="O2017" s="425">
        <v>0</v>
      </c>
    </row>
    <row r="2018" spans="3:15" hidden="1" x14ac:dyDescent="0.3">
      <c r="C2018" t="s">
        <v>2295</v>
      </c>
      <c r="D2018" t="s">
        <v>2267</v>
      </c>
      <c r="E2018" t="s">
        <v>6233</v>
      </c>
      <c r="F2018" t="s">
        <v>6234</v>
      </c>
      <c r="G2018" s="425">
        <v>0</v>
      </c>
      <c r="H2018" s="425">
        <v>0</v>
      </c>
      <c r="I2018" s="425">
        <v>0</v>
      </c>
      <c r="J2018" s="425">
        <v>0</v>
      </c>
      <c r="K2018" s="425">
        <v>0</v>
      </c>
      <c r="L2018" s="425">
        <v>0</v>
      </c>
      <c r="M2018" s="425">
        <v>0</v>
      </c>
      <c r="N2018" s="425">
        <v>0</v>
      </c>
      <c r="O2018" s="425">
        <v>0</v>
      </c>
    </row>
    <row r="2019" spans="3:15" hidden="1" x14ac:dyDescent="0.3">
      <c r="C2019" t="s">
        <v>2295</v>
      </c>
      <c r="D2019" t="s">
        <v>2267</v>
      </c>
      <c r="E2019" t="s">
        <v>6235</v>
      </c>
      <c r="F2019" t="s">
        <v>6236</v>
      </c>
      <c r="G2019" s="425">
        <v>0</v>
      </c>
      <c r="H2019" s="425">
        <v>0</v>
      </c>
      <c r="I2019" s="425">
        <v>0</v>
      </c>
      <c r="J2019" s="425">
        <v>0</v>
      </c>
      <c r="K2019" s="425">
        <v>0</v>
      </c>
      <c r="L2019" s="425">
        <v>0</v>
      </c>
      <c r="M2019" s="425">
        <v>0</v>
      </c>
      <c r="N2019" s="425">
        <v>0</v>
      </c>
      <c r="O2019" s="425">
        <v>0</v>
      </c>
    </row>
    <row r="2020" spans="3:15" hidden="1" x14ac:dyDescent="0.3">
      <c r="C2020" t="s">
        <v>2295</v>
      </c>
      <c r="D2020" t="s">
        <v>2267</v>
      </c>
      <c r="E2020" t="s">
        <v>6237</v>
      </c>
      <c r="F2020" t="s">
        <v>6238</v>
      </c>
      <c r="G2020" s="425">
        <v>0</v>
      </c>
      <c r="H2020" s="425">
        <v>0</v>
      </c>
      <c r="I2020" s="425">
        <v>0</v>
      </c>
      <c r="J2020" s="425">
        <v>0</v>
      </c>
      <c r="K2020" s="425">
        <v>0</v>
      </c>
      <c r="L2020" s="425">
        <v>0</v>
      </c>
      <c r="M2020" s="425">
        <v>0</v>
      </c>
      <c r="N2020" s="425">
        <v>0</v>
      </c>
      <c r="O2020" s="425">
        <v>0</v>
      </c>
    </row>
    <row r="2021" spans="3:15" hidden="1" x14ac:dyDescent="0.3">
      <c r="C2021" t="s">
        <v>2295</v>
      </c>
      <c r="D2021" t="s">
        <v>2267</v>
      </c>
      <c r="E2021" t="s">
        <v>6239</v>
      </c>
      <c r="F2021" t="s">
        <v>6240</v>
      </c>
      <c r="G2021" s="425">
        <v>0</v>
      </c>
      <c r="H2021" s="425">
        <v>0</v>
      </c>
      <c r="I2021" s="425">
        <v>0</v>
      </c>
      <c r="J2021" s="425">
        <v>0</v>
      </c>
      <c r="K2021" s="425">
        <v>0</v>
      </c>
      <c r="L2021" s="425">
        <v>0</v>
      </c>
      <c r="M2021" s="425">
        <v>0</v>
      </c>
      <c r="N2021" s="425">
        <v>0</v>
      </c>
      <c r="O2021" s="425">
        <v>0</v>
      </c>
    </row>
    <row r="2022" spans="3:15" hidden="1" x14ac:dyDescent="0.3">
      <c r="C2022" t="s">
        <v>2295</v>
      </c>
      <c r="D2022" t="s">
        <v>2267</v>
      </c>
      <c r="E2022" t="s">
        <v>6241</v>
      </c>
      <c r="F2022" t="s">
        <v>6242</v>
      </c>
      <c r="G2022" s="425">
        <v>0</v>
      </c>
      <c r="H2022" s="425">
        <v>0</v>
      </c>
      <c r="I2022" s="425">
        <v>0</v>
      </c>
      <c r="J2022" s="425">
        <v>0</v>
      </c>
      <c r="K2022" s="425">
        <v>0</v>
      </c>
      <c r="L2022" s="425">
        <v>0</v>
      </c>
      <c r="M2022" s="425">
        <v>0</v>
      </c>
      <c r="N2022" s="425">
        <v>0</v>
      </c>
      <c r="O2022" s="425">
        <v>0</v>
      </c>
    </row>
    <row r="2023" spans="3:15" hidden="1" x14ac:dyDescent="0.3">
      <c r="C2023" t="s">
        <v>2295</v>
      </c>
      <c r="D2023" t="s">
        <v>2267</v>
      </c>
      <c r="E2023" t="s">
        <v>6243</v>
      </c>
      <c r="F2023" t="s">
        <v>6244</v>
      </c>
      <c r="G2023" s="425">
        <v>0</v>
      </c>
      <c r="H2023" s="425">
        <v>0</v>
      </c>
      <c r="I2023" s="425">
        <v>0</v>
      </c>
      <c r="J2023" s="425">
        <v>0</v>
      </c>
      <c r="K2023" s="425">
        <v>0</v>
      </c>
      <c r="L2023" s="425">
        <v>0</v>
      </c>
      <c r="M2023" s="425">
        <v>0</v>
      </c>
      <c r="N2023" s="425">
        <v>0</v>
      </c>
      <c r="O2023" s="425">
        <v>0</v>
      </c>
    </row>
    <row r="2024" spans="3:15" hidden="1" x14ac:dyDescent="0.3">
      <c r="C2024" t="s">
        <v>2295</v>
      </c>
      <c r="D2024" t="s">
        <v>2267</v>
      </c>
      <c r="E2024" t="s">
        <v>6245</v>
      </c>
      <c r="F2024" t="s">
        <v>6246</v>
      </c>
      <c r="G2024" s="425">
        <v>0</v>
      </c>
      <c r="H2024" s="425">
        <v>0</v>
      </c>
      <c r="I2024" s="425">
        <v>0</v>
      </c>
      <c r="J2024" s="425">
        <v>0</v>
      </c>
      <c r="K2024" s="425">
        <v>0</v>
      </c>
      <c r="L2024" s="425">
        <v>0</v>
      </c>
      <c r="M2024" s="425">
        <v>0</v>
      </c>
      <c r="N2024" s="425">
        <v>0</v>
      </c>
      <c r="O2024" s="425">
        <v>0</v>
      </c>
    </row>
    <row r="2025" spans="3:15" hidden="1" x14ac:dyDescent="0.3">
      <c r="C2025" t="s">
        <v>2295</v>
      </c>
      <c r="D2025" t="s">
        <v>2267</v>
      </c>
      <c r="E2025" t="s">
        <v>6247</v>
      </c>
      <c r="F2025" t="s">
        <v>6248</v>
      </c>
      <c r="G2025" s="425">
        <v>0</v>
      </c>
      <c r="H2025" s="425">
        <v>0</v>
      </c>
      <c r="I2025" s="425">
        <v>0</v>
      </c>
      <c r="J2025" s="425">
        <v>0</v>
      </c>
      <c r="K2025" s="425">
        <v>0</v>
      </c>
      <c r="L2025" s="425">
        <v>0</v>
      </c>
      <c r="M2025" s="425">
        <v>0</v>
      </c>
      <c r="N2025" s="425">
        <v>0</v>
      </c>
      <c r="O2025" s="425">
        <v>0</v>
      </c>
    </row>
    <row r="2026" spans="3:15" hidden="1" x14ac:dyDescent="0.3">
      <c r="C2026" t="s">
        <v>2295</v>
      </c>
      <c r="D2026" t="s">
        <v>2267</v>
      </c>
      <c r="E2026" t="s">
        <v>6249</v>
      </c>
      <c r="F2026" t="s">
        <v>6250</v>
      </c>
      <c r="G2026" s="425">
        <v>0</v>
      </c>
      <c r="H2026" s="425">
        <v>0</v>
      </c>
      <c r="I2026" s="425">
        <v>0</v>
      </c>
      <c r="J2026" s="425">
        <v>0</v>
      </c>
      <c r="K2026" s="425">
        <v>0</v>
      </c>
      <c r="L2026" s="425">
        <v>0</v>
      </c>
      <c r="M2026" s="425">
        <v>0</v>
      </c>
      <c r="N2026" s="425">
        <v>0</v>
      </c>
      <c r="O2026" s="425">
        <v>0</v>
      </c>
    </row>
    <row r="2027" spans="3:15" hidden="1" x14ac:dyDescent="0.3">
      <c r="C2027" t="s">
        <v>2295</v>
      </c>
      <c r="D2027" t="s">
        <v>2267</v>
      </c>
      <c r="E2027" t="s">
        <v>6251</v>
      </c>
      <c r="F2027" t="s">
        <v>6252</v>
      </c>
      <c r="G2027" s="425">
        <v>0</v>
      </c>
      <c r="H2027" s="425">
        <v>0</v>
      </c>
      <c r="I2027" s="425">
        <v>0</v>
      </c>
      <c r="J2027" s="425">
        <v>0</v>
      </c>
      <c r="K2027" s="425">
        <v>0</v>
      </c>
      <c r="L2027" s="425">
        <v>0</v>
      </c>
      <c r="M2027" s="425">
        <v>0</v>
      </c>
      <c r="N2027" s="425">
        <v>0</v>
      </c>
      <c r="O2027" s="425">
        <v>0</v>
      </c>
    </row>
    <row r="2028" spans="3:15" hidden="1" x14ac:dyDescent="0.3">
      <c r="C2028" t="s">
        <v>2295</v>
      </c>
      <c r="D2028" t="s">
        <v>2267</v>
      </c>
      <c r="E2028" t="s">
        <v>6253</v>
      </c>
      <c r="F2028" t="s">
        <v>6254</v>
      </c>
      <c r="G2028" s="425">
        <v>0</v>
      </c>
      <c r="H2028" s="425">
        <v>0</v>
      </c>
      <c r="I2028" s="425">
        <v>0</v>
      </c>
      <c r="J2028" s="425">
        <v>0</v>
      </c>
      <c r="K2028" s="425">
        <v>0</v>
      </c>
      <c r="L2028" s="425">
        <v>0</v>
      </c>
      <c r="M2028" s="425">
        <v>0</v>
      </c>
      <c r="N2028" s="425">
        <v>0</v>
      </c>
      <c r="O2028" s="425">
        <v>0</v>
      </c>
    </row>
    <row r="2029" spans="3:15" hidden="1" x14ac:dyDescent="0.3">
      <c r="C2029" t="s">
        <v>2295</v>
      </c>
      <c r="D2029" t="s">
        <v>2267</v>
      </c>
      <c r="E2029" t="s">
        <v>6255</v>
      </c>
      <c r="F2029" t="s">
        <v>6256</v>
      </c>
      <c r="G2029" s="425">
        <v>0</v>
      </c>
      <c r="H2029" s="425">
        <v>0</v>
      </c>
      <c r="I2029" s="425">
        <v>0</v>
      </c>
      <c r="J2029" s="425">
        <v>0</v>
      </c>
      <c r="K2029" s="425">
        <v>0</v>
      </c>
      <c r="L2029" s="425">
        <v>0</v>
      </c>
      <c r="M2029" s="425">
        <v>0</v>
      </c>
      <c r="N2029" s="425">
        <v>0</v>
      </c>
      <c r="O2029" s="425">
        <v>0</v>
      </c>
    </row>
    <row r="2030" spans="3:15" hidden="1" x14ac:dyDescent="0.3">
      <c r="C2030" t="s">
        <v>2295</v>
      </c>
      <c r="D2030" t="s">
        <v>2267</v>
      </c>
      <c r="E2030" t="s">
        <v>6257</v>
      </c>
      <c r="F2030" t="s">
        <v>6258</v>
      </c>
      <c r="G2030" s="425">
        <v>0</v>
      </c>
      <c r="H2030" s="425">
        <v>0</v>
      </c>
      <c r="I2030" s="425">
        <v>0</v>
      </c>
      <c r="J2030" s="425">
        <v>0</v>
      </c>
      <c r="K2030" s="425">
        <v>0</v>
      </c>
      <c r="L2030" s="425">
        <v>0</v>
      </c>
      <c r="M2030" s="425">
        <v>0</v>
      </c>
      <c r="N2030" s="425">
        <v>0</v>
      </c>
      <c r="O2030" s="425">
        <v>0</v>
      </c>
    </row>
    <row r="2031" spans="3:15" hidden="1" x14ac:dyDescent="0.3">
      <c r="C2031" t="s">
        <v>2295</v>
      </c>
      <c r="D2031" t="s">
        <v>2267</v>
      </c>
      <c r="E2031" t="s">
        <v>6259</v>
      </c>
      <c r="F2031" t="s">
        <v>6260</v>
      </c>
      <c r="G2031" s="425">
        <v>0</v>
      </c>
      <c r="H2031" s="425">
        <v>0</v>
      </c>
      <c r="I2031" s="425">
        <v>0</v>
      </c>
      <c r="J2031" s="425">
        <v>0</v>
      </c>
      <c r="K2031" s="425">
        <v>0</v>
      </c>
      <c r="L2031" s="425">
        <v>0</v>
      </c>
      <c r="M2031" s="425">
        <v>0</v>
      </c>
      <c r="N2031" s="425">
        <v>0</v>
      </c>
      <c r="O2031" s="425">
        <v>0</v>
      </c>
    </row>
    <row r="2032" spans="3:15" hidden="1" x14ac:dyDescent="0.3">
      <c r="C2032" t="s">
        <v>2295</v>
      </c>
      <c r="D2032" t="s">
        <v>2267</v>
      </c>
      <c r="E2032" t="s">
        <v>6261</v>
      </c>
      <c r="F2032" t="s">
        <v>6262</v>
      </c>
      <c r="G2032" s="425">
        <v>0</v>
      </c>
      <c r="H2032" s="425">
        <v>0</v>
      </c>
      <c r="I2032" s="425">
        <v>0</v>
      </c>
      <c r="J2032" s="425">
        <v>0</v>
      </c>
      <c r="K2032" s="425">
        <v>0</v>
      </c>
      <c r="L2032" s="425">
        <v>0</v>
      </c>
      <c r="M2032" s="425">
        <v>0</v>
      </c>
      <c r="N2032" s="425">
        <v>0</v>
      </c>
      <c r="O2032" s="425">
        <v>0</v>
      </c>
    </row>
    <row r="2033" spans="3:15" hidden="1" x14ac:dyDescent="0.3">
      <c r="C2033" t="s">
        <v>2295</v>
      </c>
      <c r="D2033" t="s">
        <v>2267</v>
      </c>
      <c r="E2033" t="s">
        <v>6263</v>
      </c>
      <c r="F2033" t="s">
        <v>6264</v>
      </c>
      <c r="G2033" s="425">
        <v>0</v>
      </c>
      <c r="H2033" s="425">
        <v>0</v>
      </c>
      <c r="I2033" s="425">
        <v>0</v>
      </c>
      <c r="J2033" s="425">
        <v>0</v>
      </c>
      <c r="K2033" s="425">
        <v>0</v>
      </c>
      <c r="L2033" s="425">
        <v>0</v>
      </c>
      <c r="M2033" s="425">
        <v>0</v>
      </c>
      <c r="N2033" s="425">
        <v>0</v>
      </c>
      <c r="O2033" s="425">
        <v>0</v>
      </c>
    </row>
    <row r="2034" spans="3:15" hidden="1" x14ac:dyDescent="0.3">
      <c r="C2034" t="s">
        <v>2295</v>
      </c>
      <c r="D2034" t="s">
        <v>2267</v>
      </c>
      <c r="E2034" t="s">
        <v>6265</v>
      </c>
      <c r="F2034" t="s">
        <v>6266</v>
      </c>
      <c r="G2034" s="425">
        <v>0</v>
      </c>
      <c r="H2034" s="425">
        <v>0</v>
      </c>
      <c r="I2034" s="425">
        <v>0</v>
      </c>
      <c r="J2034" s="425">
        <v>0</v>
      </c>
      <c r="K2034" s="425">
        <v>0</v>
      </c>
      <c r="L2034" s="425">
        <v>0</v>
      </c>
      <c r="M2034" s="425">
        <v>0</v>
      </c>
      <c r="N2034" s="425">
        <v>0</v>
      </c>
      <c r="O2034" s="425">
        <v>0</v>
      </c>
    </row>
    <row r="2035" spans="3:15" hidden="1" x14ac:dyDescent="0.3">
      <c r="C2035" t="s">
        <v>2295</v>
      </c>
      <c r="D2035" t="s">
        <v>2267</v>
      </c>
      <c r="E2035" t="s">
        <v>6267</v>
      </c>
      <c r="F2035" t="s">
        <v>6268</v>
      </c>
      <c r="G2035" s="425">
        <v>430000</v>
      </c>
      <c r="H2035" s="425">
        <v>0</v>
      </c>
      <c r="I2035" s="425">
        <v>430000</v>
      </c>
      <c r="J2035" s="425">
        <v>0</v>
      </c>
      <c r="K2035" s="425">
        <v>0</v>
      </c>
      <c r="L2035" s="425">
        <v>0</v>
      </c>
      <c r="M2035" s="425">
        <v>0</v>
      </c>
      <c r="N2035" s="425">
        <v>0</v>
      </c>
      <c r="O2035" s="425">
        <v>0</v>
      </c>
    </row>
    <row r="2036" spans="3:15" hidden="1" x14ac:dyDescent="0.3">
      <c r="C2036" t="s">
        <v>2295</v>
      </c>
      <c r="D2036" t="s">
        <v>2267</v>
      </c>
      <c r="E2036" t="s">
        <v>6269</v>
      </c>
      <c r="F2036" t="s">
        <v>6270</v>
      </c>
      <c r="G2036" s="425">
        <v>1347000</v>
      </c>
      <c r="H2036" s="425">
        <v>0</v>
      </c>
      <c r="I2036" s="425">
        <v>1347000</v>
      </c>
      <c r="J2036" s="425">
        <v>0</v>
      </c>
      <c r="K2036" s="425">
        <v>0</v>
      </c>
      <c r="L2036" s="425">
        <v>0</v>
      </c>
      <c r="M2036" s="425">
        <v>0</v>
      </c>
      <c r="N2036" s="425">
        <v>0</v>
      </c>
      <c r="O2036" s="425">
        <v>0</v>
      </c>
    </row>
    <row r="2037" spans="3:15" hidden="1" x14ac:dyDescent="0.3">
      <c r="C2037" t="s">
        <v>2295</v>
      </c>
      <c r="D2037" t="s">
        <v>2267</v>
      </c>
      <c r="E2037" t="s">
        <v>6271</v>
      </c>
      <c r="F2037" t="s">
        <v>6272</v>
      </c>
      <c r="G2037" s="425">
        <v>0</v>
      </c>
      <c r="H2037" s="425">
        <v>0</v>
      </c>
      <c r="I2037" s="425">
        <v>0</v>
      </c>
      <c r="J2037" s="425">
        <v>0</v>
      </c>
      <c r="K2037" s="425">
        <v>0</v>
      </c>
      <c r="L2037" s="425">
        <v>0</v>
      </c>
      <c r="M2037" s="425">
        <v>0</v>
      </c>
      <c r="N2037" s="425">
        <v>0</v>
      </c>
      <c r="O2037" s="425">
        <v>0</v>
      </c>
    </row>
    <row r="2038" spans="3:15" hidden="1" x14ac:dyDescent="0.3">
      <c r="C2038" t="s">
        <v>2295</v>
      </c>
      <c r="D2038" t="s">
        <v>2267</v>
      </c>
      <c r="E2038" t="s">
        <v>6273</v>
      </c>
      <c r="F2038" t="s">
        <v>6274</v>
      </c>
      <c r="G2038" s="425">
        <v>0</v>
      </c>
      <c r="H2038" s="425">
        <v>0</v>
      </c>
      <c r="I2038" s="425">
        <v>0</v>
      </c>
      <c r="J2038" s="425">
        <v>0</v>
      </c>
      <c r="K2038" s="425">
        <v>0</v>
      </c>
      <c r="L2038" s="425">
        <v>0</v>
      </c>
      <c r="M2038" s="425">
        <v>0</v>
      </c>
      <c r="N2038" s="425">
        <v>0</v>
      </c>
      <c r="O2038" s="425">
        <v>0</v>
      </c>
    </row>
    <row r="2039" spans="3:15" hidden="1" x14ac:dyDescent="0.3">
      <c r="C2039" t="s">
        <v>2295</v>
      </c>
      <c r="D2039" t="s">
        <v>2267</v>
      </c>
      <c r="E2039" t="s">
        <v>6275</v>
      </c>
      <c r="F2039" t="s">
        <v>6276</v>
      </c>
      <c r="G2039" s="425">
        <v>0</v>
      </c>
      <c r="H2039" s="425">
        <v>0</v>
      </c>
      <c r="I2039" s="425">
        <v>0</v>
      </c>
      <c r="J2039" s="425">
        <v>0</v>
      </c>
      <c r="K2039" s="425">
        <v>0</v>
      </c>
      <c r="L2039" s="425">
        <v>0</v>
      </c>
      <c r="M2039" s="425">
        <v>0</v>
      </c>
      <c r="N2039" s="425">
        <v>0</v>
      </c>
      <c r="O2039" s="425">
        <v>0</v>
      </c>
    </row>
    <row r="2040" spans="3:15" hidden="1" x14ac:dyDescent="0.3">
      <c r="C2040" t="s">
        <v>2295</v>
      </c>
      <c r="D2040" t="s">
        <v>2267</v>
      </c>
      <c r="E2040" t="s">
        <v>6277</v>
      </c>
      <c r="F2040" t="s">
        <v>6278</v>
      </c>
      <c r="G2040" s="425">
        <v>0</v>
      </c>
      <c r="H2040" s="425">
        <v>0</v>
      </c>
      <c r="I2040" s="425">
        <v>0</v>
      </c>
      <c r="J2040" s="425">
        <v>0</v>
      </c>
      <c r="K2040" s="425">
        <v>0</v>
      </c>
      <c r="L2040" s="425">
        <v>0</v>
      </c>
      <c r="M2040" s="425">
        <v>0</v>
      </c>
      <c r="N2040" s="425">
        <v>0</v>
      </c>
      <c r="O2040" s="425">
        <v>0</v>
      </c>
    </row>
    <row r="2041" spans="3:15" hidden="1" x14ac:dyDescent="0.3">
      <c r="C2041" t="s">
        <v>2295</v>
      </c>
      <c r="D2041" t="s">
        <v>2267</v>
      </c>
      <c r="E2041" t="s">
        <v>6279</v>
      </c>
      <c r="F2041" t="s">
        <v>6280</v>
      </c>
      <c r="G2041" s="425">
        <v>0</v>
      </c>
      <c r="H2041" s="425">
        <v>0</v>
      </c>
      <c r="I2041" s="425">
        <v>0</v>
      </c>
      <c r="J2041" s="425">
        <v>0</v>
      </c>
      <c r="K2041" s="425">
        <v>0</v>
      </c>
      <c r="L2041" s="425">
        <v>0</v>
      </c>
      <c r="M2041" s="425">
        <v>0</v>
      </c>
      <c r="N2041" s="425">
        <v>0</v>
      </c>
      <c r="O2041" s="425">
        <v>0</v>
      </c>
    </row>
    <row r="2042" spans="3:15" hidden="1" x14ac:dyDescent="0.3">
      <c r="C2042" t="s">
        <v>2295</v>
      </c>
      <c r="D2042" t="s">
        <v>2267</v>
      </c>
      <c r="E2042" t="s">
        <v>6281</v>
      </c>
      <c r="F2042" t="s">
        <v>6282</v>
      </c>
      <c r="G2042" s="425">
        <v>0</v>
      </c>
      <c r="H2042" s="425">
        <v>0</v>
      </c>
      <c r="I2042" s="425">
        <v>0</v>
      </c>
      <c r="J2042" s="425">
        <v>0</v>
      </c>
      <c r="K2042" s="425">
        <v>0</v>
      </c>
      <c r="L2042" s="425">
        <v>0</v>
      </c>
      <c r="M2042" s="425">
        <v>0</v>
      </c>
      <c r="N2042" s="425">
        <v>0</v>
      </c>
      <c r="O2042" s="425">
        <v>0</v>
      </c>
    </row>
    <row r="2043" spans="3:15" hidden="1" x14ac:dyDescent="0.3">
      <c r="C2043" t="s">
        <v>2295</v>
      </c>
      <c r="D2043" t="s">
        <v>2267</v>
      </c>
      <c r="E2043" t="s">
        <v>6283</v>
      </c>
      <c r="F2043" t="s">
        <v>6284</v>
      </c>
      <c r="G2043" s="425">
        <v>0</v>
      </c>
      <c r="H2043" s="425">
        <v>0</v>
      </c>
      <c r="I2043" s="425">
        <v>0</v>
      </c>
      <c r="J2043" s="425">
        <v>0</v>
      </c>
      <c r="K2043" s="425">
        <v>0</v>
      </c>
      <c r="L2043" s="425">
        <v>0</v>
      </c>
      <c r="M2043" s="425">
        <v>0</v>
      </c>
      <c r="N2043" s="425">
        <v>0</v>
      </c>
      <c r="O2043" s="425">
        <v>0</v>
      </c>
    </row>
    <row r="2044" spans="3:15" hidden="1" x14ac:dyDescent="0.3">
      <c r="C2044" t="s">
        <v>2295</v>
      </c>
      <c r="D2044" t="s">
        <v>2267</v>
      </c>
      <c r="E2044" t="s">
        <v>6285</v>
      </c>
      <c r="F2044" t="s">
        <v>6286</v>
      </c>
      <c r="G2044" s="425">
        <v>0</v>
      </c>
      <c r="H2044" s="425">
        <v>0</v>
      </c>
      <c r="I2044" s="425">
        <v>0</v>
      </c>
      <c r="J2044" s="425">
        <v>0</v>
      </c>
      <c r="K2044" s="425">
        <v>0</v>
      </c>
      <c r="L2044" s="425">
        <v>0</v>
      </c>
      <c r="M2044" s="425">
        <v>0</v>
      </c>
      <c r="N2044" s="425">
        <v>0</v>
      </c>
      <c r="O2044" s="425">
        <v>0</v>
      </c>
    </row>
    <row r="2045" spans="3:15" hidden="1" x14ac:dyDescent="0.3">
      <c r="C2045" t="s">
        <v>2295</v>
      </c>
      <c r="D2045" t="s">
        <v>2267</v>
      </c>
      <c r="E2045" t="s">
        <v>6287</v>
      </c>
      <c r="F2045" t="s">
        <v>6288</v>
      </c>
      <c r="G2045" s="425">
        <v>0</v>
      </c>
      <c r="H2045" s="425">
        <v>0</v>
      </c>
      <c r="I2045" s="425">
        <v>0</v>
      </c>
      <c r="J2045" s="425">
        <v>0</v>
      </c>
      <c r="K2045" s="425">
        <v>0</v>
      </c>
      <c r="L2045" s="425">
        <v>0</v>
      </c>
      <c r="M2045" s="425">
        <v>0</v>
      </c>
      <c r="N2045" s="425">
        <v>0</v>
      </c>
      <c r="O2045" s="425">
        <v>0</v>
      </c>
    </row>
    <row r="2046" spans="3:15" hidden="1" x14ac:dyDescent="0.3">
      <c r="C2046" t="s">
        <v>2295</v>
      </c>
      <c r="D2046" t="s">
        <v>2267</v>
      </c>
      <c r="E2046" t="s">
        <v>6289</v>
      </c>
      <c r="F2046" t="s">
        <v>6290</v>
      </c>
      <c r="G2046" s="425">
        <v>0</v>
      </c>
      <c r="H2046" s="425">
        <v>0</v>
      </c>
      <c r="I2046" s="425">
        <v>0</v>
      </c>
      <c r="J2046" s="425">
        <v>0</v>
      </c>
      <c r="K2046" s="425">
        <v>0</v>
      </c>
      <c r="L2046" s="425">
        <v>0</v>
      </c>
      <c r="M2046" s="425">
        <v>0</v>
      </c>
      <c r="N2046" s="425">
        <v>0</v>
      </c>
      <c r="O2046" s="425">
        <v>0</v>
      </c>
    </row>
    <row r="2047" spans="3:15" hidden="1" x14ac:dyDescent="0.3">
      <c r="C2047" t="s">
        <v>2295</v>
      </c>
      <c r="D2047" t="s">
        <v>2267</v>
      </c>
      <c r="E2047" t="s">
        <v>6291</v>
      </c>
      <c r="F2047" t="s">
        <v>6292</v>
      </c>
      <c r="G2047" s="425">
        <v>0</v>
      </c>
      <c r="H2047" s="425">
        <v>0</v>
      </c>
      <c r="I2047" s="425">
        <v>0</v>
      </c>
      <c r="J2047" s="425">
        <v>0</v>
      </c>
      <c r="K2047" s="425">
        <v>0</v>
      </c>
      <c r="L2047" s="425">
        <v>0</v>
      </c>
      <c r="M2047" s="425">
        <v>0</v>
      </c>
      <c r="N2047" s="425">
        <v>0</v>
      </c>
      <c r="O2047" s="425">
        <v>0</v>
      </c>
    </row>
    <row r="2048" spans="3:15" hidden="1" x14ac:dyDescent="0.3">
      <c r="C2048" t="s">
        <v>2295</v>
      </c>
      <c r="D2048" t="s">
        <v>2267</v>
      </c>
      <c r="E2048" t="s">
        <v>5644</v>
      </c>
      <c r="F2048" t="s">
        <v>6293</v>
      </c>
      <c r="G2048" s="425">
        <v>0</v>
      </c>
      <c r="H2048" s="425">
        <v>0</v>
      </c>
      <c r="I2048" s="425">
        <v>0</v>
      </c>
      <c r="J2048" s="425">
        <v>0</v>
      </c>
      <c r="K2048" s="425">
        <v>0</v>
      </c>
      <c r="L2048" s="425">
        <v>0</v>
      </c>
      <c r="M2048" s="425">
        <v>0</v>
      </c>
      <c r="N2048" s="425">
        <v>0</v>
      </c>
      <c r="O2048" s="425">
        <v>0</v>
      </c>
    </row>
    <row r="2049" spans="3:15" hidden="1" x14ac:dyDescent="0.3">
      <c r="C2049" t="s">
        <v>2295</v>
      </c>
      <c r="D2049" t="s">
        <v>2267</v>
      </c>
      <c r="E2049" t="s">
        <v>6294</v>
      </c>
      <c r="F2049" t="s">
        <v>6295</v>
      </c>
      <c r="G2049" s="425">
        <v>0</v>
      </c>
      <c r="H2049" s="425">
        <v>0</v>
      </c>
      <c r="I2049" s="425">
        <v>0</v>
      </c>
      <c r="J2049" s="425">
        <v>0</v>
      </c>
      <c r="K2049" s="425">
        <v>0</v>
      </c>
      <c r="L2049" s="425">
        <v>0</v>
      </c>
      <c r="M2049" s="425">
        <v>0</v>
      </c>
      <c r="N2049" s="425">
        <v>0</v>
      </c>
      <c r="O2049" s="425">
        <v>0</v>
      </c>
    </row>
    <row r="2050" spans="3:15" hidden="1" x14ac:dyDescent="0.3">
      <c r="C2050" t="s">
        <v>2292</v>
      </c>
      <c r="D2050" t="s">
        <v>2237</v>
      </c>
      <c r="E2050" t="s">
        <v>2736</v>
      </c>
      <c r="F2050" t="s">
        <v>6296</v>
      </c>
      <c r="G2050" s="425">
        <v>105675717</v>
      </c>
      <c r="H2050" s="425">
        <v>0</v>
      </c>
      <c r="I2050" s="425">
        <v>105675717</v>
      </c>
      <c r="J2050" s="425">
        <v>0</v>
      </c>
      <c r="K2050" s="425">
        <v>0</v>
      </c>
      <c r="L2050" s="425">
        <v>0</v>
      </c>
      <c r="M2050" s="425">
        <v>0</v>
      </c>
      <c r="N2050" s="425">
        <v>0</v>
      </c>
      <c r="O2050" s="425">
        <v>0</v>
      </c>
    </row>
    <row r="2051" spans="3:15" hidden="1" x14ac:dyDescent="0.3">
      <c r="C2051" t="s">
        <v>2295</v>
      </c>
      <c r="D2051" t="s">
        <v>2267</v>
      </c>
      <c r="E2051" t="s">
        <v>6297</v>
      </c>
      <c r="F2051" t="s">
        <v>6298</v>
      </c>
      <c r="G2051" s="425">
        <v>4421</v>
      </c>
      <c r="H2051" s="425">
        <v>0</v>
      </c>
      <c r="I2051" s="425">
        <v>4421</v>
      </c>
      <c r="J2051" s="425">
        <v>0</v>
      </c>
      <c r="K2051" s="425">
        <v>0</v>
      </c>
      <c r="L2051" s="425">
        <v>0</v>
      </c>
      <c r="M2051" s="425">
        <v>0</v>
      </c>
      <c r="N2051" s="425">
        <v>0</v>
      </c>
      <c r="O2051" s="425">
        <v>0</v>
      </c>
    </row>
    <row r="2052" spans="3:15" hidden="1" x14ac:dyDescent="0.3">
      <c r="C2052" t="s">
        <v>2295</v>
      </c>
      <c r="D2052" t="s">
        <v>2267</v>
      </c>
      <c r="E2052" t="s">
        <v>6299</v>
      </c>
      <c r="F2052" t="s">
        <v>6300</v>
      </c>
      <c r="G2052" s="425">
        <v>287071</v>
      </c>
      <c r="H2052" s="425">
        <v>0</v>
      </c>
      <c r="I2052" s="425">
        <v>287071</v>
      </c>
      <c r="J2052" s="425">
        <v>0</v>
      </c>
      <c r="K2052" s="425">
        <v>0</v>
      </c>
      <c r="L2052" s="425">
        <v>0</v>
      </c>
      <c r="M2052" s="425">
        <v>0</v>
      </c>
      <c r="N2052" s="425">
        <v>0</v>
      </c>
      <c r="O2052" s="425">
        <v>0</v>
      </c>
    </row>
    <row r="2053" spans="3:15" hidden="1" x14ac:dyDescent="0.3">
      <c r="C2053" t="s">
        <v>2295</v>
      </c>
      <c r="D2053" t="s">
        <v>2267</v>
      </c>
      <c r="E2053" t="s">
        <v>6301</v>
      </c>
      <c r="F2053" t="s">
        <v>6302</v>
      </c>
      <c r="G2053" s="425">
        <v>12996718</v>
      </c>
      <c r="H2053" s="425">
        <v>0</v>
      </c>
      <c r="I2053" s="425">
        <v>12996718</v>
      </c>
      <c r="J2053" s="425">
        <v>0</v>
      </c>
      <c r="K2053" s="425">
        <v>0</v>
      </c>
      <c r="L2053" s="425">
        <v>0</v>
      </c>
      <c r="M2053" s="425">
        <v>0</v>
      </c>
      <c r="N2053" s="425">
        <v>0</v>
      </c>
      <c r="O2053" s="425">
        <v>0</v>
      </c>
    </row>
    <row r="2054" spans="3:15" hidden="1" x14ac:dyDescent="0.3">
      <c r="C2054" t="s">
        <v>2295</v>
      </c>
      <c r="D2054" t="s">
        <v>2267</v>
      </c>
      <c r="E2054" t="s">
        <v>6303</v>
      </c>
      <c r="F2054" t="s">
        <v>6304</v>
      </c>
      <c r="G2054" s="425">
        <v>14468140</v>
      </c>
      <c r="H2054" s="425">
        <v>0</v>
      </c>
      <c r="I2054" s="425">
        <v>14468140</v>
      </c>
      <c r="J2054" s="425">
        <v>0</v>
      </c>
      <c r="K2054" s="425">
        <v>0</v>
      </c>
      <c r="L2054" s="425">
        <v>0</v>
      </c>
      <c r="M2054" s="425">
        <v>0</v>
      </c>
      <c r="N2054" s="425">
        <v>0</v>
      </c>
      <c r="O2054" s="425">
        <v>0</v>
      </c>
    </row>
    <row r="2055" spans="3:15" hidden="1" x14ac:dyDescent="0.3">
      <c r="C2055" t="s">
        <v>2295</v>
      </c>
      <c r="D2055" t="s">
        <v>2267</v>
      </c>
      <c r="E2055" t="s">
        <v>6305</v>
      </c>
      <c r="F2055" t="s">
        <v>6306</v>
      </c>
      <c r="G2055" s="425">
        <v>0</v>
      </c>
      <c r="H2055" s="425">
        <v>0</v>
      </c>
      <c r="I2055" s="425">
        <v>0</v>
      </c>
      <c r="J2055" s="425">
        <v>0</v>
      </c>
      <c r="K2055" s="425">
        <v>0</v>
      </c>
      <c r="L2055" s="425">
        <v>0</v>
      </c>
      <c r="M2055" s="425">
        <v>0</v>
      </c>
      <c r="N2055" s="425">
        <v>0</v>
      </c>
      <c r="O2055" s="425">
        <v>0</v>
      </c>
    </row>
    <row r="2056" spans="3:15" hidden="1" x14ac:dyDescent="0.3">
      <c r="C2056" t="s">
        <v>2295</v>
      </c>
      <c r="D2056" t="s">
        <v>2267</v>
      </c>
      <c r="E2056" t="s">
        <v>6307</v>
      </c>
      <c r="F2056" t="s">
        <v>6308</v>
      </c>
      <c r="G2056" s="425">
        <v>469086</v>
      </c>
      <c r="H2056" s="425">
        <v>0</v>
      </c>
      <c r="I2056" s="425">
        <v>469086</v>
      </c>
      <c r="J2056" s="425">
        <v>0</v>
      </c>
      <c r="K2056" s="425">
        <v>0</v>
      </c>
      <c r="L2056" s="425">
        <v>0</v>
      </c>
      <c r="M2056" s="425">
        <v>0</v>
      </c>
      <c r="N2056" s="425">
        <v>0</v>
      </c>
      <c r="O2056" s="425">
        <v>0</v>
      </c>
    </row>
    <row r="2057" spans="3:15" hidden="1" x14ac:dyDescent="0.3">
      <c r="C2057" t="s">
        <v>2295</v>
      </c>
      <c r="D2057" t="s">
        <v>2267</v>
      </c>
      <c r="E2057" t="s">
        <v>6309</v>
      </c>
      <c r="F2057" t="s">
        <v>6310</v>
      </c>
      <c r="G2057" s="425">
        <v>4653628</v>
      </c>
      <c r="H2057" s="425">
        <v>0</v>
      </c>
      <c r="I2057" s="425">
        <v>4653628</v>
      </c>
      <c r="J2057" s="425">
        <v>0</v>
      </c>
      <c r="K2057" s="425">
        <v>0</v>
      </c>
      <c r="L2057" s="425">
        <v>0</v>
      </c>
      <c r="M2057" s="425">
        <v>0</v>
      </c>
      <c r="N2057" s="425">
        <v>0</v>
      </c>
      <c r="O2057" s="425">
        <v>0</v>
      </c>
    </row>
    <row r="2058" spans="3:15" hidden="1" x14ac:dyDescent="0.3">
      <c r="C2058" t="s">
        <v>2295</v>
      </c>
      <c r="D2058" t="s">
        <v>2267</v>
      </c>
      <c r="E2058" t="s">
        <v>6311</v>
      </c>
      <c r="F2058" t="s">
        <v>6312</v>
      </c>
      <c r="G2058" s="425">
        <v>2887</v>
      </c>
      <c r="H2058" s="425">
        <v>0</v>
      </c>
      <c r="I2058" s="425">
        <v>2887</v>
      </c>
      <c r="J2058" s="425">
        <v>0</v>
      </c>
      <c r="K2058" s="425">
        <v>0</v>
      </c>
      <c r="L2058" s="425">
        <v>0</v>
      </c>
      <c r="M2058" s="425">
        <v>0</v>
      </c>
      <c r="N2058" s="425">
        <v>0</v>
      </c>
      <c r="O2058" s="425">
        <v>0</v>
      </c>
    </row>
    <row r="2059" spans="3:15" hidden="1" x14ac:dyDescent="0.3">
      <c r="C2059" t="s">
        <v>2295</v>
      </c>
      <c r="D2059" t="s">
        <v>2267</v>
      </c>
      <c r="E2059" t="s">
        <v>6313</v>
      </c>
      <c r="F2059" t="s">
        <v>6314</v>
      </c>
      <c r="G2059" s="425">
        <v>52573</v>
      </c>
      <c r="H2059" s="425">
        <v>0</v>
      </c>
      <c r="I2059" s="425">
        <v>52573</v>
      </c>
      <c r="J2059" s="425">
        <v>0</v>
      </c>
      <c r="K2059" s="425">
        <v>0</v>
      </c>
      <c r="L2059" s="425">
        <v>0</v>
      </c>
      <c r="M2059" s="425">
        <v>0</v>
      </c>
      <c r="N2059" s="425">
        <v>0</v>
      </c>
      <c r="O2059" s="425">
        <v>0</v>
      </c>
    </row>
    <row r="2060" spans="3:15" hidden="1" x14ac:dyDescent="0.3">
      <c r="C2060" t="s">
        <v>2295</v>
      </c>
      <c r="D2060" t="s">
        <v>2267</v>
      </c>
      <c r="E2060" t="s">
        <v>6315</v>
      </c>
      <c r="F2060" t="s">
        <v>6316</v>
      </c>
      <c r="G2060" s="425">
        <v>269530</v>
      </c>
      <c r="H2060" s="425">
        <v>0</v>
      </c>
      <c r="I2060" s="425">
        <v>269530</v>
      </c>
      <c r="J2060" s="425">
        <v>0</v>
      </c>
      <c r="K2060" s="425">
        <v>0</v>
      </c>
      <c r="L2060" s="425">
        <v>0</v>
      </c>
      <c r="M2060" s="425">
        <v>0</v>
      </c>
      <c r="N2060" s="425">
        <v>0</v>
      </c>
      <c r="O2060" s="425">
        <v>0</v>
      </c>
    </row>
    <row r="2061" spans="3:15" hidden="1" x14ac:dyDescent="0.3">
      <c r="C2061" t="s">
        <v>2295</v>
      </c>
      <c r="D2061" t="s">
        <v>2267</v>
      </c>
      <c r="E2061" t="s">
        <v>6317</v>
      </c>
      <c r="F2061" t="s">
        <v>6318</v>
      </c>
      <c r="G2061" s="425">
        <v>236714</v>
      </c>
      <c r="H2061" s="425">
        <v>0</v>
      </c>
      <c r="I2061" s="425">
        <v>236714</v>
      </c>
      <c r="J2061" s="425">
        <v>0</v>
      </c>
      <c r="K2061" s="425">
        <v>0</v>
      </c>
      <c r="L2061" s="425">
        <v>0</v>
      </c>
      <c r="M2061" s="425">
        <v>0</v>
      </c>
      <c r="N2061" s="425">
        <v>0</v>
      </c>
      <c r="O2061" s="425">
        <v>0</v>
      </c>
    </row>
    <row r="2062" spans="3:15" hidden="1" x14ac:dyDescent="0.3">
      <c r="C2062" t="s">
        <v>2295</v>
      </c>
      <c r="D2062" t="s">
        <v>2267</v>
      </c>
      <c r="E2062" t="s">
        <v>6319</v>
      </c>
      <c r="F2062" t="s">
        <v>6320</v>
      </c>
      <c r="G2062" s="425">
        <v>0</v>
      </c>
      <c r="H2062" s="425">
        <v>0</v>
      </c>
      <c r="I2062" s="425">
        <v>0</v>
      </c>
      <c r="J2062" s="425">
        <v>0</v>
      </c>
      <c r="K2062" s="425">
        <v>0</v>
      </c>
      <c r="L2062" s="425">
        <v>0</v>
      </c>
      <c r="M2062" s="425">
        <v>0</v>
      </c>
      <c r="N2062" s="425">
        <v>0</v>
      </c>
      <c r="O2062" s="425">
        <v>0</v>
      </c>
    </row>
    <row r="2063" spans="3:15" hidden="1" x14ac:dyDescent="0.3">
      <c r="C2063" t="s">
        <v>2295</v>
      </c>
      <c r="D2063" t="s">
        <v>2267</v>
      </c>
      <c r="E2063" t="s">
        <v>6321</v>
      </c>
      <c r="F2063" t="s">
        <v>6322</v>
      </c>
      <c r="G2063" s="425">
        <v>167301</v>
      </c>
      <c r="H2063" s="425">
        <v>0</v>
      </c>
      <c r="I2063" s="425">
        <v>167301</v>
      </c>
      <c r="J2063" s="425">
        <v>0</v>
      </c>
      <c r="K2063" s="425">
        <v>0</v>
      </c>
      <c r="L2063" s="425">
        <v>0</v>
      </c>
      <c r="M2063" s="425">
        <v>0</v>
      </c>
      <c r="N2063" s="425">
        <v>0</v>
      </c>
      <c r="O2063" s="425">
        <v>0</v>
      </c>
    </row>
    <row r="2064" spans="3:15" hidden="1" x14ac:dyDescent="0.3">
      <c r="C2064" t="s">
        <v>2295</v>
      </c>
      <c r="D2064" t="s">
        <v>2267</v>
      </c>
      <c r="E2064" t="s">
        <v>6323</v>
      </c>
      <c r="F2064" t="s">
        <v>6324</v>
      </c>
      <c r="G2064" s="425">
        <v>8058</v>
      </c>
      <c r="H2064" s="425">
        <v>0</v>
      </c>
      <c r="I2064" s="425">
        <v>8058</v>
      </c>
      <c r="J2064" s="425">
        <v>0</v>
      </c>
      <c r="K2064" s="425">
        <v>0</v>
      </c>
      <c r="L2064" s="425">
        <v>0</v>
      </c>
      <c r="M2064" s="425">
        <v>0</v>
      </c>
      <c r="N2064" s="425">
        <v>0</v>
      </c>
      <c r="O2064" s="425">
        <v>0</v>
      </c>
    </row>
    <row r="2065" spans="3:15" hidden="1" x14ac:dyDescent="0.3">
      <c r="C2065" t="s">
        <v>2295</v>
      </c>
      <c r="D2065" t="s">
        <v>2267</v>
      </c>
      <c r="E2065" t="s">
        <v>6325</v>
      </c>
      <c r="F2065" t="s">
        <v>6326</v>
      </c>
      <c r="G2065" s="425">
        <v>130123</v>
      </c>
      <c r="H2065" s="425">
        <v>0</v>
      </c>
      <c r="I2065" s="425">
        <v>130123</v>
      </c>
      <c r="J2065" s="425">
        <v>0</v>
      </c>
      <c r="K2065" s="425">
        <v>0</v>
      </c>
      <c r="L2065" s="425">
        <v>0</v>
      </c>
      <c r="M2065" s="425">
        <v>0</v>
      </c>
      <c r="N2065" s="425">
        <v>0</v>
      </c>
      <c r="O2065" s="425">
        <v>0</v>
      </c>
    </row>
    <row r="2066" spans="3:15" hidden="1" x14ac:dyDescent="0.3">
      <c r="C2066" t="s">
        <v>2295</v>
      </c>
      <c r="D2066" t="s">
        <v>2267</v>
      </c>
      <c r="E2066" t="s">
        <v>6327</v>
      </c>
      <c r="F2066" t="s">
        <v>6328</v>
      </c>
      <c r="G2066" s="425">
        <v>25829</v>
      </c>
      <c r="H2066" s="425">
        <v>0</v>
      </c>
      <c r="I2066" s="425">
        <v>25829</v>
      </c>
      <c r="J2066" s="425">
        <v>0</v>
      </c>
      <c r="K2066" s="425">
        <v>0</v>
      </c>
      <c r="L2066" s="425">
        <v>0</v>
      </c>
      <c r="M2066" s="425">
        <v>0</v>
      </c>
      <c r="N2066" s="425">
        <v>0</v>
      </c>
      <c r="O2066" s="425">
        <v>0</v>
      </c>
    </row>
    <row r="2067" spans="3:15" hidden="1" x14ac:dyDescent="0.3">
      <c r="C2067" t="s">
        <v>2295</v>
      </c>
      <c r="D2067" t="s">
        <v>2267</v>
      </c>
      <c r="E2067" t="s">
        <v>6329</v>
      </c>
      <c r="F2067" t="s">
        <v>6330</v>
      </c>
      <c r="G2067" s="425">
        <v>25999</v>
      </c>
      <c r="H2067" s="425">
        <v>0</v>
      </c>
      <c r="I2067" s="425">
        <v>25999</v>
      </c>
      <c r="J2067" s="425">
        <v>0</v>
      </c>
      <c r="K2067" s="425">
        <v>0</v>
      </c>
      <c r="L2067" s="425">
        <v>0</v>
      </c>
      <c r="M2067" s="425">
        <v>0</v>
      </c>
      <c r="N2067" s="425">
        <v>0</v>
      </c>
      <c r="O2067" s="425">
        <v>0</v>
      </c>
    </row>
    <row r="2068" spans="3:15" hidden="1" x14ac:dyDescent="0.3">
      <c r="C2068" t="s">
        <v>2295</v>
      </c>
      <c r="D2068" t="s">
        <v>2267</v>
      </c>
      <c r="E2068" t="s">
        <v>6331</v>
      </c>
      <c r="F2068" t="s">
        <v>6332</v>
      </c>
      <c r="G2068" s="425">
        <v>826314</v>
      </c>
      <c r="H2068" s="425">
        <v>0</v>
      </c>
      <c r="I2068" s="425">
        <v>826314</v>
      </c>
      <c r="J2068" s="425">
        <v>0</v>
      </c>
      <c r="K2068" s="425">
        <v>0</v>
      </c>
      <c r="L2068" s="425">
        <v>0</v>
      </c>
      <c r="M2068" s="425">
        <v>0</v>
      </c>
      <c r="N2068" s="425">
        <v>0</v>
      </c>
      <c r="O2068" s="425">
        <v>0</v>
      </c>
    </row>
    <row r="2069" spans="3:15" hidden="1" x14ac:dyDescent="0.3">
      <c r="C2069" t="s">
        <v>2295</v>
      </c>
      <c r="D2069" t="s">
        <v>2267</v>
      </c>
      <c r="E2069" t="s">
        <v>6333</v>
      </c>
      <c r="F2069" t="s">
        <v>6334</v>
      </c>
      <c r="G2069" s="425">
        <v>0</v>
      </c>
      <c r="H2069" s="425">
        <v>0</v>
      </c>
      <c r="I2069" s="425">
        <v>0</v>
      </c>
      <c r="J2069" s="425">
        <v>0</v>
      </c>
      <c r="K2069" s="425">
        <v>0</v>
      </c>
      <c r="L2069" s="425">
        <v>0</v>
      </c>
      <c r="M2069" s="425">
        <v>0</v>
      </c>
      <c r="N2069" s="425">
        <v>0</v>
      </c>
      <c r="O2069" s="425">
        <v>0</v>
      </c>
    </row>
    <row r="2070" spans="3:15" hidden="1" x14ac:dyDescent="0.3">
      <c r="C2070" t="s">
        <v>2295</v>
      </c>
      <c r="D2070" t="s">
        <v>2267</v>
      </c>
      <c r="E2070" t="s">
        <v>6335</v>
      </c>
      <c r="F2070" t="s">
        <v>6336</v>
      </c>
      <c r="G2070" s="425">
        <v>229381</v>
      </c>
      <c r="H2070" s="425">
        <v>0</v>
      </c>
      <c r="I2070" s="425">
        <v>229381</v>
      </c>
      <c r="J2070" s="425">
        <v>0</v>
      </c>
      <c r="K2070" s="425">
        <v>0</v>
      </c>
      <c r="L2070" s="425">
        <v>0</v>
      </c>
      <c r="M2070" s="425">
        <v>0</v>
      </c>
      <c r="N2070" s="425">
        <v>0</v>
      </c>
      <c r="O2070" s="425">
        <v>0</v>
      </c>
    </row>
    <row r="2071" spans="3:15" hidden="1" x14ac:dyDescent="0.3">
      <c r="C2071" t="s">
        <v>2295</v>
      </c>
      <c r="D2071" t="s">
        <v>2267</v>
      </c>
      <c r="E2071" t="s">
        <v>6337</v>
      </c>
      <c r="F2071" t="s">
        <v>6338</v>
      </c>
      <c r="G2071" s="425">
        <v>294855</v>
      </c>
      <c r="H2071" s="425">
        <v>0</v>
      </c>
      <c r="I2071" s="425">
        <v>294855</v>
      </c>
      <c r="J2071" s="425">
        <v>0</v>
      </c>
      <c r="K2071" s="425">
        <v>0</v>
      </c>
      <c r="L2071" s="425">
        <v>0</v>
      </c>
      <c r="M2071" s="425">
        <v>0</v>
      </c>
      <c r="N2071" s="425">
        <v>0</v>
      </c>
      <c r="O2071" s="425">
        <v>0</v>
      </c>
    </row>
    <row r="2072" spans="3:15" hidden="1" x14ac:dyDescent="0.3">
      <c r="C2072" t="s">
        <v>2295</v>
      </c>
      <c r="D2072" t="s">
        <v>2267</v>
      </c>
      <c r="E2072" t="s">
        <v>6339</v>
      </c>
      <c r="F2072" t="s">
        <v>6340</v>
      </c>
      <c r="G2072" s="425">
        <v>3927</v>
      </c>
      <c r="H2072" s="425">
        <v>0</v>
      </c>
      <c r="I2072" s="425">
        <v>3927</v>
      </c>
      <c r="J2072" s="425">
        <v>0</v>
      </c>
      <c r="K2072" s="425">
        <v>0</v>
      </c>
      <c r="L2072" s="425">
        <v>0</v>
      </c>
      <c r="M2072" s="425">
        <v>0</v>
      </c>
      <c r="N2072" s="425">
        <v>0</v>
      </c>
      <c r="O2072" s="425">
        <v>0</v>
      </c>
    </row>
    <row r="2073" spans="3:15" hidden="1" x14ac:dyDescent="0.3">
      <c r="C2073" t="s">
        <v>2295</v>
      </c>
      <c r="D2073" t="s">
        <v>2267</v>
      </c>
      <c r="E2073" t="s">
        <v>6341</v>
      </c>
      <c r="F2073" t="s">
        <v>6342</v>
      </c>
      <c r="G2073" s="425">
        <v>12144</v>
      </c>
      <c r="H2073" s="425">
        <v>0</v>
      </c>
      <c r="I2073" s="425">
        <v>12144</v>
      </c>
      <c r="J2073" s="425">
        <v>0</v>
      </c>
      <c r="K2073" s="425">
        <v>0</v>
      </c>
      <c r="L2073" s="425">
        <v>0</v>
      </c>
      <c r="M2073" s="425">
        <v>0</v>
      </c>
      <c r="N2073" s="425">
        <v>0</v>
      </c>
      <c r="O2073" s="425">
        <v>0</v>
      </c>
    </row>
    <row r="2074" spans="3:15" hidden="1" x14ac:dyDescent="0.3">
      <c r="C2074" t="s">
        <v>2295</v>
      </c>
      <c r="D2074" t="s">
        <v>2267</v>
      </c>
      <c r="E2074" t="s">
        <v>6343</v>
      </c>
      <c r="F2074" t="s">
        <v>6344</v>
      </c>
      <c r="G2074" s="425">
        <v>23880</v>
      </c>
      <c r="H2074" s="425">
        <v>0</v>
      </c>
      <c r="I2074" s="425">
        <v>23880</v>
      </c>
      <c r="J2074" s="425">
        <v>0</v>
      </c>
      <c r="K2074" s="425">
        <v>0</v>
      </c>
      <c r="L2074" s="425">
        <v>0</v>
      </c>
      <c r="M2074" s="425">
        <v>0</v>
      </c>
      <c r="N2074" s="425">
        <v>0</v>
      </c>
      <c r="O2074" s="425">
        <v>0</v>
      </c>
    </row>
    <row r="2075" spans="3:15" hidden="1" x14ac:dyDescent="0.3">
      <c r="C2075" t="s">
        <v>2295</v>
      </c>
      <c r="D2075" t="s">
        <v>2267</v>
      </c>
      <c r="E2075" t="s">
        <v>6345</v>
      </c>
      <c r="F2075" t="s">
        <v>6346</v>
      </c>
      <c r="G2075" s="425">
        <v>44426600</v>
      </c>
      <c r="H2075" s="425">
        <v>0</v>
      </c>
      <c r="I2075" s="425">
        <v>44426600</v>
      </c>
      <c r="J2075" s="425">
        <v>0</v>
      </c>
      <c r="K2075" s="425">
        <v>0</v>
      </c>
      <c r="L2075" s="425">
        <v>0</v>
      </c>
      <c r="M2075" s="425">
        <v>0</v>
      </c>
      <c r="N2075" s="425">
        <v>0</v>
      </c>
      <c r="O2075" s="425">
        <v>0</v>
      </c>
    </row>
    <row r="2076" spans="3:15" hidden="1" x14ac:dyDescent="0.3">
      <c r="C2076" t="s">
        <v>2295</v>
      </c>
      <c r="D2076" t="s">
        <v>2267</v>
      </c>
      <c r="E2076" t="s">
        <v>6347</v>
      </c>
      <c r="F2076" t="s">
        <v>6348</v>
      </c>
      <c r="G2076" s="425">
        <v>370488</v>
      </c>
      <c r="H2076" s="425">
        <v>0</v>
      </c>
      <c r="I2076" s="425">
        <v>370488</v>
      </c>
      <c r="J2076" s="425">
        <v>0</v>
      </c>
      <c r="K2076" s="425">
        <v>0</v>
      </c>
      <c r="L2076" s="425">
        <v>0</v>
      </c>
      <c r="M2076" s="425">
        <v>0</v>
      </c>
      <c r="N2076" s="425">
        <v>0</v>
      </c>
      <c r="O2076" s="425">
        <v>0</v>
      </c>
    </row>
    <row r="2077" spans="3:15" hidden="1" x14ac:dyDescent="0.3">
      <c r="C2077" t="s">
        <v>2295</v>
      </c>
      <c r="D2077" t="s">
        <v>2267</v>
      </c>
      <c r="E2077" t="s">
        <v>6349</v>
      </c>
      <c r="F2077" t="s">
        <v>6350</v>
      </c>
      <c r="G2077" s="425">
        <v>0</v>
      </c>
      <c r="H2077" s="425">
        <v>0</v>
      </c>
      <c r="I2077" s="425">
        <v>0</v>
      </c>
      <c r="J2077" s="425">
        <v>0</v>
      </c>
      <c r="K2077" s="425">
        <v>0</v>
      </c>
      <c r="L2077" s="425">
        <v>0</v>
      </c>
      <c r="M2077" s="425">
        <v>0</v>
      </c>
      <c r="N2077" s="425">
        <v>0</v>
      </c>
      <c r="O2077" s="425">
        <v>0</v>
      </c>
    </row>
    <row r="2078" spans="3:15" hidden="1" x14ac:dyDescent="0.3">
      <c r="C2078" t="s">
        <v>2295</v>
      </c>
      <c r="D2078" t="s">
        <v>2267</v>
      </c>
      <c r="E2078" t="s">
        <v>6351</v>
      </c>
      <c r="F2078" t="s">
        <v>6352</v>
      </c>
      <c r="G2078" s="425">
        <v>22131196</v>
      </c>
      <c r="H2078" s="425">
        <v>0</v>
      </c>
      <c r="I2078" s="425">
        <v>22131196</v>
      </c>
      <c r="J2078" s="425">
        <v>0</v>
      </c>
      <c r="K2078" s="425">
        <v>0</v>
      </c>
      <c r="L2078" s="425">
        <v>0</v>
      </c>
      <c r="M2078" s="425">
        <v>0</v>
      </c>
      <c r="N2078" s="425">
        <v>0</v>
      </c>
      <c r="O2078" s="425">
        <v>0</v>
      </c>
    </row>
    <row r="2079" spans="3:15" hidden="1" x14ac:dyDescent="0.3">
      <c r="C2079" t="s">
        <v>2295</v>
      </c>
      <c r="D2079" t="s">
        <v>2267</v>
      </c>
      <c r="E2079" t="s">
        <v>6341</v>
      </c>
      <c r="F2079" t="s">
        <v>6353</v>
      </c>
      <c r="G2079" s="425">
        <v>0</v>
      </c>
      <c r="H2079" s="425">
        <v>0</v>
      </c>
      <c r="I2079" s="425">
        <v>0</v>
      </c>
      <c r="J2079" s="425">
        <v>0</v>
      </c>
      <c r="K2079" s="425">
        <v>0</v>
      </c>
      <c r="L2079" s="425">
        <v>0</v>
      </c>
      <c r="M2079" s="425">
        <v>0</v>
      </c>
      <c r="N2079" s="425">
        <v>0</v>
      </c>
      <c r="O2079" s="425">
        <v>0</v>
      </c>
    </row>
    <row r="2080" spans="3:15" hidden="1" x14ac:dyDescent="0.3">
      <c r="C2080" t="s">
        <v>2295</v>
      </c>
      <c r="D2080" t="s">
        <v>2267</v>
      </c>
      <c r="E2080" t="s">
        <v>6354</v>
      </c>
      <c r="F2080" t="s">
        <v>6355</v>
      </c>
      <c r="G2080" s="425">
        <v>0</v>
      </c>
      <c r="H2080" s="425">
        <v>0</v>
      </c>
      <c r="I2080" s="425">
        <v>0</v>
      </c>
      <c r="J2080" s="425">
        <v>0</v>
      </c>
      <c r="K2080" s="425">
        <v>0</v>
      </c>
      <c r="L2080" s="425">
        <v>0</v>
      </c>
      <c r="M2080" s="425">
        <v>0</v>
      </c>
      <c r="N2080" s="425">
        <v>0</v>
      </c>
      <c r="O2080" s="425">
        <v>0</v>
      </c>
    </row>
    <row r="2081" spans="3:15" hidden="1" x14ac:dyDescent="0.3">
      <c r="C2081" t="s">
        <v>2295</v>
      </c>
      <c r="D2081" t="s">
        <v>2267</v>
      </c>
      <c r="E2081" t="s">
        <v>6356</v>
      </c>
      <c r="F2081" t="s">
        <v>6357</v>
      </c>
      <c r="G2081" s="425">
        <v>1500527</v>
      </c>
      <c r="H2081" s="425">
        <v>0</v>
      </c>
      <c r="I2081" s="425">
        <v>1500527</v>
      </c>
      <c r="J2081" s="425">
        <v>0</v>
      </c>
      <c r="K2081" s="425">
        <v>0</v>
      </c>
      <c r="L2081" s="425">
        <v>0</v>
      </c>
      <c r="M2081" s="425">
        <v>0</v>
      </c>
      <c r="N2081" s="425">
        <v>0</v>
      </c>
      <c r="O2081" s="425">
        <v>0</v>
      </c>
    </row>
    <row r="2082" spans="3:15" hidden="1" x14ac:dyDescent="0.3">
      <c r="C2082" t="s">
        <v>2295</v>
      </c>
      <c r="D2082" t="s">
        <v>2267</v>
      </c>
      <c r="E2082" t="s">
        <v>6358</v>
      </c>
      <c r="F2082" t="s">
        <v>6359</v>
      </c>
      <c r="G2082" s="425">
        <v>1146620</v>
      </c>
      <c r="H2082" s="425">
        <v>0</v>
      </c>
      <c r="I2082" s="425">
        <v>1146620</v>
      </c>
      <c r="J2082" s="425">
        <v>0</v>
      </c>
      <c r="K2082" s="425">
        <v>0</v>
      </c>
      <c r="L2082" s="425">
        <v>0</v>
      </c>
      <c r="M2082" s="425">
        <v>0</v>
      </c>
      <c r="N2082" s="425">
        <v>0</v>
      </c>
      <c r="O2082" s="425">
        <v>0</v>
      </c>
    </row>
    <row r="2083" spans="3:15" hidden="1" x14ac:dyDescent="0.3">
      <c r="C2083" t="s">
        <v>2295</v>
      </c>
      <c r="D2083" t="s">
        <v>2267</v>
      </c>
      <c r="E2083" t="s">
        <v>6360</v>
      </c>
      <c r="F2083" t="s">
        <v>6361</v>
      </c>
      <c r="G2083" s="425">
        <v>911707</v>
      </c>
      <c r="H2083" s="425">
        <v>0</v>
      </c>
      <c r="I2083" s="425">
        <v>911707</v>
      </c>
      <c r="J2083" s="425">
        <v>0</v>
      </c>
      <c r="K2083" s="425">
        <v>0</v>
      </c>
      <c r="L2083" s="425">
        <v>0</v>
      </c>
      <c r="M2083" s="425">
        <v>0</v>
      </c>
      <c r="N2083" s="425">
        <v>0</v>
      </c>
      <c r="O2083" s="425">
        <v>0</v>
      </c>
    </row>
    <row r="2084" spans="3:15" hidden="1" x14ac:dyDescent="0.3">
      <c r="C2084" t="s">
        <v>2292</v>
      </c>
      <c r="D2084" t="s">
        <v>2237</v>
      </c>
      <c r="E2084" t="s">
        <v>3460</v>
      </c>
      <c r="F2084" t="s">
        <v>6362</v>
      </c>
      <c r="G2084" s="425">
        <v>31731896</v>
      </c>
      <c r="H2084" s="425">
        <v>0</v>
      </c>
      <c r="I2084" s="425">
        <v>31731896</v>
      </c>
      <c r="J2084" s="425">
        <v>0</v>
      </c>
      <c r="K2084" s="425">
        <v>0</v>
      </c>
      <c r="L2084" s="425">
        <v>0</v>
      </c>
      <c r="M2084" s="425">
        <v>0</v>
      </c>
      <c r="N2084" s="425">
        <v>0</v>
      </c>
      <c r="O2084" s="425">
        <v>0</v>
      </c>
    </row>
    <row r="2085" spans="3:15" hidden="1" x14ac:dyDescent="0.3">
      <c r="C2085" t="s">
        <v>2295</v>
      </c>
      <c r="D2085" t="s">
        <v>2267</v>
      </c>
      <c r="E2085" t="s">
        <v>6363</v>
      </c>
      <c r="F2085" t="s">
        <v>6364</v>
      </c>
      <c r="G2085" s="425">
        <v>0</v>
      </c>
      <c r="H2085" s="425">
        <v>0</v>
      </c>
      <c r="I2085" s="425">
        <v>0</v>
      </c>
      <c r="J2085" s="425">
        <v>0</v>
      </c>
      <c r="K2085" s="425">
        <v>0</v>
      </c>
      <c r="L2085" s="425">
        <v>0</v>
      </c>
      <c r="M2085" s="425">
        <v>0</v>
      </c>
      <c r="N2085" s="425">
        <v>0</v>
      </c>
      <c r="O2085" s="425">
        <v>0</v>
      </c>
    </row>
    <row r="2086" spans="3:15" hidden="1" x14ac:dyDescent="0.3">
      <c r="C2086" t="s">
        <v>2295</v>
      </c>
      <c r="D2086" t="s">
        <v>2267</v>
      </c>
      <c r="E2086" t="s">
        <v>6365</v>
      </c>
      <c r="F2086" t="s">
        <v>6366</v>
      </c>
      <c r="G2086" s="425">
        <v>0</v>
      </c>
      <c r="H2086" s="425">
        <v>0</v>
      </c>
      <c r="I2086" s="425">
        <v>0</v>
      </c>
      <c r="J2086" s="425">
        <v>0</v>
      </c>
      <c r="K2086" s="425">
        <v>0</v>
      </c>
      <c r="L2086" s="425">
        <v>0</v>
      </c>
      <c r="M2086" s="425">
        <v>0</v>
      </c>
      <c r="N2086" s="425">
        <v>0</v>
      </c>
      <c r="O2086" s="425">
        <v>0</v>
      </c>
    </row>
    <row r="2087" spans="3:15" hidden="1" x14ac:dyDescent="0.3">
      <c r="C2087" t="s">
        <v>2295</v>
      </c>
      <c r="D2087" t="s">
        <v>2267</v>
      </c>
      <c r="E2087" t="s">
        <v>6367</v>
      </c>
      <c r="F2087" t="s">
        <v>6368</v>
      </c>
      <c r="G2087" s="425">
        <v>0</v>
      </c>
      <c r="H2087" s="425">
        <v>0</v>
      </c>
      <c r="I2087" s="425">
        <v>0</v>
      </c>
      <c r="J2087" s="425">
        <v>0</v>
      </c>
      <c r="K2087" s="425">
        <v>0</v>
      </c>
      <c r="L2087" s="425">
        <v>0</v>
      </c>
      <c r="M2087" s="425">
        <v>0</v>
      </c>
      <c r="N2087" s="425">
        <v>0</v>
      </c>
      <c r="O2087" s="425">
        <v>0</v>
      </c>
    </row>
    <row r="2088" spans="3:15" hidden="1" x14ac:dyDescent="0.3">
      <c r="C2088" t="s">
        <v>2295</v>
      </c>
      <c r="D2088" t="s">
        <v>2267</v>
      </c>
      <c r="E2088" t="s">
        <v>6369</v>
      </c>
      <c r="F2088" t="s">
        <v>6370</v>
      </c>
      <c r="G2088" s="425">
        <v>0</v>
      </c>
      <c r="H2088" s="425">
        <v>0</v>
      </c>
      <c r="I2088" s="425">
        <v>0</v>
      </c>
      <c r="J2088" s="425">
        <v>0</v>
      </c>
      <c r="K2088" s="425">
        <v>0</v>
      </c>
      <c r="L2088" s="425">
        <v>0</v>
      </c>
      <c r="M2088" s="425">
        <v>0</v>
      </c>
      <c r="N2088" s="425">
        <v>0</v>
      </c>
      <c r="O2088" s="425">
        <v>0</v>
      </c>
    </row>
    <row r="2089" spans="3:15" hidden="1" x14ac:dyDescent="0.3">
      <c r="C2089" t="s">
        <v>2295</v>
      </c>
      <c r="D2089" t="s">
        <v>2267</v>
      </c>
      <c r="E2089" t="s">
        <v>6371</v>
      </c>
      <c r="F2089" t="s">
        <v>6372</v>
      </c>
      <c r="G2089" s="425">
        <v>1261296</v>
      </c>
      <c r="H2089" s="425">
        <v>0</v>
      </c>
      <c r="I2089" s="425">
        <v>1261296</v>
      </c>
      <c r="J2089" s="425">
        <v>0</v>
      </c>
      <c r="K2089" s="425">
        <v>0</v>
      </c>
      <c r="L2089" s="425">
        <v>0</v>
      </c>
      <c r="M2089" s="425">
        <v>0</v>
      </c>
      <c r="N2089" s="425">
        <v>0</v>
      </c>
      <c r="O2089" s="425">
        <v>0</v>
      </c>
    </row>
    <row r="2090" spans="3:15" hidden="1" x14ac:dyDescent="0.3">
      <c r="C2090" t="s">
        <v>2295</v>
      </c>
      <c r="D2090" t="s">
        <v>2267</v>
      </c>
      <c r="E2090" t="s">
        <v>6373</v>
      </c>
      <c r="F2090" t="s">
        <v>6374</v>
      </c>
      <c r="G2090" s="425">
        <v>0</v>
      </c>
      <c r="H2090" s="425">
        <v>0</v>
      </c>
      <c r="I2090" s="425">
        <v>0</v>
      </c>
      <c r="J2090" s="425">
        <v>0</v>
      </c>
      <c r="K2090" s="425">
        <v>0</v>
      </c>
      <c r="L2090" s="425">
        <v>0</v>
      </c>
      <c r="M2090" s="425">
        <v>0</v>
      </c>
      <c r="N2090" s="425">
        <v>0</v>
      </c>
      <c r="O2090" s="425">
        <v>0</v>
      </c>
    </row>
    <row r="2091" spans="3:15" hidden="1" x14ac:dyDescent="0.3">
      <c r="C2091" t="s">
        <v>2295</v>
      </c>
      <c r="D2091" t="s">
        <v>2267</v>
      </c>
      <c r="E2091" t="s">
        <v>6375</v>
      </c>
      <c r="F2091" t="s">
        <v>6376</v>
      </c>
      <c r="G2091" s="425">
        <v>0</v>
      </c>
      <c r="H2091" s="425">
        <v>0</v>
      </c>
      <c r="I2091" s="425">
        <v>0</v>
      </c>
      <c r="J2091" s="425">
        <v>0</v>
      </c>
      <c r="K2091" s="425">
        <v>0</v>
      </c>
      <c r="L2091" s="425">
        <v>0</v>
      </c>
      <c r="M2091" s="425">
        <v>0</v>
      </c>
      <c r="N2091" s="425">
        <v>0</v>
      </c>
      <c r="O2091" s="425">
        <v>0</v>
      </c>
    </row>
    <row r="2092" spans="3:15" hidden="1" x14ac:dyDescent="0.3">
      <c r="C2092" t="s">
        <v>2295</v>
      </c>
      <c r="D2092" t="s">
        <v>2267</v>
      </c>
      <c r="E2092" t="s">
        <v>6377</v>
      </c>
      <c r="F2092" t="s">
        <v>6378</v>
      </c>
      <c r="G2092" s="425">
        <v>0</v>
      </c>
      <c r="H2092" s="425">
        <v>0</v>
      </c>
      <c r="I2092" s="425">
        <v>0</v>
      </c>
      <c r="J2092" s="425">
        <v>0</v>
      </c>
      <c r="K2092" s="425">
        <v>0</v>
      </c>
      <c r="L2092" s="425">
        <v>0</v>
      </c>
      <c r="M2092" s="425">
        <v>0</v>
      </c>
      <c r="N2092" s="425">
        <v>0</v>
      </c>
      <c r="O2092" s="425">
        <v>0</v>
      </c>
    </row>
    <row r="2093" spans="3:15" hidden="1" x14ac:dyDescent="0.3">
      <c r="C2093" t="s">
        <v>2295</v>
      </c>
      <c r="D2093" t="s">
        <v>2267</v>
      </c>
      <c r="E2093" t="s">
        <v>6379</v>
      </c>
      <c r="F2093" t="s">
        <v>6380</v>
      </c>
      <c r="G2093" s="425">
        <v>0</v>
      </c>
      <c r="H2093" s="425">
        <v>0</v>
      </c>
      <c r="I2093" s="425">
        <v>0</v>
      </c>
      <c r="J2093" s="425">
        <v>0</v>
      </c>
      <c r="K2093" s="425">
        <v>0</v>
      </c>
      <c r="L2093" s="425">
        <v>0</v>
      </c>
      <c r="M2093" s="425">
        <v>0</v>
      </c>
      <c r="N2093" s="425">
        <v>0</v>
      </c>
      <c r="O2093" s="425">
        <v>0</v>
      </c>
    </row>
    <row r="2094" spans="3:15" hidden="1" x14ac:dyDescent="0.3">
      <c r="C2094" t="s">
        <v>2295</v>
      </c>
      <c r="D2094" t="s">
        <v>2267</v>
      </c>
      <c r="E2094" t="s">
        <v>6381</v>
      </c>
      <c r="F2094" t="s">
        <v>6382</v>
      </c>
      <c r="G2094" s="425">
        <v>0</v>
      </c>
      <c r="H2094" s="425">
        <v>0</v>
      </c>
      <c r="I2094" s="425">
        <v>0</v>
      </c>
      <c r="J2094" s="425">
        <v>0</v>
      </c>
      <c r="K2094" s="425">
        <v>0</v>
      </c>
      <c r="L2094" s="425">
        <v>0</v>
      </c>
      <c r="M2094" s="425">
        <v>0</v>
      </c>
      <c r="N2094" s="425">
        <v>0</v>
      </c>
      <c r="O2094" s="425">
        <v>0</v>
      </c>
    </row>
    <row r="2095" spans="3:15" hidden="1" x14ac:dyDescent="0.3">
      <c r="C2095" t="s">
        <v>2295</v>
      </c>
      <c r="D2095" t="s">
        <v>2267</v>
      </c>
      <c r="E2095" t="s">
        <v>6383</v>
      </c>
      <c r="F2095" t="s">
        <v>6384</v>
      </c>
      <c r="G2095" s="425">
        <v>0</v>
      </c>
      <c r="H2095" s="425">
        <v>0</v>
      </c>
      <c r="I2095" s="425">
        <v>0</v>
      </c>
      <c r="J2095" s="425">
        <v>0</v>
      </c>
      <c r="K2095" s="425">
        <v>0</v>
      </c>
      <c r="L2095" s="425">
        <v>0</v>
      </c>
      <c r="M2095" s="425">
        <v>0</v>
      </c>
      <c r="N2095" s="425">
        <v>0</v>
      </c>
      <c r="O2095" s="425">
        <v>0</v>
      </c>
    </row>
    <row r="2096" spans="3:15" hidden="1" x14ac:dyDescent="0.3">
      <c r="C2096" t="s">
        <v>2295</v>
      </c>
      <c r="D2096" t="s">
        <v>2267</v>
      </c>
      <c r="E2096" t="s">
        <v>6385</v>
      </c>
      <c r="F2096" t="s">
        <v>6386</v>
      </c>
      <c r="G2096" s="425">
        <v>0</v>
      </c>
      <c r="H2096" s="425">
        <v>0</v>
      </c>
      <c r="I2096" s="425">
        <v>0</v>
      </c>
      <c r="J2096" s="425">
        <v>0</v>
      </c>
      <c r="K2096" s="425">
        <v>0</v>
      </c>
      <c r="L2096" s="425">
        <v>0</v>
      </c>
      <c r="M2096" s="425">
        <v>0</v>
      </c>
      <c r="N2096" s="425">
        <v>0</v>
      </c>
      <c r="O2096" s="425">
        <v>0</v>
      </c>
    </row>
    <row r="2097" spans="3:15" hidden="1" x14ac:dyDescent="0.3">
      <c r="C2097" t="s">
        <v>2295</v>
      </c>
      <c r="D2097" t="s">
        <v>2267</v>
      </c>
      <c r="E2097" t="s">
        <v>6387</v>
      </c>
      <c r="F2097" t="s">
        <v>6388</v>
      </c>
      <c r="G2097" s="425">
        <v>24909503</v>
      </c>
      <c r="H2097" s="425">
        <v>0</v>
      </c>
      <c r="I2097" s="425">
        <v>24909503</v>
      </c>
      <c r="J2097" s="425">
        <v>0</v>
      </c>
      <c r="K2097" s="425">
        <v>0</v>
      </c>
      <c r="L2097" s="425">
        <v>0</v>
      </c>
      <c r="M2097" s="425">
        <v>0</v>
      </c>
      <c r="N2097" s="425">
        <v>0</v>
      </c>
      <c r="O2097" s="425">
        <v>0</v>
      </c>
    </row>
    <row r="2098" spans="3:15" hidden="1" x14ac:dyDescent="0.3">
      <c r="C2098" t="s">
        <v>2295</v>
      </c>
      <c r="D2098" t="s">
        <v>2267</v>
      </c>
      <c r="E2098" t="s">
        <v>6389</v>
      </c>
      <c r="F2098" t="s">
        <v>6390</v>
      </c>
      <c r="G2098" s="425">
        <v>5561097</v>
      </c>
      <c r="H2098" s="425">
        <v>0</v>
      </c>
      <c r="I2098" s="425">
        <v>5561097</v>
      </c>
      <c r="J2098" s="425">
        <v>0</v>
      </c>
      <c r="K2098" s="425">
        <v>0</v>
      </c>
      <c r="L2098" s="425">
        <v>0</v>
      </c>
      <c r="M2098" s="425">
        <v>0</v>
      </c>
      <c r="N2098" s="425">
        <v>0</v>
      </c>
      <c r="O2098" s="425">
        <v>0</v>
      </c>
    </row>
    <row r="2099" spans="3:15" hidden="1" x14ac:dyDescent="0.3">
      <c r="C2099" t="s">
        <v>2295</v>
      </c>
      <c r="D2099" t="s">
        <v>2267</v>
      </c>
      <c r="E2099" t="s">
        <v>6391</v>
      </c>
      <c r="F2099" t="s">
        <v>6392</v>
      </c>
      <c r="G2099" s="425">
        <v>0</v>
      </c>
      <c r="H2099" s="425">
        <v>0</v>
      </c>
      <c r="I2099" s="425">
        <v>0</v>
      </c>
      <c r="J2099" s="425">
        <v>0</v>
      </c>
      <c r="K2099" s="425">
        <v>0</v>
      </c>
      <c r="L2099" s="425">
        <v>0</v>
      </c>
      <c r="M2099" s="425">
        <v>0</v>
      </c>
      <c r="N2099" s="425">
        <v>0</v>
      </c>
      <c r="O2099" s="425">
        <v>0</v>
      </c>
    </row>
    <row r="2100" spans="3:15" hidden="1" x14ac:dyDescent="0.3">
      <c r="C2100" t="s">
        <v>2295</v>
      </c>
      <c r="D2100" t="s">
        <v>2267</v>
      </c>
      <c r="E2100" t="s">
        <v>6393</v>
      </c>
      <c r="F2100" t="s">
        <v>6394</v>
      </c>
      <c r="G2100" s="425">
        <v>0</v>
      </c>
      <c r="H2100" s="425">
        <v>0</v>
      </c>
      <c r="I2100" s="425">
        <v>0</v>
      </c>
      <c r="J2100" s="425">
        <v>0</v>
      </c>
      <c r="K2100" s="425">
        <v>0</v>
      </c>
      <c r="L2100" s="425">
        <v>0</v>
      </c>
      <c r="M2100" s="425">
        <v>0</v>
      </c>
      <c r="N2100" s="425">
        <v>0</v>
      </c>
      <c r="O2100" s="425">
        <v>0</v>
      </c>
    </row>
    <row r="2101" spans="3:15" hidden="1" x14ac:dyDescent="0.3">
      <c r="C2101" t="s">
        <v>2295</v>
      </c>
      <c r="D2101" t="s">
        <v>2267</v>
      </c>
      <c r="E2101" t="s">
        <v>6395</v>
      </c>
      <c r="F2101" t="s">
        <v>6396</v>
      </c>
      <c r="G2101" s="425">
        <v>0</v>
      </c>
      <c r="H2101" s="425">
        <v>0</v>
      </c>
      <c r="I2101" s="425">
        <v>0</v>
      </c>
      <c r="J2101" s="425">
        <v>0</v>
      </c>
      <c r="K2101" s="425">
        <v>0</v>
      </c>
      <c r="L2101" s="425">
        <v>0</v>
      </c>
      <c r="M2101" s="425">
        <v>0</v>
      </c>
      <c r="N2101" s="425">
        <v>0</v>
      </c>
      <c r="O2101" s="425">
        <v>0</v>
      </c>
    </row>
    <row r="2102" spans="3:15" hidden="1" x14ac:dyDescent="0.3">
      <c r="C2102" t="s">
        <v>2295</v>
      </c>
      <c r="D2102" t="s">
        <v>2267</v>
      </c>
      <c r="E2102" t="s">
        <v>6397</v>
      </c>
      <c r="F2102" t="s">
        <v>6398</v>
      </c>
      <c r="G2102" s="425">
        <v>0</v>
      </c>
      <c r="H2102" s="425">
        <v>0</v>
      </c>
      <c r="I2102" s="425">
        <v>0</v>
      </c>
      <c r="J2102" s="425">
        <v>0</v>
      </c>
      <c r="K2102" s="425">
        <v>0</v>
      </c>
      <c r="L2102" s="425">
        <v>0</v>
      </c>
      <c r="M2102" s="425">
        <v>0</v>
      </c>
      <c r="N2102" s="425">
        <v>0</v>
      </c>
      <c r="O2102" s="425">
        <v>0</v>
      </c>
    </row>
    <row r="2103" spans="3:15" hidden="1" x14ac:dyDescent="0.3">
      <c r="C2103" t="s">
        <v>2295</v>
      </c>
      <c r="D2103" t="s">
        <v>2267</v>
      </c>
      <c r="E2103" t="s">
        <v>6399</v>
      </c>
      <c r="F2103" t="s">
        <v>6400</v>
      </c>
      <c r="G2103" s="425">
        <v>0</v>
      </c>
      <c r="H2103" s="425">
        <v>0</v>
      </c>
      <c r="I2103" s="425">
        <v>0</v>
      </c>
      <c r="J2103" s="425">
        <v>0</v>
      </c>
      <c r="K2103" s="425">
        <v>0</v>
      </c>
      <c r="L2103" s="425">
        <v>0</v>
      </c>
      <c r="M2103" s="425">
        <v>0</v>
      </c>
      <c r="N2103" s="425">
        <v>0</v>
      </c>
      <c r="O2103" s="425">
        <v>0</v>
      </c>
    </row>
    <row r="2104" spans="3:15" hidden="1" x14ac:dyDescent="0.3">
      <c r="C2104" t="s">
        <v>2295</v>
      </c>
      <c r="D2104" t="s">
        <v>2267</v>
      </c>
      <c r="E2104" t="s">
        <v>6401</v>
      </c>
      <c r="F2104" t="s">
        <v>6402</v>
      </c>
      <c r="G2104" s="425">
        <v>0</v>
      </c>
      <c r="H2104" s="425">
        <v>0</v>
      </c>
      <c r="I2104" s="425">
        <v>0</v>
      </c>
      <c r="J2104" s="425">
        <v>0</v>
      </c>
      <c r="K2104" s="425">
        <v>0</v>
      </c>
      <c r="L2104" s="425">
        <v>0</v>
      </c>
      <c r="M2104" s="425">
        <v>0</v>
      </c>
      <c r="N2104" s="425">
        <v>0</v>
      </c>
      <c r="O2104" s="425">
        <v>0</v>
      </c>
    </row>
    <row r="2105" spans="3:15" hidden="1" x14ac:dyDescent="0.3">
      <c r="C2105" t="s">
        <v>2295</v>
      </c>
      <c r="D2105" t="s">
        <v>2267</v>
      </c>
      <c r="E2105" t="s">
        <v>6403</v>
      </c>
      <c r="F2105" t="s">
        <v>6404</v>
      </c>
      <c r="G2105" s="425">
        <v>0</v>
      </c>
      <c r="H2105" s="425">
        <v>0</v>
      </c>
      <c r="I2105" s="425">
        <v>0</v>
      </c>
      <c r="J2105" s="425">
        <v>0</v>
      </c>
      <c r="K2105" s="425">
        <v>0</v>
      </c>
      <c r="L2105" s="425">
        <v>0</v>
      </c>
      <c r="M2105" s="425">
        <v>0</v>
      </c>
      <c r="N2105" s="425">
        <v>0</v>
      </c>
      <c r="O2105" s="425">
        <v>0</v>
      </c>
    </row>
    <row r="2106" spans="3:15" hidden="1" x14ac:dyDescent="0.3">
      <c r="C2106" t="s">
        <v>2292</v>
      </c>
      <c r="D2106" t="s">
        <v>2237</v>
      </c>
      <c r="E2106" t="s">
        <v>6405</v>
      </c>
      <c r="F2106" t="s">
        <v>6406</v>
      </c>
      <c r="G2106" s="425">
        <v>356517355</v>
      </c>
      <c r="H2106" s="425">
        <v>0</v>
      </c>
      <c r="I2106" s="425">
        <v>356517355</v>
      </c>
      <c r="J2106" s="425">
        <v>0</v>
      </c>
      <c r="K2106" s="425">
        <v>0</v>
      </c>
      <c r="L2106" s="425">
        <v>0</v>
      </c>
      <c r="M2106" s="425">
        <v>0</v>
      </c>
      <c r="N2106" s="425">
        <v>0</v>
      </c>
      <c r="O2106" s="425">
        <v>0</v>
      </c>
    </row>
    <row r="2107" spans="3:15" hidden="1" x14ac:dyDescent="0.3">
      <c r="C2107" t="s">
        <v>2295</v>
      </c>
      <c r="D2107" t="s">
        <v>2267</v>
      </c>
      <c r="E2107" t="s">
        <v>6407</v>
      </c>
      <c r="F2107" t="s">
        <v>6408</v>
      </c>
      <c r="G2107" s="425">
        <v>0</v>
      </c>
      <c r="H2107" s="425">
        <v>0</v>
      </c>
      <c r="I2107" s="425">
        <v>0</v>
      </c>
      <c r="J2107" s="425">
        <v>0</v>
      </c>
      <c r="K2107" s="425">
        <v>0</v>
      </c>
      <c r="L2107" s="425">
        <v>0</v>
      </c>
      <c r="M2107" s="425">
        <v>0</v>
      </c>
      <c r="N2107" s="425">
        <v>0</v>
      </c>
      <c r="O2107" s="425">
        <v>0</v>
      </c>
    </row>
    <row r="2108" spans="3:15" hidden="1" x14ac:dyDescent="0.3">
      <c r="C2108" t="s">
        <v>2295</v>
      </c>
      <c r="D2108" t="s">
        <v>2267</v>
      </c>
      <c r="E2108" t="s">
        <v>6409</v>
      </c>
      <c r="F2108" t="s">
        <v>6410</v>
      </c>
      <c r="G2108" s="425">
        <v>0</v>
      </c>
      <c r="H2108" s="425">
        <v>0</v>
      </c>
      <c r="I2108" s="425">
        <v>0</v>
      </c>
      <c r="J2108" s="425">
        <v>0</v>
      </c>
      <c r="K2108" s="425">
        <v>0</v>
      </c>
      <c r="L2108" s="425">
        <v>0</v>
      </c>
      <c r="M2108" s="425">
        <v>0</v>
      </c>
      <c r="N2108" s="425">
        <v>0</v>
      </c>
      <c r="O2108" s="425">
        <v>0</v>
      </c>
    </row>
    <row r="2109" spans="3:15" hidden="1" x14ac:dyDescent="0.3">
      <c r="C2109" t="s">
        <v>2295</v>
      </c>
      <c r="D2109" t="s">
        <v>2267</v>
      </c>
      <c r="E2109" t="s">
        <v>6411</v>
      </c>
      <c r="F2109" t="s">
        <v>6412</v>
      </c>
      <c r="G2109" s="425">
        <v>0</v>
      </c>
      <c r="H2109" s="425">
        <v>0</v>
      </c>
      <c r="I2109" s="425">
        <v>0</v>
      </c>
      <c r="J2109" s="425">
        <v>0</v>
      </c>
      <c r="K2109" s="425">
        <v>0</v>
      </c>
      <c r="L2109" s="425">
        <v>0</v>
      </c>
      <c r="M2109" s="425">
        <v>0</v>
      </c>
      <c r="N2109" s="425">
        <v>0</v>
      </c>
      <c r="O2109" s="425">
        <v>0</v>
      </c>
    </row>
    <row r="2110" spans="3:15" hidden="1" x14ac:dyDescent="0.3">
      <c r="C2110" t="s">
        <v>2295</v>
      </c>
      <c r="D2110" t="s">
        <v>2267</v>
      </c>
      <c r="E2110" t="s">
        <v>6413</v>
      </c>
      <c r="F2110" t="s">
        <v>6414</v>
      </c>
      <c r="G2110" s="425">
        <v>0</v>
      </c>
      <c r="H2110" s="425">
        <v>0</v>
      </c>
      <c r="I2110" s="425">
        <v>0</v>
      </c>
      <c r="J2110" s="425">
        <v>0</v>
      </c>
      <c r="K2110" s="425">
        <v>0</v>
      </c>
      <c r="L2110" s="425">
        <v>0</v>
      </c>
      <c r="M2110" s="425">
        <v>0</v>
      </c>
      <c r="N2110" s="425">
        <v>0</v>
      </c>
      <c r="O2110" s="425">
        <v>0</v>
      </c>
    </row>
    <row r="2111" spans="3:15" hidden="1" x14ac:dyDescent="0.3">
      <c r="C2111" t="s">
        <v>2295</v>
      </c>
      <c r="D2111" t="s">
        <v>2267</v>
      </c>
      <c r="E2111" t="s">
        <v>6415</v>
      </c>
      <c r="F2111" t="s">
        <v>6416</v>
      </c>
      <c r="G2111" s="425">
        <v>0</v>
      </c>
      <c r="H2111" s="425">
        <v>0</v>
      </c>
      <c r="I2111" s="425">
        <v>0</v>
      </c>
      <c r="J2111" s="425">
        <v>0</v>
      </c>
      <c r="K2111" s="425">
        <v>0</v>
      </c>
      <c r="L2111" s="425">
        <v>0</v>
      </c>
      <c r="M2111" s="425">
        <v>0</v>
      </c>
      <c r="N2111" s="425">
        <v>0</v>
      </c>
      <c r="O2111" s="425">
        <v>0</v>
      </c>
    </row>
    <row r="2112" spans="3:15" hidden="1" x14ac:dyDescent="0.3">
      <c r="C2112" t="s">
        <v>2295</v>
      </c>
      <c r="D2112" t="s">
        <v>2267</v>
      </c>
      <c r="E2112" t="s">
        <v>6417</v>
      </c>
      <c r="F2112" t="s">
        <v>6418</v>
      </c>
      <c r="G2112" s="425">
        <v>0</v>
      </c>
      <c r="H2112" s="425">
        <v>0</v>
      </c>
      <c r="I2112" s="425">
        <v>0</v>
      </c>
      <c r="J2112" s="425">
        <v>0</v>
      </c>
      <c r="K2112" s="425">
        <v>0</v>
      </c>
      <c r="L2112" s="425">
        <v>0</v>
      </c>
      <c r="M2112" s="425">
        <v>0</v>
      </c>
      <c r="N2112" s="425">
        <v>0</v>
      </c>
      <c r="O2112" s="425">
        <v>0</v>
      </c>
    </row>
    <row r="2113" spans="3:15" hidden="1" x14ac:dyDescent="0.3">
      <c r="C2113" t="s">
        <v>2295</v>
      </c>
      <c r="D2113" t="s">
        <v>2267</v>
      </c>
      <c r="E2113" t="s">
        <v>6419</v>
      </c>
      <c r="F2113" t="s">
        <v>6420</v>
      </c>
      <c r="G2113" s="425">
        <v>49142700</v>
      </c>
      <c r="H2113" s="425">
        <v>0</v>
      </c>
      <c r="I2113" s="425">
        <v>49142700</v>
      </c>
      <c r="J2113" s="425">
        <v>0</v>
      </c>
      <c r="K2113" s="425">
        <v>0</v>
      </c>
      <c r="L2113" s="425">
        <v>0</v>
      </c>
      <c r="M2113" s="425">
        <v>0</v>
      </c>
      <c r="N2113" s="425">
        <v>0</v>
      </c>
      <c r="O2113" s="425">
        <v>0</v>
      </c>
    </row>
    <row r="2114" spans="3:15" hidden="1" x14ac:dyDescent="0.3">
      <c r="C2114" t="s">
        <v>2295</v>
      </c>
      <c r="D2114" t="s">
        <v>2267</v>
      </c>
      <c r="E2114" t="s">
        <v>6421</v>
      </c>
      <c r="F2114" t="s">
        <v>6422</v>
      </c>
      <c r="G2114" s="425">
        <v>114549204</v>
      </c>
      <c r="H2114" s="425">
        <v>0</v>
      </c>
      <c r="I2114" s="425">
        <v>114549204</v>
      </c>
      <c r="J2114" s="425">
        <v>0</v>
      </c>
      <c r="K2114" s="425">
        <v>0</v>
      </c>
      <c r="L2114" s="425">
        <v>0</v>
      </c>
      <c r="M2114" s="425">
        <v>0</v>
      </c>
      <c r="N2114" s="425">
        <v>0</v>
      </c>
      <c r="O2114" s="425">
        <v>0</v>
      </c>
    </row>
    <row r="2115" spans="3:15" hidden="1" x14ac:dyDescent="0.3">
      <c r="C2115" t="s">
        <v>2295</v>
      </c>
      <c r="D2115" t="s">
        <v>2267</v>
      </c>
      <c r="E2115" t="s">
        <v>6423</v>
      </c>
      <c r="F2115" t="s">
        <v>6424</v>
      </c>
      <c r="G2115" s="425">
        <v>0</v>
      </c>
      <c r="H2115" s="425">
        <v>0</v>
      </c>
      <c r="I2115" s="425">
        <v>0</v>
      </c>
      <c r="J2115" s="425">
        <v>0</v>
      </c>
      <c r="K2115" s="425">
        <v>0</v>
      </c>
      <c r="L2115" s="425">
        <v>0</v>
      </c>
      <c r="M2115" s="425">
        <v>0</v>
      </c>
      <c r="N2115" s="425">
        <v>0</v>
      </c>
      <c r="O2115" s="425">
        <v>0</v>
      </c>
    </row>
    <row r="2116" spans="3:15" hidden="1" x14ac:dyDescent="0.3">
      <c r="C2116" t="s">
        <v>2295</v>
      </c>
      <c r="D2116" t="s">
        <v>2267</v>
      </c>
      <c r="E2116" t="s">
        <v>6425</v>
      </c>
      <c r="F2116" t="s">
        <v>6426</v>
      </c>
      <c r="G2116" s="425">
        <v>122010804</v>
      </c>
      <c r="H2116" s="425">
        <v>0</v>
      </c>
      <c r="I2116" s="425">
        <v>122010804</v>
      </c>
      <c r="J2116" s="425">
        <v>0</v>
      </c>
      <c r="K2116" s="425">
        <v>0</v>
      </c>
      <c r="L2116" s="425">
        <v>0</v>
      </c>
      <c r="M2116" s="425">
        <v>0</v>
      </c>
      <c r="N2116" s="425">
        <v>0</v>
      </c>
      <c r="O2116" s="425">
        <v>0</v>
      </c>
    </row>
    <row r="2117" spans="3:15" hidden="1" x14ac:dyDescent="0.3">
      <c r="C2117" t="s">
        <v>2295</v>
      </c>
      <c r="D2117" t="s">
        <v>2267</v>
      </c>
      <c r="E2117" t="s">
        <v>6427</v>
      </c>
      <c r="F2117" t="s">
        <v>6428</v>
      </c>
      <c r="G2117" s="425">
        <v>64220879</v>
      </c>
      <c r="H2117" s="425">
        <v>0</v>
      </c>
      <c r="I2117" s="425">
        <v>64220879</v>
      </c>
      <c r="J2117" s="425">
        <v>0</v>
      </c>
      <c r="K2117" s="425">
        <v>0</v>
      </c>
      <c r="L2117" s="425">
        <v>0</v>
      </c>
      <c r="M2117" s="425">
        <v>0</v>
      </c>
      <c r="N2117" s="425">
        <v>0</v>
      </c>
      <c r="O2117" s="425">
        <v>0</v>
      </c>
    </row>
    <row r="2118" spans="3:15" hidden="1" x14ac:dyDescent="0.3">
      <c r="C2118" t="s">
        <v>2295</v>
      </c>
      <c r="D2118" t="s">
        <v>2267</v>
      </c>
      <c r="E2118" t="s">
        <v>6429</v>
      </c>
      <c r="F2118" t="s">
        <v>6430</v>
      </c>
      <c r="G2118" s="425">
        <v>0</v>
      </c>
      <c r="H2118" s="425">
        <v>0</v>
      </c>
      <c r="I2118" s="425">
        <v>0</v>
      </c>
      <c r="J2118" s="425">
        <v>0</v>
      </c>
      <c r="K2118" s="425">
        <v>0</v>
      </c>
      <c r="L2118" s="425">
        <v>0</v>
      </c>
      <c r="M2118" s="425">
        <v>0</v>
      </c>
      <c r="N2118" s="425">
        <v>0</v>
      </c>
      <c r="O2118" s="425">
        <v>0</v>
      </c>
    </row>
    <row r="2119" spans="3:15" hidden="1" x14ac:dyDescent="0.3">
      <c r="C2119" t="s">
        <v>2295</v>
      </c>
      <c r="D2119" t="s">
        <v>2267</v>
      </c>
      <c r="E2119" t="s">
        <v>6431</v>
      </c>
      <c r="F2119" t="s">
        <v>6432</v>
      </c>
      <c r="G2119" s="425">
        <v>0</v>
      </c>
      <c r="H2119" s="425">
        <v>0</v>
      </c>
      <c r="I2119" s="425">
        <v>0</v>
      </c>
      <c r="J2119" s="425">
        <v>0</v>
      </c>
      <c r="K2119" s="425">
        <v>0</v>
      </c>
      <c r="L2119" s="425">
        <v>0</v>
      </c>
      <c r="M2119" s="425">
        <v>0</v>
      </c>
      <c r="N2119" s="425">
        <v>0</v>
      </c>
      <c r="O2119" s="425">
        <v>0</v>
      </c>
    </row>
    <row r="2120" spans="3:15" hidden="1" x14ac:dyDescent="0.3">
      <c r="C2120" t="s">
        <v>2295</v>
      </c>
      <c r="D2120" t="s">
        <v>2267</v>
      </c>
      <c r="E2120" t="s">
        <v>6433</v>
      </c>
      <c r="F2120" t="s">
        <v>6434</v>
      </c>
      <c r="G2120" s="425">
        <v>0</v>
      </c>
      <c r="H2120" s="425">
        <v>0</v>
      </c>
      <c r="I2120" s="425">
        <v>0</v>
      </c>
      <c r="J2120" s="425">
        <v>0</v>
      </c>
      <c r="K2120" s="425">
        <v>0</v>
      </c>
      <c r="L2120" s="425">
        <v>0</v>
      </c>
      <c r="M2120" s="425">
        <v>0</v>
      </c>
      <c r="N2120" s="425">
        <v>0</v>
      </c>
      <c r="O2120" s="425">
        <v>0</v>
      </c>
    </row>
    <row r="2121" spans="3:15" hidden="1" x14ac:dyDescent="0.3">
      <c r="C2121" t="s">
        <v>2295</v>
      </c>
      <c r="D2121" t="s">
        <v>2267</v>
      </c>
      <c r="E2121" t="s">
        <v>6435</v>
      </c>
      <c r="F2121" t="s">
        <v>6436</v>
      </c>
      <c r="G2121" s="425">
        <v>0</v>
      </c>
      <c r="H2121" s="425">
        <v>0</v>
      </c>
      <c r="I2121" s="425">
        <v>0</v>
      </c>
      <c r="J2121" s="425">
        <v>0</v>
      </c>
      <c r="K2121" s="425">
        <v>0</v>
      </c>
      <c r="L2121" s="425">
        <v>0</v>
      </c>
      <c r="M2121" s="425">
        <v>0</v>
      </c>
      <c r="N2121" s="425">
        <v>0</v>
      </c>
      <c r="O2121" s="425">
        <v>0</v>
      </c>
    </row>
    <row r="2122" spans="3:15" hidden="1" x14ac:dyDescent="0.3">
      <c r="C2122" t="s">
        <v>2295</v>
      </c>
      <c r="D2122" t="s">
        <v>2267</v>
      </c>
      <c r="E2122" t="s">
        <v>6437</v>
      </c>
      <c r="F2122" t="s">
        <v>6438</v>
      </c>
      <c r="G2122" s="425">
        <v>0</v>
      </c>
      <c r="H2122" s="425">
        <v>0</v>
      </c>
      <c r="I2122" s="425">
        <v>0</v>
      </c>
      <c r="J2122" s="425">
        <v>0</v>
      </c>
      <c r="K2122" s="425">
        <v>0</v>
      </c>
      <c r="L2122" s="425">
        <v>0</v>
      </c>
      <c r="M2122" s="425">
        <v>0</v>
      </c>
      <c r="N2122" s="425">
        <v>0</v>
      </c>
      <c r="O2122" s="425">
        <v>0</v>
      </c>
    </row>
    <row r="2123" spans="3:15" hidden="1" x14ac:dyDescent="0.3">
      <c r="C2123" t="s">
        <v>2295</v>
      </c>
      <c r="D2123" t="s">
        <v>2267</v>
      </c>
      <c r="E2123" t="s">
        <v>6439</v>
      </c>
      <c r="F2123" t="s">
        <v>6440</v>
      </c>
      <c r="G2123" s="425">
        <v>0</v>
      </c>
      <c r="H2123" s="425">
        <v>0</v>
      </c>
      <c r="I2123" s="425">
        <v>0</v>
      </c>
      <c r="J2123" s="425">
        <v>0</v>
      </c>
      <c r="K2123" s="425">
        <v>0</v>
      </c>
      <c r="L2123" s="425">
        <v>0</v>
      </c>
      <c r="M2123" s="425">
        <v>0</v>
      </c>
      <c r="N2123" s="425">
        <v>0</v>
      </c>
      <c r="O2123" s="425">
        <v>0</v>
      </c>
    </row>
    <row r="2124" spans="3:15" hidden="1" x14ac:dyDescent="0.3">
      <c r="C2124" t="s">
        <v>2295</v>
      </c>
      <c r="D2124" t="s">
        <v>2267</v>
      </c>
      <c r="E2124" t="s">
        <v>6441</v>
      </c>
      <c r="F2124" t="s">
        <v>6442</v>
      </c>
      <c r="G2124" s="425">
        <v>0</v>
      </c>
      <c r="H2124" s="425">
        <v>0</v>
      </c>
      <c r="I2124" s="425">
        <v>0</v>
      </c>
      <c r="J2124" s="425">
        <v>0</v>
      </c>
      <c r="K2124" s="425">
        <v>0</v>
      </c>
      <c r="L2124" s="425">
        <v>0</v>
      </c>
      <c r="M2124" s="425">
        <v>0</v>
      </c>
      <c r="N2124" s="425">
        <v>0</v>
      </c>
      <c r="O2124" s="425">
        <v>0</v>
      </c>
    </row>
    <row r="2125" spans="3:15" hidden="1" x14ac:dyDescent="0.3">
      <c r="C2125" t="s">
        <v>2295</v>
      </c>
      <c r="D2125" t="s">
        <v>2267</v>
      </c>
      <c r="E2125" t="s">
        <v>6443</v>
      </c>
      <c r="F2125" t="s">
        <v>6444</v>
      </c>
      <c r="G2125" s="425">
        <v>0</v>
      </c>
      <c r="H2125" s="425">
        <v>0</v>
      </c>
      <c r="I2125" s="425">
        <v>0</v>
      </c>
      <c r="J2125" s="425">
        <v>0</v>
      </c>
      <c r="K2125" s="425">
        <v>0</v>
      </c>
      <c r="L2125" s="425">
        <v>0</v>
      </c>
      <c r="M2125" s="425">
        <v>0</v>
      </c>
      <c r="N2125" s="425">
        <v>0</v>
      </c>
      <c r="O2125" s="425">
        <v>0</v>
      </c>
    </row>
    <row r="2126" spans="3:15" hidden="1" x14ac:dyDescent="0.3">
      <c r="C2126" t="s">
        <v>2295</v>
      </c>
      <c r="D2126" t="s">
        <v>2267</v>
      </c>
      <c r="E2126" t="s">
        <v>6445</v>
      </c>
      <c r="F2126" t="s">
        <v>6446</v>
      </c>
      <c r="G2126" s="425">
        <v>0</v>
      </c>
      <c r="H2126" s="425">
        <v>0</v>
      </c>
      <c r="I2126" s="425">
        <v>0</v>
      </c>
      <c r="J2126" s="425">
        <v>0</v>
      </c>
      <c r="K2126" s="425">
        <v>0</v>
      </c>
      <c r="L2126" s="425">
        <v>0</v>
      </c>
      <c r="M2126" s="425">
        <v>0</v>
      </c>
      <c r="N2126" s="425">
        <v>0</v>
      </c>
      <c r="O2126" s="425">
        <v>0</v>
      </c>
    </row>
    <row r="2127" spans="3:15" hidden="1" x14ac:dyDescent="0.3">
      <c r="C2127" t="s">
        <v>2295</v>
      </c>
      <c r="D2127" t="s">
        <v>2267</v>
      </c>
      <c r="E2127" t="s">
        <v>6447</v>
      </c>
      <c r="F2127" t="s">
        <v>6448</v>
      </c>
      <c r="G2127" s="425">
        <v>0</v>
      </c>
      <c r="H2127" s="425">
        <v>0</v>
      </c>
      <c r="I2127" s="425">
        <v>0</v>
      </c>
      <c r="J2127" s="425">
        <v>0</v>
      </c>
      <c r="K2127" s="425">
        <v>0</v>
      </c>
      <c r="L2127" s="425">
        <v>0</v>
      </c>
      <c r="M2127" s="425">
        <v>0</v>
      </c>
      <c r="N2127" s="425">
        <v>0</v>
      </c>
      <c r="O2127" s="425">
        <v>0</v>
      </c>
    </row>
    <row r="2128" spans="3:15" hidden="1" x14ac:dyDescent="0.3">
      <c r="C2128" t="s">
        <v>2295</v>
      </c>
      <c r="D2128" t="s">
        <v>2267</v>
      </c>
      <c r="E2128" t="s">
        <v>6449</v>
      </c>
      <c r="F2128" t="s">
        <v>6450</v>
      </c>
      <c r="G2128" s="425">
        <v>0</v>
      </c>
      <c r="H2128" s="425">
        <v>0</v>
      </c>
      <c r="I2128" s="425">
        <v>0</v>
      </c>
      <c r="J2128" s="425">
        <v>0</v>
      </c>
      <c r="K2128" s="425">
        <v>0</v>
      </c>
      <c r="L2128" s="425">
        <v>0</v>
      </c>
      <c r="M2128" s="425">
        <v>0</v>
      </c>
      <c r="N2128" s="425">
        <v>0</v>
      </c>
      <c r="O2128" s="425">
        <v>0</v>
      </c>
    </row>
    <row r="2129" spans="3:15" hidden="1" x14ac:dyDescent="0.3">
      <c r="C2129" t="s">
        <v>2295</v>
      </c>
      <c r="D2129" t="s">
        <v>2267</v>
      </c>
      <c r="E2129" t="s">
        <v>6451</v>
      </c>
      <c r="F2129" t="s">
        <v>6452</v>
      </c>
      <c r="G2129" s="425">
        <v>0</v>
      </c>
      <c r="H2129" s="425">
        <v>0</v>
      </c>
      <c r="I2129" s="425">
        <v>0</v>
      </c>
      <c r="J2129" s="425">
        <v>0</v>
      </c>
      <c r="K2129" s="425">
        <v>0</v>
      </c>
      <c r="L2129" s="425">
        <v>0</v>
      </c>
      <c r="M2129" s="425">
        <v>0</v>
      </c>
      <c r="N2129" s="425">
        <v>0</v>
      </c>
      <c r="O2129" s="425">
        <v>0</v>
      </c>
    </row>
    <row r="2130" spans="3:15" hidden="1" x14ac:dyDescent="0.3">
      <c r="C2130" t="s">
        <v>2295</v>
      </c>
      <c r="D2130" t="s">
        <v>2267</v>
      </c>
      <c r="E2130" t="s">
        <v>6453</v>
      </c>
      <c r="F2130" t="s">
        <v>6454</v>
      </c>
      <c r="G2130" s="425">
        <v>0</v>
      </c>
      <c r="H2130" s="425">
        <v>0</v>
      </c>
      <c r="I2130" s="425">
        <v>0</v>
      </c>
      <c r="J2130" s="425">
        <v>0</v>
      </c>
      <c r="K2130" s="425">
        <v>0</v>
      </c>
      <c r="L2130" s="425">
        <v>0</v>
      </c>
      <c r="M2130" s="425">
        <v>0</v>
      </c>
      <c r="N2130" s="425">
        <v>0</v>
      </c>
      <c r="O2130" s="425">
        <v>0</v>
      </c>
    </row>
    <row r="2131" spans="3:15" hidden="1" x14ac:dyDescent="0.3">
      <c r="C2131" t="s">
        <v>2295</v>
      </c>
      <c r="D2131" t="s">
        <v>2267</v>
      </c>
      <c r="E2131" t="s">
        <v>6455</v>
      </c>
      <c r="F2131" t="s">
        <v>6456</v>
      </c>
      <c r="G2131" s="425">
        <v>0</v>
      </c>
      <c r="H2131" s="425">
        <v>0</v>
      </c>
      <c r="I2131" s="425">
        <v>0</v>
      </c>
      <c r="J2131" s="425">
        <v>0</v>
      </c>
      <c r="K2131" s="425">
        <v>0</v>
      </c>
      <c r="L2131" s="425">
        <v>0</v>
      </c>
      <c r="M2131" s="425">
        <v>0</v>
      </c>
      <c r="N2131" s="425">
        <v>0</v>
      </c>
      <c r="O2131" s="425">
        <v>0</v>
      </c>
    </row>
    <row r="2132" spans="3:15" hidden="1" x14ac:dyDescent="0.3">
      <c r="C2132" t="s">
        <v>2295</v>
      </c>
      <c r="D2132" t="s">
        <v>2267</v>
      </c>
      <c r="E2132" t="s">
        <v>6457</v>
      </c>
      <c r="F2132" t="s">
        <v>6458</v>
      </c>
      <c r="G2132" s="425">
        <v>0</v>
      </c>
      <c r="H2132" s="425">
        <v>0</v>
      </c>
      <c r="I2132" s="425">
        <v>0</v>
      </c>
      <c r="J2132" s="425">
        <v>0</v>
      </c>
      <c r="K2132" s="425">
        <v>0</v>
      </c>
      <c r="L2132" s="425">
        <v>0</v>
      </c>
      <c r="M2132" s="425">
        <v>0</v>
      </c>
      <c r="N2132" s="425">
        <v>0</v>
      </c>
      <c r="O2132" s="425">
        <v>0</v>
      </c>
    </row>
    <row r="2133" spans="3:15" hidden="1" x14ac:dyDescent="0.3">
      <c r="C2133" t="s">
        <v>2295</v>
      </c>
      <c r="D2133" t="s">
        <v>2267</v>
      </c>
      <c r="E2133" t="s">
        <v>6459</v>
      </c>
      <c r="F2133" t="s">
        <v>6460</v>
      </c>
      <c r="G2133" s="425">
        <v>0</v>
      </c>
      <c r="H2133" s="425">
        <v>0</v>
      </c>
      <c r="I2133" s="425">
        <v>0</v>
      </c>
      <c r="J2133" s="425">
        <v>0</v>
      </c>
      <c r="K2133" s="425">
        <v>0</v>
      </c>
      <c r="L2133" s="425">
        <v>0</v>
      </c>
      <c r="M2133" s="425">
        <v>0</v>
      </c>
      <c r="N2133" s="425">
        <v>0</v>
      </c>
      <c r="O2133" s="425">
        <v>0</v>
      </c>
    </row>
    <row r="2134" spans="3:15" hidden="1" x14ac:dyDescent="0.3">
      <c r="C2134" t="s">
        <v>2295</v>
      </c>
      <c r="D2134" t="s">
        <v>2267</v>
      </c>
      <c r="E2134" t="s">
        <v>6461</v>
      </c>
      <c r="F2134" t="s">
        <v>6462</v>
      </c>
      <c r="G2134" s="425">
        <v>0</v>
      </c>
      <c r="H2134" s="425">
        <v>0</v>
      </c>
      <c r="I2134" s="425">
        <v>0</v>
      </c>
      <c r="J2134" s="425">
        <v>0</v>
      </c>
      <c r="K2134" s="425">
        <v>0</v>
      </c>
      <c r="L2134" s="425">
        <v>0</v>
      </c>
      <c r="M2134" s="425">
        <v>0</v>
      </c>
      <c r="N2134" s="425">
        <v>0</v>
      </c>
      <c r="O2134" s="425">
        <v>0</v>
      </c>
    </row>
    <row r="2135" spans="3:15" hidden="1" x14ac:dyDescent="0.3">
      <c r="C2135" t="s">
        <v>2295</v>
      </c>
      <c r="D2135" t="s">
        <v>2267</v>
      </c>
      <c r="E2135" t="s">
        <v>6463</v>
      </c>
      <c r="F2135" t="s">
        <v>6464</v>
      </c>
      <c r="G2135" s="425">
        <v>0</v>
      </c>
      <c r="H2135" s="425">
        <v>0</v>
      </c>
      <c r="I2135" s="425">
        <v>0</v>
      </c>
      <c r="J2135" s="425">
        <v>0</v>
      </c>
      <c r="K2135" s="425">
        <v>0</v>
      </c>
      <c r="L2135" s="425">
        <v>0</v>
      </c>
      <c r="M2135" s="425">
        <v>0</v>
      </c>
      <c r="N2135" s="425">
        <v>0</v>
      </c>
      <c r="O2135" s="425">
        <v>0</v>
      </c>
    </row>
    <row r="2136" spans="3:15" hidden="1" x14ac:dyDescent="0.3">
      <c r="C2136" t="s">
        <v>2295</v>
      </c>
      <c r="D2136" t="s">
        <v>2267</v>
      </c>
      <c r="E2136" t="s">
        <v>6465</v>
      </c>
      <c r="F2136" t="s">
        <v>6466</v>
      </c>
      <c r="G2136" s="425">
        <v>0</v>
      </c>
      <c r="H2136" s="425">
        <v>0</v>
      </c>
      <c r="I2136" s="425">
        <v>0</v>
      </c>
      <c r="J2136" s="425">
        <v>0</v>
      </c>
      <c r="K2136" s="425">
        <v>0</v>
      </c>
      <c r="L2136" s="425">
        <v>0</v>
      </c>
      <c r="M2136" s="425">
        <v>0</v>
      </c>
      <c r="N2136" s="425">
        <v>0</v>
      </c>
      <c r="O2136" s="425">
        <v>0</v>
      </c>
    </row>
    <row r="2137" spans="3:15" hidden="1" x14ac:dyDescent="0.3">
      <c r="C2137" t="s">
        <v>2295</v>
      </c>
      <c r="D2137" t="s">
        <v>2267</v>
      </c>
      <c r="E2137" t="s">
        <v>6467</v>
      </c>
      <c r="F2137" t="s">
        <v>6468</v>
      </c>
      <c r="G2137" s="425">
        <v>0</v>
      </c>
      <c r="H2137" s="425">
        <v>0</v>
      </c>
      <c r="I2137" s="425">
        <v>0</v>
      </c>
      <c r="J2137" s="425">
        <v>0</v>
      </c>
      <c r="K2137" s="425">
        <v>0</v>
      </c>
      <c r="L2137" s="425">
        <v>0</v>
      </c>
      <c r="M2137" s="425">
        <v>0</v>
      </c>
      <c r="N2137" s="425">
        <v>0</v>
      </c>
      <c r="O2137" s="425">
        <v>0</v>
      </c>
    </row>
    <row r="2138" spans="3:15" hidden="1" x14ac:dyDescent="0.3">
      <c r="C2138" t="s">
        <v>2295</v>
      </c>
      <c r="D2138" t="s">
        <v>2267</v>
      </c>
      <c r="E2138" t="s">
        <v>6469</v>
      </c>
      <c r="F2138" t="s">
        <v>6470</v>
      </c>
      <c r="G2138" s="425">
        <v>0</v>
      </c>
      <c r="H2138" s="425">
        <v>0</v>
      </c>
      <c r="I2138" s="425">
        <v>0</v>
      </c>
      <c r="J2138" s="425">
        <v>0</v>
      </c>
      <c r="K2138" s="425">
        <v>0</v>
      </c>
      <c r="L2138" s="425">
        <v>0</v>
      </c>
      <c r="M2138" s="425">
        <v>0</v>
      </c>
      <c r="N2138" s="425">
        <v>0</v>
      </c>
      <c r="O2138" s="425">
        <v>0</v>
      </c>
    </row>
    <row r="2139" spans="3:15" hidden="1" x14ac:dyDescent="0.3">
      <c r="C2139" t="s">
        <v>2295</v>
      </c>
      <c r="D2139" t="s">
        <v>2267</v>
      </c>
      <c r="E2139" t="s">
        <v>6471</v>
      </c>
      <c r="F2139" t="s">
        <v>6472</v>
      </c>
      <c r="G2139" s="425">
        <v>0</v>
      </c>
      <c r="H2139" s="425">
        <v>0</v>
      </c>
      <c r="I2139" s="425">
        <v>0</v>
      </c>
      <c r="J2139" s="425">
        <v>0</v>
      </c>
      <c r="K2139" s="425">
        <v>0</v>
      </c>
      <c r="L2139" s="425">
        <v>0</v>
      </c>
      <c r="M2139" s="425">
        <v>0</v>
      </c>
      <c r="N2139" s="425">
        <v>0</v>
      </c>
      <c r="O2139" s="425">
        <v>0</v>
      </c>
    </row>
    <row r="2140" spans="3:15" hidden="1" x14ac:dyDescent="0.3">
      <c r="C2140" t="s">
        <v>2295</v>
      </c>
      <c r="D2140" t="s">
        <v>2267</v>
      </c>
      <c r="E2140" t="s">
        <v>6473</v>
      </c>
      <c r="F2140" t="s">
        <v>6474</v>
      </c>
      <c r="G2140" s="425">
        <v>0</v>
      </c>
      <c r="H2140" s="425">
        <v>0</v>
      </c>
      <c r="I2140" s="425">
        <v>0</v>
      </c>
      <c r="J2140" s="425">
        <v>0</v>
      </c>
      <c r="K2140" s="425">
        <v>0</v>
      </c>
      <c r="L2140" s="425">
        <v>0</v>
      </c>
      <c r="M2140" s="425">
        <v>0</v>
      </c>
      <c r="N2140" s="425">
        <v>0</v>
      </c>
      <c r="O2140" s="425">
        <v>0</v>
      </c>
    </row>
    <row r="2141" spans="3:15" hidden="1" x14ac:dyDescent="0.3">
      <c r="C2141" t="s">
        <v>2295</v>
      </c>
      <c r="D2141" t="s">
        <v>2267</v>
      </c>
      <c r="E2141" t="s">
        <v>6475</v>
      </c>
      <c r="F2141" t="s">
        <v>6476</v>
      </c>
      <c r="G2141" s="425">
        <v>771884</v>
      </c>
      <c r="H2141" s="425">
        <v>0</v>
      </c>
      <c r="I2141" s="425">
        <v>771884</v>
      </c>
      <c r="J2141" s="425">
        <v>0</v>
      </c>
      <c r="K2141" s="425">
        <v>0</v>
      </c>
      <c r="L2141" s="425">
        <v>0</v>
      </c>
      <c r="M2141" s="425">
        <v>0</v>
      </c>
      <c r="N2141" s="425">
        <v>0</v>
      </c>
      <c r="O2141" s="425">
        <v>0</v>
      </c>
    </row>
    <row r="2142" spans="3:15" hidden="1" x14ac:dyDescent="0.3">
      <c r="C2142" t="s">
        <v>2295</v>
      </c>
      <c r="D2142" t="s">
        <v>2267</v>
      </c>
      <c r="E2142" t="s">
        <v>6477</v>
      </c>
      <c r="F2142" t="s">
        <v>6478</v>
      </c>
      <c r="G2142" s="425">
        <v>4540314</v>
      </c>
      <c r="H2142" s="425">
        <v>0</v>
      </c>
      <c r="I2142" s="425">
        <v>4540314</v>
      </c>
      <c r="J2142" s="425">
        <v>0</v>
      </c>
      <c r="K2142" s="425">
        <v>0</v>
      </c>
      <c r="L2142" s="425">
        <v>0</v>
      </c>
      <c r="M2142" s="425">
        <v>0</v>
      </c>
      <c r="N2142" s="425">
        <v>0</v>
      </c>
      <c r="O2142" s="425">
        <v>0</v>
      </c>
    </row>
    <row r="2143" spans="3:15" hidden="1" x14ac:dyDescent="0.3">
      <c r="C2143" t="s">
        <v>2295</v>
      </c>
      <c r="D2143" t="s">
        <v>2267</v>
      </c>
      <c r="E2143" t="s">
        <v>6479</v>
      </c>
      <c r="F2143" t="s">
        <v>6480</v>
      </c>
      <c r="G2143" s="425">
        <v>0</v>
      </c>
      <c r="H2143" s="425">
        <v>0</v>
      </c>
      <c r="I2143" s="425">
        <v>0</v>
      </c>
      <c r="J2143" s="425">
        <v>0</v>
      </c>
      <c r="K2143" s="425">
        <v>0</v>
      </c>
      <c r="L2143" s="425">
        <v>0</v>
      </c>
      <c r="M2143" s="425">
        <v>0</v>
      </c>
      <c r="N2143" s="425">
        <v>0</v>
      </c>
      <c r="O2143" s="425">
        <v>0</v>
      </c>
    </row>
    <row r="2144" spans="3:15" hidden="1" x14ac:dyDescent="0.3">
      <c r="C2144" t="s">
        <v>2295</v>
      </c>
      <c r="D2144" t="s">
        <v>2267</v>
      </c>
      <c r="E2144" t="s">
        <v>6481</v>
      </c>
      <c r="F2144" t="s">
        <v>6482</v>
      </c>
      <c r="G2144" s="425">
        <v>0</v>
      </c>
      <c r="H2144" s="425">
        <v>0</v>
      </c>
      <c r="I2144" s="425">
        <v>0</v>
      </c>
      <c r="J2144" s="425">
        <v>0</v>
      </c>
      <c r="K2144" s="425">
        <v>0</v>
      </c>
      <c r="L2144" s="425">
        <v>0</v>
      </c>
      <c r="M2144" s="425">
        <v>0</v>
      </c>
      <c r="N2144" s="425">
        <v>0</v>
      </c>
      <c r="O2144" s="425">
        <v>0</v>
      </c>
    </row>
    <row r="2145" spans="3:15" hidden="1" x14ac:dyDescent="0.3">
      <c r="C2145" t="s">
        <v>2295</v>
      </c>
      <c r="D2145" t="s">
        <v>2267</v>
      </c>
      <c r="E2145" t="s">
        <v>6483</v>
      </c>
      <c r="F2145" t="s">
        <v>6484</v>
      </c>
      <c r="G2145" s="425">
        <v>0</v>
      </c>
      <c r="H2145" s="425">
        <v>0</v>
      </c>
      <c r="I2145" s="425">
        <v>0</v>
      </c>
      <c r="J2145" s="425">
        <v>0</v>
      </c>
      <c r="K2145" s="425">
        <v>0</v>
      </c>
      <c r="L2145" s="425">
        <v>0</v>
      </c>
      <c r="M2145" s="425">
        <v>0</v>
      </c>
      <c r="N2145" s="425">
        <v>0</v>
      </c>
      <c r="O2145" s="425">
        <v>0</v>
      </c>
    </row>
    <row r="2146" spans="3:15" hidden="1" x14ac:dyDescent="0.3">
      <c r="C2146" t="s">
        <v>2295</v>
      </c>
      <c r="D2146" t="s">
        <v>2267</v>
      </c>
      <c r="E2146" t="s">
        <v>6485</v>
      </c>
      <c r="F2146" t="s">
        <v>6486</v>
      </c>
      <c r="G2146" s="425">
        <v>0</v>
      </c>
      <c r="H2146" s="425">
        <v>0</v>
      </c>
      <c r="I2146" s="425">
        <v>0</v>
      </c>
      <c r="J2146" s="425">
        <v>0</v>
      </c>
      <c r="K2146" s="425">
        <v>0</v>
      </c>
      <c r="L2146" s="425">
        <v>0</v>
      </c>
      <c r="M2146" s="425">
        <v>0</v>
      </c>
      <c r="N2146" s="425">
        <v>0</v>
      </c>
      <c r="O2146" s="425">
        <v>0</v>
      </c>
    </row>
    <row r="2147" spans="3:15" hidden="1" x14ac:dyDescent="0.3">
      <c r="C2147" t="s">
        <v>2295</v>
      </c>
      <c r="D2147" t="s">
        <v>2267</v>
      </c>
      <c r="E2147" t="s">
        <v>6487</v>
      </c>
      <c r="F2147" t="s">
        <v>6488</v>
      </c>
      <c r="G2147" s="425">
        <v>1281570</v>
      </c>
      <c r="H2147" s="425">
        <v>0</v>
      </c>
      <c r="I2147" s="425">
        <v>1281570</v>
      </c>
      <c r="J2147" s="425">
        <v>0</v>
      </c>
      <c r="K2147" s="425">
        <v>0</v>
      </c>
      <c r="L2147" s="425">
        <v>0</v>
      </c>
      <c r="M2147" s="425">
        <v>0</v>
      </c>
      <c r="N2147" s="425">
        <v>0</v>
      </c>
      <c r="O2147" s="425">
        <v>0</v>
      </c>
    </row>
    <row r="2148" spans="3:15" hidden="1" x14ac:dyDescent="0.3">
      <c r="C2148" t="s">
        <v>2295</v>
      </c>
      <c r="D2148" t="s">
        <v>2267</v>
      </c>
      <c r="E2148" t="s">
        <v>6489</v>
      </c>
      <c r="F2148" t="s">
        <v>6490</v>
      </c>
      <c r="G2148" s="425">
        <v>0</v>
      </c>
      <c r="H2148" s="425">
        <v>0</v>
      </c>
      <c r="I2148" s="425">
        <v>0</v>
      </c>
      <c r="J2148" s="425">
        <v>0</v>
      </c>
      <c r="K2148" s="425">
        <v>0</v>
      </c>
      <c r="L2148" s="425">
        <v>0</v>
      </c>
      <c r="M2148" s="425">
        <v>0</v>
      </c>
      <c r="N2148" s="425">
        <v>0</v>
      </c>
      <c r="O2148" s="425">
        <v>0</v>
      </c>
    </row>
    <row r="2149" spans="3:15" hidden="1" x14ac:dyDescent="0.3">
      <c r="C2149" t="s">
        <v>2295</v>
      </c>
      <c r="D2149" t="s">
        <v>2267</v>
      </c>
      <c r="E2149" t="s">
        <v>6491</v>
      </c>
      <c r="F2149" t="s">
        <v>6492</v>
      </c>
      <c r="G2149" s="425">
        <v>0</v>
      </c>
      <c r="H2149" s="425">
        <v>0</v>
      </c>
      <c r="I2149" s="425">
        <v>0</v>
      </c>
      <c r="J2149" s="425">
        <v>0</v>
      </c>
      <c r="K2149" s="425">
        <v>0</v>
      </c>
      <c r="L2149" s="425">
        <v>0</v>
      </c>
      <c r="M2149" s="425">
        <v>0</v>
      </c>
      <c r="N2149" s="425">
        <v>0</v>
      </c>
      <c r="O2149" s="425">
        <v>0</v>
      </c>
    </row>
    <row r="2150" spans="3:15" hidden="1" x14ac:dyDescent="0.3">
      <c r="C2150" t="s">
        <v>2295</v>
      </c>
      <c r="D2150" t="s">
        <v>2267</v>
      </c>
      <c r="E2150" t="s">
        <v>6493</v>
      </c>
      <c r="F2150" t="s">
        <v>6494</v>
      </c>
      <c r="G2150" s="425">
        <v>0</v>
      </c>
      <c r="H2150" s="425">
        <v>0</v>
      </c>
      <c r="I2150" s="425">
        <v>0</v>
      </c>
      <c r="J2150" s="425">
        <v>0</v>
      </c>
      <c r="K2150" s="425">
        <v>0</v>
      </c>
      <c r="L2150" s="425">
        <v>0</v>
      </c>
      <c r="M2150" s="425">
        <v>0</v>
      </c>
      <c r="N2150" s="425">
        <v>0</v>
      </c>
      <c r="O2150" s="425">
        <v>0</v>
      </c>
    </row>
    <row r="2151" spans="3:15" hidden="1" x14ac:dyDescent="0.3">
      <c r="C2151" t="s">
        <v>2295</v>
      </c>
      <c r="D2151" t="s">
        <v>2267</v>
      </c>
      <c r="E2151" t="s">
        <v>6495</v>
      </c>
      <c r="F2151" t="s">
        <v>6496</v>
      </c>
      <c r="G2151" s="425">
        <v>0</v>
      </c>
      <c r="H2151" s="425">
        <v>0</v>
      </c>
      <c r="I2151" s="425">
        <v>0</v>
      </c>
      <c r="J2151" s="425">
        <v>0</v>
      </c>
      <c r="K2151" s="425">
        <v>0</v>
      </c>
      <c r="L2151" s="425">
        <v>0</v>
      </c>
      <c r="M2151" s="425">
        <v>0</v>
      </c>
      <c r="N2151" s="425">
        <v>0</v>
      </c>
      <c r="O2151" s="425">
        <v>0</v>
      </c>
    </row>
    <row r="2152" spans="3:15" hidden="1" x14ac:dyDescent="0.3">
      <c r="C2152" t="s">
        <v>2295</v>
      </c>
      <c r="D2152" t="s">
        <v>2267</v>
      </c>
      <c r="E2152" t="s">
        <v>6497</v>
      </c>
      <c r="F2152" t="s">
        <v>6498</v>
      </c>
      <c r="G2152" s="425">
        <v>0</v>
      </c>
      <c r="H2152" s="425">
        <v>0</v>
      </c>
      <c r="I2152" s="425">
        <v>0</v>
      </c>
      <c r="J2152" s="425">
        <v>0</v>
      </c>
      <c r="K2152" s="425">
        <v>0</v>
      </c>
      <c r="L2152" s="425">
        <v>0</v>
      </c>
      <c r="M2152" s="425">
        <v>0</v>
      </c>
      <c r="N2152" s="425">
        <v>0</v>
      </c>
      <c r="O2152" s="425">
        <v>0</v>
      </c>
    </row>
    <row r="2153" spans="3:15" hidden="1" x14ac:dyDescent="0.3">
      <c r="C2153" t="s">
        <v>2295</v>
      </c>
      <c r="D2153" t="s">
        <v>2267</v>
      </c>
      <c r="E2153" t="s">
        <v>6499</v>
      </c>
      <c r="F2153" t="s">
        <v>6500</v>
      </c>
      <c r="G2153" s="425">
        <v>0</v>
      </c>
      <c r="H2153" s="425">
        <v>0</v>
      </c>
      <c r="I2153" s="425">
        <v>0</v>
      </c>
      <c r="J2153" s="425">
        <v>0</v>
      </c>
      <c r="K2153" s="425">
        <v>0</v>
      </c>
      <c r="L2153" s="425">
        <v>0</v>
      </c>
      <c r="M2153" s="425">
        <v>0</v>
      </c>
      <c r="N2153" s="425">
        <v>0</v>
      </c>
      <c r="O2153" s="425">
        <v>0</v>
      </c>
    </row>
    <row r="2154" spans="3:15" hidden="1" x14ac:dyDescent="0.3">
      <c r="C2154" t="s">
        <v>2295</v>
      </c>
      <c r="D2154" t="s">
        <v>2267</v>
      </c>
      <c r="E2154" t="s">
        <v>6501</v>
      </c>
      <c r="F2154" t="s">
        <v>6502</v>
      </c>
      <c r="G2154" s="425">
        <v>0</v>
      </c>
      <c r="H2154" s="425">
        <v>0</v>
      </c>
      <c r="I2154" s="425">
        <v>0</v>
      </c>
      <c r="J2154" s="425">
        <v>0</v>
      </c>
      <c r="K2154" s="425">
        <v>0</v>
      </c>
      <c r="L2154" s="425">
        <v>0</v>
      </c>
      <c r="M2154" s="425">
        <v>0</v>
      </c>
      <c r="N2154" s="425">
        <v>0</v>
      </c>
      <c r="O2154" s="425">
        <v>0</v>
      </c>
    </row>
    <row r="2155" spans="3:15" hidden="1" x14ac:dyDescent="0.3">
      <c r="C2155" t="s">
        <v>2295</v>
      </c>
      <c r="D2155" t="s">
        <v>2267</v>
      </c>
      <c r="E2155" t="s">
        <v>6503</v>
      </c>
      <c r="F2155" t="s">
        <v>6504</v>
      </c>
      <c r="G2155" s="425">
        <v>0</v>
      </c>
      <c r="H2155" s="425">
        <v>0</v>
      </c>
      <c r="I2155" s="425">
        <v>0</v>
      </c>
      <c r="J2155" s="425">
        <v>0</v>
      </c>
      <c r="K2155" s="425">
        <v>0</v>
      </c>
      <c r="L2155" s="425">
        <v>0</v>
      </c>
      <c r="M2155" s="425">
        <v>0</v>
      </c>
      <c r="N2155" s="425">
        <v>0</v>
      </c>
      <c r="O2155" s="425">
        <v>0</v>
      </c>
    </row>
    <row r="2156" spans="3:15" hidden="1" x14ac:dyDescent="0.3">
      <c r="C2156" t="s">
        <v>2295</v>
      </c>
      <c r="D2156" t="s">
        <v>2267</v>
      </c>
      <c r="E2156" t="s">
        <v>6505</v>
      </c>
      <c r="F2156" t="s">
        <v>6506</v>
      </c>
      <c r="G2156" s="425">
        <v>0</v>
      </c>
      <c r="H2156" s="425">
        <v>0</v>
      </c>
      <c r="I2156" s="425">
        <v>0</v>
      </c>
      <c r="J2156" s="425">
        <v>0</v>
      </c>
      <c r="K2156" s="425">
        <v>0</v>
      </c>
      <c r="L2156" s="425">
        <v>0</v>
      </c>
      <c r="M2156" s="425">
        <v>0</v>
      </c>
      <c r="N2156" s="425">
        <v>0</v>
      </c>
      <c r="O2156" s="425">
        <v>0</v>
      </c>
    </row>
    <row r="2157" spans="3:15" hidden="1" x14ac:dyDescent="0.3">
      <c r="C2157" t="s">
        <v>2295</v>
      </c>
      <c r="D2157" t="s">
        <v>2267</v>
      </c>
      <c r="E2157" t="s">
        <v>6507</v>
      </c>
      <c r="F2157" t="s">
        <v>6508</v>
      </c>
      <c r="G2157" s="425">
        <v>0</v>
      </c>
      <c r="H2157" s="425">
        <v>0</v>
      </c>
      <c r="I2157" s="425">
        <v>0</v>
      </c>
      <c r="J2157" s="425">
        <v>0</v>
      </c>
      <c r="K2157" s="425">
        <v>0</v>
      </c>
      <c r="L2157" s="425">
        <v>0</v>
      </c>
      <c r="M2157" s="425">
        <v>0</v>
      </c>
      <c r="N2157" s="425">
        <v>0</v>
      </c>
      <c r="O2157" s="425">
        <v>0</v>
      </c>
    </row>
    <row r="2158" spans="3:15" hidden="1" x14ac:dyDescent="0.3">
      <c r="C2158" t="s">
        <v>2295</v>
      </c>
      <c r="D2158" t="s">
        <v>2267</v>
      </c>
      <c r="E2158" t="s">
        <v>6509</v>
      </c>
      <c r="F2158" t="s">
        <v>6510</v>
      </c>
      <c r="G2158" s="425">
        <v>0</v>
      </c>
      <c r="H2158" s="425">
        <v>0</v>
      </c>
      <c r="I2158" s="425">
        <v>0</v>
      </c>
      <c r="J2158" s="425">
        <v>0</v>
      </c>
      <c r="K2158" s="425">
        <v>0</v>
      </c>
      <c r="L2158" s="425">
        <v>0</v>
      </c>
      <c r="M2158" s="425">
        <v>0</v>
      </c>
      <c r="N2158" s="425">
        <v>0</v>
      </c>
      <c r="O2158" s="425">
        <v>0</v>
      </c>
    </row>
    <row r="2159" spans="3:15" hidden="1" x14ac:dyDescent="0.3">
      <c r="C2159" t="s">
        <v>2266</v>
      </c>
      <c r="D2159" t="s">
        <v>2237</v>
      </c>
      <c r="E2159" t="s">
        <v>6511</v>
      </c>
      <c r="F2159" t="s">
        <v>6512</v>
      </c>
      <c r="G2159" s="425">
        <v>986514031</v>
      </c>
      <c r="H2159" s="425">
        <v>0</v>
      </c>
      <c r="I2159" s="425">
        <v>0</v>
      </c>
      <c r="J2159" s="425">
        <v>0</v>
      </c>
      <c r="K2159" s="425">
        <v>0</v>
      </c>
      <c r="L2159" s="425">
        <v>0</v>
      </c>
      <c r="M2159" s="425">
        <v>986514031</v>
      </c>
      <c r="N2159" s="425">
        <v>0</v>
      </c>
      <c r="O2159" s="425">
        <v>0</v>
      </c>
    </row>
    <row r="2160" spans="3:15" hidden="1" x14ac:dyDescent="0.3">
      <c r="C2160" t="s">
        <v>2292</v>
      </c>
      <c r="D2160" t="s">
        <v>2237</v>
      </c>
      <c r="E2160" t="s">
        <v>6513</v>
      </c>
      <c r="F2160" t="s">
        <v>6514</v>
      </c>
      <c r="G2160" s="425">
        <v>0</v>
      </c>
      <c r="H2160" s="425">
        <v>0</v>
      </c>
      <c r="I2160" s="425">
        <v>0</v>
      </c>
      <c r="J2160" s="425">
        <v>0</v>
      </c>
      <c r="K2160" s="425">
        <v>0</v>
      </c>
      <c r="L2160" s="425">
        <v>0</v>
      </c>
      <c r="M2160" s="425">
        <v>0</v>
      </c>
      <c r="N2160" s="425">
        <v>0</v>
      </c>
      <c r="O2160" s="425">
        <v>0</v>
      </c>
    </row>
    <row r="2161" spans="3:15" hidden="1" x14ac:dyDescent="0.3">
      <c r="C2161" t="s">
        <v>2295</v>
      </c>
      <c r="D2161" t="s">
        <v>2267</v>
      </c>
      <c r="E2161" t="s">
        <v>6515</v>
      </c>
      <c r="F2161" t="s">
        <v>6516</v>
      </c>
      <c r="G2161" s="425">
        <v>0</v>
      </c>
      <c r="H2161" s="425">
        <v>0</v>
      </c>
      <c r="I2161" s="425">
        <v>0</v>
      </c>
      <c r="J2161" s="425">
        <v>0</v>
      </c>
      <c r="K2161" s="425">
        <v>0</v>
      </c>
      <c r="L2161" s="425">
        <v>0</v>
      </c>
      <c r="M2161" s="425">
        <v>0</v>
      </c>
      <c r="N2161" s="425">
        <v>0</v>
      </c>
      <c r="O2161" s="425">
        <v>0</v>
      </c>
    </row>
    <row r="2162" spans="3:15" hidden="1" x14ac:dyDescent="0.3">
      <c r="C2162" t="s">
        <v>2295</v>
      </c>
      <c r="D2162" t="s">
        <v>2267</v>
      </c>
      <c r="E2162" t="s">
        <v>6517</v>
      </c>
      <c r="F2162" t="s">
        <v>6518</v>
      </c>
      <c r="G2162" s="425">
        <v>0</v>
      </c>
      <c r="H2162" s="425">
        <v>0</v>
      </c>
      <c r="I2162" s="425">
        <v>0</v>
      </c>
      <c r="J2162" s="425">
        <v>0</v>
      </c>
      <c r="K2162" s="425">
        <v>0</v>
      </c>
      <c r="L2162" s="425">
        <v>0</v>
      </c>
      <c r="M2162" s="425">
        <v>0</v>
      </c>
      <c r="N2162" s="425">
        <v>0</v>
      </c>
      <c r="O2162" s="425">
        <v>0</v>
      </c>
    </row>
    <row r="2163" spans="3:15" hidden="1" x14ac:dyDescent="0.3">
      <c r="C2163" t="s">
        <v>2295</v>
      </c>
      <c r="D2163" t="s">
        <v>2267</v>
      </c>
      <c r="E2163" t="s">
        <v>6519</v>
      </c>
      <c r="F2163" t="s">
        <v>6520</v>
      </c>
      <c r="G2163" s="425">
        <v>0</v>
      </c>
      <c r="H2163" s="425">
        <v>0</v>
      </c>
      <c r="I2163" s="425">
        <v>0</v>
      </c>
      <c r="J2163" s="425">
        <v>0</v>
      </c>
      <c r="K2163" s="425">
        <v>0</v>
      </c>
      <c r="L2163" s="425">
        <v>0</v>
      </c>
      <c r="M2163" s="425">
        <v>0</v>
      </c>
      <c r="N2163" s="425">
        <v>0</v>
      </c>
      <c r="O2163" s="425">
        <v>0</v>
      </c>
    </row>
    <row r="2164" spans="3:15" hidden="1" x14ac:dyDescent="0.3">
      <c r="C2164" t="s">
        <v>2295</v>
      </c>
      <c r="D2164" t="s">
        <v>2267</v>
      </c>
      <c r="E2164" t="s">
        <v>6521</v>
      </c>
      <c r="F2164" t="s">
        <v>6522</v>
      </c>
      <c r="G2164" s="425">
        <v>0</v>
      </c>
      <c r="H2164" s="425">
        <v>0</v>
      </c>
      <c r="I2164" s="425">
        <v>0</v>
      </c>
      <c r="J2164" s="425">
        <v>0</v>
      </c>
      <c r="K2164" s="425">
        <v>0</v>
      </c>
      <c r="L2164" s="425">
        <v>0</v>
      </c>
      <c r="M2164" s="425">
        <v>0</v>
      </c>
      <c r="N2164" s="425">
        <v>0</v>
      </c>
      <c r="O2164" s="425">
        <v>0</v>
      </c>
    </row>
    <row r="2165" spans="3:15" hidden="1" x14ac:dyDescent="0.3">
      <c r="C2165" t="s">
        <v>2295</v>
      </c>
      <c r="D2165" t="s">
        <v>2267</v>
      </c>
      <c r="E2165" t="s">
        <v>6523</v>
      </c>
      <c r="F2165" t="s">
        <v>6524</v>
      </c>
      <c r="G2165" s="425">
        <v>0</v>
      </c>
      <c r="H2165" s="425">
        <v>0</v>
      </c>
      <c r="I2165" s="425">
        <v>0</v>
      </c>
      <c r="J2165" s="425">
        <v>0</v>
      </c>
      <c r="K2165" s="425">
        <v>0</v>
      </c>
      <c r="L2165" s="425">
        <v>0</v>
      </c>
      <c r="M2165" s="425">
        <v>0</v>
      </c>
      <c r="N2165" s="425">
        <v>0</v>
      </c>
      <c r="O2165" s="425">
        <v>0</v>
      </c>
    </row>
    <row r="2166" spans="3:15" hidden="1" x14ac:dyDescent="0.3">
      <c r="C2166" t="s">
        <v>2295</v>
      </c>
      <c r="D2166" t="s">
        <v>2267</v>
      </c>
      <c r="E2166" t="s">
        <v>6525</v>
      </c>
      <c r="F2166" t="s">
        <v>6526</v>
      </c>
      <c r="G2166" s="425">
        <v>0</v>
      </c>
      <c r="H2166" s="425">
        <v>0</v>
      </c>
      <c r="I2166" s="425">
        <v>0</v>
      </c>
      <c r="J2166" s="425">
        <v>0</v>
      </c>
      <c r="K2166" s="425">
        <v>0</v>
      </c>
      <c r="L2166" s="425">
        <v>0</v>
      </c>
      <c r="M2166" s="425">
        <v>0</v>
      </c>
      <c r="N2166" s="425">
        <v>0</v>
      </c>
      <c r="O2166" s="425">
        <v>0</v>
      </c>
    </row>
    <row r="2167" spans="3:15" hidden="1" x14ac:dyDescent="0.3">
      <c r="C2167" t="s">
        <v>2295</v>
      </c>
      <c r="D2167" t="s">
        <v>2267</v>
      </c>
      <c r="E2167" t="s">
        <v>6527</v>
      </c>
      <c r="F2167" t="s">
        <v>6528</v>
      </c>
      <c r="G2167" s="425">
        <v>0</v>
      </c>
      <c r="H2167" s="425">
        <v>0</v>
      </c>
      <c r="I2167" s="425">
        <v>0</v>
      </c>
      <c r="J2167" s="425">
        <v>0</v>
      </c>
      <c r="K2167" s="425">
        <v>0</v>
      </c>
      <c r="L2167" s="425">
        <v>0</v>
      </c>
      <c r="M2167" s="425">
        <v>0</v>
      </c>
      <c r="N2167" s="425">
        <v>0</v>
      </c>
      <c r="O2167" s="425">
        <v>0</v>
      </c>
    </row>
    <row r="2168" spans="3:15" hidden="1" x14ac:dyDescent="0.3">
      <c r="C2168" t="s">
        <v>2295</v>
      </c>
      <c r="D2168" t="s">
        <v>2267</v>
      </c>
      <c r="E2168" t="s">
        <v>6529</v>
      </c>
      <c r="F2168" t="s">
        <v>6530</v>
      </c>
      <c r="G2168" s="425">
        <v>0</v>
      </c>
      <c r="H2168" s="425">
        <v>0</v>
      </c>
      <c r="I2168" s="425">
        <v>0</v>
      </c>
      <c r="J2168" s="425">
        <v>0</v>
      </c>
      <c r="K2168" s="425">
        <v>0</v>
      </c>
      <c r="L2168" s="425">
        <v>0</v>
      </c>
      <c r="M2168" s="425">
        <v>0</v>
      </c>
      <c r="N2168" s="425">
        <v>0</v>
      </c>
      <c r="O2168" s="425">
        <v>0</v>
      </c>
    </row>
    <row r="2169" spans="3:15" hidden="1" x14ac:dyDescent="0.3">
      <c r="C2169" t="s">
        <v>2292</v>
      </c>
      <c r="D2169" t="s">
        <v>2237</v>
      </c>
      <c r="E2169" t="s">
        <v>14</v>
      </c>
      <c r="F2169" t="s">
        <v>6531</v>
      </c>
      <c r="G2169" s="425">
        <v>986514031</v>
      </c>
      <c r="H2169" s="425">
        <v>0</v>
      </c>
      <c r="I2169" s="425">
        <v>0</v>
      </c>
      <c r="J2169" s="425">
        <v>0</v>
      </c>
      <c r="K2169" s="425">
        <v>0</v>
      </c>
      <c r="L2169" s="425">
        <v>0</v>
      </c>
      <c r="M2169" s="425">
        <v>986514031</v>
      </c>
      <c r="N2169" s="425">
        <v>0</v>
      </c>
      <c r="O2169" s="425">
        <v>0</v>
      </c>
    </row>
    <row r="2170" spans="3:15" hidden="1" x14ac:dyDescent="0.3">
      <c r="C2170" t="s">
        <v>2295</v>
      </c>
      <c r="D2170" t="s">
        <v>2267</v>
      </c>
      <c r="E2170" t="s">
        <v>6532</v>
      </c>
      <c r="F2170" t="s">
        <v>6533</v>
      </c>
      <c r="G2170" s="425">
        <v>0</v>
      </c>
      <c r="H2170" s="425">
        <v>0</v>
      </c>
      <c r="I2170" s="425">
        <v>0</v>
      </c>
      <c r="J2170" s="425">
        <v>0</v>
      </c>
      <c r="K2170" s="425">
        <v>0</v>
      </c>
      <c r="L2170" s="425">
        <v>0</v>
      </c>
      <c r="M2170" s="425">
        <v>0</v>
      </c>
      <c r="N2170" s="425">
        <v>0</v>
      </c>
      <c r="O2170" s="425">
        <v>0</v>
      </c>
    </row>
    <row r="2171" spans="3:15" hidden="1" x14ac:dyDescent="0.3">
      <c r="C2171" t="s">
        <v>2295</v>
      </c>
      <c r="D2171" t="s">
        <v>2267</v>
      </c>
      <c r="E2171" t="s">
        <v>6534</v>
      </c>
      <c r="F2171" t="s">
        <v>6535</v>
      </c>
      <c r="G2171" s="425">
        <v>0</v>
      </c>
      <c r="H2171" s="425">
        <v>0</v>
      </c>
      <c r="I2171" s="425">
        <v>0</v>
      </c>
      <c r="J2171" s="425">
        <v>0</v>
      </c>
      <c r="K2171" s="425">
        <v>0</v>
      </c>
      <c r="L2171" s="425">
        <v>0</v>
      </c>
      <c r="M2171" s="425">
        <v>0</v>
      </c>
      <c r="N2171" s="425">
        <v>0</v>
      </c>
      <c r="O2171" s="425">
        <v>0</v>
      </c>
    </row>
    <row r="2172" spans="3:15" hidden="1" x14ac:dyDescent="0.3">
      <c r="C2172" t="s">
        <v>2295</v>
      </c>
      <c r="D2172" t="s">
        <v>2267</v>
      </c>
      <c r="E2172" t="s">
        <v>6536</v>
      </c>
      <c r="F2172" t="s">
        <v>6537</v>
      </c>
      <c r="G2172" s="425">
        <v>0</v>
      </c>
      <c r="H2172" s="425">
        <v>0</v>
      </c>
      <c r="I2172" s="425">
        <v>0</v>
      </c>
      <c r="J2172" s="425">
        <v>0</v>
      </c>
      <c r="K2172" s="425">
        <v>0</v>
      </c>
      <c r="L2172" s="425">
        <v>0</v>
      </c>
      <c r="M2172" s="425">
        <v>0</v>
      </c>
      <c r="N2172" s="425">
        <v>0</v>
      </c>
      <c r="O2172" s="425">
        <v>0</v>
      </c>
    </row>
    <row r="2173" spans="3:15" hidden="1" x14ac:dyDescent="0.3">
      <c r="C2173" t="s">
        <v>2295</v>
      </c>
      <c r="D2173" t="s">
        <v>2267</v>
      </c>
      <c r="E2173" t="s">
        <v>6538</v>
      </c>
      <c r="F2173" t="s">
        <v>6539</v>
      </c>
      <c r="G2173" s="425">
        <v>986514031</v>
      </c>
      <c r="H2173" s="425">
        <v>0</v>
      </c>
      <c r="I2173" s="425">
        <v>0</v>
      </c>
      <c r="J2173" s="425">
        <v>0</v>
      </c>
      <c r="K2173" s="425">
        <v>0</v>
      </c>
      <c r="L2173" s="425">
        <v>0</v>
      </c>
      <c r="M2173" s="425">
        <v>986514031</v>
      </c>
      <c r="N2173" s="425">
        <v>0</v>
      </c>
      <c r="O2173" s="425">
        <v>0</v>
      </c>
    </row>
    <row r="2174" spans="3:15" hidden="1" x14ac:dyDescent="0.3">
      <c r="C2174" t="s">
        <v>2266</v>
      </c>
      <c r="D2174" t="s">
        <v>2237</v>
      </c>
      <c r="E2174" t="s">
        <v>6540</v>
      </c>
      <c r="F2174" t="s">
        <v>6541</v>
      </c>
      <c r="G2174" s="425">
        <v>13397280003</v>
      </c>
      <c r="H2174" s="425">
        <v>0</v>
      </c>
      <c r="I2174" s="425">
        <v>0</v>
      </c>
      <c r="J2174" s="425">
        <v>0</v>
      </c>
      <c r="K2174" s="425">
        <v>528899281</v>
      </c>
      <c r="L2174" s="425">
        <v>0</v>
      </c>
      <c r="M2174" s="425">
        <v>0</v>
      </c>
      <c r="N2174" s="425">
        <v>12868380722</v>
      </c>
      <c r="O2174" s="425">
        <v>0</v>
      </c>
    </row>
    <row r="2175" spans="3:15" hidden="1" x14ac:dyDescent="0.3">
      <c r="C2175" t="s">
        <v>2292</v>
      </c>
      <c r="D2175" t="s">
        <v>2237</v>
      </c>
      <c r="E2175" t="s">
        <v>6542</v>
      </c>
      <c r="F2175" t="s">
        <v>6543</v>
      </c>
      <c r="G2175" s="425">
        <v>0</v>
      </c>
      <c r="H2175" s="425">
        <v>0</v>
      </c>
      <c r="I2175" s="425">
        <v>0</v>
      </c>
      <c r="J2175" s="425">
        <v>0</v>
      </c>
      <c r="K2175" s="425">
        <v>0</v>
      </c>
      <c r="L2175" s="425">
        <v>0</v>
      </c>
      <c r="M2175" s="425">
        <v>0</v>
      </c>
      <c r="N2175" s="425">
        <v>0</v>
      </c>
      <c r="O2175" s="425">
        <v>0</v>
      </c>
    </row>
    <row r="2176" spans="3:15" hidden="1" x14ac:dyDescent="0.3">
      <c r="C2176" t="s">
        <v>2295</v>
      </c>
      <c r="D2176" t="s">
        <v>2267</v>
      </c>
      <c r="E2176" t="s">
        <v>6544</v>
      </c>
      <c r="F2176" t="s">
        <v>6545</v>
      </c>
      <c r="G2176" s="425">
        <v>0</v>
      </c>
      <c r="H2176" s="425">
        <v>0</v>
      </c>
      <c r="I2176" s="425">
        <v>0</v>
      </c>
      <c r="J2176" s="425">
        <v>0</v>
      </c>
      <c r="K2176" s="425">
        <v>0</v>
      </c>
      <c r="L2176" s="425">
        <v>0</v>
      </c>
      <c r="M2176" s="425">
        <v>0</v>
      </c>
      <c r="N2176" s="425">
        <v>0</v>
      </c>
      <c r="O2176" s="425">
        <v>0</v>
      </c>
    </row>
    <row r="2177" spans="3:15" hidden="1" x14ac:dyDescent="0.3">
      <c r="C2177" t="s">
        <v>2295</v>
      </c>
      <c r="D2177" t="s">
        <v>2267</v>
      </c>
      <c r="E2177" t="s">
        <v>6546</v>
      </c>
      <c r="F2177" t="s">
        <v>6547</v>
      </c>
      <c r="G2177" s="425">
        <v>0</v>
      </c>
      <c r="H2177" s="425">
        <v>0</v>
      </c>
      <c r="I2177" s="425">
        <v>0</v>
      </c>
      <c r="J2177" s="425">
        <v>0</v>
      </c>
      <c r="K2177" s="425">
        <v>0</v>
      </c>
      <c r="L2177" s="425">
        <v>0</v>
      </c>
      <c r="M2177" s="425">
        <v>0</v>
      </c>
      <c r="N2177" s="425">
        <v>0</v>
      </c>
      <c r="O2177" s="425">
        <v>0</v>
      </c>
    </row>
    <row r="2178" spans="3:15" hidden="1" x14ac:dyDescent="0.3">
      <c r="C2178" t="s">
        <v>2292</v>
      </c>
      <c r="D2178" t="s">
        <v>2237</v>
      </c>
      <c r="E2178" t="s">
        <v>14</v>
      </c>
      <c r="F2178" t="s">
        <v>6548</v>
      </c>
      <c r="G2178" s="425">
        <v>13397280003</v>
      </c>
      <c r="H2178" s="425">
        <v>0</v>
      </c>
      <c r="I2178" s="425">
        <v>0</v>
      </c>
      <c r="J2178" s="425">
        <v>0</v>
      </c>
      <c r="K2178" s="425">
        <v>528899281</v>
      </c>
      <c r="L2178" s="425">
        <v>0</v>
      </c>
      <c r="M2178" s="425">
        <v>0</v>
      </c>
      <c r="N2178" s="425">
        <v>12868380722</v>
      </c>
      <c r="O2178" s="425">
        <v>0</v>
      </c>
    </row>
    <row r="2179" spans="3:15" hidden="1" x14ac:dyDescent="0.3">
      <c r="C2179" t="s">
        <v>2295</v>
      </c>
      <c r="D2179" t="s">
        <v>2267</v>
      </c>
      <c r="E2179" t="s">
        <v>6549</v>
      </c>
      <c r="F2179" t="s">
        <v>6550</v>
      </c>
      <c r="G2179" s="425">
        <v>0</v>
      </c>
      <c r="H2179" s="425">
        <v>0</v>
      </c>
      <c r="I2179" s="425">
        <v>0</v>
      </c>
      <c r="J2179" s="425">
        <v>0</v>
      </c>
      <c r="K2179" s="425">
        <v>0</v>
      </c>
      <c r="L2179" s="425">
        <v>0</v>
      </c>
      <c r="M2179" s="425">
        <v>0</v>
      </c>
      <c r="N2179" s="425">
        <v>0</v>
      </c>
      <c r="O2179" s="425">
        <v>0</v>
      </c>
    </row>
    <row r="2180" spans="3:15" hidden="1" x14ac:dyDescent="0.3">
      <c r="C2180" t="s">
        <v>2295</v>
      </c>
      <c r="D2180" t="s">
        <v>2267</v>
      </c>
      <c r="E2180" t="s">
        <v>6551</v>
      </c>
      <c r="F2180" t="s">
        <v>6552</v>
      </c>
      <c r="G2180" s="425">
        <v>0</v>
      </c>
      <c r="H2180" s="425">
        <v>0</v>
      </c>
      <c r="I2180" s="425">
        <v>0</v>
      </c>
      <c r="J2180" s="425">
        <v>0</v>
      </c>
      <c r="K2180" s="425">
        <v>0</v>
      </c>
      <c r="L2180" s="425">
        <v>0</v>
      </c>
      <c r="M2180" s="425">
        <v>0</v>
      </c>
      <c r="N2180" s="425">
        <v>0</v>
      </c>
      <c r="O2180" s="425">
        <v>0</v>
      </c>
    </row>
    <row r="2181" spans="3:15" hidden="1" x14ac:dyDescent="0.3">
      <c r="C2181" t="s">
        <v>2295</v>
      </c>
      <c r="D2181" t="s">
        <v>2267</v>
      </c>
      <c r="E2181" t="s">
        <v>6553</v>
      </c>
      <c r="F2181" t="s">
        <v>6554</v>
      </c>
      <c r="G2181" s="425">
        <v>360</v>
      </c>
      <c r="H2181" s="425">
        <v>0</v>
      </c>
      <c r="I2181" s="425">
        <v>0</v>
      </c>
      <c r="J2181" s="425">
        <v>0</v>
      </c>
      <c r="K2181" s="425">
        <v>0</v>
      </c>
      <c r="L2181" s="425">
        <v>0</v>
      </c>
      <c r="M2181" s="425">
        <v>0</v>
      </c>
      <c r="N2181" s="425">
        <v>360</v>
      </c>
      <c r="O2181" s="425">
        <v>0</v>
      </c>
    </row>
    <row r="2182" spans="3:15" hidden="1" x14ac:dyDescent="0.3">
      <c r="C2182" t="s">
        <v>2295</v>
      </c>
      <c r="D2182" t="s">
        <v>2267</v>
      </c>
      <c r="E2182" t="s">
        <v>6555</v>
      </c>
      <c r="F2182" t="s">
        <v>6556</v>
      </c>
      <c r="G2182" s="425">
        <v>2752</v>
      </c>
      <c r="H2182" s="425">
        <v>0</v>
      </c>
      <c r="I2182" s="425">
        <v>0</v>
      </c>
      <c r="J2182" s="425">
        <v>0</v>
      </c>
      <c r="K2182" s="425">
        <v>0</v>
      </c>
      <c r="L2182" s="425">
        <v>0</v>
      </c>
      <c r="M2182" s="425">
        <v>0</v>
      </c>
      <c r="N2182" s="425">
        <v>2752</v>
      </c>
      <c r="O2182" s="425">
        <v>0</v>
      </c>
    </row>
    <row r="2183" spans="3:15" hidden="1" x14ac:dyDescent="0.3">
      <c r="C2183" t="s">
        <v>2295</v>
      </c>
      <c r="D2183" t="s">
        <v>2267</v>
      </c>
      <c r="E2183" t="s">
        <v>6557</v>
      </c>
      <c r="F2183" t="s">
        <v>6558</v>
      </c>
      <c r="G2183" s="425">
        <v>1</v>
      </c>
      <c r="H2183" s="425">
        <v>0</v>
      </c>
      <c r="I2183" s="425">
        <v>0</v>
      </c>
      <c r="J2183" s="425">
        <v>0</v>
      </c>
      <c r="K2183" s="425">
        <v>0</v>
      </c>
      <c r="L2183" s="425">
        <v>0</v>
      </c>
      <c r="M2183" s="425">
        <v>0</v>
      </c>
      <c r="N2183" s="425">
        <v>1</v>
      </c>
      <c r="O2183" s="425">
        <v>0</v>
      </c>
    </row>
    <row r="2184" spans="3:15" hidden="1" x14ac:dyDescent="0.3">
      <c r="C2184" t="s">
        <v>2295</v>
      </c>
      <c r="D2184" t="s">
        <v>2267</v>
      </c>
      <c r="E2184" t="s">
        <v>6559</v>
      </c>
      <c r="F2184" t="s">
        <v>6560</v>
      </c>
      <c r="G2184" s="425">
        <v>12527</v>
      </c>
      <c r="H2184" s="425">
        <v>0</v>
      </c>
      <c r="I2184" s="425">
        <v>0</v>
      </c>
      <c r="J2184" s="425">
        <v>0</v>
      </c>
      <c r="K2184" s="425">
        <v>0</v>
      </c>
      <c r="L2184" s="425">
        <v>0</v>
      </c>
      <c r="M2184" s="425">
        <v>0</v>
      </c>
      <c r="N2184" s="425">
        <v>12527</v>
      </c>
      <c r="O2184" s="425">
        <v>0</v>
      </c>
    </row>
    <row r="2185" spans="3:15" hidden="1" x14ac:dyDescent="0.3">
      <c r="C2185" t="s">
        <v>2295</v>
      </c>
      <c r="D2185" t="s">
        <v>2267</v>
      </c>
      <c r="E2185" t="s">
        <v>6561</v>
      </c>
      <c r="F2185" t="s">
        <v>6562</v>
      </c>
      <c r="G2185" s="425">
        <v>0</v>
      </c>
      <c r="H2185" s="425">
        <v>0</v>
      </c>
      <c r="I2185" s="425">
        <v>0</v>
      </c>
      <c r="J2185" s="425">
        <v>0</v>
      </c>
      <c r="K2185" s="425">
        <v>0</v>
      </c>
      <c r="L2185" s="425">
        <v>0</v>
      </c>
      <c r="M2185" s="425">
        <v>0</v>
      </c>
      <c r="N2185" s="425">
        <v>0</v>
      </c>
      <c r="O2185" s="425">
        <v>0</v>
      </c>
    </row>
    <row r="2186" spans="3:15" hidden="1" x14ac:dyDescent="0.3">
      <c r="C2186" t="s">
        <v>2295</v>
      </c>
      <c r="D2186" t="s">
        <v>2267</v>
      </c>
      <c r="E2186" t="s">
        <v>6563</v>
      </c>
      <c r="F2186" t="s">
        <v>6564</v>
      </c>
      <c r="G2186" s="425">
        <v>205</v>
      </c>
      <c r="H2186" s="425">
        <v>0</v>
      </c>
      <c r="I2186" s="425">
        <v>0</v>
      </c>
      <c r="J2186" s="425">
        <v>0</v>
      </c>
      <c r="K2186" s="425">
        <v>0</v>
      </c>
      <c r="L2186" s="425">
        <v>0</v>
      </c>
      <c r="M2186" s="425">
        <v>0</v>
      </c>
      <c r="N2186" s="425">
        <v>205</v>
      </c>
      <c r="O2186" s="425">
        <v>0</v>
      </c>
    </row>
    <row r="2187" spans="3:15" hidden="1" x14ac:dyDescent="0.3">
      <c r="C2187" t="s">
        <v>2295</v>
      </c>
      <c r="D2187" t="s">
        <v>2267</v>
      </c>
      <c r="E2187" t="s">
        <v>6565</v>
      </c>
      <c r="F2187" t="s">
        <v>6566</v>
      </c>
      <c r="G2187" s="425">
        <v>0</v>
      </c>
      <c r="H2187" s="425">
        <v>0</v>
      </c>
      <c r="I2187" s="425">
        <v>0</v>
      </c>
      <c r="J2187" s="425">
        <v>0</v>
      </c>
      <c r="K2187" s="425">
        <v>0</v>
      </c>
      <c r="L2187" s="425">
        <v>0</v>
      </c>
      <c r="M2187" s="425">
        <v>0</v>
      </c>
      <c r="N2187" s="425">
        <v>0</v>
      </c>
      <c r="O2187" s="425">
        <v>0</v>
      </c>
    </row>
    <row r="2188" spans="3:15" hidden="1" x14ac:dyDescent="0.3">
      <c r="C2188" t="s">
        <v>2295</v>
      </c>
      <c r="D2188" t="s">
        <v>2267</v>
      </c>
      <c r="E2188" t="s">
        <v>6567</v>
      </c>
      <c r="F2188" t="s">
        <v>6568</v>
      </c>
      <c r="G2188" s="425">
        <v>125537980</v>
      </c>
      <c r="H2188" s="425">
        <v>0</v>
      </c>
      <c r="I2188" s="425">
        <v>0</v>
      </c>
      <c r="J2188" s="425">
        <v>0</v>
      </c>
      <c r="K2188" s="425">
        <v>0</v>
      </c>
      <c r="L2188" s="425">
        <v>0</v>
      </c>
      <c r="M2188" s="425">
        <v>0</v>
      </c>
      <c r="N2188" s="425">
        <v>125537980</v>
      </c>
      <c r="O2188" s="425">
        <v>0</v>
      </c>
    </row>
    <row r="2189" spans="3:15" hidden="1" x14ac:dyDescent="0.3">
      <c r="C2189" t="s">
        <v>2295</v>
      </c>
      <c r="D2189" t="s">
        <v>2267</v>
      </c>
      <c r="E2189" t="s">
        <v>6569</v>
      </c>
      <c r="F2189" t="s">
        <v>6570</v>
      </c>
      <c r="G2189" s="425">
        <v>0</v>
      </c>
      <c r="H2189" s="425">
        <v>0</v>
      </c>
      <c r="I2189" s="425">
        <v>0</v>
      </c>
      <c r="J2189" s="425">
        <v>0</v>
      </c>
      <c r="K2189" s="425">
        <v>0</v>
      </c>
      <c r="L2189" s="425">
        <v>0</v>
      </c>
      <c r="M2189" s="425">
        <v>0</v>
      </c>
      <c r="N2189" s="425">
        <v>0</v>
      </c>
      <c r="O2189" s="425">
        <v>0</v>
      </c>
    </row>
    <row r="2190" spans="3:15" hidden="1" x14ac:dyDescent="0.3">
      <c r="C2190" t="s">
        <v>2295</v>
      </c>
      <c r="D2190" t="s">
        <v>2267</v>
      </c>
      <c r="E2190" t="s">
        <v>6571</v>
      </c>
      <c r="F2190" t="s">
        <v>6572</v>
      </c>
      <c r="G2190" s="425">
        <v>0</v>
      </c>
      <c r="H2190" s="425">
        <v>0</v>
      </c>
      <c r="I2190" s="425">
        <v>0</v>
      </c>
      <c r="J2190" s="425">
        <v>0</v>
      </c>
      <c r="K2190" s="425">
        <v>0</v>
      </c>
      <c r="L2190" s="425">
        <v>0</v>
      </c>
      <c r="M2190" s="425">
        <v>0</v>
      </c>
      <c r="N2190" s="425">
        <v>0</v>
      </c>
      <c r="O2190" s="425">
        <v>0</v>
      </c>
    </row>
    <row r="2191" spans="3:15" hidden="1" x14ac:dyDescent="0.3">
      <c r="C2191" t="s">
        <v>2295</v>
      </c>
      <c r="D2191" t="s">
        <v>2267</v>
      </c>
      <c r="E2191" t="s">
        <v>6573</v>
      </c>
      <c r="F2191" t="s">
        <v>6574</v>
      </c>
      <c r="G2191" s="425">
        <v>0</v>
      </c>
      <c r="H2191" s="425">
        <v>0</v>
      </c>
      <c r="I2191" s="425">
        <v>0</v>
      </c>
      <c r="J2191" s="425">
        <v>0</v>
      </c>
      <c r="K2191" s="425">
        <v>0</v>
      </c>
      <c r="L2191" s="425">
        <v>0</v>
      </c>
      <c r="M2191" s="425">
        <v>0</v>
      </c>
      <c r="N2191" s="425">
        <v>0</v>
      </c>
      <c r="O2191" s="425">
        <v>0</v>
      </c>
    </row>
    <row r="2192" spans="3:15" hidden="1" x14ac:dyDescent="0.3">
      <c r="C2192" t="s">
        <v>2295</v>
      </c>
      <c r="D2192" t="s">
        <v>2267</v>
      </c>
      <c r="E2192" t="s">
        <v>6575</v>
      </c>
      <c r="F2192" t="s">
        <v>6576</v>
      </c>
      <c r="G2192" s="425">
        <v>0</v>
      </c>
      <c r="H2192" s="425">
        <v>0</v>
      </c>
      <c r="I2192" s="425">
        <v>0</v>
      </c>
      <c r="J2192" s="425">
        <v>0</v>
      </c>
      <c r="K2192" s="425">
        <v>0</v>
      </c>
      <c r="L2192" s="425">
        <v>0</v>
      </c>
      <c r="M2192" s="425">
        <v>0</v>
      </c>
      <c r="N2192" s="425">
        <v>0</v>
      </c>
      <c r="O2192" s="425">
        <v>0</v>
      </c>
    </row>
    <row r="2193" spans="3:15" hidden="1" x14ac:dyDescent="0.3">
      <c r="C2193" t="s">
        <v>2295</v>
      </c>
      <c r="D2193" t="s">
        <v>2267</v>
      </c>
      <c r="E2193" t="s">
        <v>6577</v>
      </c>
      <c r="F2193" t="s">
        <v>6578</v>
      </c>
      <c r="G2193" s="425">
        <v>0</v>
      </c>
      <c r="H2193" s="425">
        <v>0</v>
      </c>
      <c r="I2193" s="425">
        <v>0</v>
      </c>
      <c r="J2193" s="425">
        <v>0</v>
      </c>
      <c r="K2193" s="425">
        <v>0</v>
      </c>
      <c r="L2193" s="425">
        <v>0</v>
      </c>
      <c r="M2193" s="425">
        <v>0</v>
      </c>
      <c r="N2193" s="425">
        <v>0</v>
      </c>
      <c r="O2193" s="425">
        <v>0</v>
      </c>
    </row>
    <row r="2194" spans="3:15" hidden="1" x14ac:dyDescent="0.3">
      <c r="C2194" t="s">
        <v>2295</v>
      </c>
      <c r="D2194" t="s">
        <v>2267</v>
      </c>
      <c r="E2194" t="s">
        <v>6579</v>
      </c>
      <c r="F2194" t="s">
        <v>6580</v>
      </c>
      <c r="G2194" s="425">
        <v>0</v>
      </c>
      <c r="H2194" s="425">
        <v>0</v>
      </c>
      <c r="I2194" s="425">
        <v>0</v>
      </c>
      <c r="J2194" s="425">
        <v>0</v>
      </c>
      <c r="K2194" s="425">
        <v>0</v>
      </c>
      <c r="L2194" s="425">
        <v>0</v>
      </c>
      <c r="M2194" s="425">
        <v>0</v>
      </c>
      <c r="N2194" s="425">
        <v>0</v>
      </c>
      <c r="O2194" s="425">
        <v>0</v>
      </c>
    </row>
    <row r="2195" spans="3:15" hidden="1" x14ac:dyDescent="0.3">
      <c r="C2195" t="s">
        <v>2295</v>
      </c>
      <c r="D2195" t="s">
        <v>2267</v>
      </c>
      <c r="E2195" t="s">
        <v>6581</v>
      </c>
      <c r="F2195" t="s">
        <v>6582</v>
      </c>
      <c r="G2195" s="425">
        <v>0</v>
      </c>
      <c r="H2195" s="425">
        <v>0</v>
      </c>
      <c r="I2195" s="425">
        <v>0</v>
      </c>
      <c r="J2195" s="425">
        <v>0</v>
      </c>
      <c r="K2195" s="425">
        <v>0</v>
      </c>
      <c r="L2195" s="425">
        <v>0</v>
      </c>
      <c r="M2195" s="425">
        <v>0</v>
      </c>
      <c r="N2195" s="425">
        <v>0</v>
      </c>
      <c r="O2195" s="425">
        <v>0</v>
      </c>
    </row>
    <row r="2196" spans="3:15" hidden="1" x14ac:dyDescent="0.3">
      <c r="C2196" t="s">
        <v>2295</v>
      </c>
      <c r="D2196" t="s">
        <v>2267</v>
      </c>
      <c r="E2196" t="s">
        <v>6583</v>
      </c>
      <c r="F2196" t="s">
        <v>6584</v>
      </c>
      <c r="G2196" s="425">
        <v>0</v>
      </c>
      <c r="H2196" s="425">
        <v>0</v>
      </c>
      <c r="I2196" s="425">
        <v>0</v>
      </c>
      <c r="J2196" s="425">
        <v>0</v>
      </c>
      <c r="K2196" s="425">
        <v>0</v>
      </c>
      <c r="L2196" s="425">
        <v>0</v>
      </c>
      <c r="M2196" s="425">
        <v>0</v>
      </c>
      <c r="N2196" s="425">
        <v>0</v>
      </c>
      <c r="O2196" s="425">
        <v>0</v>
      </c>
    </row>
    <row r="2197" spans="3:15" hidden="1" x14ac:dyDescent="0.3">
      <c r="C2197" t="s">
        <v>2295</v>
      </c>
      <c r="D2197" t="s">
        <v>2267</v>
      </c>
      <c r="E2197" t="s">
        <v>6585</v>
      </c>
      <c r="F2197" t="s">
        <v>6586</v>
      </c>
      <c r="G2197" s="425">
        <v>0</v>
      </c>
      <c r="H2197" s="425">
        <v>0</v>
      </c>
      <c r="I2197" s="425">
        <v>0</v>
      </c>
      <c r="J2197" s="425">
        <v>0</v>
      </c>
      <c r="K2197" s="425">
        <v>0</v>
      </c>
      <c r="L2197" s="425">
        <v>0</v>
      </c>
      <c r="M2197" s="425">
        <v>0</v>
      </c>
      <c r="N2197" s="425">
        <v>0</v>
      </c>
      <c r="O2197" s="425">
        <v>0</v>
      </c>
    </row>
    <row r="2198" spans="3:15" hidden="1" x14ac:dyDescent="0.3">
      <c r="C2198" t="s">
        <v>2295</v>
      </c>
      <c r="D2198" t="s">
        <v>2267</v>
      </c>
      <c r="E2198" t="s">
        <v>6587</v>
      </c>
      <c r="F2198" t="s">
        <v>6588</v>
      </c>
      <c r="G2198" s="425">
        <v>0</v>
      </c>
      <c r="H2198" s="425">
        <v>0</v>
      </c>
      <c r="I2198" s="425">
        <v>0</v>
      </c>
      <c r="J2198" s="425">
        <v>0</v>
      </c>
      <c r="K2198" s="425">
        <v>0</v>
      </c>
      <c r="L2198" s="425">
        <v>0</v>
      </c>
      <c r="M2198" s="425">
        <v>0</v>
      </c>
      <c r="N2198" s="425">
        <v>0</v>
      </c>
      <c r="O2198" s="425">
        <v>0</v>
      </c>
    </row>
    <row r="2199" spans="3:15" hidden="1" x14ac:dyDescent="0.3">
      <c r="C2199" t="s">
        <v>2295</v>
      </c>
      <c r="D2199" t="s">
        <v>2267</v>
      </c>
      <c r="E2199" t="s">
        <v>6589</v>
      </c>
      <c r="F2199" t="s">
        <v>6590</v>
      </c>
      <c r="G2199" s="425">
        <v>161570477</v>
      </c>
      <c r="H2199" s="425">
        <v>0</v>
      </c>
      <c r="I2199" s="425">
        <v>0</v>
      </c>
      <c r="J2199" s="425">
        <v>0</v>
      </c>
      <c r="K2199" s="425">
        <v>161570477</v>
      </c>
      <c r="L2199" s="425">
        <v>0</v>
      </c>
      <c r="M2199" s="425">
        <v>0</v>
      </c>
      <c r="N2199" s="425">
        <v>0</v>
      </c>
      <c r="O2199" s="425">
        <v>0</v>
      </c>
    </row>
    <row r="2200" spans="3:15" hidden="1" x14ac:dyDescent="0.3">
      <c r="C2200" t="s">
        <v>2295</v>
      </c>
      <c r="D2200" t="s">
        <v>2267</v>
      </c>
      <c r="E2200" t="s">
        <v>6591</v>
      </c>
      <c r="F2200" t="s">
        <v>6592</v>
      </c>
      <c r="G2200" s="425">
        <v>0</v>
      </c>
      <c r="H2200" s="425">
        <v>0</v>
      </c>
      <c r="I2200" s="425">
        <v>0</v>
      </c>
      <c r="J2200" s="425">
        <v>0</v>
      </c>
      <c r="K2200" s="425">
        <v>0</v>
      </c>
      <c r="L2200" s="425">
        <v>0</v>
      </c>
      <c r="M2200" s="425">
        <v>0</v>
      </c>
      <c r="N2200" s="425">
        <v>0</v>
      </c>
      <c r="O2200" s="425">
        <v>0</v>
      </c>
    </row>
    <row r="2201" spans="3:15" hidden="1" x14ac:dyDescent="0.3">
      <c r="C2201" t="s">
        <v>2295</v>
      </c>
      <c r="D2201" t="s">
        <v>2267</v>
      </c>
      <c r="E2201" t="s">
        <v>6593</v>
      </c>
      <c r="F2201" t="s">
        <v>6594</v>
      </c>
      <c r="G2201" s="425">
        <v>0</v>
      </c>
      <c r="H2201" s="425">
        <v>0</v>
      </c>
      <c r="I2201" s="425">
        <v>0</v>
      </c>
      <c r="J2201" s="425">
        <v>0</v>
      </c>
      <c r="K2201" s="425">
        <v>0</v>
      </c>
      <c r="L2201" s="425">
        <v>0</v>
      </c>
      <c r="M2201" s="425">
        <v>0</v>
      </c>
      <c r="N2201" s="425">
        <v>0</v>
      </c>
      <c r="O2201" s="425">
        <v>0</v>
      </c>
    </row>
    <row r="2202" spans="3:15" hidden="1" x14ac:dyDescent="0.3">
      <c r="C2202" t="s">
        <v>2295</v>
      </c>
      <c r="D2202" t="s">
        <v>2267</v>
      </c>
      <c r="E2202" t="s">
        <v>6595</v>
      </c>
      <c r="F2202" t="s">
        <v>6596</v>
      </c>
      <c r="G2202" s="425">
        <v>0</v>
      </c>
      <c r="H2202" s="425">
        <v>0</v>
      </c>
      <c r="I2202" s="425">
        <v>0</v>
      </c>
      <c r="J2202" s="425">
        <v>0</v>
      </c>
      <c r="K2202" s="425">
        <v>0</v>
      </c>
      <c r="L2202" s="425">
        <v>0</v>
      </c>
      <c r="M2202" s="425">
        <v>0</v>
      </c>
      <c r="N2202" s="425">
        <v>0</v>
      </c>
      <c r="O2202" s="425">
        <v>0</v>
      </c>
    </row>
    <row r="2203" spans="3:15" hidden="1" x14ac:dyDescent="0.3">
      <c r="C2203" t="s">
        <v>2295</v>
      </c>
      <c r="D2203" t="s">
        <v>2267</v>
      </c>
      <c r="E2203" t="s">
        <v>6597</v>
      </c>
      <c r="F2203" t="s">
        <v>6598</v>
      </c>
      <c r="G2203" s="425">
        <v>0</v>
      </c>
      <c r="H2203" s="425">
        <v>0</v>
      </c>
      <c r="I2203" s="425">
        <v>0</v>
      </c>
      <c r="J2203" s="425">
        <v>0</v>
      </c>
      <c r="K2203" s="425">
        <v>0</v>
      </c>
      <c r="L2203" s="425">
        <v>0</v>
      </c>
      <c r="M2203" s="425">
        <v>0</v>
      </c>
      <c r="N2203" s="425">
        <v>0</v>
      </c>
      <c r="O2203" s="425">
        <v>0</v>
      </c>
    </row>
    <row r="2204" spans="3:15" hidden="1" x14ac:dyDescent="0.3">
      <c r="C2204" t="s">
        <v>2295</v>
      </c>
      <c r="D2204" t="s">
        <v>2267</v>
      </c>
      <c r="E2204" t="s">
        <v>6599</v>
      </c>
      <c r="F2204" t="s">
        <v>6600</v>
      </c>
      <c r="G2204" s="425">
        <v>0</v>
      </c>
      <c r="H2204" s="425">
        <v>0</v>
      </c>
      <c r="I2204" s="425">
        <v>0</v>
      </c>
      <c r="J2204" s="425">
        <v>0</v>
      </c>
      <c r="K2204" s="425">
        <v>0</v>
      </c>
      <c r="L2204" s="425">
        <v>0</v>
      </c>
      <c r="M2204" s="425">
        <v>0</v>
      </c>
      <c r="N2204" s="425">
        <v>0</v>
      </c>
      <c r="O2204" s="425">
        <v>0</v>
      </c>
    </row>
    <row r="2205" spans="3:15" hidden="1" x14ac:dyDescent="0.3">
      <c r="C2205" t="s">
        <v>2295</v>
      </c>
      <c r="D2205" t="s">
        <v>2267</v>
      </c>
      <c r="E2205" t="s">
        <v>6601</v>
      </c>
      <c r="F2205" t="s">
        <v>6602</v>
      </c>
      <c r="G2205" s="425">
        <v>0</v>
      </c>
      <c r="H2205" s="425">
        <v>0</v>
      </c>
      <c r="I2205" s="425">
        <v>0</v>
      </c>
      <c r="J2205" s="425">
        <v>0</v>
      </c>
      <c r="K2205" s="425">
        <v>0</v>
      </c>
      <c r="L2205" s="425">
        <v>0</v>
      </c>
      <c r="M2205" s="425">
        <v>0</v>
      </c>
      <c r="N2205" s="425">
        <v>0</v>
      </c>
      <c r="O2205" s="425">
        <v>0</v>
      </c>
    </row>
    <row r="2206" spans="3:15" hidden="1" x14ac:dyDescent="0.3">
      <c r="C2206" t="s">
        <v>2295</v>
      </c>
      <c r="D2206" t="s">
        <v>2267</v>
      </c>
      <c r="E2206" t="s">
        <v>6603</v>
      </c>
      <c r="F2206" t="s">
        <v>6604</v>
      </c>
      <c r="G2206" s="425">
        <v>0</v>
      </c>
      <c r="H2206" s="425">
        <v>0</v>
      </c>
      <c r="I2206" s="425">
        <v>0</v>
      </c>
      <c r="J2206" s="425">
        <v>0</v>
      </c>
      <c r="K2206" s="425">
        <v>0</v>
      </c>
      <c r="L2206" s="425">
        <v>0</v>
      </c>
      <c r="M2206" s="425">
        <v>0</v>
      </c>
      <c r="N2206" s="425">
        <v>0</v>
      </c>
      <c r="O2206" s="425">
        <v>0</v>
      </c>
    </row>
    <row r="2207" spans="3:15" hidden="1" x14ac:dyDescent="0.3">
      <c r="C2207" t="s">
        <v>2295</v>
      </c>
      <c r="D2207" t="s">
        <v>2267</v>
      </c>
      <c r="E2207" t="s">
        <v>6605</v>
      </c>
      <c r="F2207" t="s">
        <v>6606</v>
      </c>
      <c r="G2207" s="425">
        <v>0</v>
      </c>
      <c r="H2207" s="425">
        <v>0</v>
      </c>
      <c r="I2207" s="425">
        <v>0</v>
      </c>
      <c r="J2207" s="425">
        <v>0</v>
      </c>
      <c r="K2207" s="425">
        <v>0</v>
      </c>
      <c r="L2207" s="425">
        <v>0</v>
      </c>
      <c r="M2207" s="425">
        <v>0</v>
      </c>
      <c r="N2207" s="425">
        <v>0</v>
      </c>
      <c r="O2207" s="425">
        <v>0</v>
      </c>
    </row>
    <row r="2208" spans="3:15" hidden="1" x14ac:dyDescent="0.3">
      <c r="C2208" t="s">
        <v>2295</v>
      </c>
      <c r="D2208" t="s">
        <v>2267</v>
      </c>
      <c r="E2208" t="s">
        <v>6607</v>
      </c>
      <c r="F2208" t="s">
        <v>6608</v>
      </c>
      <c r="G2208" s="425">
        <v>0</v>
      </c>
      <c r="H2208" s="425">
        <v>0</v>
      </c>
      <c r="I2208" s="425">
        <v>0</v>
      </c>
      <c r="J2208" s="425">
        <v>0</v>
      </c>
      <c r="K2208" s="425">
        <v>0</v>
      </c>
      <c r="L2208" s="425">
        <v>0</v>
      </c>
      <c r="M2208" s="425">
        <v>0</v>
      </c>
      <c r="N2208" s="425">
        <v>0</v>
      </c>
      <c r="O2208" s="425">
        <v>0</v>
      </c>
    </row>
    <row r="2209" spans="3:15" hidden="1" x14ac:dyDescent="0.3">
      <c r="C2209" t="s">
        <v>2295</v>
      </c>
      <c r="D2209" t="s">
        <v>2267</v>
      </c>
      <c r="E2209" t="s">
        <v>6609</v>
      </c>
      <c r="F2209" t="s">
        <v>6610</v>
      </c>
      <c r="G2209" s="425">
        <v>0</v>
      </c>
      <c r="H2209" s="425">
        <v>0</v>
      </c>
      <c r="I2209" s="425">
        <v>0</v>
      </c>
      <c r="J2209" s="425">
        <v>0</v>
      </c>
      <c r="K2209" s="425">
        <v>0</v>
      </c>
      <c r="L2209" s="425">
        <v>0</v>
      </c>
      <c r="M2209" s="425">
        <v>0</v>
      </c>
      <c r="N2209" s="425">
        <v>0</v>
      </c>
      <c r="O2209" s="425">
        <v>0</v>
      </c>
    </row>
    <row r="2210" spans="3:15" hidden="1" x14ac:dyDescent="0.3">
      <c r="C2210" t="s">
        <v>2295</v>
      </c>
      <c r="D2210" t="s">
        <v>2267</v>
      </c>
      <c r="E2210" t="s">
        <v>6611</v>
      </c>
      <c r="F2210" t="s">
        <v>6612</v>
      </c>
      <c r="G2210" s="425">
        <v>0</v>
      </c>
      <c r="H2210" s="425">
        <v>0</v>
      </c>
      <c r="I2210" s="425">
        <v>0</v>
      </c>
      <c r="J2210" s="425">
        <v>0</v>
      </c>
      <c r="K2210" s="425">
        <v>0</v>
      </c>
      <c r="L2210" s="425">
        <v>0</v>
      </c>
      <c r="M2210" s="425">
        <v>0</v>
      </c>
      <c r="N2210" s="425">
        <v>0</v>
      </c>
      <c r="O2210" s="425">
        <v>0</v>
      </c>
    </row>
    <row r="2211" spans="3:15" hidden="1" x14ac:dyDescent="0.3">
      <c r="C2211" t="s">
        <v>2295</v>
      </c>
      <c r="D2211" t="s">
        <v>2267</v>
      </c>
      <c r="E2211" t="s">
        <v>6613</v>
      </c>
      <c r="F2211" t="s">
        <v>6614</v>
      </c>
      <c r="G2211" s="425">
        <v>0</v>
      </c>
      <c r="H2211" s="425">
        <v>0</v>
      </c>
      <c r="I2211" s="425">
        <v>0</v>
      </c>
      <c r="J2211" s="425">
        <v>0</v>
      </c>
      <c r="K2211" s="425">
        <v>0</v>
      </c>
      <c r="L2211" s="425">
        <v>0</v>
      </c>
      <c r="M2211" s="425">
        <v>0</v>
      </c>
      <c r="N2211" s="425">
        <v>0</v>
      </c>
      <c r="O2211" s="425">
        <v>0</v>
      </c>
    </row>
    <row r="2212" spans="3:15" hidden="1" x14ac:dyDescent="0.3">
      <c r="C2212" t="s">
        <v>2295</v>
      </c>
      <c r="D2212" t="s">
        <v>2267</v>
      </c>
      <c r="E2212" t="s">
        <v>6615</v>
      </c>
      <c r="F2212" t="s">
        <v>6616</v>
      </c>
      <c r="G2212" s="425">
        <v>328850828</v>
      </c>
      <c r="H2212" s="425">
        <v>0</v>
      </c>
      <c r="I2212" s="425">
        <v>0</v>
      </c>
      <c r="J2212" s="425">
        <v>0</v>
      </c>
      <c r="K2212" s="425">
        <v>328850828</v>
      </c>
      <c r="L2212" s="425">
        <v>0</v>
      </c>
      <c r="M2212" s="425">
        <v>0</v>
      </c>
      <c r="N2212" s="425">
        <v>0</v>
      </c>
      <c r="O2212" s="425">
        <v>0</v>
      </c>
    </row>
    <row r="2213" spans="3:15" hidden="1" x14ac:dyDescent="0.3">
      <c r="C2213" t="s">
        <v>2295</v>
      </c>
      <c r="D2213" t="s">
        <v>2267</v>
      </c>
      <c r="E2213" t="s">
        <v>6617</v>
      </c>
      <c r="F2213" t="s">
        <v>6618</v>
      </c>
      <c r="G2213" s="425">
        <v>0</v>
      </c>
      <c r="H2213" s="425">
        <v>0</v>
      </c>
      <c r="I2213" s="425">
        <v>0</v>
      </c>
      <c r="J2213" s="425">
        <v>0</v>
      </c>
      <c r="K2213" s="425">
        <v>0</v>
      </c>
      <c r="L2213" s="425">
        <v>0</v>
      </c>
      <c r="M2213" s="425">
        <v>0</v>
      </c>
      <c r="N2213" s="425">
        <v>0</v>
      </c>
      <c r="O2213" s="425">
        <v>0</v>
      </c>
    </row>
    <row r="2214" spans="3:15" hidden="1" x14ac:dyDescent="0.3">
      <c r="C2214" t="s">
        <v>2295</v>
      </c>
      <c r="D2214" t="s">
        <v>2267</v>
      </c>
      <c r="E2214" t="s">
        <v>6619</v>
      </c>
      <c r="F2214" t="s">
        <v>6620</v>
      </c>
      <c r="G2214" s="425">
        <v>0</v>
      </c>
      <c r="H2214" s="425">
        <v>0</v>
      </c>
      <c r="I2214" s="425">
        <v>0</v>
      </c>
      <c r="J2214" s="425">
        <v>0</v>
      </c>
      <c r="K2214" s="425">
        <v>0</v>
      </c>
      <c r="L2214" s="425">
        <v>0</v>
      </c>
      <c r="M2214" s="425">
        <v>0</v>
      </c>
      <c r="N2214" s="425">
        <v>0</v>
      </c>
      <c r="O2214" s="425">
        <v>0</v>
      </c>
    </row>
    <row r="2215" spans="3:15" hidden="1" x14ac:dyDescent="0.3">
      <c r="C2215" t="s">
        <v>2295</v>
      </c>
      <c r="D2215" t="s">
        <v>2267</v>
      </c>
      <c r="E2215" t="s">
        <v>6621</v>
      </c>
      <c r="F2215" t="s">
        <v>6622</v>
      </c>
      <c r="G2215" s="425">
        <v>10669796</v>
      </c>
      <c r="H2215" s="425">
        <v>0</v>
      </c>
      <c r="I2215" s="425">
        <v>0</v>
      </c>
      <c r="J2215" s="425">
        <v>0</v>
      </c>
      <c r="K2215" s="425">
        <v>0</v>
      </c>
      <c r="L2215" s="425">
        <v>0</v>
      </c>
      <c r="M2215" s="425">
        <v>0</v>
      </c>
      <c r="N2215" s="425">
        <v>10669796</v>
      </c>
      <c r="O2215" s="425">
        <v>0</v>
      </c>
    </row>
    <row r="2216" spans="3:15" hidden="1" x14ac:dyDescent="0.3">
      <c r="C2216" t="s">
        <v>2295</v>
      </c>
      <c r="D2216" t="s">
        <v>2267</v>
      </c>
      <c r="E2216" t="s">
        <v>6623</v>
      </c>
      <c r="F2216" t="s">
        <v>6624</v>
      </c>
      <c r="G2216" s="425">
        <v>7140</v>
      </c>
      <c r="H2216" s="425">
        <v>0</v>
      </c>
      <c r="I2216" s="425">
        <v>0</v>
      </c>
      <c r="J2216" s="425">
        <v>0</v>
      </c>
      <c r="K2216" s="425">
        <v>0</v>
      </c>
      <c r="L2216" s="425">
        <v>0</v>
      </c>
      <c r="M2216" s="425">
        <v>0</v>
      </c>
      <c r="N2216" s="425">
        <v>7140</v>
      </c>
      <c r="O2216" s="425">
        <v>0</v>
      </c>
    </row>
    <row r="2217" spans="3:15" hidden="1" x14ac:dyDescent="0.3">
      <c r="C2217" t="s">
        <v>2295</v>
      </c>
      <c r="D2217" t="s">
        <v>2267</v>
      </c>
      <c r="E2217" t="s">
        <v>6625</v>
      </c>
      <c r="F2217" t="s">
        <v>6626</v>
      </c>
      <c r="G2217" s="425">
        <v>9550</v>
      </c>
      <c r="H2217" s="425">
        <v>0</v>
      </c>
      <c r="I2217" s="425">
        <v>0</v>
      </c>
      <c r="J2217" s="425">
        <v>0</v>
      </c>
      <c r="K2217" s="425">
        <v>0</v>
      </c>
      <c r="L2217" s="425">
        <v>0</v>
      </c>
      <c r="M2217" s="425">
        <v>0</v>
      </c>
      <c r="N2217" s="425">
        <v>9550</v>
      </c>
      <c r="O2217" s="425">
        <v>0</v>
      </c>
    </row>
    <row r="2218" spans="3:15" hidden="1" x14ac:dyDescent="0.3">
      <c r="C2218" t="s">
        <v>2295</v>
      </c>
      <c r="D2218" t="s">
        <v>2267</v>
      </c>
      <c r="E2218" t="s">
        <v>6627</v>
      </c>
      <c r="F2218" t="s">
        <v>6628</v>
      </c>
      <c r="G2218" s="425">
        <v>0</v>
      </c>
      <c r="H2218" s="425">
        <v>0</v>
      </c>
      <c r="I2218" s="425">
        <v>0</v>
      </c>
      <c r="J2218" s="425">
        <v>0</v>
      </c>
      <c r="K2218" s="425">
        <v>0</v>
      </c>
      <c r="L2218" s="425">
        <v>0</v>
      </c>
      <c r="M2218" s="425">
        <v>0</v>
      </c>
      <c r="N2218" s="425">
        <v>0</v>
      </c>
      <c r="O2218" s="425">
        <v>0</v>
      </c>
    </row>
    <row r="2219" spans="3:15" hidden="1" x14ac:dyDescent="0.3">
      <c r="C2219" t="s">
        <v>2295</v>
      </c>
      <c r="D2219" t="s">
        <v>2267</v>
      </c>
      <c r="E2219" t="s">
        <v>6629</v>
      </c>
      <c r="F2219" t="s">
        <v>6630</v>
      </c>
      <c r="G2219" s="425">
        <v>0</v>
      </c>
      <c r="H2219" s="425">
        <v>0</v>
      </c>
      <c r="I2219" s="425">
        <v>0</v>
      </c>
      <c r="J2219" s="425">
        <v>0</v>
      </c>
      <c r="K2219" s="425">
        <v>0</v>
      </c>
      <c r="L2219" s="425">
        <v>0</v>
      </c>
      <c r="M2219" s="425">
        <v>0</v>
      </c>
      <c r="N2219" s="425">
        <v>0</v>
      </c>
      <c r="O2219" s="425">
        <v>0</v>
      </c>
    </row>
    <row r="2220" spans="3:15" hidden="1" x14ac:dyDescent="0.3">
      <c r="C2220" t="s">
        <v>2295</v>
      </c>
      <c r="D2220" t="s">
        <v>2267</v>
      </c>
      <c r="E2220" t="s">
        <v>6631</v>
      </c>
      <c r="F2220" t="s">
        <v>6632</v>
      </c>
      <c r="G2220" s="425">
        <v>0</v>
      </c>
      <c r="H2220" s="425">
        <v>0</v>
      </c>
      <c r="I2220" s="425">
        <v>0</v>
      </c>
      <c r="J2220" s="425">
        <v>0</v>
      </c>
      <c r="K2220" s="425">
        <v>0</v>
      </c>
      <c r="L2220" s="425">
        <v>0</v>
      </c>
      <c r="M2220" s="425">
        <v>0</v>
      </c>
      <c r="N2220" s="425">
        <v>0</v>
      </c>
      <c r="O2220" s="425">
        <v>0</v>
      </c>
    </row>
    <row r="2221" spans="3:15" hidden="1" x14ac:dyDescent="0.3">
      <c r="C2221" t="s">
        <v>2295</v>
      </c>
      <c r="D2221" t="s">
        <v>2267</v>
      </c>
      <c r="E2221" t="s">
        <v>6633</v>
      </c>
      <c r="F2221" t="s">
        <v>6634</v>
      </c>
      <c r="G2221" s="425">
        <v>54</v>
      </c>
      <c r="H2221" s="425">
        <v>0</v>
      </c>
      <c r="I2221" s="425">
        <v>0</v>
      </c>
      <c r="J2221" s="425">
        <v>0</v>
      </c>
      <c r="K2221" s="425">
        <v>0</v>
      </c>
      <c r="L2221" s="425">
        <v>0</v>
      </c>
      <c r="M2221" s="425">
        <v>0</v>
      </c>
      <c r="N2221" s="425">
        <v>54</v>
      </c>
      <c r="O2221" s="425">
        <v>0</v>
      </c>
    </row>
    <row r="2222" spans="3:15" hidden="1" x14ac:dyDescent="0.3">
      <c r="C2222" t="s">
        <v>2295</v>
      </c>
      <c r="D2222" t="s">
        <v>2267</v>
      </c>
      <c r="E2222" t="s">
        <v>6635</v>
      </c>
      <c r="F2222" t="s">
        <v>6636</v>
      </c>
      <c r="G2222" s="425">
        <v>0</v>
      </c>
      <c r="H2222" s="425">
        <v>0</v>
      </c>
      <c r="I2222" s="425">
        <v>0</v>
      </c>
      <c r="J2222" s="425">
        <v>0</v>
      </c>
      <c r="K2222" s="425">
        <v>0</v>
      </c>
      <c r="L2222" s="425">
        <v>0</v>
      </c>
      <c r="M2222" s="425">
        <v>0</v>
      </c>
      <c r="N2222" s="425">
        <v>0</v>
      </c>
      <c r="O2222" s="425">
        <v>0</v>
      </c>
    </row>
    <row r="2223" spans="3:15" hidden="1" x14ac:dyDescent="0.3">
      <c r="C2223" t="s">
        <v>2295</v>
      </c>
      <c r="D2223" t="s">
        <v>2267</v>
      </c>
      <c r="E2223" t="s">
        <v>6637</v>
      </c>
      <c r="F2223" t="s">
        <v>6638</v>
      </c>
      <c r="G2223" s="425">
        <v>0</v>
      </c>
      <c r="H2223" s="425">
        <v>0</v>
      </c>
      <c r="I2223" s="425">
        <v>0</v>
      </c>
      <c r="J2223" s="425">
        <v>0</v>
      </c>
      <c r="K2223" s="425">
        <v>0</v>
      </c>
      <c r="L2223" s="425">
        <v>0</v>
      </c>
      <c r="M2223" s="425">
        <v>0</v>
      </c>
      <c r="N2223" s="425">
        <v>0</v>
      </c>
      <c r="O2223" s="425">
        <v>0</v>
      </c>
    </row>
    <row r="2224" spans="3:15" hidden="1" x14ac:dyDescent="0.3">
      <c r="C2224" t="s">
        <v>2295</v>
      </c>
      <c r="D2224" t="s">
        <v>2267</v>
      </c>
      <c r="E2224" t="s">
        <v>6639</v>
      </c>
      <c r="F2224" t="s">
        <v>6640</v>
      </c>
      <c r="G2224" s="425">
        <v>0</v>
      </c>
      <c r="H2224" s="425">
        <v>0</v>
      </c>
      <c r="I2224" s="425">
        <v>0</v>
      </c>
      <c r="J2224" s="425">
        <v>0</v>
      </c>
      <c r="K2224" s="425">
        <v>0</v>
      </c>
      <c r="L2224" s="425">
        <v>0</v>
      </c>
      <c r="M2224" s="425">
        <v>0</v>
      </c>
      <c r="N2224" s="425">
        <v>0</v>
      </c>
      <c r="O2224" s="425">
        <v>0</v>
      </c>
    </row>
    <row r="2225" spans="3:15" hidden="1" x14ac:dyDescent="0.3">
      <c r="C2225" t="s">
        <v>2295</v>
      </c>
      <c r="D2225" t="s">
        <v>2267</v>
      </c>
      <c r="E2225" t="s">
        <v>6641</v>
      </c>
      <c r="F2225" t="s">
        <v>6642</v>
      </c>
      <c r="G2225" s="425">
        <v>0</v>
      </c>
      <c r="H2225" s="425">
        <v>0</v>
      </c>
      <c r="I2225" s="425">
        <v>0</v>
      </c>
      <c r="J2225" s="425">
        <v>0</v>
      </c>
      <c r="K2225" s="425">
        <v>0</v>
      </c>
      <c r="L2225" s="425">
        <v>0</v>
      </c>
      <c r="M2225" s="425">
        <v>0</v>
      </c>
      <c r="N2225" s="425">
        <v>0</v>
      </c>
      <c r="O2225" s="425">
        <v>0</v>
      </c>
    </row>
    <row r="2226" spans="3:15" hidden="1" x14ac:dyDescent="0.3">
      <c r="C2226" t="s">
        <v>2295</v>
      </c>
      <c r="D2226" t="s">
        <v>2267</v>
      </c>
      <c r="E2226" t="s">
        <v>6643</v>
      </c>
      <c r="F2226" t="s">
        <v>6644</v>
      </c>
      <c r="G2226" s="425">
        <v>0</v>
      </c>
      <c r="H2226" s="425">
        <v>0</v>
      </c>
      <c r="I2226" s="425">
        <v>0</v>
      </c>
      <c r="J2226" s="425">
        <v>0</v>
      </c>
      <c r="K2226" s="425">
        <v>0</v>
      </c>
      <c r="L2226" s="425">
        <v>0</v>
      </c>
      <c r="M2226" s="425">
        <v>0</v>
      </c>
      <c r="N2226" s="425">
        <v>0</v>
      </c>
      <c r="O2226" s="425">
        <v>0</v>
      </c>
    </row>
    <row r="2227" spans="3:15" hidden="1" x14ac:dyDescent="0.3">
      <c r="C2227" t="s">
        <v>2295</v>
      </c>
      <c r="D2227" t="s">
        <v>2267</v>
      </c>
      <c r="E2227" t="s">
        <v>6645</v>
      </c>
      <c r="F2227" t="s">
        <v>6646</v>
      </c>
      <c r="G2227" s="425">
        <v>595813</v>
      </c>
      <c r="H2227" s="425">
        <v>0</v>
      </c>
      <c r="I2227" s="425">
        <v>0</v>
      </c>
      <c r="J2227" s="425">
        <v>0</v>
      </c>
      <c r="K2227" s="425">
        <v>0</v>
      </c>
      <c r="L2227" s="425">
        <v>0</v>
      </c>
      <c r="M2227" s="425">
        <v>0</v>
      </c>
      <c r="N2227" s="425">
        <v>595813</v>
      </c>
      <c r="O2227" s="425">
        <v>0</v>
      </c>
    </row>
    <row r="2228" spans="3:15" hidden="1" x14ac:dyDescent="0.3">
      <c r="C2228" t="s">
        <v>2295</v>
      </c>
      <c r="D2228" t="s">
        <v>2267</v>
      </c>
      <c r="E2228" t="s">
        <v>6647</v>
      </c>
      <c r="F2228" t="s">
        <v>6648</v>
      </c>
      <c r="G2228" s="425">
        <v>56017734</v>
      </c>
      <c r="H2228" s="425">
        <v>0</v>
      </c>
      <c r="I2228" s="425">
        <v>0</v>
      </c>
      <c r="J2228" s="425">
        <v>0</v>
      </c>
      <c r="K2228" s="425">
        <v>0</v>
      </c>
      <c r="L2228" s="425">
        <v>0</v>
      </c>
      <c r="M2228" s="425">
        <v>0</v>
      </c>
      <c r="N2228" s="425">
        <v>56017734</v>
      </c>
      <c r="O2228" s="425">
        <v>0</v>
      </c>
    </row>
    <row r="2229" spans="3:15" hidden="1" x14ac:dyDescent="0.3">
      <c r="C2229" t="s">
        <v>2295</v>
      </c>
      <c r="D2229" t="s">
        <v>2267</v>
      </c>
      <c r="E2229" t="s">
        <v>6649</v>
      </c>
      <c r="F2229" t="s">
        <v>6650</v>
      </c>
      <c r="G2229" s="425">
        <v>0</v>
      </c>
      <c r="H2229" s="425">
        <v>0</v>
      </c>
      <c r="I2229" s="425">
        <v>0</v>
      </c>
      <c r="J2229" s="425">
        <v>0</v>
      </c>
      <c r="K2229" s="425">
        <v>0</v>
      </c>
      <c r="L2229" s="425">
        <v>0</v>
      </c>
      <c r="M2229" s="425">
        <v>0</v>
      </c>
      <c r="N2229" s="425">
        <v>0</v>
      </c>
      <c r="O2229" s="425">
        <v>0</v>
      </c>
    </row>
    <row r="2230" spans="3:15" hidden="1" x14ac:dyDescent="0.3">
      <c r="C2230" t="s">
        <v>2295</v>
      </c>
      <c r="D2230" t="s">
        <v>2267</v>
      </c>
      <c r="E2230" t="s">
        <v>6651</v>
      </c>
      <c r="F2230" t="s">
        <v>6652</v>
      </c>
      <c r="G2230" s="425">
        <v>418903</v>
      </c>
      <c r="H2230" s="425">
        <v>0</v>
      </c>
      <c r="I2230" s="425">
        <v>0</v>
      </c>
      <c r="J2230" s="425">
        <v>0</v>
      </c>
      <c r="K2230" s="425">
        <v>418903</v>
      </c>
      <c r="L2230" s="425">
        <v>0</v>
      </c>
      <c r="M2230" s="425">
        <v>0</v>
      </c>
      <c r="N2230" s="425">
        <v>0</v>
      </c>
      <c r="O2230" s="425">
        <v>0</v>
      </c>
    </row>
    <row r="2231" spans="3:15" hidden="1" x14ac:dyDescent="0.3">
      <c r="C2231" t="s">
        <v>2295</v>
      </c>
      <c r="D2231" t="s">
        <v>2267</v>
      </c>
      <c r="E2231" t="s">
        <v>6653</v>
      </c>
      <c r="F2231" t="s">
        <v>6654</v>
      </c>
      <c r="G2231" s="425">
        <v>0</v>
      </c>
      <c r="H2231" s="425">
        <v>0</v>
      </c>
      <c r="I2231" s="425">
        <v>0</v>
      </c>
      <c r="J2231" s="425">
        <v>0</v>
      </c>
      <c r="K2231" s="425">
        <v>0</v>
      </c>
      <c r="L2231" s="425">
        <v>0</v>
      </c>
      <c r="M2231" s="425">
        <v>0</v>
      </c>
      <c r="N2231" s="425">
        <v>0</v>
      </c>
      <c r="O2231" s="425">
        <v>0</v>
      </c>
    </row>
    <row r="2232" spans="3:15" hidden="1" x14ac:dyDescent="0.3">
      <c r="C2232" t="s">
        <v>2295</v>
      </c>
      <c r="D2232" t="s">
        <v>2267</v>
      </c>
      <c r="E2232" t="s">
        <v>6655</v>
      </c>
      <c r="F2232" t="s">
        <v>6656</v>
      </c>
      <c r="G2232" s="425">
        <v>0</v>
      </c>
      <c r="H2232" s="425">
        <v>0</v>
      </c>
      <c r="I2232" s="425">
        <v>0</v>
      </c>
      <c r="J2232" s="425">
        <v>0</v>
      </c>
      <c r="K2232" s="425">
        <v>0</v>
      </c>
      <c r="L2232" s="425">
        <v>0</v>
      </c>
      <c r="M2232" s="425">
        <v>0</v>
      </c>
      <c r="N2232" s="425">
        <v>0</v>
      </c>
      <c r="O2232" s="425">
        <v>0</v>
      </c>
    </row>
    <row r="2233" spans="3:15" hidden="1" x14ac:dyDescent="0.3">
      <c r="C2233" t="s">
        <v>2295</v>
      </c>
      <c r="D2233" t="s">
        <v>2267</v>
      </c>
      <c r="E2233" t="s">
        <v>6657</v>
      </c>
      <c r="F2233" t="s">
        <v>6658</v>
      </c>
      <c r="G2233" s="425">
        <v>0</v>
      </c>
      <c r="H2233" s="425">
        <v>0</v>
      </c>
      <c r="I2233" s="425">
        <v>0</v>
      </c>
      <c r="J2233" s="425">
        <v>0</v>
      </c>
      <c r="K2233" s="425">
        <v>0</v>
      </c>
      <c r="L2233" s="425">
        <v>0</v>
      </c>
      <c r="M2233" s="425">
        <v>0</v>
      </c>
      <c r="N2233" s="425">
        <v>0</v>
      </c>
      <c r="O2233" s="425">
        <v>0</v>
      </c>
    </row>
    <row r="2234" spans="3:15" hidden="1" x14ac:dyDescent="0.3">
      <c r="C2234" t="s">
        <v>2295</v>
      </c>
      <c r="D2234" t="s">
        <v>2267</v>
      </c>
      <c r="E2234" t="s">
        <v>6659</v>
      </c>
      <c r="F2234" t="s">
        <v>6660</v>
      </c>
      <c r="G2234" s="425">
        <v>0</v>
      </c>
      <c r="H2234" s="425">
        <v>0</v>
      </c>
      <c r="I2234" s="425">
        <v>0</v>
      </c>
      <c r="J2234" s="425">
        <v>0</v>
      </c>
      <c r="K2234" s="425">
        <v>0</v>
      </c>
      <c r="L2234" s="425">
        <v>0</v>
      </c>
      <c r="M2234" s="425">
        <v>0</v>
      </c>
      <c r="N2234" s="425">
        <v>0</v>
      </c>
      <c r="O2234" s="425">
        <v>0</v>
      </c>
    </row>
    <row r="2235" spans="3:15" hidden="1" x14ac:dyDescent="0.3">
      <c r="C2235" t="s">
        <v>2295</v>
      </c>
      <c r="D2235" t="s">
        <v>2267</v>
      </c>
      <c r="E2235" t="s">
        <v>6661</v>
      </c>
      <c r="F2235" t="s">
        <v>6662</v>
      </c>
      <c r="G2235" s="425">
        <v>0</v>
      </c>
      <c r="H2235" s="425">
        <v>0</v>
      </c>
      <c r="I2235" s="425">
        <v>0</v>
      </c>
      <c r="J2235" s="425">
        <v>0</v>
      </c>
      <c r="K2235" s="425">
        <v>0</v>
      </c>
      <c r="L2235" s="425">
        <v>0</v>
      </c>
      <c r="M2235" s="425">
        <v>0</v>
      </c>
      <c r="N2235" s="425">
        <v>0</v>
      </c>
      <c r="O2235" s="425">
        <v>0</v>
      </c>
    </row>
    <row r="2236" spans="3:15" hidden="1" x14ac:dyDescent="0.3">
      <c r="C2236" t="s">
        <v>2295</v>
      </c>
      <c r="D2236" t="s">
        <v>2267</v>
      </c>
      <c r="E2236" t="s">
        <v>6663</v>
      </c>
      <c r="F2236" t="s">
        <v>6664</v>
      </c>
      <c r="G2236" s="425">
        <v>38057736</v>
      </c>
      <c r="H2236" s="425">
        <v>0</v>
      </c>
      <c r="I2236" s="425">
        <v>0</v>
      </c>
      <c r="J2236" s="425">
        <v>0</v>
      </c>
      <c r="K2236" s="425">
        <v>38057736</v>
      </c>
      <c r="L2236" s="425">
        <v>0</v>
      </c>
      <c r="M2236" s="425">
        <v>0</v>
      </c>
      <c r="N2236" s="425">
        <v>0</v>
      </c>
      <c r="O2236" s="425">
        <v>0</v>
      </c>
    </row>
    <row r="2237" spans="3:15" hidden="1" x14ac:dyDescent="0.3">
      <c r="C2237" t="s">
        <v>2295</v>
      </c>
      <c r="D2237" t="s">
        <v>2267</v>
      </c>
      <c r="E2237" t="s">
        <v>6665</v>
      </c>
      <c r="F2237" t="s">
        <v>6666</v>
      </c>
      <c r="G2237" s="425">
        <v>0</v>
      </c>
      <c r="H2237" s="425">
        <v>0</v>
      </c>
      <c r="I2237" s="425">
        <v>0</v>
      </c>
      <c r="J2237" s="425">
        <v>0</v>
      </c>
      <c r="K2237" s="425">
        <v>0</v>
      </c>
      <c r="L2237" s="425">
        <v>0</v>
      </c>
      <c r="M2237" s="425">
        <v>0</v>
      </c>
      <c r="N2237" s="425">
        <v>0</v>
      </c>
      <c r="O2237" s="425">
        <v>0</v>
      </c>
    </row>
    <row r="2238" spans="3:15" hidden="1" x14ac:dyDescent="0.3">
      <c r="C2238" t="s">
        <v>2295</v>
      </c>
      <c r="D2238" t="s">
        <v>2267</v>
      </c>
      <c r="E2238" t="s">
        <v>6667</v>
      </c>
      <c r="F2238" t="s">
        <v>6668</v>
      </c>
      <c r="G2238" s="425">
        <v>0</v>
      </c>
      <c r="H2238" s="425">
        <v>0</v>
      </c>
      <c r="I2238" s="425">
        <v>0</v>
      </c>
      <c r="J2238" s="425">
        <v>0</v>
      </c>
      <c r="K2238" s="425">
        <v>0</v>
      </c>
      <c r="L2238" s="425">
        <v>0</v>
      </c>
      <c r="M2238" s="425">
        <v>0</v>
      </c>
      <c r="N2238" s="425">
        <v>0</v>
      </c>
      <c r="O2238" s="425">
        <v>0</v>
      </c>
    </row>
    <row r="2239" spans="3:15" hidden="1" x14ac:dyDescent="0.3">
      <c r="C2239" t="s">
        <v>2295</v>
      </c>
      <c r="D2239" t="s">
        <v>2267</v>
      </c>
      <c r="E2239" t="s">
        <v>6669</v>
      </c>
      <c r="F2239" t="s">
        <v>6670</v>
      </c>
      <c r="G2239" s="425">
        <v>0</v>
      </c>
      <c r="H2239" s="425">
        <v>0</v>
      </c>
      <c r="I2239" s="425">
        <v>0</v>
      </c>
      <c r="J2239" s="425">
        <v>0</v>
      </c>
      <c r="K2239" s="425">
        <v>0</v>
      </c>
      <c r="L2239" s="425">
        <v>0</v>
      </c>
      <c r="M2239" s="425">
        <v>0</v>
      </c>
      <c r="N2239" s="425">
        <v>0</v>
      </c>
      <c r="O2239" s="425">
        <v>0</v>
      </c>
    </row>
    <row r="2240" spans="3:15" hidden="1" x14ac:dyDescent="0.3">
      <c r="C2240" t="s">
        <v>2295</v>
      </c>
      <c r="D2240" t="s">
        <v>2267</v>
      </c>
      <c r="E2240" t="s">
        <v>6671</v>
      </c>
      <c r="F2240" t="s">
        <v>6672</v>
      </c>
      <c r="G2240" s="425">
        <v>0</v>
      </c>
      <c r="H2240" s="425">
        <v>0</v>
      </c>
      <c r="I2240" s="425">
        <v>0</v>
      </c>
      <c r="J2240" s="425">
        <v>0</v>
      </c>
      <c r="K2240" s="425">
        <v>0</v>
      </c>
      <c r="L2240" s="425">
        <v>0</v>
      </c>
      <c r="M2240" s="425">
        <v>0</v>
      </c>
      <c r="N2240" s="425">
        <v>0</v>
      </c>
      <c r="O2240" s="425">
        <v>0</v>
      </c>
    </row>
    <row r="2241" spans="3:15" hidden="1" x14ac:dyDescent="0.3">
      <c r="C2241" t="s">
        <v>2295</v>
      </c>
      <c r="D2241" t="s">
        <v>2267</v>
      </c>
      <c r="E2241" t="s">
        <v>6673</v>
      </c>
      <c r="F2241" t="s">
        <v>6674</v>
      </c>
      <c r="G2241" s="425">
        <v>0</v>
      </c>
      <c r="H2241" s="425">
        <v>0</v>
      </c>
      <c r="I2241" s="425">
        <v>0</v>
      </c>
      <c r="J2241" s="425">
        <v>0</v>
      </c>
      <c r="K2241" s="425">
        <v>0</v>
      </c>
      <c r="L2241" s="425">
        <v>0</v>
      </c>
      <c r="M2241" s="425">
        <v>0</v>
      </c>
      <c r="N2241" s="425">
        <v>0</v>
      </c>
      <c r="O2241" s="425">
        <v>0</v>
      </c>
    </row>
    <row r="2242" spans="3:15" hidden="1" x14ac:dyDescent="0.3">
      <c r="C2242" t="s">
        <v>2295</v>
      </c>
      <c r="D2242" t="s">
        <v>2267</v>
      </c>
      <c r="E2242" t="s">
        <v>6675</v>
      </c>
      <c r="F2242" t="s">
        <v>6676</v>
      </c>
      <c r="G2242" s="425">
        <v>0</v>
      </c>
      <c r="H2242" s="425">
        <v>0</v>
      </c>
      <c r="I2242" s="425">
        <v>0</v>
      </c>
      <c r="J2242" s="425">
        <v>0</v>
      </c>
      <c r="K2242" s="425">
        <v>0</v>
      </c>
      <c r="L2242" s="425">
        <v>0</v>
      </c>
      <c r="M2242" s="425">
        <v>0</v>
      </c>
      <c r="N2242" s="425">
        <v>0</v>
      </c>
      <c r="O2242" s="425">
        <v>0</v>
      </c>
    </row>
    <row r="2243" spans="3:15" hidden="1" x14ac:dyDescent="0.3">
      <c r="C2243" t="s">
        <v>2295</v>
      </c>
      <c r="D2243" t="s">
        <v>2267</v>
      </c>
      <c r="E2243" t="s">
        <v>6677</v>
      </c>
      <c r="F2243" t="s">
        <v>6678</v>
      </c>
      <c r="G2243" s="425">
        <v>0</v>
      </c>
      <c r="H2243" s="425">
        <v>0</v>
      </c>
      <c r="I2243" s="425">
        <v>0</v>
      </c>
      <c r="J2243" s="425">
        <v>0</v>
      </c>
      <c r="K2243" s="425">
        <v>0</v>
      </c>
      <c r="L2243" s="425">
        <v>0</v>
      </c>
      <c r="M2243" s="425">
        <v>0</v>
      </c>
      <c r="N2243" s="425">
        <v>0</v>
      </c>
      <c r="O2243" s="425">
        <v>0</v>
      </c>
    </row>
    <row r="2244" spans="3:15" hidden="1" x14ac:dyDescent="0.3">
      <c r="C2244" t="s">
        <v>2295</v>
      </c>
      <c r="D2244" t="s">
        <v>2267</v>
      </c>
      <c r="E2244" t="s">
        <v>6679</v>
      </c>
      <c r="F2244" t="s">
        <v>6680</v>
      </c>
      <c r="G2244" s="425">
        <v>0</v>
      </c>
      <c r="H2244" s="425">
        <v>0</v>
      </c>
      <c r="I2244" s="425">
        <v>0</v>
      </c>
      <c r="J2244" s="425">
        <v>0</v>
      </c>
      <c r="K2244" s="425">
        <v>0</v>
      </c>
      <c r="L2244" s="425">
        <v>0</v>
      </c>
      <c r="M2244" s="425">
        <v>0</v>
      </c>
      <c r="N2244" s="425">
        <v>0</v>
      </c>
      <c r="O2244" s="425">
        <v>0</v>
      </c>
    </row>
    <row r="2245" spans="3:15" hidden="1" x14ac:dyDescent="0.3">
      <c r="C2245" t="s">
        <v>2295</v>
      </c>
      <c r="D2245" t="s">
        <v>2267</v>
      </c>
      <c r="E2245" t="s">
        <v>6681</v>
      </c>
      <c r="F2245" t="s">
        <v>6682</v>
      </c>
      <c r="G2245" s="425">
        <v>0</v>
      </c>
      <c r="H2245" s="425">
        <v>0</v>
      </c>
      <c r="I2245" s="425">
        <v>0</v>
      </c>
      <c r="J2245" s="425">
        <v>0</v>
      </c>
      <c r="K2245" s="425">
        <v>0</v>
      </c>
      <c r="L2245" s="425">
        <v>0</v>
      </c>
      <c r="M2245" s="425">
        <v>0</v>
      </c>
      <c r="N2245" s="425">
        <v>0</v>
      </c>
      <c r="O2245" s="425">
        <v>0</v>
      </c>
    </row>
    <row r="2246" spans="3:15" hidden="1" x14ac:dyDescent="0.3">
      <c r="C2246" t="s">
        <v>2295</v>
      </c>
      <c r="D2246" t="s">
        <v>2267</v>
      </c>
      <c r="E2246" t="s">
        <v>6683</v>
      </c>
      <c r="F2246" t="s">
        <v>6684</v>
      </c>
      <c r="G2246" s="425">
        <v>0</v>
      </c>
      <c r="H2246" s="425">
        <v>0</v>
      </c>
      <c r="I2246" s="425">
        <v>0</v>
      </c>
      <c r="J2246" s="425">
        <v>0</v>
      </c>
      <c r="K2246" s="425">
        <v>0</v>
      </c>
      <c r="L2246" s="425">
        <v>0</v>
      </c>
      <c r="M2246" s="425">
        <v>0</v>
      </c>
      <c r="N2246" s="425">
        <v>0</v>
      </c>
      <c r="O2246" s="425">
        <v>0</v>
      </c>
    </row>
    <row r="2247" spans="3:15" hidden="1" x14ac:dyDescent="0.3">
      <c r="C2247" t="s">
        <v>2295</v>
      </c>
      <c r="D2247" t="s">
        <v>2267</v>
      </c>
      <c r="E2247" t="s">
        <v>6685</v>
      </c>
      <c r="F2247" t="s">
        <v>6686</v>
      </c>
      <c r="G2247" s="425">
        <v>0</v>
      </c>
      <c r="H2247" s="425">
        <v>0</v>
      </c>
      <c r="I2247" s="425">
        <v>0</v>
      </c>
      <c r="J2247" s="425">
        <v>0</v>
      </c>
      <c r="K2247" s="425">
        <v>0</v>
      </c>
      <c r="L2247" s="425">
        <v>0</v>
      </c>
      <c r="M2247" s="425">
        <v>0</v>
      </c>
      <c r="N2247" s="425">
        <v>0</v>
      </c>
      <c r="O2247" s="425">
        <v>0</v>
      </c>
    </row>
    <row r="2248" spans="3:15" hidden="1" x14ac:dyDescent="0.3">
      <c r="C2248" t="s">
        <v>2295</v>
      </c>
      <c r="D2248" t="s">
        <v>2267</v>
      </c>
      <c r="E2248" t="s">
        <v>6687</v>
      </c>
      <c r="F2248" t="s">
        <v>6688</v>
      </c>
      <c r="G2248" s="425">
        <v>0</v>
      </c>
      <c r="H2248" s="425">
        <v>0</v>
      </c>
      <c r="I2248" s="425">
        <v>0</v>
      </c>
      <c r="J2248" s="425">
        <v>0</v>
      </c>
      <c r="K2248" s="425">
        <v>0</v>
      </c>
      <c r="L2248" s="425">
        <v>0</v>
      </c>
      <c r="M2248" s="425">
        <v>0</v>
      </c>
      <c r="N2248" s="425">
        <v>0</v>
      </c>
      <c r="O2248" s="425">
        <v>0</v>
      </c>
    </row>
    <row r="2249" spans="3:15" hidden="1" x14ac:dyDescent="0.3">
      <c r="C2249" t="s">
        <v>2295</v>
      </c>
      <c r="D2249" t="s">
        <v>2267</v>
      </c>
      <c r="E2249" t="s">
        <v>6689</v>
      </c>
      <c r="F2249" t="s">
        <v>6690</v>
      </c>
      <c r="G2249" s="425">
        <v>0</v>
      </c>
      <c r="H2249" s="425">
        <v>0</v>
      </c>
      <c r="I2249" s="425">
        <v>0</v>
      </c>
      <c r="J2249" s="425">
        <v>0</v>
      </c>
      <c r="K2249" s="425">
        <v>0</v>
      </c>
      <c r="L2249" s="425">
        <v>0</v>
      </c>
      <c r="M2249" s="425">
        <v>0</v>
      </c>
      <c r="N2249" s="425">
        <v>0</v>
      </c>
      <c r="O2249" s="425">
        <v>0</v>
      </c>
    </row>
    <row r="2250" spans="3:15" hidden="1" x14ac:dyDescent="0.3">
      <c r="C2250" t="s">
        <v>2295</v>
      </c>
      <c r="D2250" t="s">
        <v>2267</v>
      </c>
      <c r="E2250" t="s">
        <v>6691</v>
      </c>
      <c r="F2250" t="s">
        <v>6692</v>
      </c>
      <c r="G2250" s="425">
        <v>1337</v>
      </c>
      <c r="H2250" s="425">
        <v>0</v>
      </c>
      <c r="I2250" s="425">
        <v>0</v>
      </c>
      <c r="J2250" s="425">
        <v>0</v>
      </c>
      <c r="K2250" s="425">
        <v>1337</v>
      </c>
      <c r="L2250" s="425">
        <v>0</v>
      </c>
      <c r="M2250" s="425">
        <v>0</v>
      </c>
      <c r="N2250" s="425">
        <v>0</v>
      </c>
      <c r="O2250" s="425">
        <v>0</v>
      </c>
    </row>
    <row r="2251" spans="3:15" hidden="1" x14ac:dyDescent="0.3">
      <c r="C2251" t="s">
        <v>2295</v>
      </c>
      <c r="D2251" t="s">
        <v>2267</v>
      </c>
      <c r="E2251" t="s">
        <v>6693</v>
      </c>
      <c r="F2251" t="s">
        <v>6694</v>
      </c>
      <c r="G2251" s="425">
        <v>0</v>
      </c>
      <c r="H2251" s="425">
        <v>0</v>
      </c>
      <c r="I2251" s="425">
        <v>0</v>
      </c>
      <c r="J2251" s="425">
        <v>0</v>
      </c>
      <c r="K2251" s="425">
        <v>0</v>
      </c>
      <c r="L2251" s="425">
        <v>0</v>
      </c>
      <c r="M2251" s="425">
        <v>0</v>
      </c>
      <c r="N2251" s="425">
        <v>0</v>
      </c>
      <c r="O2251" s="425">
        <v>0</v>
      </c>
    </row>
    <row r="2252" spans="3:15" hidden="1" x14ac:dyDescent="0.3">
      <c r="C2252" t="s">
        <v>2295</v>
      </c>
      <c r="D2252" t="s">
        <v>2267</v>
      </c>
      <c r="E2252" t="s">
        <v>6695</v>
      </c>
      <c r="F2252" t="s">
        <v>6696</v>
      </c>
      <c r="G2252" s="425">
        <v>0</v>
      </c>
      <c r="H2252" s="425">
        <v>0</v>
      </c>
      <c r="I2252" s="425">
        <v>0</v>
      </c>
      <c r="J2252" s="425">
        <v>0</v>
      </c>
      <c r="K2252" s="425">
        <v>0</v>
      </c>
      <c r="L2252" s="425">
        <v>0</v>
      </c>
      <c r="M2252" s="425">
        <v>0</v>
      </c>
      <c r="N2252" s="425">
        <v>0</v>
      </c>
      <c r="O2252" s="425">
        <v>0</v>
      </c>
    </row>
    <row r="2253" spans="3:15" hidden="1" x14ac:dyDescent="0.3">
      <c r="C2253" t="s">
        <v>2295</v>
      </c>
      <c r="D2253" t="s">
        <v>2267</v>
      </c>
      <c r="E2253" t="s">
        <v>6697</v>
      </c>
      <c r="F2253" t="s">
        <v>6698</v>
      </c>
      <c r="G2253" s="425">
        <v>225789</v>
      </c>
      <c r="H2253" s="425">
        <v>0</v>
      </c>
      <c r="I2253" s="425">
        <v>0</v>
      </c>
      <c r="J2253" s="425">
        <v>0</v>
      </c>
      <c r="K2253" s="425">
        <v>0</v>
      </c>
      <c r="L2253" s="425">
        <v>0</v>
      </c>
      <c r="M2253" s="425">
        <v>0</v>
      </c>
      <c r="N2253" s="425">
        <v>225789</v>
      </c>
      <c r="O2253" s="425">
        <v>0</v>
      </c>
    </row>
    <row r="2254" spans="3:15" hidden="1" x14ac:dyDescent="0.3">
      <c r="C2254" t="s">
        <v>2295</v>
      </c>
      <c r="D2254" t="s">
        <v>2267</v>
      </c>
      <c r="E2254" t="s">
        <v>6699</v>
      </c>
      <c r="F2254" t="s">
        <v>6700</v>
      </c>
      <c r="G2254" s="425">
        <v>139150</v>
      </c>
      <c r="H2254" s="425">
        <v>0</v>
      </c>
      <c r="I2254" s="425">
        <v>0</v>
      </c>
      <c r="J2254" s="425">
        <v>0</v>
      </c>
      <c r="K2254" s="425">
        <v>0</v>
      </c>
      <c r="L2254" s="425">
        <v>0</v>
      </c>
      <c r="M2254" s="425">
        <v>0</v>
      </c>
      <c r="N2254" s="425">
        <v>139150</v>
      </c>
      <c r="O2254" s="425">
        <v>0</v>
      </c>
    </row>
    <row r="2255" spans="3:15" hidden="1" x14ac:dyDescent="0.3">
      <c r="C2255" t="s">
        <v>2295</v>
      </c>
      <c r="D2255" t="s">
        <v>2267</v>
      </c>
      <c r="E2255" t="s">
        <v>6701</v>
      </c>
      <c r="F2255" t="s">
        <v>6702</v>
      </c>
      <c r="G2255" s="425">
        <v>0</v>
      </c>
      <c r="H2255" s="425">
        <v>0</v>
      </c>
      <c r="I2255" s="425">
        <v>0</v>
      </c>
      <c r="J2255" s="425">
        <v>0</v>
      </c>
      <c r="K2255" s="425">
        <v>0</v>
      </c>
      <c r="L2255" s="425">
        <v>0</v>
      </c>
      <c r="M2255" s="425">
        <v>0</v>
      </c>
      <c r="N2255" s="425">
        <v>0</v>
      </c>
      <c r="O2255" s="425">
        <v>0</v>
      </c>
    </row>
    <row r="2256" spans="3:15" hidden="1" x14ac:dyDescent="0.3">
      <c r="C2256" t="s">
        <v>2295</v>
      </c>
      <c r="D2256" t="s">
        <v>2267</v>
      </c>
      <c r="E2256" t="s">
        <v>6703</v>
      </c>
      <c r="F2256" t="s">
        <v>6704</v>
      </c>
      <c r="G2256" s="425">
        <v>0</v>
      </c>
      <c r="H2256" s="425">
        <v>0</v>
      </c>
      <c r="I2256" s="425">
        <v>0</v>
      </c>
      <c r="J2256" s="425">
        <v>0</v>
      </c>
      <c r="K2256" s="425">
        <v>0</v>
      </c>
      <c r="L2256" s="425">
        <v>0</v>
      </c>
      <c r="M2256" s="425">
        <v>0</v>
      </c>
      <c r="N2256" s="425">
        <v>0</v>
      </c>
      <c r="O2256" s="425">
        <v>0</v>
      </c>
    </row>
    <row r="2257" spans="3:15" hidden="1" x14ac:dyDescent="0.3">
      <c r="C2257" t="s">
        <v>2295</v>
      </c>
      <c r="D2257" t="s">
        <v>2267</v>
      </c>
      <c r="E2257" t="s">
        <v>6705</v>
      </c>
      <c r="F2257" t="s">
        <v>6706</v>
      </c>
      <c r="G2257" s="425">
        <v>0</v>
      </c>
      <c r="H2257" s="425">
        <v>0</v>
      </c>
      <c r="I2257" s="425">
        <v>0</v>
      </c>
      <c r="J2257" s="425">
        <v>0</v>
      </c>
      <c r="K2257" s="425">
        <v>0</v>
      </c>
      <c r="L2257" s="425">
        <v>0</v>
      </c>
      <c r="M2257" s="425">
        <v>0</v>
      </c>
      <c r="N2257" s="425">
        <v>0</v>
      </c>
      <c r="O2257" s="425">
        <v>0</v>
      </c>
    </row>
    <row r="2258" spans="3:15" hidden="1" x14ac:dyDescent="0.3">
      <c r="C2258" t="s">
        <v>2295</v>
      </c>
      <c r="D2258" t="s">
        <v>2267</v>
      </c>
      <c r="E2258" t="s">
        <v>6707</v>
      </c>
      <c r="F2258" t="s">
        <v>6708</v>
      </c>
      <c r="G2258" s="425">
        <v>0</v>
      </c>
      <c r="H2258" s="425">
        <v>0</v>
      </c>
      <c r="I2258" s="425">
        <v>0</v>
      </c>
      <c r="J2258" s="425">
        <v>0</v>
      </c>
      <c r="K2258" s="425">
        <v>0</v>
      </c>
      <c r="L2258" s="425">
        <v>0</v>
      </c>
      <c r="M2258" s="425">
        <v>0</v>
      </c>
      <c r="N2258" s="425">
        <v>0</v>
      </c>
      <c r="O2258" s="425">
        <v>0</v>
      </c>
    </row>
    <row r="2259" spans="3:15" hidden="1" x14ac:dyDescent="0.3">
      <c r="C2259" t="s">
        <v>2295</v>
      </c>
      <c r="D2259" t="s">
        <v>2267</v>
      </c>
      <c r="E2259" t="s">
        <v>6709</v>
      </c>
      <c r="F2259" t="s">
        <v>6710</v>
      </c>
      <c r="G2259" s="425">
        <v>0</v>
      </c>
      <c r="H2259" s="425">
        <v>0</v>
      </c>
      <c r="I2259" s="425">
        <v>0</v>
      </c>
      <c r="J2259" s="425">
        <v>0</v>
      </c>
      <c r="K2259" s="425">
        <v>0</v>
      </c>
      <c r="L2259" s="425">
        <v>0</v>
      </c>
      <c r="M2259" s="425">
        <v>0</v>
      </c>
      <c r="N2259" s="425">
        <v>0</v>
      </c>
      <c r="O2259" s="425">
        <v>0</v>
      </c>
    </row>
    <row r="2260" spans="3:15" hidden="1" x14ac:dyDescent="0.3">
      <c r="C2260" t="s">
        <v>2295</v>
      </c>
      <c r="D2260" t="s">
        <v>2267</v>
      </c>
      <c r="E2260" t="s">
        <v>6711</v>
      </c>
      <c r="F2260" t="s">
        <v>6712</v>
      </c>
      <c r="G2260" s="425">
        <v>17498752</v>
      </c>
      <c r="H2260" s="425">
        <v>0</v>
      </c>
      <c r="I2260" s="425">
        <v>0</v>
      </c>
      <c r="J2260" s="425">
        <v>0</v>
      </c>
      <c r="K2260" s="425">
        <v>0</v>
      </c>
      <c r="L2260" s="425">
        <v>0</v>
      </c>
      <c r="M2260" s="425">
        <v>0</v>
      </c>
      <c r="N2260" s="425">
        <v>17498752</v>
      </c>
      <c r="O2260" s="425">
        <v>0</v>
      </c>
    </row>
    <row r="2261" spans="3:15" hidden="1" x14ac:dyDescent="0.3">
      <c r="C2261" t="s">
        <v>2295</v>
      </c>
      <c r="D2261" t="s">
        <v>2267</v>
      </c>
      <c r="E2261" t="s">
        <v>6713</v>
      </c>
      <c r="F2261" t="s">
        <v>6714</v>
      </c>
      <c r="G2261" s="425">
        <v>0</v>
      </c>
      <c r="H2261" s="425">
        <v>0</v>
      </c>
      <c r="I2261" s="425">
        <v>0</v>
      </c>
      <c r="J2261" s="425">
        <v>0</v>
      </c>
      <c r="K2261" s="425">
        <v>0</v>
      </c>
      <c r="L2261" s="425">
        <v>0</v>
      </c>
      <c r="M2261" s="425">
        <v>0</v>
      </c>
      <c r="N2261" s="425">
        <v>0</v>
      </c>
      <c r="O2261" s="425">
        <v>0</v>
      </c>
    </row>
    <row r="2262" spans="3:15" hidden="1" x14ac:dyDescent="0.3">
      <c r="C2262" t="s">
        <v>2295</v>
      </c>
      <c r="D2262" t="s">
        <v>2267</v>
      </c>
      <c r="E2262" t="s">
        <v>6715</v>
      </c>
      <c r="F2262" t="s">
        <v>6716</v>
      </c>
      <c r="G2262" s="425">
        <v>2386</v>
      </c>
      <c r="H2262" s="425">
        <v>0</v>
      </c>
      <c r="I2262" s="425">
        <v>0</v>
      </c>
      <c r="J2262" s="425">
        <v>0</v>
      </c>
      <c r="K2262" s="425">
        <v>0</v>
      </c>
      <c r="L2262" s="425">
        <v>0</v>
      </c>
      <c r="M2262" s="425">
        <v>0</v>
      </c>
      <c r="N2262" s="425">
        <v>2386</v>
      </c>
      <c r="O2262" s="425">
        <v>0</v>
      </c>
    </row>
    <row r="2263" spans="3:15" hidden="1" x14ac:dyDescent="0.3">
      <c r="C2263" t="s">
        <v>2295</v>
      </c>
      <c r="D2263" t="s">
        <v>2267</v>
      </c>
      <c r="E2263" t="s">
        <v>6717</v>
      </c>
      <c r="F2263" t="s">
        <v>6718</v>
      </c>
      <c r="G2263" s="425">
        <v>3150275342</v>
      </c>
      <c r="H2263" s="425">
        <v>0</v>
      </c>
      <c r="I2263" s="425">
        <v>0</v>
      </c>
      <c r="J2263" s="425">
        <v>0</v>
      </c>
      <c r="K2263" s="425">
        <v>0</v>
      </c>
      <c r="L2263" s="425">
        <v>0</v>
      </c>
      <c r="M2263" s="425">
        <v>0</v>
      </c>
      <c r="N2263" s="425">
        <v>3150275342</v>
      </c>
      <c r="O2263" s="425">
        <v>0</v>
      </c>
    </row>
    <row r="2264" spans="3:15" hidden="1" x14ac:dyDescent="0.3">
      <c r="C2264" t="s">
        <v>2295</v>
      </c>
      <c r="D2264" t="s">
        <v>2267</v>
      </c>
      <c r="E2264" t="s">
        <v>6719</v>
      </c>
      <c r="F2264" t="s">
        <v>6720</v>
      </c>
      <c r="G2264" s="425">
        <v>7321316</v>
      </c>
      <c r="H2264" s="425">
        <v>0</v>
      </c>
      <c r="I2264" s="425">
        <v>0</v>
      </c>
      <c r="J2264" s="425">
        <v>0</v>
      </c>
      <c r="K2264" s="425">
        <v>0</v>
      </c>
      <c r="L2264" s="425">
        <v>0</v>
      </c>
      <c r="M2264" s="425">
        <v>0</v>
      </c>
      <c r="N2264" s="425">
        <v>7321316</v>
      </c>
      <c r="O2264" s="425">
        <v>0</v>
      </c>
    </row>
    <row r="2265" spans="3:15" hidden="1" x14ac:dyDescent="0.3">
      <c r="C2265" t="s">
        <v>2295</v>
      </c>
      <c r="D2265" t="s">
        <v>2267</v>
      </c>
      <c r="E2265" t="s">
        <v>6721</v>
      </c>
      <c r="F2265" t="s">
        <v>6722</v>
      </c>
      <c r="G2265" s="425">
        <v>0</v>
      </c>
      <c r="H2265" s="425">
        <v>0</v>
      </c>
      <c r="I2265" s="425">
        <v>0</v>
      </c>
      <c r="J2265" s="425">
        <v>0</v>
      </c>
      <c r="K2265" s="425">
        <v>0</v>
      </c>
      <c r="L2265" s="425">
        <v>0</v>
      </c>
      <c r="M2265" s="425">
        <v>0</v>
      </c>
      <c r="N2265" s="425">
        <v>0</v>
      </c>
      <c r="O2265" s="425">
        <v>0</v>
      </c>
    </row>
    <row r="2266" spans="3:15" hidden="1" x14ac:dyDescent="0.3">
      <c r="C2266" t="s">
        <v>2295</v>
      </c>
      <c r="D2266" t="s">
        <v>2267</v>
      </c>
      <c r="E2266" t="s">
        <v>6723</v>
      </c>
      <c r="F2266" t="s">
        <v>6724</v>
      </c>
      <c r="G2266" s="425">
        <v>7960024221</v>
      </c>
      <c r="H2266" s="425">
        <v>0</v>
      </c>
      <c r="I2266" s="425">
        <v>0</v>
      </c>
      <c r="J2266" s="425">
        <v>0</v>
      </c>
      <c r="K2266" s="425">
        <v>0</v>
      </c>
      <c r="L2266" s="425">
        <v>0</v>
      </c>
      <c r="M2266" s="425">
        <v>0</v>
      </c>
      <c r="N2266" s="425">
        <v>7960024221</v>
      </c>
      <c r="O2266" s="425">
        <v>0</v>
      </c>
    </row>
    <row r="2267" spans="3:15" hidden="1" x14ac:dyDescent="0.3">
      <c r="C2267" t="s">
        <v>2295</v>
      </c>
      <c r="D2267" t="s">
        <v>2267</v>
      </c>
      <c r="E2267" t="s">
        <v>6725</v>
      </c>
      <c r="F2267" t="s">
        <v>6726</v>
      </c>
      <c r="G2267" s="425">
        <v>42513</v>
      </c>
      <c r="H2267" s="425">
        <v>0</v>
      </c>
      <c r="I2267" s="425">
        <v>0</v>
      </c>
      <c r="J2267" s="425">
        <v>0</v>
      </c>
      <c r="K2267" s="425">
        <v>0</v>
      </c>
      <c r="L2267" s="425">
        <v>0</v>
      </c>
      <c r="M2267" s="425">
        <v>0</v>
      </c>
      <c r="N2267" s="425">
        <v>42513</v>
      </c>
      <c r="O2267" s="425">
        <v>0</v>
      </c>
    </row>
    <row r="2268" spans="3:15" hidden="1" x14ac:dyDescent="0.3">
      <c r="C2268" t="s">
        <v>2295</v>
      </c>
      <c r="D2268" t="s">
        <v>2267</v>
      </c>
      <c r="E2268" t="s">
        <v>6727</v>
      </c>
      <c r="F2268" t="s">
        <v>6728</v>
      </c>
      <c r="G2268" s="425">
        <v>0</v>
      </c>
      <c r="H2268" s="425">
        <v>0</v>
      </c>
      <c r="I2268" s="425">
        <v>0</v>
      </c>
      <c r="J2268" s="425">
        <v>0</v>
      </c>
      <c r="K2268" s="425">
        <v>0</v>
      </c>
      <c r="L2268" s="425">
        <v>0</v>
      </c>
      <c r="M2268" s="425">
        <v>0</v>
      </c>
      <c r="N2268" s="425">
        <v>0</v>
      </c>
      <c r="O2268" s="425">
        <v>0</v>
      </c>
    </row>
    <row r="2269" spans="3:15" hidden="1" x14ac:dyDescent="0.3">
      <c r="C2269" t="s">
        <v>2295</v>
      </c>
      <c r="D2269" t="s">
        <v>2267</v>
      </c>
      <c r="E2269" t="s">
        <v>6729</v>
      </c>
      <c r="F2269" t="s">
        <v>6730</v>
      </c>
      <c r="G2269" s="425">
        <v>10725191</v>
      </c>
      <c r="H2269" s="425">
        <v>0</v>
      </c>
      <c r="I2269" s="425">
        <v>0</v>
      </c>
      <c r="J2269" s="425">
        <v>0</v>
      </c>
      <c r="K2269" s="425">
        <v>0</v>
      </c>
      <c r="L2269" s="425">
        <v>0</v>
      </c>
      <c r="M2269" s="425">
        <v>0</v>
      </c>
      <c r="N2269" s="425">
        <v>10725191</v>
      </c>
      <c r="O2269" s="425">
        <v>0</v>
      </c>
    </row>
    <row r="2270" spans="3:15" hidden="1" x14ac:dyDescent="0.3">
      <c r="C2270" t="s">
        <v>2295</v>
      </c>
      <c r="D2270" t="s">
        <v>2267</v>
      </c>
      <c r="E2270" t="s">
        <v>6731</v>
      </c>
      <c r="F2270" t="s">
        <v>6732</v>
      </c>
      <c r="G2270" s="425">
        <v>0</v>
      </c>
      <c r="H2270" s="425">
        <v>0</v>
      </c>
      <c r="I2270" s="425">
        <v>0</v>
      </c>
      <c r="J2270" s="425">
        <v>0</v>
      </c>
      <c r="K2270" s="425">
        <v>0</v>
      </c>
      <c r="L2270" s="425">
        <v>0</v>
      </c>
      <c r="M2270" s="425">
        <v>0</v>
      </c>
      <c r="N2270" s="425">
        <v>0</v>
      </c>
      <c r="O2270" s="425">
        <v>0</v>
      </c>
    </row>
    <row r="2271" spans="3:15" hidden="1" x14ac:dyDescent="0.3">
      <c r="C2271" t="s">
        <v>2295</v>
      </c>
      <c r="D2271" t="s">
        <v>2267</v>
      </c>
      <c r="E2271" t="s">
        <v>6733</v>
      </c>
      <c r="F2271" t="s">
        <v>6734</v>
      </c>
      <c r="G2271" s="425">
        <v>6038</v>
      </c>
      <c r="H2271" s="425">
        <v>0</v>
      </c>
      <c r="I2271" s="425">
        <v>0</v>
      </c>
      <c r="J2271" s="425">
        <v>0</v>
      </c>
      <c r="K2271" s="425">
        <v>0</v>
      </c>
      <c r="L2271" s="425">
        <v>0</v>
      </c>
      <c r="M2271" s="425">
        <v>0</v>
      </c>
      <c r="N2271" s="425">
        <v>6038</v>
      </c>
      <c r="O2271" s="425">
        <v>0</v>
      </c>
    </row>
    <row r="2272" spans="3:15" hidden="1" x14ac:dyDescent="0.3">
      <c r="C2272" t="s">
        <v>2295</v>
      </c>
      <c r="D2272" t="s">
        <v>2267</v>
      </c>
      <c r="E2272" t="s">
        <v>6735</v>
      </c>
      <c r="F2272" t="s">
        <v>6736</v>
      </c>
      <c r="G2272" s="425">
        <v>0</v>
      </c>
      <c r="H2272" s="425">
        <v>0</v>
      </c>
      <c r="I2272" s="425">
        <v>0</v>
      </c>
      <c r="J2272" s="425">
        <v>0</v>
      </c>
      <c r="K2272" s="425">
        <v>0</v>
      </c>
      <c r="L2272" s="425">
        <v>0</v>
      </c>
      <c r="M2272" s="425">
        <v>0</v>
      </c>
      <c r="N2272" s="425">
        <v>0</v>
      </c>
      <c r="O2272" s="425">
        <v>0</v>
      </c>
    </row>
    <row r="2273" spans="3:15" hidden="1" x14ac:dyDescent="0.3">
      <c r="C2273" t="s">
        <v>2295</v>
      </c>
      <c r="D2273" t="s">
        <v>2267</v>
      </c>
      <c r="E2273" t="s">
        <v>6737</v>
      </c>
      <c r="F2273" t="s">
        <v>6738</v>
      </c>
      <c r="G2273" s="425">
        <v>1528302275</v>
      </c>
      <c r="H2273" s="425">
        <v>0</v>
      </c>
      <c r="I2273" s="425">
        <v>0</v>
      </c>
      <c r="J2273" s="425">
        <v>0</v>
      </c>
      <c r="K2273" s="425">
        <v>0</v>
      </c>
      <c r="L2273" s="425">
        <v>0</v>
      </c>
      <c r="M2273" s="425">
        <v>0</v>
      </c>
      <c r="N2273" s="425">
        <v>1528302275</v>
      </c>
      <c r="O2273" s="425">
        <v>0</v>
      </c>
    </row>
    <row r="2274" spans="3:15" hidden="1" x14ac:dyDescent="0.3">
      <c r="C2274" t="s">
        <v>2295</v>
      </c>
      <c r="D2274" t="s">
        <v>2267</v>
      </c>
      <c r="E2274" t="s">
        <v>6739</v>
      </c>
      <c r="F2274" t="s">
        <v>6740</v>
      </c>
      <c r="G2274" s="425">
        <v>7</v>
      </c>
      <c r="H2274" s="425">
        <v>0</v>
      </c>
      <c r="I2274" s="425">
        <v>0</v>
      </c>
      <c r="J2274" s="425">
        <v>0</v>
      </c>
      <c r="K2274" s="425">
        <v>0</v>
      </c>
      <c r="L2274" s="425">
        <v>0</v>
      </c>
      <c r="M2274" s="425">
        <v>0</v>
      </c>
      <c r="N2274" s="425">
        <v>7</v>
      </c>
      <c r="O2274" s="425">
        <v>0</v>
      </c>
    </row>
    <row r="2275" spans="3:15" hidden="1" x14ac:dyDescent="0.3">
      <c r="C2275" t="s">
        <v>2295</v>
      </c>
      <c r="D2275" t="s">
        <v>2267</v>
      </c>
      <c r="E2275" t="s">
        <v>6741</v>
      </c>
      <c r="F2275" t="s">
        <v>6742</v>
      </c>
      <c r="G2275" s="425">
        <v>0</v>
      </c>
      <c r="H2275" s="425">
        <v>0</v>
      </c>
      <c r="I2275" s="425">
        <v>0</v>
      </c>
      <c r="J2275" s="425">
        <v>0</v>
      </c>
      <c r="K2275" s="425">
        <v>0</v>
      </c>
      <c r="L2275" s="425">
        <v>0</v>
      </c>
      <c r="M2275" s="425">
        <v>0</v>
      </c>
      <c r="N2275" s="425">
        <v>0</v>
      </c>
      <c r="O2275" s="425">
        <v>0</v>
      </c>
    </row>
    <row r="2276" spans="3:15" hidden="1" x14ac:dyDescent="0.3">
      <c r="C2276" t="s">
        <v>2295</v>
      </c>
      <c r="D2276" t="s">
        <v>2267</v>
      </c>
      <c r="E2276" t="s">
        <v>6743</v>
      </c>
      <c r="F2276" t="s">
        <v>6744</v>
      </c>
      <c r="G2276" s="425">
        <v>0</v>
      </c>
      <c r="H2276" s="425">
        <v>0</v>
      </c>
      <c r="I2276" s="425">
        <v>0</v>
      </c>
      <c r="J2276" s="425">
        <v>0</v>
      </c>
      <c r="K2276" s="425">
        <v>0</v>
      </c>
      <c r="L2276" s="425">
        <v>0</v>
      </c>
      <c r="M2276" s="425">
        <v>0</v>
      </c>
      <c r="N2276" s="425">
        <v>0</v>
      </c>
      <c r="O2276" s="425">
        <v>0</v>
      </c>
    </row>
    <row r="2277" spans="3:15" hidden="1" x14ac:dyDescent="0.3">
      <c r="C2277" t="s">
        <v>2295</v>
      </c>
      <c r="D2277" t="s">
        <v>2267</v>
      </c>
      <c r="E2277" t="s">
        <v>6745</v>
      </c>
      <c r="F2277" t="s">
        <v>6746</v>
      </c>
      <c r="G2277" s="425">
        <v>0</v>
      </c>
      <c r="H2277" s="425">
        <v>0</v>
      </c>
      <c r="I2277" s="425">
        <v>0</v>
      </c>
      <c r="J2277" s="425">
        <v>0</v>
      </c>
      <c r="K2277" s="425">
        <v>0</v>
      </c>
      <c r="L2277" s="425">
        <v>0</v>
      </c>
      <c r="M2277" s="425">
        <v>0</v>
      </c>
      <c r="N2277" s="425">
        <v>0</v>
      </c>
      <c r="O2277" s="425">
        <v>0</v>
      </c>
    </row>
    <row r="2278" spans="3:15" hidden="1" x14ac:dyDescent="0.3">
      <c r="C2278" t="s">
        <v>2295</v>
      </c>
      <c r="D2278" t="s">
        <v>2267</v>
      </c>
      <c r="E2278" t="s">
        <v>6747</v>
      </c>
      <c r="F2278" t="s">
        <v>6748</v>
      </c>
      <c r="G2278" s="425">
        <v>0</v>
      </c>
      <c r="H2278" s="425">
        <v>0</v>
      </c>
      <c r="I2278" s="425">
        <v>0</v>
      </c>
      <c r="J2278" s="425">
        <v>0</v>
      </c>
      <c r="K2278" s="425">
        <v>0</v>
      </c>
      <c r="L2278" s="425">
        <v>0</v>
      </c>
      <c r="M2278" s="425">
        <v>0</v>
      </c>
      <c r="N2278" s="425">
        <v>0</v>
      </c>
      <c r="O2278" s="425">
        <v>0</v>
      </c>
    </row>
    <row r="2279" spans="3:15" hidden="1" x14ac:dyDescent="0.3">
      <c r="C2279" t="s">
        <v>2295</v>
      </c>
      <c r="D2279" t="s">
        <v>2267</v>
      </c>
      <c r="E2279" t="s">
        <v>6749</v>
      </c>
      <c r="F2279" t="s">
        <v>6750</v>
      </c>
      <c r="G2279" s="425">
        <v>0</v>
      </c>
      <c r="H2279" s="425">
        <v>0</v>
      </c>
      <c r="I2279" s="425">
        <v>0</v>
      </c>
      <c r="J2279" s="425">
        <v>0</v>
      </c>
      <c r="K2279" s="425">
        <v>0</v>
      </c>
      <c r="L2279" s="425">
        <v>0</v>
      </c>
      <c r="M2279" s="425">
        <v>0</v>
      </c>
      <c r="N2279" s="425">
        <v>0</v>
      </c>
      <c r="O2279" s="425">
        <v>0</v>
      </c>
    </row>
    <row r="2280" spans="3:15" hidden="1" x14ac:dyDescent="0.3">
      <c r="C2280" t="s">
        <v>2295</v>
      </c>
      <c r="D2280" t="s">
        <v>2267</v>
      </c>
      <c r="E2280" t="s">
        <v>6751</v>
      </c>
      <c r="F2280" t="s">
        <v>6752</v>
      </c>
      <c r="G2280" s="425">
        <v>963830</v>
      </c>
      <c r="H2280" s="425">
        <v>0</v>
      </c>
      <c r="I2280" s="425">
        <v>0</v>
      </c>
      <c r="J2280" s="425">
        <v>0</v>
      </c>
      <c r="K2280" s="425">
        <v>0</v>
      </c>
      <c r="L2280" s="425">
        <v>0</v>
      </c>
      <c r="M2280" s="425">
        <v>0</v>
      </c>
      <c r="N2280" s="425">
        <v>963830</v>
      </c>
      <c r="O2280" s="425">
        <v>0</v>
      </c>
    </row>
    <row r="2281" spans="3:15" hidden="1" x14ac:dyDescent="0.3">
      <c r="C2281" t="s">
        <v>2295</v>
      </c>
      <c r="D2281" t="s">
        <v>2267</v>
      </c>
      <c r="E2281" t="s">
        <v>6753</v>
      </c>
      <c r="F2281" t="s">
        <v>6754</v>
      </c>
      <c r="G2281" s="425">
        <v>0</v>
      </c>
      <c r="H2281" s="425">
        <v>0</v>
      </c>
      <c r="I2281" s="425">
        <v>0</v>
      </c>
      <c r="J2281" s="425">
        <v>0</v>
      </c>
      <c r="K2281" s="425">
        <v>0</v>
      </c>
      <c r="L2281" s="425">
        <v>0</v>
      </c>
      <c r="M2281" s="425">
        <v>0</v>
      </c>
      <c r="N2281" s="425">
        <v>0</v>
      </c>
      <c r="O2281" s="425">
        <v>0</v>
      </c>
    </row>
    <row r="2282" spans="3:15" hidden="1" x14ac:dyDescent="0.3">
      <c r="C2282" t="s">
        <v>2295</v>
      </c>
      <c r="D2282" t="s">
        <v>2267</v>
      </c>
      <c r="E2282" t="s">
        <v>6755</v>
      </c>
      <c r="F2282" t="s">
        <v>6756</v>
      </c>
      <c r="G2282" s="425">
        <v>0</v>
      </c>
      <c r="H2282" s="425">
        <v>0</v>
      </c>
      <c r="I2282" s="425">
        <v>0</v>
      </c>
      <c r="J2282" s="425">
        <v>0</v>
      </c>
      <c r="K2282" s="425">
        <v>0</v>
      </c>
      <c r="L2282" s="425">
        <v>0</v>
      </c>
      <c r="M2282" s="425">
        <v>0</v>
      </c>
      <c r="N2282" s="425">
        <v>0</v>
      </c>
      <c r="O2282" s="425">
        <v>0</v>
      </c>
    </row>
    <row r="2283" spans="3:15" hidden="1" x14ac:dyDescent="0.3">
      <c r="C2283" t="s">
        <v>2295</v>
      </c>
      <c r="D2283" t="s">
        <v>2267</v>
      </c>
      <c r="E2283" t="s">
        <v>6757</v>
      </c>
      <c r="F2283" t="s">
        <v>6758</v>
      </c>
      <c r="G2283" s="425">
        <v>0</v>
      </c>
      <c r="H2283" s="425">
        <v>0</v>
      </c>
      <c r="I2283" s="425">
        <v>0</v>
      </c>
      <c r="J2283" s="425">
        <v>0</v>
      </c>
      <c r="K2283" s="425">
        <v>0</v>
      </c>
      <c r="L2283" s="425">
        <v>0</v>
      </c>
      <c r="M2283" s="425">
        <v>0</v>
      </c>
      <c r="N2283" s="425">
        <v>0</v>
      </c>
      <c r="O2283" s="425">
        <v>0</v>
      </c>
    </row>
    <row r="2284" spans="3:15" hidden="1" x14ac:dyDescent="0.3">
      <c r="C2284" t="s">
        <v>2295</v>
      </c>
      <c r="D2284" t="s">
        <v>2267</v>
      </c>
      <c r="E2284" t="s">
        <v>6759</v>
      </c>
      <c r="F2284" t="s">
        <v>6760</v>
      </c>
      <c r="G2284" s="425">
        <v>0</v>
      </c>
      <c r="H2284" s="425">
        <v>0</v>
      </c>
      <c r="I2284" s="425">
        <v>0</v>
      </c>
      <c r="J2284" s="425">
        <v>0</v>
      </c>
      <c r="K2284" s="425">
        <v>0</v>
      </c>
      <c r="L2284" s="425">
        <v>0</v>
      </c>
      <c r="M2284" s="425">
        <v>0</v>
      </c>
      <c r="N2284" s="425">
        <v>0</v>
      </c>
      <c r="O2284" s="425">
        <v>0</v>
      </c>
    </row>
    <row r="2285" spans="3:15" hidden="1" x14ac:dyDescent="0.3">
      <c r="C2285" t="s">
        <v>2295</v>
      </c>
      <c r="D2285" t="s">
        <v>2267</v>
      </c>
      <c r="E2285" t="s">
        <v>6761</v>
      </c>
      <c r="F2285" t="s">
        <v>6762</v>
      </c>
      <c r="G2285" s="425">
        <v>0</v>
      </c>
      <c r="H2285" s="425">
        <v>0</v>
      </c>
      <c r="I2285" s="425">
        <v>0</v>
      </c>
      <c r="J2285" s="425">
        <v>0</v>
      </c>
      <c r="K2285" s="425">
        <v>0</v>
      </c>
      <c r="L2285" s="425">
        <v>0</v>
      </c>
      <c r="M2285" s="425">
        <v>0</v>
      </c>
      <c r="N2285" s="425">
        <v>0</v>
      </c>
      <c r="O2285" s="425">
        <v>0</v>
      </c>
    </row>
    <row r="2286" spans="3:15" hidden="1" x14ac:dyDescent="0.3">
      <c r="C2286" t="s">
        <v>2295</v>
      </c>
      <c r="D2286" t="s">
        <v>2267</v>
      </c>
      <c r="E2286" t="s">
        <v>6763</v>
      </c>
      <c r="F2286" t="s">
        <v>6764</v>
      </c>
      <c r="G2286" s="425">
        <v>0</v>
      </c>
      <c r="H2286" s="425">
        <v>0</v>
      </c>
      <c r="I2286" s="425">
        <v>0</v>
      </c>
      <c r="J2286" s="425">
        <v>0</v>
      </c>
      <c r="K2286" s="425">
        <v>0</v>
      </c>
      <c r="L2286" s="425">
        <v>0</v>
      </c>
      <c r="M2286" s="425">
        <v>0</v>
      </c>
      <c r="N2286" s="425">
        <v>0</v>
      </c>
      <c r="O2286" s="425">
        <v>0</v>
      </c>
    </row>
    <row r="2287" spans="3:15" hidden="1" x14ac:dyDescent="0.3">
      <c r="C2287" t="s">
        <v>2295</v>
      </c>
      <c r="D2287" t="s">
        <v>2267</v>
      </c>
      <c r="E2287" t="s">
        <v>6765</v>
      </c>
      <c r="F2287" t="s">
        <v>6766</v>
      </c>
      <c r="G2287" s="425">
        <v>0</v>
      </c>
      <c r="H2287" s="425">
        <v>0</v>
      </c>
      <c r="I2287" s="425">
        <v>0</v>
      </c>
      <c r="J2287" s="425">
        <v>0</v>
      </c>
      <c r="K2287" s="425">
        <v>0</v>
      </c>
      <c r="L2287" s="425">
        <v>0</v>
      </c>
      <c r="M2287" s="425">
        <v>0</v>
      </c>
      <c r="N2287" s="425">
        <v>0</v>
      </c>
      <c r="O2287" s="425">
        <v>0</v>
      </c>
    </row>
    <row r="2288" spans="3:15" hidden="1" x14ac:dyDescent="0.3">
      <c r="C2288" t="s">
        <v>2295</v>
      </c>
      <c r="D2288" t="s">
        <v>2267</v>
      </c>
      <c r="E2288" t="s">
        <v>6767</v>
      </c>
      <c r="F2288" t="s">
        <v>6768</v>
      </c>
      <c r="G2288" s="425">
        <v>0</v>
      </c>
      <c r="H2288" s="425">
        <v>0</v>
      </c>
      <c r="I2288" s="425">
        <v>0</v>
      </c>
      <c r="J2288" s="425">
        <v>0</v>
      </c>
      <c r="K2288" s="425">
        <v>0</v>
      </c>
      <c r="L2288" s="425">
        <v>0</v>
      </c>
      <c r="M2288" s="425">
        <v>0</v>
      </c>
      <c r="N2288" s="425">
        <v>0</v>
      </c>
      <c r="O2288" s="425">
        <v>0</v>
      </c>
    </row>
    <row r="2289" spans="3:15" hidden="1" x14ac:dyDescent="0.3">
      <c r="C2289" t="s">
        <v>2295</v>
      </c>
      <c r="D2289" t="s">
        <v>2267</v>
      </c>
      <c r="E2289" t="s">
        <v>6769</v>
      </c>
      <c r="F2289" t="s">
        <v>6770</v>
      </c>
      <c r="G2289" s="425">
        <v>0</v>
      </c>
      <c r="H2289" s="425">
        <v>0</v>
      </c>
      <c r="I2289" s="425">
        <v>0</v>
      </c>
      <c r="J2289" s="425">
        <v>0</v>
      </c>
      <c r="K2289" s="425">
        <v>0</v>
      </c>
      <c r="L2289" s="425">
        <v>0</v>
      </c>
      <c r="M2289" s="425">
        <v>0</v>
      </c>
      <c r="N2289" s="425">
        <v>0</v>
      </c>
      <c r="O2289" s="425">
        <v>0</v>
      </c>
    </row>
    <row r="2290" spans="3:15" hidden="1" x14ac:dyDescent="0.3">
      <c r="C2290" t="s">
        <v>2295</v>
      </c>
      <c r="D2290" t="s">
        <v>2267</v>
      </c>
      <c r="E2290" t="s">
        <v>6771</v>
      </c>
      <c r="F2290" t="s">
        <v>6772</v>
      </c>
      <c r="G2290" s="425">
        <v>0</v>
      </c>
      <c r="H2290" s="425">
        <v>0</v>
      </c>
      <c r="I2290" s="425">
        <v>0</v>
      </c>
      <c r="J2290" s="425">
        <v>0</v>
      </c>
      <c r="K2290" s="425">
        <v>0</v>
      </c>
      <c r="L2290" s="425">
        <v>0</v>
      </c>
      <c r="M2290" s="425">
        <v>0</v>
      </c>
      <c r="N2290" s="425">
        <v>0</v>
      </c>
      <c r="O2290" s="425">
        <v>0</v>
      </c>
    </row>
    <row r="2291" spans="3:15" hidden="1" x14ac:dyDescent="0.3">
      <c r="C2291" t="s">
        <v>2295</v>
      </c>
      <c r="D2291" t="s">
        <v>2267</v>
      </c>
      <c r="E2291" t="s">
        <v>6773</v>
      </c>
      <c r="F2291" t="s">
        <v>6774</v>
      </c>
      <c r="G2291" s="425">
        <v>0</v>
      </c>
      <c r="H2291" s="425">
        <v>0</v>
      </c>
      <c r="I2291" s="425">
        <v>0</v>
      </c>
      <c r="J2291" s="425">
        <v>0</v>
      </c>
      <c r="K2291" s="425">
        <v>0</v>
      </c>
      <c r="L2291" s="425">
        <v>0</v>
      </c>
      <c r="M2291" s="425">
        <v>0</v>
      </c>
      <c r="N2291" s="425">
        <v>0</v>
      </c>
      <c r="O2291" s="425">
        <v>0</v>
      </c>
    </row>
    <row r="2292" spans="3:15" hidden="1" x14ac:dyDescent="0.3">
      <c r="C2292" t="s">
        <v>2295</v>
      </c>
      <c r="D2292" t="s">
        <v>2267</v>
      </c>
      <c r="E2292" t="s">
        <v>6775</v>
      </c>
      <c r="F2292" t="s">
        <v>6776</v>
      </c>
      <c r="G2292" s="425">
        <v>0</v>
      </c>
      <c r="H2292" s="425">
        <v>0</v>
      </c>
      <c r="I2292" s="425">
        <v>0</v>
      </c>
      <c r="J2292" s="425">
        <v>0</v>
      </c>
      <c r="K2292" s="425">
        <v>0</v>
      </c>
      <c r="L2292" s="425">
        <v>0</v>
      </c>
      <c r="M2292" s="425">
        <v>0</v>
      </c>
      <c r="N2292" s="425">
        <v>0</v>
      </c>
      <c r="O2292" s="425">
        <v>0</v>
      </c>
    </row>
    <row r="2293" spans="3:15" hidden="1" x14ac:dyDescent="0.3">
      <c r="C2293" t="s">
        <v>2295</v>
      </c>
      <c r="D2293" t="s">
        <v>2267</v>
      </c>
      <c r="E2293" t="s">
        <v>6777</v>
      </c>
      <c r="F2293" t="s">
        <v>6778</v>
      </c>
      <c r="G2293" s="425">
        <v>0</v>
      </c>
      <c r="H2293" s="425">
        <v>0</v>
      </c>
      <c r="I2293" s="425">
        <v>0</v>
      </c>
      <c r="J2293" s="425">
        <v>0</v>
      </c>
      <c r="K2293" s="425">
        <v>0</v>
      </c>
      <c r="L2293" s="425">
        <v>0</v>
      </c>
      <c r="M2293" s="425">
        <v>0</v>
      </c>
      <c r="N2293" s="425">
        <v>0</v>
      </c>
      <c r="O2293" s="425">
        <v>0</v>
      </c>
    </row>
    <row r="2294" spans="3:15" hidden="1" x14ac:dyDescent="0.3">
      <c r="C2294" t="s">
        <v>2295</v>
      </c>
      <c r="D2294" t="s">
        <v>2267</v>
      </c>
      <c r="E2294" t="s">
        <v>6779</v>
      </c>
      <c r="F2294" t="s">
        <v>6780</v>
      </c>
      <c r="G2294" s="425">
        <v>0</v>
      </c>
      <c r="H2294" s="425">
        <v>0</v>
      </c>
      <c r="I2294" s="425">
        <v>0</v>
      </c>
      <c r="J2294" s="425">
        <v>0</v>
      </c>
      <c r="K2294" s="425">
        <v>0</v>
      </c>
      <c r="L2294" s="425">
        <v>0</v>
      </c>
      <c r="M2294" s="425">
        <v>0</v>
      </c>
      <c r="N2294" s="425">
        <v>0</v>
      </c>
      <c r="O2294" s="425">
        <v>0</v>
      </c>
    </row>
    <row r="2295" spans="3:15" hidden="1" x14ac:dyDescent="0.3">
      <c r="C2295" t="s">
        <v>2295</v>
      </c>
      <c r="D2295" t="s">
        <v>2267</v>
      </c>
      <c r="E2295" t="s">
        <v>6781</v>
      </c>
      <c r="F2295" t="s">
        <v>6782</v>
      </c>
      <c r="G2295" s="425">
        <v>0</v>
      </c>
      <c r="H2295" s="425">
        <v>0</v>
      </c>
      <c r="I2295" s="425">
        <v>0</v>
      </c>
      <c r="J2295" s="425">
        <v>0</v>
      </c>
      <c r="K2295" s="425">
        <v>0</v>
      </c>
      <c r="L2295" s="425">
        <v>0</v>
      </c>
      <c r="M2295" s="425">
        <v>0</v>
      </c>
      <c r="N2295" s="425">
        <v>0</v>
      </c>
      <c r="O2295" s="425">
        <v>0</v>
      </c>
    </row>
    <row r="2296" spans="3:15" hidden="1" x14ac:dyDescent="0.3">
      <c r="C2296" t="s">
        <v>2295</v>
      </c>
      <c r="D2296" t="s">
        <v>2267</v>
      </c>
      <c r="E2296" t="s">
        <v>6783</v>
      </c>
      <c r="F2296" t="s">
        <v>6784</v>
      </c>
      <c r="G2296" s="425">
        <v>0</v>
      </c>
      <c r="H2296" s="425">
        <v>0</v>
      </c>
      <c r="I2296" s="425">
        <v>0</v>
      </c>
      <c r="J2296" s="425">
        <v>0</v>
      </c>
      <c r="K2296" s="425">
        <v>0</v>
      </c>
      <c r="L2296" s="425">
        <v>0</v>
      </c>
      <c r="M2296" s="425">
        <v>0</v>
      </c>
      <c r="N2296" s="425">
        <v>0</v>
      </c>
      <c r="O2296" s="425">
        <v>0</v>
      </c>
    </row>
    <row r="2297" spans="3:15" hidden="1" x14ac:dyDescent="0.3">
      <c r="C2297" t="s">
        <v>2295</v>
      </c>
      <c r="D2297" t="s">
        <v>2267</v>
      </c>
      <c r="E2297" t="s">
        <v>6785</v>
      </c>
      <c r="F2297" t="s">
        <v>6786</v>
      </c>
      <c r="G2297" s="425">
        <v>0</v>
      </c>
      <c r="H2297" s="425">
        <v>0</v>
      </c>
      <c r="I2297" s="425">
        <v>0</v>
      </c>
      <c r="J2297" s="425">
        <v>0</v>
      </c>
      <c r="K2297" s="425">
        <v>0</v>
      </c>
      <c r="L2297" s="425">
        <v>0</v>
      </c>
      <c r="M2297" s="425">
        <v>0</v>
      </c>
      <c r="N2297" s="425">
        <v>0</v>
      </c>
      <c r="O2297" s="425">
        <v>0</v>
      </c>
    </row>
    <row r="2298" spans="3:15" hidden="1" x14ac:dyDescent="0.3">
      <c r="C2298" t="s">
        <v>2266</v>
      </c>
      <c r="D2298" t="s">
        <v>2237</v>
      </c>
      <c r="E2298" t="s">
        <v>6787</v>
      </c>
      <c r="F2298" t="s">
        <v>6788</v>
      </c>
      <c r="G2298" s="425">
        <v>0</v>
      </c>
      <c r="H2298" s="425">
        <v>0</v>
      </c>
      <c r="I2298" s="425">
        <v>0</v>
      </c>
      <c r="J2298" s="425">
        <v>0</v>
      </c>
      <c r="K2298" s="425">
        <v>0</v>
      </c>
      <c r="L2298" s="425">
        <v>0</v>
      </c>
      <c r="M2298" s="425">
        <v>0</v>
      </c>
      <c r="N2298" s="425">
        <v>0</v>
      </c>
      <c r="O2298" s="425">
        <v>0</v>
      </c>
    </row>
    <row r="2299" spans="3:15" hidden="1" x14ac:dyDescent="0.3">
      <c r="C2299" t="s">
        <v>2292</v>
      </c>
      <c r="D2299" t="s">
        <v>2237</v>
      </c>
      <c r="E2299" t="s">
        <v>6789</v>
      </c>
      <c r="F2299" t="s">
        <v>6790</v>
      </c>
      <c r="G2299" s="425">
        <v>0</v>
      </c>
      <c r="H2299" s="425">
        <v>0</v>
      </c>
      <c r="I2299" s="425">
        <v>0</v>
      </c>
      <c r="J2299" s="425">
        <v>0</v>
      </c>
      <c r="K2299" s="425">
        <v>0</v>
      </c>
      <c r="L2299" s="425">
        <v>0</v>
      </c>
      <c r="M2299" s="425">
        <v>0</v>
      </c>
      <c r="N2299" s="425">
        <v>0</v>
      </c>
      <c r="O2299" s="425">
        <v>0</v>
      </c>
    </row>
    <row r="2300" spans="3:15" hidden="1" x14ac:dyDescent="0.3">
      <c r="C2300" t="s">
        <v>2295</v>
      </c>
      <c r="D2300" t="s">
        <v>2267</v>
      </c>
      <c r="E2300" t="s">
        <v>6791</v>
      </c>
      <c r="F2300" t="s">
        <v>6792</v>
      </c>
      <c r="G2300" s="425">
        <v>0</v>
      </c>
      <c r="H2300" s="425">
        <v>0</v>
      </c>
      <c r="I2300" s="425">
        <v>0</v>
      </c>
      <c r="J2300" s="425">
        <v>0</v>
      </c>
      <c r="K2300" s="425">
        <v>0</v>
      </c>
      <c r="L2300" s="425">
        <v>0</v>
      </c>
      <c r="M2300" s="425">
        <v>0</v>
      </c>
      <c r="N2300" s="425">
        <v>0</v>
      </c>
      <c r="O2300" s="425">
        <v>0</v>
      </c>
    </row>
    <row r="2301" spans="3:15" hidden="1" x14ac:dyDescent="0.3">
      <c r="C2301" t="s">
        <v>2266</v>
      </c>
      <c r="D2301" t="s">
        <v>2237</v>
      </c>
      <c r="E2301" t="s">
        <v>6793</v>
      </c>
      <c r="F2301" t="s">
        <v>6794</v>
      </c>
      <c r="G2301" s="425">
        <v>0</v>
      </c>
      <c r="H2301" s="425">
        <v>0</v>
      </c>
      <c r="I2301" s="425">
        <v>0</v>
      </c>
      <c r="J2301" s="425">
        <v>0</v>
      </c>
      <c r="K2301" s="425">
        <v>0</v>
      </c>
      <c r="L2301" s="425">
        <v>0</v>
      </c>
      <c r="M2301" s="425">
        <v>0</v>
      </c>
      <c r="N2301" s="425">
        <v>0</v>
      </c>
      <c r="O2301" s="425">
        <v>0</v>
      </c>
    </row>
    <row r="2302" spans="3:15" hidden="1" x14ac:dyDescent="0.3">
      <c r="C2302" t="s">
        <v>2266</v>
      </c>
      <c r="D2302" t="s">
        <v>2237</v>
      </c>
      <c r="E2302" t="s">
        <v>6795</v>
      </c>
      <c r="F2302" t="s">
        <v>6796</v>
      </c>
      <c r="G2302" s="425">
        <v>0</v>
      </c>
      <c r="H2302" s="425">
        <v>0</v>
      </c>
      <c r="I2302" s="425">
        <v>0</v>
      </c>
      <c r="J2302" s="425">
        <v>0</v>
      </c>
      <c r="K2302" s="425">
        <v>0</v>
      </c>
      <c r="L2302" s="425">
        <v>0</v>
      </c>
      <c r="M2302" s="425">
        <v>0</v>
      </c>
      <c r="N2302" s="425">
        <v>0</v>
      </c>
      <c r="O2302" s="425">
        <v>0</v>
      </c>
    </row>
    <row r="2303" spans="3:15" hidden="1" x14ac:dyDescent="0.3">
      <c r="C2303" t="s">
        <v>2292</v>
      </c>
      <c r="D2303" t="s">
        <v>2267</v>
      </c>
      <c r="E2303" t="s">
        <v>6797</v>
      </c>
      <c r="F2303" t="s">
        <v>6798</v>
      </c>
      <c r="G2303" s="425">
        <v>0</v>
      </c>
      <c r="H2303" s="425">
        <v>0</v>
      </c>
      <c r="I2303" s="425">
        <v>0</v>
      </c>
      <c r="J2303" s="425">
        <v>0</v>
      </c>
      <c r="K2303" s="425">
        <v>0</v>
      </c>
      <c r="L2303" s="425">
        <v>0</v>
      </c>
      <c r="M2303" s="425">
        <v>0</v>
      </c>
      <c r="N2303" s="425">
        <v>0</v>
      </c>
      <c r="O2303" s="425">
        <v>0</v>
      </c>
    </row>
    <row r="2304" spans="3:15" hidden="1" x14ac:dyDescent="0.3">
      <c r="C2304" t="s">
        <v>2292</v>
      </c>
      <c r="D2304" t="s">
        <v>2267</v>
      </c>
      <c r="E2304" t="s">
        <v>6799</v>
      </c>
      <c r="F2304" t="s">
        <v>6800</v>
      </c>
      <c r="G2304" s="425">
        <v>0</v>
      </c>
      <c r="H2304" s="425">
        <v>0</v>
      </c>
      <c r="I2304" s="425">
        <v>0</v>
      </c>
      <c r="J2304" s="425">
        <v>0</v>
      </c>
      <c r="K2304" s="425">
        <v>0</v>
      </c>
      <c r="L2304" s="425">
        <v>0</v>
      </c>
      <c r="M2304" s="425">
        <v>0</v>
      </c>
      <c r="N2304" s="425">
        <v>0</v>
      </c>
      <c r="O2304" s="425">
        <v>0</v>
      </c>
    </row>
    <row r="2305" spans="3:15" hidden="1" x14ac:dyDescent="0.3">
      <c r="C2305" t="s">
        <v>2292</v>
      </c>
      <c r="D2305" t="s">
        <v>2267</v>
      </c>
      <c r="E2305" t="s">
        <v>6801</v>
      </c>
      <c r="F2305" t="s">
        <v>6802</v>
      </c>
      <c r="G2305" s="425">
        <v>0</v>
      </c>
      <c r="H2305" s="425">
        <v>0</v>
      </c>
      <c r="I2305" s="425">
        <v>0</v>
      </c>
      <c r="J2305" s="425">
        <v>0</v>
      </c>
      <c r="K2305" s="425">
        <v>0</v>
      </c>
      <c r="L2305" s="425">
        <v>0</v>
      </c>
      <c r="M2305" s="425">
        <v>0</v>
      </c>
      <c r="N2305" s="425">
        <v>0</v>
      </c>
      <c r="O2305" s="425">
        <v>0</v>
      </c>
    </row>
    <row r="2306" spans="3:15" hidden="1" x14ac:dyDescent="0.3">
      <c r="C2306" t="s">
        <v>2292</v>
      </c>
      <c r="D2306" t="s">
        <v>2267</v>
      </c>
      <c r="E2306" t="s">
        <v>6803</v>
      </c>
      <c r="F2306" t="s">
        <v>6804</v>
      </c>
      <c r="G2306" s="425">
        <v>0</v>
      </c>
      <c r="H2306" s="425">
        <v>0</v>
      </c>
      <c r="I2306" s="425">
        <v>0</v>
      </c>
      <c r="J2306" s="425">
        <v>0</v>
      </c>
      <c r="K2306" s="425">
        <v>0</v>
      </c>
      <c r="L2306" s="425">
        <v>0</v>
      </c>
      <c r="M2306" s="425">
        <v>0</v>
      </c>
      <c r="N2306" s="425">
        <v>0</v>
      </c>
      <c r="O2306" s="425">
        <v>0</v>
      </c>
    </row>
    <row r="2307" spans="3:15" hidden="1" x14ac:dyDescent="0.3">
      <c r="C2307" t="s">
        <v>2292</v>
      </c>
      <c r="D2307" t="s">
        <v>2267</v>
      </c>
      <c r="E2307" t="s">
        <v>6805</v>
      </c>
      <c r="F2307" t="s">
        <v>6806</v>
      </c>
      <c r="G2307" s="425">
        <v>0</v>
      </c>
      <c r="H2307" s="425">
        <v>0</v>
      </c>
      <c r="I2307" s="425">
        <v>0</v>
      </c>
      <c r="J2307" s="425">
        <v>0</v>
      </c>
      <c r="K2307" s="425">
        <v>0</v>
      </c>
      <c r="L2307" s="425">
        <v>0</v>
      </c>
      <c r="M2307" s="425">
        <v>0</v>
      </c>
      <c r="N2307" s="425">
        <v>0</v>
      </c>
      <c r="O2307" s="425">
        <v>0</v>
      </c>
    </row>
    <row r="2308" spans="3:15" hidden="1" x14ac:dyDescent="0.3">
      <c r="C2308" t="s">
        <v>2292</v>
      </c>
      <c r="D2308" t="s">
        <v>2267</v>
      </c>
      <c r="E2308" t="s">
        <v>6807</v>
      </c>
      <c r="F2308" t="s">
        <v>6808</v>
      </c>
      <c r="G2308" s="425">
        <v>0</v>
      </c>
      <c r="H2308" s="425">
        <v>0</v>
      </c>
      <c r="I2308" s="425">
        <v>0</v>
      </c>
      <c r="J2308" s="425">
        <v>0</v>
      </c>
      <c r="K2308" s="425">
        <v>0</v>
      </c>
      <c r="L2308" s="425">
        <v>0</v>
      </c>
      <c r="M2308" s="425">
        <v>0</v>
      </c>
      <c r="N2308" s="425">
        <v>0</v>
      </c>
      <c r="O2308" s="425">
        <v>0</v>
      </c>
    </row>
    <row r="2309" spans="3:15" hidden="1" x14ac:dyDescent="0.3">
      <c r="C2309" t="s">
        <v>2292</v>
      </c>
      <c r="D2309" t="s">
        <v>2267</v>
      </c>
      <c r="E2309" t="s">
        <v>6809</v>
      </c>
      <c r="F2309" t="s">
        <v>6810</v>
      </c>
      <c r="G2309" s="425">
        <v>0</v>
      </c>
      <c r="H2309" s="425">
        <v>0</v>
      </c>
      <c r="I2309" s="425">
        <v>0</v>
      </c>
      <c r="J2309" s="425">
        <v>0</v>
      </c>
      <c r="K2309" s="425">
        <v>0</v>
      </c>
      <c r="L2309" s="425">
        <v>0</v>
      </c>
      <c r="M2309" s="425">
        <v>0</v>
      </c>
      <c r="N2309" s="425">
        <v>0</v>
      </c>
      <c r="O2309" s="425">
        <v>0</v>
      </c>
    </row>
    <row r="2310" spans="3:15" hidden="1" x14ac:dyDescent="0.3">
      <c r="C2310" t="s">
        <v>2292</v>
      </c>
      <c r="D2310" t="s">
        <v>2267</v>
      </c>
      <c r="E2310" t="s">
        <v>6811</v>
      </c>
      <c r="F2310" t="s">
        <v>6812</v>
      </c>
      <c r="G2310" s="425">
        <v>0</v>
      </c>
      <c r="H2310" s="425">
        <v>0</v>
      </c>
      <c r="I2310" s="425">
        <v>0</v>
      </c>
      <c r="J2310" s="425">
        <v>0</v>
      </c>
      <c r="K2310" s="425">
        <v>0</v>
      </c>
      <c r="L2310" s="425">
        <v>0</v>
      </c>
      <c r="M2310" s="425">
        <v>0</v>
      </c>
      <c r="N2310" s="425">
        <v>0</v>
      </c>
      <c r="O2310" s="425">
        <v>0</v>
      </c>
    </row>
    <row r="2311" spans="3:15" hidden="1" x14ac:dyDescent="0.3">
      <c r="C2311" t="s">
        <v>2292</v>
      </c>
      <c r="D2311" t="s">
        <v>2267</v>
      </c>
      <c r="E2311" t="s">
        <v>6813</v>
      </c>
      <c r="F2311" t="s">
        <v>6814</v>
      </c>
      <c r="G2311" s="425">
        <v>0</v>
      </c>
      <c r="H2311" s="425">
        <v>0</v>
      </c>
      <c r="I2311" s="425">
        <v>0</v>
      </c>
      <c r="J2311" s="425">
        <v>0</v>
      </c>
      <c r="K2311" s="425">
        <v>0</v>
      </c>
      <c r="L2311" s="425">
        <v>0</v>
      </c>
      <c r="M2311" s="425">
        <v>0</v>
      </c>
      <c r="N2311" s="425">
        <v>0</v>
      </c>
      <c r="O2311" s="425">
        <v>0</v>
      </c>
    </row>
    <row r="2312" spans="3:15" hidden="1" x14ac:dyDescent="0.3">
      <c r="C2312" t="s">
        <v>2292</v>
      </c>
      <c r="D2312" t="s">
        <v>2267</v>
      </c>
      <c r="E2312" t="s">
        <v>6815</v>
      </c>
      <c r="F2312" t="s">
        <v>6816</v>
      </c>
      <c r="G2312" s="425">
        <v>0</v>
      </c>
      <c r="H2312" s="425">
        <v>0</v>
      </c>
      <c r="I2312" s="425">
        <v>0</v>
      </c>
      <c r="J2312" s="425">
        <v>0</v>
      </c>
      <c r="K2312" s="425">
        <v>0</v>
      </c>
      <c r="L2312" s="425">
        <v>0</v>
      </c>
      <c r="M2312" s="425">
        <v>0</v>
      </c>
      <c r="N2312" s="425">
        <v>0</v>
      </c>
      <c r="O2312" s="425">
        <v>0</v>
      </c>
    </row>
    <row r="2313" spans="3:15" hidden="1" x14ac:dyDescent="0.3">
      <c r="C2313" t="s">
        <v>2292</v>
      </c>
      <c r="D2313" t="s">
        <v>2267</v>
      </c>
      <c r="E2313" t="s">
        <v>6817</v>
      </c>
      <c r="F2313" t="s">
        <v>6818</v>
      </c>
      <c r="G2313" s="425">
        <v>0</v>
      </c>
      <c r="H2313" s="425">
        <v>0</v>
      </c>
      <c r="I2313" s="425">
        <v>0</v>
      </c>
      <c r="J2313" s="425">
        <v>0</v>
      </c>
      <c r="K2313" s="425">
        <v>0</v>
      </c>
      <c r="L2313" s="425">
        <v>0</v>
      </c>
      <c r="M2313" s="425">
        <v>0</v>
      </c>
      <c r="N2313" s="425">
        <v>0</v>
      </c>
      <c r="O2313" s="425">
        <v>0</v>
      </c>
    </row>
    <row r="2314" spans="3:15" hidden="1" x14ac:dyDescent="0.3">
      <c r="C2314" t="s">
        <v>2292</v>
      </c>
      <c r="D2314" t="s">
        <v>2267</v>
      </c>
      <c r="E2314" t="s">
        <v>6819</v>
      </c>
      <c r="F2314" t="s">
        <v>6820</v>
      </c>
      <c r="G2314" s="425">
        <v>0</v>
      </c>
      <c r="H2314" s="425">
        <v>0</v>
      </c>
      <c r="I2314" s="425">
        <v>0</v>
      </c>
      <c r="J2314" s="425">
        <v>0</v>
      </c>
      <c r="K2314" s="425">
        <v>0</v>
      </c>
      <c r="L2314" s="425">
        <v>0</v>
      </c>
      <c r="M2314" s="425">
        <v>0</v>
      </c>
      <c r="N2314" s="425">
        <v>0</v>
      </c>
      <c r="O2314" s="425">
        <v>0</v>
      </c>
    </row>
    <row r="2315" spans="3:15" hidden="1" x14ac:dyDescent="0.3">
      <c r="C2315" t="s">
        <v>2292</v>
      </c>
      <c r="D2315" t="s">
        <v>2267</v>
      </c>
      <c r="E2315" t="s">
        <v>6821</v>
      </c>
      <c r="F2315" t="s">
        <v>6822</v>
      </c>
      <c r="G2315" s="425">
        <v>0</v>
      </c>
      <c r="H2315" s="425">
        <v>0</v>
      </c>
      <c r="I2315" s="425">
        <v>0</v>
      </c>
      <c r="J2315" s="425">
        <v>0</v>
      </c>
      <c r="K2315" s="425">
        <v>0</v>
      </c>
      <c r="L2315" s="425">
        <v>0</v>
      </c>
      <c r="M2315" s="425">
        <v>0</v>
      </c>
      <c r="N2315" s="425">
        <v>0</v>
      </c>
      <c r="O2315" s="425">
        <v>0</v>
      </c>
    </row>
    <row r="2316" spans="3:15" hidden="1" x14ac:dyDescent="0.3">
      <c r="C2316" t="s">
        <v>2292</v>
      </c>
      <c r="D2316" t="s">
        <v>2267</v>
      </c>
      <c r="E2316" t="s">
        <v>6823</v>
      </c>
      <c r="F2316" t="s">
        <v>6824</v>
      </c>
      <c r="G2316" s="425">
        <v>0</v>
      </c>
      <c r="H2316" s="425">
        <v>0</v>
      </c>
      <c r="I2316" s="425">
        <v>0</v>
      </c>
      <c r="J2316" s="425">
        <v>0</v>
      </c>
      <c r="K2316" s="425">
        <v>0</v>
      </c>
      <c r="L2316" s="425">
        <v>0</v>
      </c>
      <c r="M2316" s="425">
        <v>0</v>
      </c>
      <c r="N2316" s="425">
        <v>0</v>
      </c>
      <c r="O2316" s="425">
        <v>0</v>
      </c>
    </row>
    <row r="2317" spans="3:15" hidden="1" x14ac:dyDescent="0.3">
      <c r="C2317" t="s">
        <v>2292</v>
      </c>
      <c r="D2317" t="s">
        <v>2267</v>
      </c>
      <c r="E2317" t="s">
        <v>6825</v>
      </c>
      <c r="F2317" t="s">
        <v>6826</v>
      </c>
      <c r="G2317" s="425">
        <v>0</v>
      </c>
      <c r="H2317" s="425">
        <v>0</v>
      </c>
      <c r="I2317" s="425">
        <v>0</v>
      </c>
      <c r="J2317" s="425">
        <v>0</v>
      </c>
      <c r="K2317" s="425">
        <v>0</v>
      </c>
      <c r="L2317" s="425">
        <v>0</v>
      </c>
      <c r="M2317" s="425">
        <v>0</v>
      </c>
      <c r="N2317" s="425">
        <v>0</v>
      </c>
      <c r="O2317" s="425">
        <v>0</v>
      </c>
    </row>
    <row r="2318" spans="3:15" hidden="1" x14ac:dyDescent="0.3">
      <c r="C2318" t="s">
        <v>2292</v>
      </c>
      <c r="D2318" t="s">
        <v>2267</v>
      </c>
      <c r="E2318" t="s">
        <v>6827</v>
      </c>
      <c r="F2318" t="s">
        <v>6828</v>
      </c>
      <c r="G2318" s="425">
        <v>0</v>
      </c>
      <c r="H2318" s="425">
        <v>0</v>
      </c>
      <c r="I2318" s="425">
        <v>0</v>
      </c>
      <c r="J2318" s="425">
        <v>0</v>
      </c>
      <c r="K2318" s="425">
        <v>0</v>
      </c>
      <c r="L2318" s="425">
        <v>0</v>
      </c>
      <c r="M2318" s="425">
        <v>0</v>
      </c>
      <c r="N2318" s="425">
        <v>0</v>
      </c>
      <c r="O2318" s="425">
        <v>0</v>
      </c>
    </row>
    <row r="2319" spans="3:15" hidden="1" x14ac:dyDescent="0.3">
      <c r="C2319" t="s">
        <v>2292</v>
      </c>
      <c r="D2319" t="s">
        <v>2267</v>
      </c>
      <c r="E2319" t="s">
        <v>6829</v>
      </c>
      <c r="F2319" t="s">
        <v>6830</v>
      </c>
      <c r="G2319" s="425">
        <v>0</v>
      </c>
      <c r="H2319" s="425">
        <v>0</v>
      </c>
      <c r="I2319" s="425">
        <v>0</v>
      </c>
      <c r="J2319" s="425">
        <v>0</v>
      </c>
      <c r="K2319" s="425">
        <v>0</v>
      </c>
      <c r="L2319" s="425">
        <v>0</v>
      </c>
      <c r="M2319" s="425">
        <v>0</v>
      </c>
      <c r="N2319" s="425">
        <v>0</v>
      </c>
      <c r="O2319" s="425">
        <v>0</v>
      </c>
    </row>
    <row r="2320" spans="3:15" hidden="1" x14ac:dyDescent="0.3">
      <c r="C2320" t="s">
        <v>2292</v>
      </c>
      <c r="D2320" t="s">
        <v>2267</v>
      </c>
      <c r="E2320" t="s">
        <v>6831</v>
      </c>
      <c r="F2320" t="s">
        <v>6832</v>
      </c>
      <c r="G2320" s="425">
        <v>0</v>
      </c>
      <c r="H2320" s="425">
        <v>0</v>
      </c>
      <c r="I2320" s="425">
        <v>0</v>
      </c>
      <c r="J2320" s="425">
        <v>0</v>
      </c>
      <c r="K2320" s="425">
        <v>0</v>
      </c>
      <c r="L2320" s="425">
        <v>0</v>
      </c>
      <c r="M2320" s="425">
        <v>0</v>
      </c>
      <c r="N2320" s="425">
        <v>0</v>
      </c>
      <c r="O2320" s="425">
        <v>0</v>
      </c>
    </row>
    <row r="2321" spans="3:15" hidden="1" x14ac:dyDescent="0.3">
      <c r="C2321" t="s">
        <v>2292</v>
      </c>
      <c r="D2321" t="s">
        <v>2267</v>
      </c>
      <c r="E2321" t="s">
        <v>6833</v>
      </c>
      <c r="F2321" t="s">
        <v>6834</v>
      </c>
      <c r="G2321" s="425">
        <v>0</v>
      </c>
      <c r="H2321" s="425">
        <v>0</v>
      </c>
      <c r="I2321" s="425">
        <v>0</v>
      </c>
      <c r="J2321" s="425">
        <v>0</v>
      </c>
      <c r="K2321" s="425">
        <v>0</v>
      </c>
      <c r="L2321" s="425">
        <v>0</v>
      </c>
      <c r="M2321" s="425">
        <v>0</v>
      </c>
      <c r="N2321" s="425">
        <v>0</v>
      </c>
      <c r="O2321" s="425">
        <v>0</v>
      </c>
    </row>
    <row r="2322" spans="3:15" hidden="1" x14ac:dyDescent="0.3">
      <c r="C2322" t="s">
        <v>2292</v>
      </c>
      <c r="D2322" t="s">
        <v>2267</v>
      </c>
      <c r="E2322" t="s">
        <v>6835</v>
      </c>
      <c r="F2322" t="s">
        <v>6836</v>
      </c>
      <c r="G2322" s="425">
        <v>0</v>
      </c>
      <c r="H2322" s="425">
        <v>0</v>
      </c>
      <c r="I2322" s="425">
        <v>0</v>
      </c>
      <c r="J2322" s="425">
        <v>0</v>
      </c>
      <c r="K2322" s="425">
        <v>0</v>
      </c>
      <c r="L2322" s="425">
        <v>0</v>
      </c>
      <c r="M2322" s="425">
        <v>0</v>
      </c>
      <c r="N2322" s="425">
        <v>0</v>
      </c>
      <c r="O2322" s="425">
        <v>0</v>
      </c>
    </row>
    <row r="2323" spans="3:15" hidden="1" x14ac:dyDescent="0.3">
      <c r="C2323" t="s">
        <v>2292</v>
      </c>
      <c r="D2323" t="s">
        <v>2267</v>
      </c>
      <c r="E2323" t="s">
        <v>6837</v>
      </c>
      <c r="F2323" t="s">
        <v>6838</v>
      </c>
      <c r="G2323" s="425">
        <v>0</v>
      </c>
      <c r="H2323" s="425">
        <v>0</v>
      </c>
      <c r="I2323" s="425">
        <v>0</v>
      </c>
      <c r="J2323" s="425">
        <v>0</v>
      </c>
      <c r="K2323" s="425">
        <v>0</v>
      </c>
      <c r="L2323" s="425">
        <v>0</v>
      </c>
      <c r="M2323" s="425">
        <v>0</v>
      </c>
      <c r="N2323" s="425">
        <v>0</v>
      </c>
      <c r="O2323" s="425">
        <v>0</v>
      </c>
    </row>
    <row r="2324" spans="3:15" hidden="1" x14ac:dyDescent="0.3">
      <c r="C2324" t="s">
        <v>2292</v>
      </c>
      <c r="D2324" t="s">
        <v>2267</v>
      </c>
      <c r="E2324" t="s">
        <v>6839</v>
      </c>
      <c r="F2324" t="s">
        <v>6840</v>
      </c>
      <c r="G2324" s="425">
        <v>0</v>
      </c>
      <c r="H2324" s="425">
        <v>0</v>
      </c>
      <c r="I2324" s="425">
        <v>0</v>
      </c>
      <c r="J2324" s="425">
        <v>0</v>
      </c>
      <c r="K2324" s="425">
        <v>0</v>
      </c>
      <c r="L2324" s="425">
        <v>0</v>
      </c>
      <c r="M2324" s="425">
        <v>0</v>
      </c>
      <c r="N2324" s="425">
        <v>0</v>
      </c>
      <c r="O2324" s="425">
        <v>0</v>
      </c>
    </row>
    <row r="2325" spans="3:15" hidden="1" x14ac:dyDescent="0.3">
      <c r="C2325" t="s">
        <v>2292</v>
      </c>
      <c r="D2325" t="s">
        <v>2267</v>
      </c>
      <c r="E2325" t="s">
        <v>6841</v>
      </c>
      <c r="F2325" t="s">
        <v>6842</v>
      </c>
      <c r="G2325" s="425">
        <v>0</v>
      </c>
      <c r="H2325" s="425">
        <v>0</v>
      </c>
      <c r="I2325" s="425">
        <v>0</v>
      </c>
      <c r="J2325" s="425">
        <v>0</v>
      </c>
      <c r="K2325" s="425">
        <v>0</v>
      </c>
      <c r="L2325" s="425">
        <v>0</v>
      </c>
      <c r="M2325" s="425">
        <v>0</v>
      </c>
      <c r="N2325" s="425">
        <v>0</v>
      </c>
      <c r="O2325" s="425">
        <v>0</v>
      </c>
    </row>
    <row r="2326" spans="3:15" hidden="1" x14ac:dyDescent="0.3">
      <c r="C2326" t="s">
        <v>2292</v>
      </c>
      <c r="D2326" t="s">
        <v>2267</v>
      </c>
      <c r="E2326" t="s">
        <v>6843</v>
      </c>
      <c r="F2326" t="s">
        <v>6844</v>
      </c>
      <c r="G2326" s="425">
        <v>0</v>
      </c>
      <c r="H2326" s="425">
        <v>0</v>
      </c>
      <c r="I2326" s="425">
        <v>0</v>
      </c>
      <c r="J2326" s="425">
        <v>0</v>
      </c>
      <c r="K2326" s="425">
        <v>0</v>
      </c>
      <c r="L2326" s="425">
        <v>0</v>
      </c>
      <c r="M2326" s="425">
        <v>0</v>
      </c>
      <c r="N2326" s="425">
        <v>0</v>
      </c>
      <c r="O2326" s="425">
        <v>0</v>
      </c>
    </row>
    <row r="2327" spans="3:15" hidden="1" x14ac:dyDescent="0.3">
      <c r="C2327" t="s">
        <v>2292</v>
      </c>
      <c r="D2327" t="s">
        <v>2267</v>
      </c>
      <c r="E2327" t="s">
        <v>6845</v>
      </c>
      <c r="F2327" t="s">
        <v>6846</v>
      </c>
      <c r="G2327" s="425">
        <v>0</v>
      </c>
      <c r="H2327" s="425">
        <v>0</v>
      </c>
      <c r="I2327" s="425">
        <v>0</v>
      </c>
      <c r="J2327" s="425">
        <v>0</v>
      </c>
      <c r="K2327" s="425">
        <v>0</v>
      </c>
      <c r="L2327" s="425">
        <v>0</v>
      </c>
      <c r="M2327" s="425">
        <v>0</v>
      </c>
      <c r="N2327" s="425">
        <v>0</v>
      </c>
      <c r="O2327" s="425">
        <v>0</v>
      </c>
    </row>
    <row r="2328" spans="3:15" hidden="1" x14ac:dyDescent="0.3">
      <c r="C2328" t="s">
        <v>2292</v>
      </c>
      <c r="D2328" t="s">
        <v>2267</v>
      </c>
      <c r="E2328" t="s">
        <v>6847</v>
      </c>
      <c r="F2328" t="s">
        <v>6848</v>
      </c>
      <c r="G2328" s="425">
        <v>0</v>
      </c>
      <c r="H2328" s="425">
        <v>0</v>
      </c>
      <c r="I2328" s="425">
        <v>0</v>
      </c>
      <c r="J2328" s="425">
        <v>0</v>
      </c>
      <c r="K2328" s="425">
        <v>0</v>
      </c>
      <c r="L2328" s="425">
        <v>0</v>
      </c>
      <c r="M2328" s="425">
        <v>0</v>
      </c>
      <c r="N2328" s="425">
        <v>0</v>
      </c>
      <c r="O2328" s="425">
        <v>0</v>
      </c>
    </row>
    <row r="2329" spans="3:15" hidden="1" x14ac:dyDescent="0.3">
      <c r="C2329" t="s">
        <v>2292</v>
      </c>
      <c r="D2329" t="s">
        <v>2267</v>
      </c>
      <c r="E2329" t="s">
        <v>6849</v>
      </c>
      <c r="F2329" t="s">
        <v>6850</v>
      </c>
      <c r="G2329" s="425">
        <v>0</v>
      </c>
      <c r="H2329" s="425">
        <v>0</v>
      </c>
      <c r="I2329" s="425">
        <v>0</v>
      </c>
      <c r="J2329" s="425">
        <v>0</v>
      </c>
      <c r="K2329" s="425">
        <v>0</v>
      </c>
      <c r="L2329" s="425">
        <v>0</v>
      </c>
      <c r="M2329" s="425">
        <v>0</v>
      </c>
      <c r="N2329" s="425">
        <v>0</v>
      </c>
      <c r="O2329" s="425">
        <v>0</v>
      </c>
    </row>
    <row r="2330" spans="3:15" hidden="1" x14ac:dyDescent="0.3">
      <c r="C2330" t="s">
        <v>2292</v>
      </c>
      <c r="D2330" t="s">
        <v>2267</v>
      </c>
      <c r="E2330" t="s">
        <v>6851</v>
      </c>
      <c r="F2330" t="s">
        <v>6852</v>
      </c>
      <c r="G2330" s="425">
        <v>0</v>
      </c>
      <c r="H2330" s="425">
        <v>0</v>
      </c>
      <c r="I2330" s="425">
        <v>0</v>
      </c>
      <c r="J2330" s="425">
        <v>0</v>
      </c>
      <c r="K2330" s="425">
        <v>0</v>
      </c>
      <c r="L2330" s="425">
        <v>0</v>
      </c>
      <c r="M2330" s="425">
        <v>0</v>
      </c>
      <c r="N2330" s="425">
        <v>0</v>
      </c>
      <c r="O2330" s="425">
        <v>0</v>
      </c>
    </row>
    <row r="2331" spans="3:15" hidden="1" x14ac:dyDescent="0.3">
      <c r="C2331" t="s">
        <v>2292</v>
      </c>
      <c r="D2331" t="s">
        <v>2267</v>
      </c>
      <c r="E2331" t="s">
        <v>6853</v>
      </c>
      <c r="F2331" t="s">
        <v>6854</v>
      </c>
      <c r="G2331" s="425">
        <v>0</v>
      </c>
      <c r="H2331" s="425">
        <v>0</v>
      </c>
      <c r="I2331" s="425">
        <v>0</v>
      </c>
      <c r="J2331" s="425">
        <v>0</v>
      </c>
      <c r="K2331" s="425">
        <v>0</v>
      </c>
      <c r="L2331" s="425">
        <v>0</v>
      </c>
      <c r="M2331" s="425">
        <v>0</v>
      </c>
      <c r="N2331" s="425">
        <v>0</v>
      </c>
      <c r="O2331" s="425">
        <v>0</v>
      </c>
    </row>
    <row r="2332" spans="3:15" hidden="1" x14ac:dyDescent="0.3">
      <c r="C2332" t="s">
        <v>2292</v>
      </c>
      <c r="D2332" t="s">
        <v>2267</v>
      </c>
      <c r="E2332" t="s">
        <v>6855</v>
      </c>
      <c r="F2332" t="s">
        <v>6856</v>
      </c>
      <c r="G2332" s="425">
        <v>0</v>
      </c>
      <c r="H2332" s="425">
        <v>0</v>
      </c>
      <c r="I2332" s="425">
        <v>0</v>
      </c>
      <c r="J2332" s="425">
        <v>0</v>
      </c>
      <c r="K2332" s="425">
        <v>0</v>
      </c>
      <c r="L2332" s="425">
        <v>0</v>
      </c>
      <c r="M2332" s="425">
        <v>0</v>
      </c>
      <c r="N2332" s="425">
        <v>0</v>
      </c>
      <c r="O2332" s="425">
        <v>0</v>
      </c>
    </row>
    <row r="2333" spans="3:15" hidden="1" x14ac:dyDescent="0.3">
      <c r="C2333" t="s">
        <v>2292</v>
      </c>
      <c r="D2333" t="s">
        <v>2267</v>
      </c>
      <c r="E2333" t="s">
        <v>6857</v>
      </c>
      <c r="F2333" t="s">
        <v>6858</v>
      </c>
      <c r="G2333" s="425">
        <v>0</v>
      </c>
      <c r="H2333" s="425">
        <v>0</v>
      </c>
      <c r="I2333" s="425">
        <v>0</v>
      </c>
      <c r="J2333" s="425">
        <v>0</v>
      </c>
      <c r="K2333" s="425">
        <v>0</v>
      </c>
      <c r="L2333" s="425">
        <v>0</v>
      </c>
      <c r="M2333" s="425">
        <v>0</v>
      </c>
      <c r="N2333" s="425">
        <v>0</v>
      </c>
      <c r="O2333" s="425">
        <v>0</v>
      </c>
    </row>
    <row r="2334" spans="3:15" hidden="1" x14ac:dyDescent="0.3">
      <c r="C2334" t="s">
        <v>2292</v>
      </c>
      <c r="D2334" t="s">
        <v>2267</v>
      </c>
      <c r="E2334" t="s">
        <v>6859</v>
      </c>
      <c r="F2334" t="s">
        <v>6860</v>
      </c>
      <c r="G2334" s="425">
        <v>0</v>
      </c>
      <c r="H2334" s="425">
        <v>0</v>
      </c>
      <c r="I2334" s="425">
        <v>0</v>
      </c>
      <c r="J2334" s="425">
        <v>0</v>
      </c>
      <c r="K2334" s="425">
        <v>0</v>
      </c>
      <c r="L2334" s="425">
        <v>0</v>
      </c>
      <c r="M2334" s="425">
        <v>0</v>
      </c>
      <c r="N2334" s="425">
        <v>0</v>
      </c>
      <c r="O2334" s="425">
        <v>0</v>
      </c>
    </row>
    <row r="2335" spans="3:15" hidden="1" x14ac:dyDescent="0.3">
      <c r="C2335" t="s">
        <v>2292</v>
      </c>
      <c r="D2335" t="s">
        <v>2267</v>
      </c>
      <c r="E2335" t="s">
        <v>6861</v>
      </c>
      <c r="F2335" t="s">
        <v>6862</v>
      </c>
      <c r="G2335" s="425">
        <v>0</v>
      </c>
      <c r="H2335" s="425">
        <v>0</v>
      </c>
      <c r="I2335" s="425">
        <v>0</v>
      </c>
      <c r="J2335" s="425">
        <v>0</v>
      </c>
      <c r="K2335" s="425">
        <v>0</v>
      </c>
      <c r="L2335" s="425">
        <v>0</v>
      </c>
      <c r="M2335" s="425">
        <v>0</v>
      </c>
      <c r="N2335" s="425">
        <v>0</v>
      </c>
      <c r="O2335" s="425">
        <v>0</v>
      </c>
    </row>
    <row r="2336" spans="3:15" hidden="1" x14ac:dyDescent="0.3">
      <c r="C2336" t="s">
        <v>2292</v>
      </c>
      <c r="D2336" t="s">
        <v>2267</v>
      </c>
      <c r="E2336" t="s">
        <v>6863</v>
      </c>
      <c r="F2336" t="s">
        <v>6864</v>
      </c>
      <c r="G2336" s="425">
        <v>0</v>
      </c>
      <c r="H2336" s="425">
        <v>0</v>
      </c>
      <c r="I2336" s="425">
        <v>0</v>
      </c>
      <c r="J2336" s="425">
        <v>0</v>
      </c>
      <c r="K2336" s="425">
        <v>0</v>
      </c>
      <c r="L2336" s="425">
        <v>0</v>
      </c>
      <c r="M2336" s="425">
        <v>0</v>
      </c>
      <c r="N2336" s="425">
        <v>0</v>
      </c>
      <c r="O2336" s="425">
        <v>0</v>
      </c>
    </row>
    <row r="2337" spans="3:15" hidden="1" x14ac:dyDescent="0.3">
      <c r="C2337" t="s">
        <v>2292</v>
      </c>
      <c r="D2337" t="s">
        <v>2267</v>
      </c>
      <c r="E2337" t="s">
        <v>6865</v>
      </c>
      <c r="F2337" t="s">
        <v>6866</v>
      </c>
      <c r="G2337" s="425">
        <v>0</v>
      </c>
      <c r="H2337" s="425">
        <v>0</v>
      </c>
      <c r="I2337" s="425">
        <v>0</v>
      </c>
      <c r="J2337" s="425">
        <v>0</v>
      </c>
      <c r="K2337" s="425">
        <v>0</v>
      </c>
      <c r="L2337" s="425">
        <v>0</v>
      </c>
      <c r="M2337" s="425">
        <v>0</v>
      </c>
      <c r="N2337" s="425">
        <v>0</v>
      </c>
      <c r="O2337" s="425">
        <v>0</v>
      </c>
    </row>
    <row r="2338" spans="3:15" hidden="1" x14ac:dyDescent="0.3">
      <c r="C2338" t="s">
        <v>2292</v>
      </c>
      <c r="D2338" t="s">
        <v>2267</v>
      </c>
      <c r="E2338" t="s">
        <v>6867</v>
      </c>
      <c r="F2338" t="s">
        <v>6868</v>
      </c>
      <c r="G2338" s="425">
        <v>0</v>
      </c>
      <c r="H2338" s="425">
        <v>0</v>
      </c>
      <c r="I2338" s="425">
        <v>0</v>
      </c>
      <c r="J2338" s="425">
        <v>0</v>
      </c>
      <c r="K2338" s="425">
        <v>0</v>
      </c>
      <c r="L2338" s="425">
        <v>0</v>
      </c>
      <c r="M2338" s="425">
        <v>0</v>
      </c>
      <c r="N2338" s="425">
        <v>0</v>
      </c>
      <c r="O2338" s="425">
        <v>0</v>
      </c>
    </row>
    <row r="2339" spans="3:15" hidden="1" x14ac:dyDescent="0.3">
      <c r="C2339" t="s">
        <v>2292</v>
      </c>
      <c r="D2339" t="s">
        <v>2267</v>
      </c>
      <c r="E2339" t="s">
        <v>6869</v>
      </c>
      <c r="F2339" t="s">
        <v>6870</v>
      </c>
      <c r="G2339" s="425">
        <v>0</v>
      </c>
      <c r="H2339" s="425">
        <v>0</v>
      </c>
      <c r="I2339" s="425">
        <v>0</v>
      </c>
      <c r="J2339" s="425">
        <v>0</v>
      </c>
      <c r="K2339" s="425">
        <v>0</v>
      </c>
      <c r="L2339" s="425">
        <v>0</v>
      </c>
      <c r="M2339" s="425">
        <v>0</v>
      </c>
      <c r="N2339" s="425">
        <v>0</v>
      </c>
      <c r="O2339" s="425">
        <v>0</v>
      </c>
    </row>
    <row r="2340" spans="3:15" hidden="1" x14ac:dyDescent="0.3">
      <c r="C2340" t="s">
        <v>2292</v>
      </c>
      <c r="D2340" t="s">
        <v>2267</v>
      </c>
      <c r="E2340" t="s">
        <v>6871</v>
      </c>
      <c r="F2340" t="s">
        <v>6872</v>
      </c>
      <c r="G2340" s="425">
        <v>0</v>
      </c>
      <c r="H2340" s="425">
        <v>0</v>
      </c>
      <c r="I2340" s="425">
        <v>0</v>
      </c>
      <c r="J2340" s="425">
        <v>0</v>
      </c>
      <c r="K2340" s="425">
        <v>0</v>
      </c>
      <c r="L2340" s="425">
        <v>0</v>
      </c>
      <c r="M2340" s="425">
        <v>0</v>
      </c>
      <c r="N2340" s="425">
        <v>0</v>
      </c>
      <c r="O2340" s="425">
        <v>0</v>
      </c>
    </row>
    <row r="2341" spans="3:15" hidden="1" x14ac:dyDescent="0.3">
      <c r="C2341" t="s">
        <v>2292</v>
      </c>
      <c r="D2341" t="s">
        <v>2267</v>
      </c>
      <c r="E2341" t="s">
        <v>6873</v>
      </c>
      <c r="F2341" t="s">
        <v>6874</v>
      </c>
      <c r="G2341" s="425">
        <v>0</v>
      </c>
      <c r="H2341" s="425">
        <v>0</v>
      </c>
      <c r="I2341" s="425">
        <v>0</v>
      </c>
      <c r="J2341" s="425">
        <v>0</v>
      </c>
      <c r="K2341" s="425">
        <v>0</v>
      </c>
      <c r="L2341" s="425">
        <v>0</v>
      </c>
      <c r="M2341" s="425">
        <v>0</v>
      </c>
      <c r="N2341" s="425">
        <v>0</v>
      </c>
      <c r="O2341" s="425">
        <v>0</v>
      </c>
    </row>
    <row r="2342" spans="3:15" hidden="1" x14ac:dyDescent="0.3">
      <c r="C2342" t="s">
        <v>2292</v>
      </c>
      <c r="D2342" t="s">
        <v>2267</v>
      </c>
      <c r="E2342" t="s">
        <v>6875</v>
      </c>
      <c r="F2342" t="s">
        <v>6876</v>
      </c>
      <c r="G2342" s="425">
        <v>0</v>
      </c>
      <c r="H2342" s="425">
        <v>0</v>
      </c>
      <c r="I2342" s="425">
        <v>0</v>
      </c>
      <c r="J2342" s="425">
        <v>0</v>
      </c>
      <c r="K2342" s="425">
        <v>0</v>
      </c>
      <c r="L2342" s="425">
        <v>0</v>
      </c>
      <c r="M2342" s="425">
        <v>0</v>
      </c>
      <c r="N2342" s="425">
        <v>0</v>
      </c>
      <c r="O2342" s="425">
        <v>0</v>
      </c>
    </row>
    <row r="2343" spans="3:15" hidden="1" x14ac:dyDescent="0.3">
      <c r="C2343" t="s">
        <v>2292</v>
      </c>
      <c r="D2343" t="s">
        <v>2267</v>
      </c>
      <c r="E2343" t="s">
        <v>6877</v>
      </c>
      <c r="F2343" t="s">
        <v>6878</v>
      </c>
      <c r="G2343" s="425">
        <v>0</v>
      </c>
      <c r="H2343" s="425">
        <v>0</v>
      </c>
      <c r="I2343" s="425">
        <v>0</v>
      </c>
      <c r="J2343" s="425">
        <v>0</v>
      </c>
      <c r="K2343" s="425">
        <v>0</v>
      </c>
      <c r="L2343" s="425">
        <v>0</v>
      </c>
      <c r="M2343" s="425">
        <v>0</v>
      </c>
      <c r="N2343" s="425">
        <v>0</v>
      </c>
      <c r="O2343" s="425">
        <v>0</v>
      </c>
    </row>
    <row r="2344" spans="3:15" hidden="1" x14ac:dyDescent="0.3">
      <c r="C2344" t="s">
        <v>2292</v>
      </c>
      <c r="D2344" t="s">
        <v>2267</v>
      </c>
      <c r="E2344" t="s">
        <v>6879</v>
      </c>
      <c r="F2344" t="s">
        <v>6880</v>
      </c>
      <c r="G2344" s="425">
        <v>0</v>
      </c>
      <c r="H2344" s="425">
        <v>0</v>
      </c>
      <c r="I2344" s="425">
        <v>0</v>
      </c>
      <c r="J2344" s="425">
        <v>0</v>
      </c>
      <c r="K2344" s="425">
        <v>0</v>
      </c>
      <c r="L2344" s="425">
        <v>0</v>
      </c>
      <c r="M2344" s="425">
        <v>0</v>
      </c>
      <c r="N2344" s="425">
        <v>0</v>
      </c>
      <c r="O2344" s="425">
        <v>0</v>
      </c>
    </row>
    <row r="2345" spans="3:15" hidden="1" x14ac:dyDescent="0.3">
      <c r="C2345" t="s">
        <v>2292</v>
      </c>
      <c r="D2345" t="s">
        <v>2267</v>
      </c>
      <c r="E2345" t="s">
        <v>6881</v>
      </c>
      <c r="F2345" t="s">
        <v>6882</v>
      </c>
      <c r="G2345" s="425">
        <v>0</v>
      </c>
      <c r="H2345" s="425">
        <v>0</v>
      </c>
      <c r="I2345" s="425">
        <v>0</v>
      </c>
      <c r="J2345" s="425">
        <v>0</v>
      </c>
      <c r="K2345" s="425">
        <v>0</v>
      </c>
      <c r="L2345" s="425">
        <v>0</v>
      </c>
      <c r="M2345" s="425">
        <v>0</v>
      </c>
      <c r="N2345" s="425">
        <v>0</v>
      </c>
      <c r="O2345" s="425">
        <v>0</v>
      </c>
    </row>
    <row r="2346" spans="3:15" hidden="1" x14ac:dyDescent="0.3">
      <c r="C2346" t="s">
        <v>2292</v>
      </c>
      <c r="D2346" t="s">
        <v>2267</v>
      </c>
      <c r="E2346" t="s">
        <v>6883</v>
      </c>
      <c r="F2346" t="s">
        <v>6884</v>
      </c>
      <c r="G2346" s="425">
        <v>0</v>
      </c>
      <c r="H2346" s="425">
        <v>0</v>
      </c>
      <c r="I2346" s="425">
        <v>0</v>
      </c>
      <c r="J2346" s="425">
        <v>0</v>
      </c>
      <c r="K2346" s="425">
        <v>0</v>
      </c>
      <c r="L2346" s="425">
        <v>0</v>
      </c>
      <c r="M2346" s="425">
        <v>0</v>
      </c>
      <c r="N2346" s="425">
        <v>0</v>
      </c>
      <c r="O2346" s="425">
        <v>0</v>
      </c>
    </row>
    <row r="2347" spans="3:15" hidden="1" x14ac:dyDescent="0.3">
      <c r="C2347" t="s">
        <v>2292</v>
      </c>
      <c r="D2347" t="s">
        <v>2267</v>
      </c>
      <c r="E2347" t="s">
        <v>6885</v>
      </c>
      <c r="F2347" t="s">
        <v>6886</v>
      </c>
      <c r="G2347" s="425">
        <v>0</v>
      </c>
      <c r="H2347" s="425">
        <v>0</v>
      </c>
      <c r="I2347" s="425">
        <v>0</v>
      </c>
      <c r="J2347" s="425">
        <v>0</v>
      </c>
      <c r="K2347" s="425">
        <v>0</v>
      </c>
      <c r="L2347" s="425">
        <v>0</v>
      </c>
      <c r="M2347" s="425">
        <v>0</v>
      </c>
      <c r="N2347" s="425">
        <v>0</v>
      </c>
      <c r="O2347" s="425">
        <v>0</v>
      </c>
    </row>
    <row r="2348" spans="3:15" hidden="1" x14ac:dyDescent="0.3">
      <c r="C2348" t="s">
        <v>2292</v>
      </c>
      <c r="D2348" t="s">
        <v>2267</v>
      </c>
      <c r="E2348" t="s">
        <v>6887</v>
      </c>
      <c r="F2348" t="s">
        <v>6888</v>
      </c>
      <c r="G2348" s="425">
        <v>0</v>
      </c>
      <c r="H2348" s="425">
        <v>0</v>
      </c>
      <c r="I2348" s="425">
        <v>0</v>
      </c>
      <c r="J2348" s="425">
        <v>0</v>
      </c>
      <c r="K2348" s="425">
        <v>0</v>
      </c>
      <c r="L2348" s="425">
        <v>0</v>
      </c>
      <c r="M2348" s="425">
        <v>0</v>
      </c>
      <c r="N2348" s="425">
        <v>0</v>
      </c>
      <c r="O2348" s="425">
        <v>0</v>
      </c>
    </row>
    <row r="2349" spans="3:15" hidden="1" x14ac:dyDescent="0.3">
      <c r="C2349" t="s">
        <v>2292</v>
      </c>
      <c r="D2349" t="s">
        <v>2267</v>
      </c>
      <c r="E2349" t="s">
        <v>6889</v>
      </c>
      <c r="F2349" t="s">
        <v>6890</v>
      </c>
      <c r="G2349" s="425">
        <v>0</v>
      </c>
      <c r="H2349" s="425">
        <v>0</v>
      </c>
      <c r="I2349" s="425">
        <v>0</v>
      </c>
      <c r="J2349" s="425">
        <v>0</v>
      </c>
      <c r="K2349" s="425">
        <v>0</v>
      </c>
      <c r="L2349" s="425">
        <v>0</v>
      </c>
      <c r="M2349" s="425">
        <v>0</v>
      </c>
      <c r="N2349" s="425">
        <v>0</v>
      </c>
      <c r="O2349" s="425">
        <v>0</v>
      </c>
    </row>
    <row r="2350" spans="3:15" hidden="1" x14ac:dyDescent="0.3">
      <c r="C2350" t="s">
        <v>2292</v>
      </c>
      <c r="D2350" t="s">
        <v>2267</v>
      </c>
      <c r="E2350" t="s">
        <v>6891</v>
      </c>
      <c r="F2350" t="s">
        <v>6892</v>
      </c>
      <c r="G2350" s="425">
        <v>0</v>
      </c>
      <c r="H2350" s="425">
        <v>0</v>
      </c>
      <c r="I2350" s="425">
        <v>0</v>
      </c>
      <c r="J2350" s="425">
        <v>0</v>
      </c>
      <c r="K2350" s="425">
        <v>0</v>
      </c>
      <c r="L2350" s="425">
        <v>0</v>
      </c>
      <c r="M2350" s="425">
        <v>0</v>
      </c>
      <c r="N2350" s="425">
        <v>0</v>
      </c>
      <c r="O2350" s="425">
        <v>0</v>
      </c>
    </row>
    <row r="2351" spans="3:15" hidden="1" x14ac:dyDescent="0.3">
      <c r="C2351" t="s">
        <v>2292</v>
      </c>
      <c r="D2351" t="s">
        <v>2267</v>
      </c>
      <c r="E2351" t="s">
        <v>6893</v>
      </c>
      <c r="F2351" t="s">
        <v>6894</v>
      </c>
      <c r="G2351" s="425">
        <v>0</v>
      </c>
      <c r="H2351" s="425">
        <v>0</v>
      </c>
      <c r="I2351" s="425">
        <v>0</v>
      </c>
      <c r="J2351" s="425">
        <v>0</v>
      </c>
      <c r="K2351" s="425">
        <v>0</v>
      </c>
      <c r="L2351" s="425">
        <v>0</v>
      </c>
      <c r="M2351" s="425">
        <v>0</v>
      </c>
      <c r="N2351" s="425">
        <v>0</v>
      </c>
      <c r="O2351" s="425">
        <v>0</v>
      </c>
    </row>
    <row r="2352" spans="3:15" hidden="1" x14ac:dyDescent="0.3">
      <c r="C2352" t="s">
        <v>2292</v>
      </c>
      <c r="D2352" t="s">
        <v>2267</v>
      </c>
      <c r="E2352" t="s">
        <v>6895</v>
      </c>
      <c r="F2352" t="s">
        <v>6896</v>
      </c>
      <c r="G2352" s="425">
        <v>0</v>
      </c>
      <c r="H2352" s="425">
        <v>0</v>
      </c>
      <c r="I2352" s="425">
        <v>0</v>
      </c>
      <c r="J2352" s="425">
        <v>0</v>
      </c>
      <c r="K2352" s="425">
        <v>0</v>
      </c>
      <c r="L2352" s="425">
        <v>0</v>
      </c>
      <c r="M2352" s="425">
        <v>0</v>
      </c>
      <c r="N2352" s="425">
        <v>0</v>
      </c>
      <c r="O2352" s="425">
        <v>0</v>
      </c>
    </row>
    <row r="2353" spans="3:15" hidden="1" x14ac:dyDescent="0.3">
      <c r="C2353" t="s">
        <v>2292</v>
      </c>
      <c r="D2353" t="s">
        <v>2267</v>
      </c>
      <c r="E2353" t="s">
        <v>6897</v>
      </c>
      <c r="F2353" t="s">
        <v>6898</v>
      </c>
      <c r="G2353" s="425">
        <v>0</v>
      </c>
      <c r="H2353" s="425">
        <v>0</v>
      </c>
      <c r="I2353" s="425">
        <v>0</v>
      </c>
      <c r="J2353" s="425">
        <v>0</v>
      </c>
      <c r="K2353" s="425">
        <v>0</v>
      </c>
      <c r="L2353" s="425">
        <v>0</v>
      </c>
      <c r="M2353" s="425">
        <v>0</v>
      </c>
      <c r="N2353" s="425">
        <v>0</v>
      </c>
      <c r="O2353" s="425">
        <v>0</v>
      </c>
    </row>
    <row r="2354" spans="3:15" hidden="1" x14ac:dyDescent="0.3">
      <c r="C2354" t="s">
        <v>2292</v>
      </c>
      <c r="D2354" t="s">
        <v>2267</v>
      </c>
      <c r="E2354" t="s">
        <v>6899</v>
      </c>
      <c r="F2354" t="s">
        <v>6900</v>
      </c>
      <c r="G2354" s="425">
        <v>0</v>
      </c>
      <c r="H2354" s="425">
        <v>0</v>
      </c>
      <c r="I2354" s="425">
        <v>0</v>
      </c>
      <c r="J2354" s="425">
        <v>0</v>
      </c>
      <c r="K2354" s="425">
        <v>0</v>
      </c>
      <c r="L2354" s="425">
        <v>0</v>
      </c>
      <c r="M2354" s="425">
        <v>0</v>
      </c>
      <c r="N2354" s="425">
        <v>0</v>
      </c>
      <c r="O2354" s="425">
        <v>0</v>
      </c>
    </row>
    <row r="2355" spans="3:15" hidden="1" x14ac:dyDescent="0.3">
      <c r="C2355" t="s">
        <v>2292</v>
      </c>
      <c r="D2355" t="s">
        <v>2267</v>
      </c>
      <c r="E2355" t="s">
        <v>6901</v>
      </c>
      <c r="F2355" t="s">
        <v>6902</v>
      </c>
      <c r="G2355" s="425">
        <v>0</v>
      </c>
      <c r="H2355" s="425">
        <v>0</v>
      </c>
      <c r="I2355" s="425">
        <v>0</v>
      </c>
      <c r="J2355" s="425">
        <v>0</v>
      </c>
      <c r="K2355" s="425">
        <v>0</v>
      </c>
      <c r="L2355" s="425">
        <v>0</v>
      </c>
      <c r="M2355" s="425">
        <v>0</v>
      </c>
      <c r="N2355" s="425">
        <v>0</v>
      </c>
      <c r="O2355" s="425">
        <v>0</v>
      </c>
    </row>
    <row r="2356" spans="3:15" hidden="1" x14ac:dyDescent="0.3">
      <c r="C2356" t="s">
        <v>2292</v>
      </c>
      <c r="D2356" t="s">
        <v>2267</v>
      </c>
      <c r="E2356" t="s">
        <v>6903</v>
      </c>
      <c r="F2356" t="s">
        <v>6904</v>
      </c>
      <c r="G2356" s="425">
        <v>0</v>
      </c>
      <c r="H2356" s="425">
        <v>0</v>
      </c>
      <c r="I2356" s="425">
        <v>0</v>
      </c>
      <c r="J2356" s="425">
        <v>0</v>
      </c>
      <c r="K2356" s="425">
        <v>0</v>
      </c>
      <c r="L2356" s="425">
        <v>0</v>
      </c>
      <c r="M2356" s="425">
        <v>0</v>
      </c>
      <c r="N2356" s="425">
        <v>0</v>
      </c>
      <c r="O2356" s="425">
        <v>0</v>
      </c>
    </row>
    <row r="2357" spans="3:15" hidden="1" x14ac:dyDescent="0.3">
      <c r="C2357" t="s">
        <v>2292</v>
      </c>
      <c r="D2357" t="s">
        <v>2267</v>
      </c>
      <c r="E2357" t="s">
        <v>6905</v>
      </c>
      <c r="F2357" t="s">
        <v>6906</v>
      </c>
      <c r="G2357" s="425">
        <v>0</v>
      </c>
      <c r="H2357" s="425">
        <v>0</v>
      </c>
      <c r="I2357" s="425">
        <v>0</v>
      </c>
      <c r="J2357" s="425">
        <v>0</v>
      </c>
      <c r="K2357" s="425">
        <v>0</v>
      </c>
      <c r="L2357" s="425">
        <v>0</v>
      </c>
      <c r="M2357" s="425">
        <v>0</v>
      </c>
      <c r="N2357" s="425">
        <v>0</v>
      </c>
      <c r="O2357" s="425">
        <v>0</v>
      </c>
    </row>
    <row r="2358" spans="3:15" hidden="1" x14ac:dyDescent="0.3">
      <c r="C2358" t="s">
        <v>2292</v>
      </c>
      <c r="D2358" t="s">
        <v>2267</v>
      </c>
      <c r="E2358" t="s">
        <v>6907</v>
      </c>
      <c r="F2358" t="s">
        <v>6908</v>
      </c>
      <c r="G2358" s="425">
        <v>0</v>
      </c>
      <c r="H2358" s="425">
        <v>0</v>
      </c>
      <c r="I2358" s="425">
        <v>0</v>
      </c>
      <c r="J2358" s="425">
        <v>0</v>
      </c>
      <c r="K2358" s="425">
        <v>0</v>
      </c>
      <c r="L2358" s="425">
        <v>0</v>
      </c>
      <c r="M2358" s="425">
        <v>0</v>
      </c>
      <c r="N2358" s="425">
        <v>0</v>
      </c>
      <c r="O2358" s="425">
        <v>0</v>
      </c>
    </row>
    <row r="2359" spans="3:15" hidden="1" x14ac:dyDescent="0.3">
      <c r="C2359" t="s">
        <v>2292</v>
      </c>
      <c r="D2359" t="s">
        <v>2267</v>
      </c>
      <c r="E2359" t="s">
        <v>6909</v>
      </c>
      <c r="F2359" t="s">
        <v>6910</v>
      </c>
      <c r="G2359" s="425">
        <v>0</v>
      </c>
      <c r="H2359" s="425">
        <v>0</v>
      </c>
      <c r="I2359" s="425">
        <v>0</v>
      </c>
      <c r="J2359" s="425">
        <v>0</v>
      </c>
      <c r="K2359" s="425">
        <v>0</v>
      </c>
      <c r="L2359" s="425">
        <v>0</v>
      </c>
      <c r="M2359" s="425">
        <v>0</v>
      </c>
      <c r="N2359" s="425">
        <v>0</v>
      </c>
      <c r="O2359" s="425">
        <v>0</v>
      </c>
    </row>
    <row r="2360" spans="3:15" hidden="1" x14ac:dyDescent="0.3">
      <c r="C2360" t="s">
        <v>2292</v>
      </c>
      <c r="D2360" t="s">
        <v>2267</v>
      </c>
      <c r="E2360" t="s">
        <v>6911</v>
      </c>
      <c r="F2360" t="s">
        <v>6912</v>
      </c>
      <c r="G2360" s="425">
        <v>0</v>
      </c>
      <c r="H2360" s="425">
        <v>0</v>
      </c>
      <c r="I2360" s="425">
        <v>0</v>
      </c>
      <c r="J2360" s="425">
        <v>0</v>
      </c>
      <c r="K2360" s="425">
        <v>0</v>
      </c>
      <c r="L2360" s="425">
        <v>0</v>
      </c>
      <c r="M2360" s="425">
        <v>0</v>
      </c>
      <c r="N2360" s="425">
        <v>0</v>
      </c>
      <c r="O2360" s="425">
        <v>0</v>
      </c>
    </row>
    <row r="2361" spans="3:15" hidden="1" x14ac:dyDescent="0.3">
      <c r="C2361" t="s">
        <v>2292</v>
      </c>
      <c r="D2361" t="s">
        <v>2267</v>
      </c>
      <c r="E2361" t="s">
        <v>6913</v>
      </c>
      <c r="F2361" t="s">
        <v>6914</v>
      </c>
      <c r="G2361" s="425">
        <v>0</v>
      </c>
      <c r="H2361" s="425">
        <v>0</v>
      </c>
      <c r="I2361" s="425">
        <v>0</v>
      </c>
      <c r="J2361" s="425">
        <v>0</v>
      </c>
      <c r="K2361" s="425">
        <v>0</v>
      </c>
      <c r="L2361" s="425">
        <v>0</v>
      </c>
      <c r="M2361" s="425">
        <v>0</v>
      </c>
      <c r="N2361" s="425">
        <v>0</v>
      </c>
      <c r="O2361" s="425">
        <v>0</v>
      </c>
    </row>
    <row r="2362" spans="3:15" hidden="1" x14ac:dyDescent="0.3">
      <c r="C2362" t="s">
        <v>2292</v>
      </c>
      <c r="D2362" t="s">
        <v>2267</v>
      </c>
      <c r="E2362" t="s">
        <v>6915</v>
      </c>
      <c r="F2362" t="s">
        <v>6916</v>
      </c>
      <c r="G2362" s="425">
        <v>0</v>
      </c>
      <c r="H2362" s="425">
        <v>0</v>
      </c>
      <c r="I2362" s="425">
        <v>0</v>
      </c>
      <c r="J2362" s="425">
        <v>0</v>
      </c>
      <c r="K2362" s="425">
        <v>0</v>
      </c>
      <c r="L2362" s="425">
        <v>0</v>
      </c>
      <c r="M2362" s="425">
        <v>0</v>
      </c>
      <c r="N2362" s="425">
        <v>0</v>
      </c>
      <c r="O2362" s="425">
        <v>0</v>
      </c>
    </row>
    <row r="2363" spans="3:15" hidden="1" x14ac:dyDescent="0.3">
      <c r="C2363" t="s">
        <v>2292</v>
      </c>
      <c r="D2363" t="s">
        <v>2267</v>
      </c>
      <c r="E2363" t="s">
        <v>6917</v>
      </c>
      <c r="F2363" t="s">
        <v>6918</v>
      </c>
      <c r="G2363" s="425">
        <v>0</v>
      </c>
      <c r="H2363" s="425">
        <v>0</v>
      </c>
      <c r="I2363" s="425">
        <v>0</v>
      </c>
      <c r="J2363" s="425">
        <v>0</v>
      </c>
      <c r="K2363" s="425">
        <v>0</v>
      </c>
      <c r="L2363" s="425">
        <v>0</v>
      </c>
      <c r="M2363" s="425">
        <v>0</v>
      </c>
      <c r="N2363" s="425">
        <v>0</v>
      </c>
      <c r="O2363" s="425">
        <v>0</v>
      </c>
    </row>
    <row r="2364" spans="3:15" hidden="1" x14ac:dyDescent="0.3">
      <c r="C2364" t="s">
        <v>2292</v>
      </c>
      <c r="D2364" t="s">
        <v>2267</v>
      </c>
      <c r="E2364" t="s">
        <v>6919</v>
      </c>
      <c r="F2364" t="s">
        <v>6920</v>
      </c>
      <c r="G2364" s="425">
        <v>0</v>
      </c>
      <c r="H2364" s="425">
        <v>0</v>
      </c>
      <c r="I2364" s="425">
        <v>0</v>
      </c>
      <c r="J2364" s="425">
        <v>0</v>
      </c>
      <c r="K2364" s="425">
        <v>0</v>
      </c>
      <c r="L2364" s="425">
        <v>0</v>
      </c>
      <c r="M2364" s="425">
        <v>0</v>
      </c>
      <c r="N2364" s="425">
        <v>0</v>
      </c>
      <c r="O2364" s="425">
        <v>0</v>
      </c>
    </row>
    <row r="2365" spans="3:15" hidden="1" x14ac:dyDescent="0.3">
      <c r="C2365" t="s">
        <v>2292</v>
      </c>
      <c r="D2365" t="s">
        <v>2267</v>
      </c>
      <c r="E2365" t="s">
        <v>6921</v>
      </c>
      <c r="F2365" t="s">
        <v>6922</v>
      </c>
      <c r="G2365" s="425">
        <v>0</v>
      </c>
      <c r="H2365" s="425">
        <v>0</v>
      </c>
      <c r="I2365" s="425">
        <v>0</v>
      </c>
      <c r="J2365" s="425">
        <v>0</v>
      </c>
      <c r="K2365" s="425">
        <v>0</v>
      </c>
      <c r="L2365" s="425">
        <v>0</v>
      </c>
      <c r="M2365" s="425">
        <v>0</v>
      </c>
      <c r="N2365" s="425">
        <v>0</v>
      </c>
      <c r="O2365" s="425">
        <v>0</v>
      </c>
    </row>
    <row r="2366" spans="3:15" hidden="1" x14ac:dyDescent="0.3">
      <c r="C2366" t="s">
        <v>2292</v>
      </c>
      <c r="D2366" t="s">
        <v>2267</v>
      </c>
      <c r="E2366" t="s">
        <v>6923</v>
      </c>
      <c r="F2366" t="s">
        <v>6924</v>
      </c>
      <c r="G2366" s="425">
        <v>0</v>
      </c>
      <c r="H2366" s="425">
        <v>0</v>
      </c>
      <c r="I2366" s="425">
        <v>0</v>
      </c>
      <c r="J2366" s="425">
        <v>0</v>
      </c>
      <c r="K2366" s="425">
        <v>0</v>
      </c>
      <c r="L2366" s="425">
        <v>0</v>
      </c>
      <c r="M2366" s="425">
        <v>0</v>
      </c>
      <c r="N2366" s="425">
        <v>0</v>
      </c>
      <c r="O2366" s="425">
        <v>0</v>
      </c>
    </row>
    <row r="2367" spans="3:15" hidden="1" x14ac:dyDescent="0.3">
      <c r="C2367" t="s">
        <v>2292</v>
      </c>
      <c r="D2367" t="s">
        <v>2267</v>
      </c>
      <c r="E2367" t="s">
        <v>6925</v>
      </c>
      <c r="F2367" t="s">
        <v>6926</v>
      </c>
      <c r="G2367" s="425">
        <v>0</v>
      </c>
      <c r="H2367" s="425">
        <v>0</v>
      </c>
      <c r="I2367" s="425">
        <v>0</v>
      </c>
      <c r="J2367" s="425">
        <v>0</v>
      </c>
      <c r="K2367" s="425">
        <v>0</v>
      </c>
      <c r="L2367" s="425">
        <v>0</v>
      </c>
      <c r="M2367" s="425">
        <v>0</v>
      </c>
      <c r="N2367" s="425">
        <v>0</v>
      </c>
      <c r="O2367" s="425">
        <v>0</v>
      </c>
    </row>
    <row r="2368" spans="3:15" hidden="1" x14ac:dyDescent="0.3">
      <c r="C2368" t="s">
        <v>2292</v>
      </c>
      <c r="D2368" t="s">
        <v>2267</v>
      </c>
      <c r="E2368" t="s">
        <v>6927</v>
      </c>
      <c r="F2368" t="s">
        <v>6928</v>
      </c>
      <c r="G2368" s="425">
        <v>0</v>
      </c>
      <c r="H2368" s="425">
        <v>0</v>
      </c>
      <c r="I2368" s="425">
        <v>0</v>
      </c>
      <c r="J2368" s="425">
        <v>0</v>
      </c>
      <c r="K2368" s="425">
        <v>0</v>
      </c>
      <c r="L2368" s="425">
        <v>0</v>
      </c>
      <c r="M2368" s="425">
        <v>0</v>
      </c>
      <c r="N2368" s="425">
        <v>0</v>
      </c>
      <c r="O2368" s="425">
        <v>0</v>
      </c>
    </row>
    <row r="2369" spans="3:15" hidden="1" x14ac:dyDescent="0.3">
      <c r="C2369" t="s">
        <v>2292</v>
      </c>
      <c r="D2369" t="s">
        <v>2267</v>
      </c>
      <c r="E2369" t="s">
        <v>6929</v>
      </c>
      <c r="F2369" t="s">
        <v>6930</v>
      </c>
      <c r="G2369" s="425">
        <v>0</v>
      </c>
      <c r="H2369" s="425">
        <v>0</v>
      </c>
      <c r="I2369" s="425">
        <v>0</v>
      </c>
      <c r="J2369" s="425">
        <v>0</v>
      </c>
      <c r="K2369" s="425">
        <v>0</v>
      </c>
      <c r="L2369" s="425">
        <v>0</v>
      </c>
      <c r="M2369" s="425">
        <v>0</v>
      </c>
      <c r="N2369" s="425">
        <v>0</v>
      </c>
      <c r="O2369" s="425">
        <v>0</v>
      </c>
    </row>
    <row r="2370" spans="3:15" hidden="1" x14ac:dyDescent="0.3">
      <c r="C2370" t="s">
        <v>2292</v>
      </c>
      <c r="D2370" t="s">
        <v>2267</v>
      </c>
      <c r="E2370" t="s">
        <v>6931</v>
      </c>
      <c r="F2370" t="s">
        <v>6932</v>
      </c>
      <c r="G2370" s="425">
        <v>0</v>
      </c>
      <c r="H2370" s="425">
        <v>0</v>
      </c>
      <c r="I2370" s="425">
        <v>0</v>
      </c>
      <c r="J2370" s="425">
        <v>0</v>
      </c>
      <c r="K2370" s="425">
        <v>0</v>
      </c>
      <c r="L2370" s="425">
        <v>0</v>
      </c>
      <c r="M2370" s="425">
        <v>0</v>
      </c>
      <c r="N2370" s="425">
        <v>0</v>
      </c>
      <c r="O2370" s="425">
        <v>0</v>
      </c>
    </row>
    <row r="2371" spans="3:15" hidden="1" x14ac:dyDescent="0.3">
      <c r="C2371" t="s">
        <v>2292</v>
      </c>
      <c r="D2371" t="s">
        <v>2267</v>
      </c>
      <c r="E2371" t="s">
        <v>6933</v>
      </c>
      <c r="F2371" t="s">
        <v>6934</v>
      </c>
      <c r="G2371" s="425">
        <v>0</v>
      </c>
      <c r="H2371" s="425">
        <v>0</v>
      </c>
      <c r="I2371" s="425">
        <v>0</v>
      </c>
      <c r="J2371" s="425">
        <v>0</v>
      </c>
      <c r="K2371" s="425">
        <v>0</v>
      </c>
      <c r="L2371" s="425">
        <v>0</v>
      </c>
      <c r="M2371" s="425">
        <v>0</v>
      </c>
      <c r="N2371" s="425">
        <v>0</v>
      </c>
      <c r="O2371" s="425">
        <v>0</v>
      </c>
    </row>
    <row r="2372" spans="3:15" hidden="1" x14ac:dyDescent="0.3">
      <c r="C2372" t="s">
        <v>2292</v>
      </c>
      <c r="D2372" t="s">
        <v>2267</v>
      </c>
      <c r="E2372" t="s">
        <v>6935</v>
      </c>
      <c r="F2372" t="s">
        <v>6936</v>
      </c>
      <c r="G2372" s="425">
        <v>0</v>
      </c>
      <c r="H2372" s="425">
        <v>0</v>
      </c>
      <c r="I2372" s="425">
        <v>0</v>
      </c>
      <c r="J2372" s="425">
        <v>0</v>
      </c>
      <c r="K2372" s="425">
        <v>0</v>
      </c>
      <c r="L2372" s="425">
        <v>0</v>
      </c>
      <c r="M2372" s="425">
        <v>0</v>
      </c>
      <c r="N2372" s="425">
        <v>0</v>
      </c>
      <c r="O2372" s="425">
        <v>0</v>
      </c>
    </row>
    <row r="2373" spans="3:15" hidden="1" x14ac:dyDescent="0.3">
      <c r="C2373" t="s">
        <v>2292</v>
      </c>
      <c r="D2373" t="s">
        <v>2267</v>
      </c>
      <c r="E2373" t="s">
        <v>6937</v>
      </c>
      <c r="F2373" t="s">
        <v>6938</v>
      </c>
      <c r="G2373" s="425">
        <v>0</v>
      </c>
      <c r="H2373" s="425">
        <v>0</v>
      </c>
      <c r="I2373" s="425">
        <v>0</v>
      </c>
      <c r="J2373" s="425">
        <v>0</v>
      </c>
      <c r="K2373" s="425">
        <v>0</v>
      </c>
      <c r="L2373" s="425">
        <v>0</v>
      </c>
      <c r="M2373" s="425">
        <v>0</v>
      </c>
      <c r="N2373" s="425">
        <v>0</v>
      </c>
      <c r="O2373" s="425">
        <v>0</v>
      </c>
    </row>
    <row r="2374" spans="3:15" hidden="1" x14ac:dyDescent="0.3">
      <c r="C2374" t="s">
        <v>2292</v>
      </c>
      <c r="D2374" t="s">
        <v>2267</v>
      </c>
      <c r="E2374" t="s">
        <v>6939</v>
      </c>
      <c r="F2374" t="s">
        <v>6940</v>
      </c>
      <c r="G2374" s="425">
        <v>0</v>
      </c>
      <c r="H2374" s="425">
        <v>0</v>
      </c>
      <c r="I2374" s="425">
        <v>0</v>
      </c>
      <c r="J2374" s="425">
        <v>0</v>
      </c>
      <c r="K2374" s="425">
        <v>0</v>
      </c>
      <c r="L2374" s="425">
        <v>0</v>
      </c>
      <c r="M2374" s="425">
        <v>0</v>
      </c>
      <c r="N2374" s="425">
        <v>0</v>
      </c>
      <c r="O2374" s="425">
        <v>0</v>
      </c>
    </row>
    <row r="2375" spans="3:15" hidden="1" x14ac:dyDescent="0.3">
      <c r="C2375" t="s">
        <v>2292</v>
      </c>
      <c r="D2375" t="s">
        <v>2267</v>
      </c>
      <c r="E2375" t="s">
        <v>6941</v>
      </c>
      <c r="F2375" t="s">
        <v>6942</v>
      </c>
      <c r="G2375" s="425">
        <v>0</v>
      </c>
      <c r="H2375" s="425">
        <v>0</v>
      </c>
      <c r="I2375" s="425">
        <v>0</v>
      </c>
      <c r="J2375" s="425">
        <v>0</v>
      </c>
      <c r="K2375" s="425">
        <v>0</v>
      </c>
      <c r="L2375" s="425">
        <v>0</v>
      </c>
      <c r="M2375" s="425">
        <v>0</v>
      </c>
      <c r="N2375" s="425">
        <v>0</v>
      </c>
      <c r="O2375" s="425">
        <v>0</v>
      </c>
    </row>
    <row r="2376" spans="3:15" hidden="1" x14ac:dyDescent="0.3">
      <c r="C2376" t="s">
        <v>2292</v>
      </c>
      <c r="D2376" t="s">
        <v>2267</v>
      </c>
      <c r="E2376" t="s">
        <v>6943</v>
      </c>
      <c r="F2376" t="s">
        <v>6944</v>
      </c>
      <c r="G2376" s="425">
        <v>0</v>
      </c>
      <c r="H2376" s="425">
        <v>0</v>
      </c>
      <c r="I2376" s="425">
        <v>0</v>
      </c>
      <c r="J2376" s="425">
        <v>0</v>
      </c>
      <c r="K2376" s="425">
        <v>0</v>
      </c>
      <c r="L2376" s="425">
        <v>0</v>
      </c>
      <c r="M2376" s="425">
        <v>0</v>
      </c>
      <c r="N2376" s="425">
        <v>0</v>
      </c>
      <c r="O2376" s="425">
        <v>0</v>
      </c>
    </row>
    <row r="2377" spans="3:15" hidden="1" x14ac:dyDescent="0.3">
      <c r="C2377" t="s">
        <v>2292</v>
      </c>
      <c r="D2377" t="s">
        <v>2267</v>
      </c>
      <c r="E2377" t="s">
        <v>6945</v>
      </c>
      <c r="F2377" t="s">
        <v>6946</v>
      </c>
      <c r="G2377" s="425">
        <v>0</v>
      </c>
      <c r="H2377" s="425">
        <v>0</v>
      </c>
      <c r="I2377" s="425">
        <v>0</v>
      </c>
      <c r="J2377" s="425">
        <v>0</v>
      </c>
      <c r="K2377" s="425">
        <v>0</v>
      </c>
      <c r="L2377" s="425">
        <v>0</v>
      </c>
      <c r="M2377" s="425">
        <v>0</v>
      </c>
      <c r="N2377" s="425">
        <v>0</v>
      </c>
      <c r="O2377" s="425">
        <v>0</v>
      </c>
    </row>
    <row r="2378" spans="3:15" hidden="1" x14ac:dyDescent="0.3">
      <c r="C2378" t="s">
        <v>2292</v>
      </c>
      <c r="D2378" t="s">
        <v>2267</v>
      </c>
      <c r="E2378" t="s">
        <v>6947</v>
      </c>
      <c r="F2378" t="s">
        <v>6948</v>
      </c>
      <c r="G2378" s="425">
        <v>0</v>
      </c>
      <c r="H2378" s="425">
        <v>0</v>
      </c>
      <c r="I2378" s="425">
        <v>0</v>
      </c>
      <c r="J2378" s="425">
        <v>0</v>
      </c>
      <c r="K2378" s="425">
        <v>0</v>
      </c>
      <c r="L2378" s="425">
        <v>0</v>
      </c>
      <c r="M2378" s="425">
        <v>0</v>
      </c>
      <c r="N2378" s="425">
        <v>0</v>
      </c>
      <c r="O2378" s="425">
        <v>0</v>
      </c>
    </row>
    <row r="2379" spans="3:15" hidden="1" x14ac:dyDescent="0.3">
      <c r="C2379" t="s">
        <v>2292</v>
      </c>
      <c r="D2379" t="s">
        <v>2267</v>
      </c>
      <c r="E2379" t="s">
        <v>6949</v>
      </c>
      <c r="F2379" t="s">
        <v>6950</v>
      </c>
      <c r="G2379" s="425">
        <v>0</v>
      </c>
      <c r="H2379" s="425">
        <v>0</v>
      </c>
      <c r="I2379" s="425">
        <v>0</v>
      </c>
      <c r="J2379" s="425">
        <v>0</v>
      </c>
      <c r="K2379" s="425">
        <v>0</v>
      </c>
      <c r="L2379" s="425">
        <v>0</v>
      </c>
      <c r="M2379" s="425">
        <v>0</v>
      </c>
      <c r="N2379" s="425">
        <v>0</v>
      </c>
      <c r="O2379" s="425">
        <v>0</v>
      </c>
    </row>
    <row r="2380" spans="3:15" hidden="1" x14ac:dyDescent="0.3">
      <c r="C2380" t="s">
        <v>2292</v>
      </c>
      <c r="D2380" t="s">
        <v>2267</v>
      </c>
      <c r="E2380" t="s">
        <v>6949</v>
      </c>
      <c r="F2380" t="s">
        <v>6951</v>
      </c>
      <c r="G2380" s="425">
        <v>0</v>
      </c>
      <c r="H2380" s="425">
        <v>0</v>
      </c>
      <c r="I2380" s="425">
        <v>0</v>
      </c>
      <c r="J2380" s="425">
        <v>0</v>
      </c>
      <c r="K2380" s="425">
        <v>0</v>
      </c>
      <c r="L2380" s="425">
        <v>0</v>
      </c>
      <c r="M2380" s="425">
        <v>0</v>
      </c>
      <c r="N2380" s="425">
        <v>0</v>
      </c>
      <c r="O2380" s="425">
        <v>0</v>
      </c>
    </row>
    <row r="2381" spans="3:15" hidden="1" x14ac:dyDescent="0.3">
      <c r="C2381" t="s">
        <v>2292</v>
      </c>
      <c r="D2381" t="s">
        <v>2267</v>
      </c>
      <c r="E2381" t="s">
        <v>6949</v>
      </c>
      <c r="F2381" t="s">
        <v>6952</v>
      </c>
      <c r="G2381" s="425">
        <v>0</v>
      </c>
      <c r="H2381" s="425">
        <v>0</v>
      </c>
      <c r="I2381" s="425">
        <v>0</v>
      </c>
      <c r="J2381" s="425">
        <v>0</v>
      </c>
      <c r="K2381" s="425">
        <v>0</v>
      </c>
      <c r="L2381" s="425">
        <v>0</v>
      </c>
      <c r="M2381" s="425">
        <v>0</v>
      </c>
      <c r="N2381" s="425">
        <v>0</v>
      </c>
      <c r="O2381" s="425">
        <v>0</v>
      </c>
    </row>
    <row r="2382" spans="3:15" hidden="1" x14ac:dyDescent="0.3">
      <c r="C2382" t="s">
        <v>2292</v>
      </c>
      <c r="D2382" t="s">
        <v>2267</v>
      </c>
      <c r="E2382" t="s">
        <v>6953</v>
      </c>
      <c r="F2382" t="s">
        <v>6954</v>
      </c>
      <c r="G2382" s="425">
        <v>0</v>
      </c>
      <c r="H2382" s="425">
        <v>0</v>
      </c>
      <c r="I2382" s="425">
        <v>0</v>
      </c>
      <c r="J2382" s="425">
        <v>0</v>
      </c>
      <c r="K2382" s="425">
        <v>0</v>
      </c>
      <c r="L2382" s="425">
        <v>0</v>
      </c>
      <c r="M2382" s="425">
        <v>0</v>
      </c>
      <c r="N2382" s="425">
        <v>0</v>
      </c>
      <c r="O2382" s="425">
        <v>0</v>
      </c>
    </row>
    <row r="2383" spans="3:15" hidden="1" x14ac:dyDescent="0.3">
      <c r="C2383" t="s">
        <v>2292</v>
      </c>
      <c r="D2383" t="s">
        <v>2267</v>
      </c>
      <c r="E2383" t="s">
        <v>6955</v>
      </c>
      <c r="F2383" t="s">
        <v>6956</v>
      </c>
      <c r="G2383" s="425">
        <v>0</v>
      </c>
      <c r="H2383" s="425">
        <v>0</v>
      </c>
      <c r="I2383" s="425">
        <v>0</v>
      </c>
      <c r="J2383" s="425">
        <v>0</v>
      </c>
      <c r="K2383" s="425">
        <v>0</v>
      </c>
      <c r="L2383" s="425">
        <v>0</v>
      </c>
      <c r="M2383" s="425">
        <v>0</v>
      </c>
      <c r="N2383" s="425">
        <v>0</v>
      </c>
      <c r="O2383" s="425">
        <v>0</v>
      </c>
    </row>
    <row r="2384" spans="3:15" hidden="1" x14ac:dyDescent="0.3">
      <c r="C2384" t="s">
        <v>2292</v>
      </c>
      <c r="D2384" t="s">
        <v>2267</v>
      </c>
      <c r="E2384" t="s">
        <v>6957</v>
      </c>
      <c r="F2384" t="s">
        <v>6958</v>
      </c>
      <c r="G2384" s="425">
        <v>0</v>
      </c>
      <c r="H2384" s="425">
        <v>0</v>
      </c>
      <c r="I2384" s="425">
        <v>0</v>
      </c>
      <c r="J2384" s="425">
        <v>0</v>
      </c>
      <c r="K2384" s="425">
        <v>0</v>
      </c>
      <c r="L2384" s="425">
        <v>0</v>
      </c>
      <c r="M2384" s="425">
        <v>0</v>
      </c>
      <c r="N2384" s="425">
        <v>0</v>
      </c>
      <c r="O2384" s="425">
        <v>0</v>
      </c>
    </row>
    <row r="2385" spans="3:15" hidden="1" x14ac:dyDescent="0.3">
      <c r="C2385" t="s">
        <v>2292</v>
      </c>
      <c r="D2385" t="s">
        <v>2267</v>
      </c>
      <c r="E2385" t="s">
        <v>6959</v>
      </c>
      <c r="F2385" t="s">
        <v>6960</v>
      </c>
      <c r="G2385" s="425">
        <v>0</v>
      </c>
      <c r="H2385" s="425">
        <v>0</v>
      </c>
      <c r="I2385" s="425">
        <v>0</v>
      </c>
      <c r="J2385" s="425">
        <v>0</v>
      </c>
      <c r="K2385" s="425">
        <v>0</v>
      </c>
      <c r="L2385" s="425">
        <v>0</v>
      </c>
      <c r="M2385" s="425">
        <v>0</v>
      </c>
      <c r="N2385" s="425">
        <v>0</v>
      </c>
      <c r="O2385" s="425">
        <v>0</v>
      </c>
    </row>
    <row r="2386" spans="3:15" hidden="1" x14ac:dyDescent="0.3">
      <c r="C2386" t="s">
        <v>2292</v>
      </c>
      <c r="D2386" t="s">
        <v>2267</v>
      </c>
      <c r="E2386" t="s">
        <v>6961</v>
      </c>
      <c r="F2386" t="s">
        <v>6962</v>
      </c>
      <c r="G2386" s="425">
        <v>0</v>
      </c>
      <c r="H2386" s="425">
        <v>0</v>
      </c>
      <c r="I2386" s="425">
        <v>0</v>
      </c>
      <c r="J2386" s="425">
        <v>0</v>
      </c>
      <c r="K2386" s="425">
        <v>0</v>
      </c>
      <c r="L2386" s="425">
        <v>0</v>
      </c>
      <c r="M2386" s="425">
        <v>0</v>
      </c>
      <c r="N2386" s="425">
        <v>0</v>
      </c>
      <c r="O2386" s="425">
        <v>0</v>
      </c>
    </row>
    <row r="2387" spans="3:15" hidden="1" x14ac:dyDescent="0.3">
      <c r="C2387" t="s">
        <v>2292</v>
      </c>
      <c r="D2387" t="s">
        <v>2267</v>
      </c>
      <c r="E2387" t="s">
        <v>6963</v>
      </c>
      <c r="F2387" t="s">
        <v>6964</v>
      </c>
      <c r="G2387" s="425">
        <v>0</v>
      </c>
      <c r="H2387" s="425">
        <v>0</v>
      </c>
      <c r="I2387" s="425">
        <v>0</v>
      </c>
      <c r="J2387" s="425">
        <v>0</v>
      </c>
      <c r="K2387" s="425">
        <v>0</v>
      </c>
      <c r="L2387" s="425">
        <v>0</v>
      </c>
      <c r="M2387" s="425">
        <v>0</v>
      </c>
      <c r="N2387" s="425">
        <v>0</v>
      </c>
      <c r="O2387" s="425">
        <v>0</v>
      </c>
    </row>
    <row r="2388" spans="3:15" hidden="1" x14ac:dyDescent="0.3">
      <c r="C2388" t="s">
        <v>2292</v>
      </c>
      <c r="D2388" t="s">
        <v>2267</v>
      </c>
      <c r="E2388" t="s">
        <v>6965</v>
      </c>
      <c r="F2388" t="s">
        <v>6966</v>
      </c>
      <c r="G2388" s="425">
        <v>0</v>
      </c>
      <c r="H2388" s="425">
        <v>0</v>
      </c>
      <c r="I2388" s="425">
        <v>0</v>
      </c>
      <c r="J2388" s="425">
        <v>0</v>
      </c>
      <c r="K2388" s="425">
        <v>0</v>
      </c>
      <c r="L2388" s="425">
        <v>0</v>
      </c>
      <c r="M2388" s="425">
        <v>0</v>
      </c>
      <c r="N2388" s="425">
        <v>0</v>
      </c>
      <c r="O2388" s="425">
        <v>0</v>
      </c>
    </row>
    <row r="2389" spans="3:15" hidden="1" x14ac:dyDescent="0.3">
      <c r="C2389" t="s">
        <v>2292</v>
      </c>
      <c r="D2389" t="s">
        <v>2267</v>
      </c>
      <c r="E2389" t="s">
        <v>6967</v>
      </c>
      <c r="F2389" t="s">
        <v>6968</v>
      </c>
      <c r="G2389" s="425">
        <v>0</v>
      </c>
      <c r="H2389" s="425">
        <v>0</v>
      </c>
      <c r="I2389" s="425">
        <v>0</v>
      </c>
      <c r="J2389" s="425">
        <v>0</v>
      </c>
      <c r="K2389" s="425">
        <v>0</v>
      </c>
      <c r="L2389" s="425">
        <v>0</v>
      </c>
      <c r="M2389" s="425">
        <v>0</v>
      </c>
      <c r="N2389" s="425">
        <v>0</v>
      </c>
      <c r="O2389" s="425">
        <v>0</v>
      </c>
    </row>
    <row r="2390" spans="3:15" hidden="1" x14ac:dyDescent="0.3">
      <c r="C2390" t="s">
        <v>2292</v>
      </c>
      <c r="D2390" t="s">
        <v>2267</v>
      </c>
      <c r="E2390" t="s">
        <v>6969</v>
      </c>
      <c r="F2390" t="s">
        <v>6970</v>
      </c>
      <c r="G2390" s="425">
        <v>0</v>
      </c>
      <c r="H2390" s="425">
        <v>0</v>
      </c>
      <c r="I2390" s="425">
        <v>0</v>
      </c>
      <c r="J2390" s="425">
        <v>0</v>
      </c>
      <c r="K2390" s="425">
        <v>0</v>
      </c>
      <c r="L2390" s="425">
        <v>0</v>
      </c>
      <c r="M2390" s="425">
        <v>0</v>
      </c>
      <c r="N2390" s="425">
        <v>0</v>
      </c>
      <c r="O2390" s="425">
        <v>0</v>
      </c>
    </row>
    <row r="2391" spans="3:15" hidden="1" x14ac:dyDescent="0.3">
      <c r="C2391" t="s">
        <v>2292</v>
      </c>
      <c r="D2391" t="s">
        <v>2267</v>
      </c>
      <c r="E2391" t="s">
        <v>6971</v>
      </c>
      <c r="F2391" t="s">
        <v>6972</v>
      </c>
      <c r="G2391" s="425">
        <v>0</v>
      </c>
      <c r="H2391" s="425">
        <v>0</v>
      </c>
      <c r="I2391" s="425">
        <v>0</v>
      </c>
      <c r="J2391" s="425">
        <v>0</v>
      </c>
      <c r="K2391" s="425">
        <v>0</v>
      </c>
      <c r="L2391" s="425">
        <v>0</v>
      </c>
      <c r="M2391" s="425">
        <v>0</v>
      </c>
      <c r="N2391" s="425">
        <v>0</v>
      </c>
      <c r="O2391" s="425">
        <v>0</v>
      </c>
    </row>
    <row r="2392" spans="3:15" hidden="1" x14ac:dyDescent="0.3">
      <c r="C2392" t="s">
        <v>2292</v>
      </c>
      <c r="D2392" t="s">
        <v>2267</v>
      </c>
      <c r="E2392" t="s">
        <v>6973</v>
      </c>
      <c r="F2392" t="s">
        <v>6974</v>
      </c>
      <c r="G2392" s="425">
        <v>0</v>
      </c>
      <c r="H2392" s="425">
        <v>0</v>
      </c>
      <c r="I2392" s="425">
        <v>0</v>
      </c>
      <c r="J2392" s="425">
        <v>0</v>
      </c>
      <c r="K2392" s="425">
        <v>0</v>
      </c>
      <c r="L2392" s="425">
        <v>0</v>
      </c>
      <c r="M2392" s="425">
        <v>0</v>
      </c>
      <c r="N2392" s="425">
        <v>0</v>
      </c>
      <c r="O2392" s="425">
        <v>0</v>
      </c>
    </row>
    <row r="2393" spans="3:15" hidden="1" x14ac:dyDescent="0.3">
      <c r="C2393" t="s">
        <v>2292</v>
      </c>
      <c r="D2393" t="s">
        <v>2267</v>
      </c>
      <c r="E2393" t="s">
        <v>6975</v>
      </c>
      <c r="F2393" t="s">
        <v>6976</v>
      </c>
      <c r="G2393" s="425">
        <v>0</v>
      </c>
      <c r="H2393" s="425">
        <v>0</v>
      </c>
      <c r="I2393" s="425">
        <v>0</v>
      </c>
      <c r="J2393" s="425">
        <v>0</v>
      </c>
      <c r="K2393" s="425">
        <v>0</v>
      </c>
      <c r="L2393" s="425">
        <v>0</v>
      </c>
      <c r="M2393" s="425">
        <v>0</v>
      </c>
      <c r="N2393" s="425">
        <v>0</v>
      </c>
      <c r="O2393" s="425">
        <v>0</v>
      </c>
    </row>
    <row r="2394" spans="3:15" hidden="1" x14ac:dyDescent="0.3">
      <c r="C2394" t="s">
        <v>2292</v>
      </c>
      <c r="D2394" t="s">
        <v>2267</v>
      </c>
      <c r="E2394" t="s">
        <v>6977</v>
      </c>
      <c r="F2394" t="s">
        <v>6978</v>
      </c>
      <c r="G2394" s="425">
        <v>0</v>
      </c>
      <c r="H2394" s="425">
        <v>0</v>
      </c>
      <c r="I2394" s="425">
        <v>0</v>
      </c>
      <c r="J2394" s="425">
        <v>0</v>
      </c>
      <c r="K2394" s="425">
        <v>0</v>
      </c>
      <c r="L2394" s="425">
        <v>0</v>
      </c>
      <c r="M2394" s="425">
        <v>0</v>
      </c>
      <c r="N2394" s="425">
        <v>0</v>
      </c>
      <c r="O2394" s="425">
        <v>0</v>
      </c>
    </row>
    <row r="2395" spans="3:15" hidden="1" x14ac:dyDescent="0.3">
      <c r="C2395" t="s">
        <v>2292</v>
      </c>
      <c r="D2395" t="s">
        <v>2267</v>
      </c>
      <c r="E2395" t="s">
        <v>6979</v>
      </c>
      <c r="F2395" t="s">
        <v>6980</v>
      </c>
      <c r="G2395" s="425">
        <v>0</v>
      </c>
      <c r="H2395" s="425">
        <v>0</v>
      </c>
      <c r="I2395" s="425">
        <v>0</v>
      </c>
      <c r="J2395" s="425">
        <v>0</v>
      </c>
      <c r="K2395" s="425">
        <v>0</v>
      </c>
      <c r="L2395" s="425">
        <v>0</v>
      </c>
      <c r="M2395" s="425">
        <v>0</v>
      </c>
      <c r="N2395" s="425">
        <v>0</v>
      </c>
      <c r="O2395" s="425">
        <v>0</v>
      </c>
    </row>
    <row r="2396" spans="3:15" hidden="1" x14ac:dyDescent="0.3">
      <c r="C2396" t="s">
        <v>2292</v>
      </c>
      <c r="D2396" t="s">
        <v>2267</v>
      </c>
      <c r="E2396" t="s">
        <v>6981</v>
      </c>
      <c r="F2396" t="s">
        <v>6982</v>
      </c>
      <c r="G2396" s="425">
        <v>0</v>
      </c>
      <c r="H2396" s="425">
        <v>0</v>
      </c>
      <c r="I2396" s="425">
        <v>0</v>
      </c>
      <c r="J2396" s="425">
        <v>0</v>
      </c>
      <c r="K2396" s="425">
        <v>0</v>
      </c>
      <c r="L2396" s="425">
        <v>0</v>
      </c>
      <c r="M2396" s="425">
        <v>0</v>
      </c>
      <c r="N2396" s="425">
        <v>0</v>
      </c>
      <c r="O2396" s="425">
        <v>0</v>
      </c>
    </row>
    <row r="2397" spans="3:15" hidden="1" x14ac:dyDescent="0.3">
      <c r="C2397" t="s">
        <v>2292</v>
      </c>
      <c r="D2397" t="s">
        <v>2267</v>
      </c>
      <c r="E2397" t="s">
        <v>6983</v>
      </c>
      <c r="F2397" t="s">
        <v>6984</v>
      </c>
      <c r="G2397" s="425">
        <v>0</v>
      </c>
      <c r="H2397" s="425">
        <v>0</v>
      </c>
      <c r="I2397" s="425">
        <v>0</v>
      </c>
      <c r="J2397" s="425">
        <v>0</v>
      </c>
      <c r="K2397" s="425">
        <v>0</v>
      </c>
      <c r="L2397" s="425">
        <v>0</v>
      </c>
      <c r="M2397" s="425">
        <v>0</v>
      </c>
      <c r="N2397" s="425">
        <v>0</v>
      </c>
      <c r="O2397" s="425">
        <v>0</v>
      </c>
    </row>
    <row r="2398" spans="3:15" hidden="1" x14ac:dyDescent="0.3">
      <c r="C2398" t="s">
        <v>2292</v>
      </c>
      <c r="D2398" t="s">
        <v>2267</v>
      </c>
      <c r="E2398" t="s">
        <v>6985</v>
      </c>
      <c r="F2398" t="s">
        <v>6986</v>
      </c>
      <c r="G2398" s="425">
        <v>0</v>
      </c>
      <c r="H2398" s="425">
        <v>0</v>
      </c>
      <c r="I2398" s="425">
        <v>0</v>
      </c>
      <c r="J2398" s="425">
        <v>0</v>
      </c>
      <c r="K2398" s="425">
        <v>0</v>
      </c>
      <c r="L2398" s="425">
        <v>0</v>
      </c>
      <c r="M2398" s="425">
        <v>0</v>
      </c>
      <c r="N2398" s="425">
        <v>0</v>
      </c>
      <c r="O2398" s="425">
        <v>0</v>
      </c>
    </row>
    <row r="2399" spans="3:15" hidden="1" x14ac:dyDescent="0.3">
      <c r="C2399" t="s">
        <v>2292</v>
      </c>
      <c r="D2399" t="s">
        <v>2267</v>
      </c>
      <c r="E2399" t="s">
        <v>6987</v>
      </c>
      <c r="F2399" t="s">
        <v>6988</v>
      </c>
      <c r="G2399" s="425">
        <v>0</v>
      </c>
      <c r="H2399" s="425">
        <v>0</v>
      </c>
      <c r="I2399" s="425">
        <v>0</v>
      </c>
      <c r="J2399" s="425">
        <v>0</v>
      </c>
      <c r="K2399" s="425">
        <v>0</v>
      </c>
      <c r="L2399" s="425">
        <v>0</v>
      </c>
      <c r="M2399" s="425">
        <v>0</v>
      </c>
      <c r="N2399" s="425">
        <v>0</v>
      </c>
      <c r="O2399" s="425">
        <v>0</v>
      </c>
    </row>
    <row r="2400" spans="3:15" hidden="1" x14ac:dyDescent="0.3">
      <c r="C2400" t="s">
        <v>2292</v>
      </c>
      <c r="D2400" t="s">
        <v>2267</v>
      </c>
      <c r="E2400" t="s">
        <v>6989</v>
      </c>
      <c r="F2400" t="s">
        <v>6990</v>
      </c>
      <c r="G2400" s="425">
        <v>0</v>
      </c>
      <c r="H2400" s="425">
        <v>0</v>
      </c>
      <c r="I2400" s="425">
        <v>0</v>
      </c>
      <c r="J2400" s="425">
        <v>0</v>
      </c>
      <c r="K2400" s="425">
        <v>0</v>
      </c>
      <c r="L2400" s="425">
        <v>0</v>
      </c>
      <c r="M2400" s="425">
        <v>0</v>
      </c>
      <c r="N2400" s="425">
        <v>0</v>
      </c>
      <c r="O2400" s="425">
        <v>0</v>
      </c>
    </row>
    <row r="2401" spans="3:15" hidden="1" x14ac:dyDescent="0.3">
      <c r="C2401" t="s">
        <v>2292</v>
      </c>
      <c r="D2401" t="s">
        <v>2267</v>
      </c>
      <c r="E2401" t="s">
        <v>6991</v>
      </c>
      <c r="F2401" t="s">
        <v>6992</v>
      </c>
      <c r="G2401" s="425">
        <v>0</v>
      </c>
      <c r="H2401" s="425">
        <v>0</v>
      </c>
      <c r="I2401" s="425">
        <v>0</v>
      </c>
      <c r="J2401" s="425">
        <v>0</v>
      </c>
      <c r="K2401" s="425">
        <v>0</v>
      </c>
      <c r="L2401" s="425">
        <v>0</v>
      </c>
      <c r="M2401" s="425">
        <v>0</v>
      </c>
      <c r="N2401" s="425">
        <v>0</v>
      </c>
      <c r="O2401" s="425">
        <v>0</v>
      </c>
    </row>
    <row r="2402" spans="3:15" hidden="1" x14ac:dyDescent="0.3">
      <c r="C2402" t="s">
        <v>2292</v>
      </c>
      <c r="D2402" t="s">
        <v>2267</v>
      </c>
      <c r="E2402" t="s">
        <v>6993</v>
      </c>
      <c r="F2402" t="s">
        <v>6994</v>
      </c>
      <c r="G2402" s="425">
        <v>0</v>
      </c>
      <c r="H2402" s="425">
        <v>0</v>
      </c>
      <c r="I2402" s="425">
        <v>0</v>
      </c>
      <c r="J2402" s="425">
        <v>0</v>
      </c>
      <c r="K2402" s="425">
        <v>0</v>
      </c>
      <c r="L2402" s="425">
        <v>0</v>
      </c>
      <c r="M2402" s="425">
        <v>0</v>
      </c>
      <c r="N2402" s="425">
        <v>0</v>
      </c>
      <c r="O2402" s="425">
        <v>0</v>
      </c>
    </row>
    <row r="2403" spans="3:15" hidden="1" x14ac:dyDescent="0.3">
      <c r="C2403" t="s">
        <v>2292</v>
      </c>
      <c r="D2403" t="s">
        <v>2267</v>
      </c>
      <c r="E2403" t="s">
        <v>6995</v>
      </c>
      <c r="F2403" t="s">
        <v>6996</v>
      </c>
      <c r="G2403" s="425">
        <v>0</v>
      </c>
      <c r="H2403" s="425">
        <v>0</v>
      </c>
      <c r="I2403" s="425">
        <v>0</v>
      </c>
      <c r="J2403" s="425">
        <v>0</v>
      </c>
      <c r="K2403" s="425">
        <v>0</v>
      </c>
      <c r="L2403" s="425">
        <v>0</v>
      </c>
      <c r="M2403" s="425">
        <v>0</v>
      </c>
      <c r="N2403" s="425">
        <v>0</v>
      </c>
      <c r="O2403" s="425">
        <v>0</v>
      </c>
    </row>
    <row r="2404" spans="3:15" hidden="1" x14ac:dyDescent="0.3">
      <c r="C2404" t="s">
        <v>2292</v>
      </c>
      <c r="D2404" t="s">
        <v>2267</v>
      </c>
      <c r="E2404" t="s">
        <v>6997</v>
      </c>
      <c r="F2404" t="s">
        <v>6998</v>
      </c>
      <c r="G2404" s="425">
        <v>0</v>
      </c>
      <c r="H2404" s="425">
        <v>0</v>
      </c>
      <c r="I2404" s="425">
        <v>0</v>
      </c>
      <c r="J2404" s="425">
        <v>0</v>
      </c>
      <c r="K2404" s="425">
        <v>0</v>
      </c>
      <c r="L2404" s="425">
        <v>0</v>
      </c>
      <c r="M2404" s="425">
        <v>0</v>
      </c>
      <c r="N2404" s="425">
        <v>0</v>
      </c>
      <c r="O2404" s="425">
        <v>0</v>
      </c>
    </row>
    <row r="2405" spans="3:15" hidden="1" x14ac:dyDescent="0.3">
      <c r="C2405" t="s">
        <v>2292</v>
      </c>
      <c r="D2405" t="s">
        <v>2267</v>
      </c>
      <c r="E2405" t="s">
        <v>6999</v>
      </c>
      <c r="F2405" t="s">
        <v>7000</v>
      </c>
      <c r="G2405" s="425">
        <v>0</v>
      </c>
      <c r="H2405" s="425">
        <v>0</v>
      </c>
      <c r="I2405" s="425">
        <v>0</v>
      </c>
      <c r="J2405" s="425">
        <v>0</v>
      </c>
      <c r="K2405" s="425">
        <v>0</v>
      </c>
      <c r="L2405" s="425">
        <v>0</v>
      </c>
      <c r="M2405" s="425">
        <v>0</v>
      </c>
      <c r="N2405" s="425">
        <v>0</v>
      </c>
      <c r="O2405" s="425">
        <v>0</v>
      </c>
    </row>
    <row r="2406" spans="3:15" hidden="1" x14ac:dyDescent="0.3">
      <c r="C2406" t="s">
        <v>2292</v>
      </c>
      <c r="D2406" t="s">
        <v>2267</v>
      </c>
      <c r="E2406" t="s">
        <v>7001</v>
      </c>
      <c r="F2406" t="s">
        <v>7002</v>
      </c>
      <c r="G2406" s="425">
        <v>0</v>
      </c>
      <c r="H2406" s="425">
        <v>0</v>
      </c>
      <c r="I2406" s="425">
        <v>0</v>
      </c>
      <c r="J2406" s="425">
        <v>0</v>
      </c>
      <c r="K2406" s="425">
        <v>0</v>
      </c>
      <c r="L2406" s="425">
        <v>0</v>
      </c>
      <c r="M2406" s="425">
        <v>0</v>
      </c>
      <c r="N2406" s="425">
        <v>0</v>
      </c>
      <c r="O2406" s="425">
        <v>0</v>
      </c>
    </row>
    <row r="2407" spans="3:15" hidden="1" x14ac:dyDescent="0.3">
      <c r="C2407" t="s">
        <v>2292</v>
      </c>
      <c r="D2407" t="s">
        <v>2267</v>
      </c>
      <c r="E2407" t="s">
        <v>7003</v>
      </c>
      <c r="F2407" t="s">
        <v>7004</v>
      </c>
      <c r="G2407" s="425">
        <v>0</v>
      </c>
      <c r="H2407" s="425">
        <v>0</v>
      </c>
      <c r="I2407" s="425">
        <v>0</v>
      </c>
      <c r="J2407" s="425">
        <v>0</v>
      </c>
      <c r="K2407" s="425">
        <v>0</v>
      </c>
      <c r="L2407" s="425">
        <v>0</v>
      </c>
      <c r="M2407" s="425">
        <v>0</v>
      </c>
      <c r="N2407" s="425">
        <v>0</v>
      </c>
      <c r="O2407" s="425">
        <v>0</v>
      </c>
    </row>
    <row r="2408" spans="3:15" hidden="1" x14ac:dyDescent="0.3">
      <c r="C2408" t="s">
        <v>2292</v>
      </c>
      <c r="D2408" t="s">
        <v>2267</v>
      </c>
      <c r="E2408" t="s">
        <v>7005</v>
      </c>
      <c r="F2408" t="s">
        <v>7006</v>
      </c>
      <c r="G2408" s="425">
        <v>0</v>
      </c>
      <c r="H2408" s="425">
        <v>0</v>
      </c>
      <c r="I2408" s="425">
        <v>0</v>
      </c>
      <c r="J2408" s="425">
        <v>0</v>
      </c>
      <c r="K2408" s="425">
        <v>0</v>
      </c>
      <c r="L2408" s="425">
        <v>0</v>
      </c>
      <c r="M2408" s="425">
        <v>0</v>
      </c>
      <c r="N2408" s="425">
        <v>0</v>
      </c>
      <c r="O2408" s="425">
        <v>0</v>
      </c>
    </row>
    <row r="2409" spans="3:15" hidden="1" x14ac:dyDescent="0.3">
      <c r="C2409" t="s">
        <v>2292</v>
      </c>
      <c r="D2409" t="s">
        <v>2267</v>
      </c>
      <c r="E2409" t="s">
        <v>7007</v>
      </c>
      <c r="F2409" t="s">
        <v>7008</v>
      </c>
      <c r="G2409" s="425">
        <v>0</v>
      </c>
      <c r="H2409" s="425">
        <v>0</v>
      </c>
      <c r="I2409" s="425">
        <v>0</v>
      </c>
      <c r="J2409" s="425">
        <v>0</v>
      </c>
      <c r="K2409" s="425">
        <v>0</v>
      </c>
      <c r="L2409" s="425">
        <v>0</v>
      </c>
      <c r="M2409" s="425">
        <v>0</v>
      </c>
      <c r="N2409" s="425">
        <v>0</v>
      </c>
      <c r="O2409" s="425">
        <v>0</v>
      </c>
    </row>
    <row r="2410" spans="3:15" hidden="1" x14ac:dyDescent="0.3">
      <c r="C2410" t="s">
        <v>2292</v>
      </c>
      <c r="D2410" t="s">
        <v>2267</v>
      </c>
      <c r="E2410" t="s">
        <v>7009</v>
      </c>
      <c r="F2410" t="s">
        <v>7010</v>
      </c>
      <c r="G2410" s="425">
        <v>0</v>
      </c>
      <c r="H2410" s="425">
        <v>0</v>
      </c>
      <c r="I2410" s="425">
        <v>0</v>
      </c>
      <c r="J2410" s="425">
        <v>0</v>
      </c>
      <c r="K2410" s="425">
        <v>0</v>
      </c>
      <c r="L2410" s="425">
        <v>0</v>
      </c>
      <c r="M2410" s="425">
        <v>0</v>
      </c>
      <c r="N2410" s="425">
        <v>0</v>
      </c>
      <c r="O2410" s="425">
        <v>0</v>
      </c>
    </row>
    <row r="2411" spans="3:15" hidden="1" x14ac:dyDescent="0.3">
      <c r="C2411" t="s">
        <v>2292</v>
      </c>
      <c r="D2411" t="s">
        <v>2267</v>
      </c>
      <c r="E2411" t="s">
        <v>7011</v>
      </c>
      <c r="F2411" t="s">
        <v>7012</v>
      </c>
      <c r="G2411" s="425">
        <v>0</v>
      </c>
      <c r="H2411" s="425">
        <v>0</v>
      </c>
      <c r="I2411" s="425">
        <v>0</v>
      </c>
      <c r="J2411" s="425">
        <v>0</v>
      </c>
      <c r="K2411" s="425">
        <v>0</v>
      </c>
      <c r="L2411" s="425">
        <v>0</v>
      </c>
      <c r="M2411" s="425">
        <v>0</v>
      </c>
      <c r="N2411" s="425">
        <v>0</v>
      </c>
      <c r="O2411" s="425">
        <v>0</v>
      </c>
    </row>
    <row r="2412" spans="3:15" hidden="1" x14ac:dyDescent="0.3">
      <c r="C2412" t="s">
        <v>2292</v>
      </c>
      <c r="D2412" t="s">
        <v>2267</v>
      </c>
      <c r="E2412" t="s">
        <v>7013</v>
      </c>
      <c r="F2412" t="s">
        <v>7014</v>
      </c>
      <c r="G2412" s="425">
        <v>0</v>
      </c>
      <c r="H2412" s="425">
        <v>0</v>
      </c>
      <c r="I2412" s="425">
        <v>0</v>
      </c>
      <c r="J2412" s="425">
        <v>0</v>
      </c>
      <c r="K2412" s="425">
        <v>0</v>
      </c>
      <c r="L2412" s="425">
        <v>0</v>
      </c>
      <c r="M2412" s="425">
        <v>0</v>
      </c>
      <c r="N2412" s="425">
        <v>0</v>
      </c>
      <c r="O2412" s="425">
        <v>0</v>
      </c>
    </row>
    <row r="2413" spans="3:15" hidden="1" x14ac:dyDescent="0.3">
      <c r="C2413" t="s">
        <v>2292</v>
      </c>
      <c r="D2413" t="s">
        <v>2267</v>
      </c>
      <c r="E2413" t="s">
        <v>7015</v>
      </c>
      <c r="F2413" t="s">
        <v>7016</v>
      </c>
      <c r="G2413" s="425">
        <v>0</v>
      </c>
      <c r="H2413" s="425">
        <v>0</v>
      </c>
      <c r="I2413" s="425">
        <v>0</v>
      </c>
      <c r="J2413" s="425">
        <v>0</v>
      </c>
      <c r="K2413" s="425">
        <v>0</v>
      </c>
      <c r="L2413" s="425">
        <v>0</v>
      </c>
      <c r="M2413" s="425">
        <v>0</v>
      </c>
      <c r="N2413" s="425">
        <v>0</v>
      </c>
      <c r="O2413" s="425">
        <v>0</v>
      </c>
    </row>
    <row r="2414" spans="3:15" hidden="1" x14ac:dyDescent="0.3">
      <c r="C2414" t="s">
        <v>2292</v>
      </c>
      <c r="D2414" t="s">
        <v>2267</v>
      </c>
      <c r="E2414" t="s">
        <v>7017</v>
      </c>
      <c r="F2414" t="s">
        <v>7018</v>
      </c>
      <c r="G2414" s="425">
        <v>0</v>
      </c>
      <c r="H2414" s="425">
        <v>0</v>
      </c>
      <c r="I2414" s="425">
        <v>0</v>
      </c>
      <c r="J2414" s="425">
        <v>0</v>
      </c>
      <c r="K2414" s="425">
        <v>0</v>
      </c>
      <c r="L2414" s="425">
        <v>0</v>
      </c>
      <c r="M2414" s="425">
        <v>0</v>
      </c>
      <c r="N2414" s="425">
        <v>0</v>
      </c>
      <c r="O2414" s="425">
        <v>0</v>
      </c>
    </row>
    <row r="2415" spans="3:15" hidden="1" x14ac:dyDescent="0.3">
      <c r="C2415" t="s">
        <v>2292</v>
      </c>
      <c r="D2415" t="s">
        <v>2267</v>
      </c>
      <c r="E2415" t="s">
        <v>7019</v>
      </c>
      <c r="F2415" t="s">
        <v>7020</v>
      </c>
      <c r="G2415" s="425">
        <v>0</v>
      </c>
      <c r="H2415" s="425">
        <v>0</v>
      </c>
      <c r="I2415" s="425">
        <v>0</v>
      </c>
      <c r="J2415" s="425">
        <v>0</v>
      </c>
      <c r="K2415" s="425">
        <v>0</v>
      </c>
      <c r="L2415" s="425">
        <v>0</v>
      </c>
      <c r="M2415" s="425">
        <v>0</v>
      </c>
      <c r="N2415" s="425">
        <v>0</v>
      </c>
      <c r="O2415" s="425">
        <v>0</v>
      </c>
    </row>
    <row r="2416" spans="3:15" hidden="1" x14ac:dyDescent="0.3">
      <c r="C2416" t="s">
        <v>2292</v>
      </c>
      <c r="D2416" t="s">
        <v>2267</v>
      </c>
      <c r="E2416" t="s">
        <v>7021</v>
      </c>
      <c r="F2416" t="s">
        <v>7022</v>
      </c>
      <c r="G2416" s="425">
        <v>0</v>
      </c>
      <c r="H2416" s="425">
        <v>0</v>
      </c>
      <c r="I2416" s="425">
        <v>0</v>
      </c>
      <c r="J2416" s="425">
        <v>0</v>
      </c>
      <c r="K2416" s="425">
        <v>0</v>
      </c>
      <c r="L2416" s="425">
        <v>0</v>
      </c>
      <c r="M2416" s="425">
        <v>0</v>
      </c>
      <c r="N2416" s="425">
        <v>0</v>
      </c>
      <c r="O2416" s="425">
        <v>0</v>
      </c>
    </row>
    <row r="2417" spans="3:15" hidden="1" x14ac:dyDescent="0.3">
      <c r="C2417" t="s">
        <v>2292</v>
      </c>
      <c r="D2417" t="s">
        <v>2267</v>
      </c>
      <c r="E2417" t="s">
        <v>7023</v>
      </c>
      <c r="F2417" t="s">
        <v>7024</v>
      </c>
      <c r="G2417" s="425">
        <v>0</v>
      </c>
      <c r="H2417" s="425">
        <v>0</v>
      </c>
      <c r="I2417" s="425">
        <v>0</v>
      </c>
      <c r="J2417" s="425">
        <v>0</v>
      </c>
      <c r="K2417" s="425">
        <v>0</v>
      </c>
      <c r="L2417" s="425">
        <v>0</v>
      </c>
      <c r="M2417" s="425">
        <v>0</v>
      </c>
      <c r="N2417" s="425">
        <v>0</v>
      </c>
      <c r="O2417" s="425">
        <v>0</v>
      </c>
    </row>
    <row r="2418" spans="3:15" hidden="1" x14ac:dyDescent="0.3">
      <c r="C2418" t="s">
        <v>2292</v>
      </c>
      <c r="D2418" t="s">
        <v>2267</v>
      </c>
      <c r="E2418" t="s">
        <v>7025</v>
      </c>
      <c r="F2418" t="s">
        <v>7026</v>
      </c>
      <c r="G2418" s="425">
        <v>0</v>
      </c>
      <c r="H2418" s="425">
        <v>0</v>
      </c>
      <c r="I2418" s="425">
        <v>0</v>
      </c>
      <c r="J2418" s="425">
        <v>0</v>
      </c>
      <c r="K2418" s="425">
        <v>0</v>
      </c>
      <c r="L2418" s="425">
        <v>0</v>
      </c>
      <c r="M2418" s="425">
        <v>0</v>
      </c>
      <c r="N2418" s="425">
        <v>0</v>
      </c>
      <c r="O2418" s="425">
        <v>0</v>
      </c>
    </row>
    <row r="2419" spans="3:15" hidden="1" x14ac:dyDescent="0.3">
      <c r="C2419" t="s">
        <v>2292</v>
      </c>
      <c r="D2419" t="s">
        <v>2267</v>
      </c>
      <c r="E2419" t="s">
        <v>7027</v>
      </c>
      <c r="F2419" t="s">
        <v>7028</v>
      </c>
      <c r="G2419" s="425">
        <v>0</v>
      </c>
      <c r="H2419" s="425">
        <v>0</v>
      </c>
      <c r="I2419" s="425">
        <v>0</v>
      </c>
      <c r="J2419" s="425">
        <v>0</v>
      </c>
      <c r="K2419" s="425">
        <v>0</v>
      </c>
      <c r="L2419" s="425">
        <v>0</v>
      </c>
      <c r="M2419" s="425">
        <v>0</v>
      </c>
      <c r="N2419" s="425">
        <v>0</v>
      </c>
      <c r="O2419" s="425">
        <v>0</v>
      </c>
    </row>
    <row r="2420" spans="3:15" hidden="1" x14ac:dyDescent="0.3">
      <c r="C2420" t="s">
        <v>2292</v>
      </c>
      <c r="D2420" t="s">
        <v>2267</v>
      </c>
      <c r="E2420" t="s">
        <v>7029</v>
      </c>
      <c r="F2420" t="s">
        <v>7030</v>
      </c>
      <c r="G2420" s="425">
        <v>0</v>
      </c>
      <c r="H2420" s="425">
        <v>0</v>
      </c>
      <c r="I2420" s="425">
        <v>0</v>
      </c>
      <c r="J2420" s="425">
        <v>0</v>
      </c>
      <c r="K2420" s="425">
        <v>0</v>
      </c>
      <c r="L2420" s="425">
        <v>0</v>
      </c>
      <c r="M2420" s="425">
        <v>0</v>
      </c>
      <c r="N2420" s="425">
        <v>0</v>
      </c>
      <c r="O2420" s="425">
        <v>0</v>
      </c>
    </row>
    <row r="2421" spans="3:15" hidden="1" x14ac:dyDescent="0.3">
      <c r="C2421" t="s">
        <v>2292</v>
      </c>
      <c r="D2421" t="s">
        <v>2267</v>
      </c>
      <c r="E2421" t="s">
        <v>7031</v>
      </c>
      <c r="F2421" t="s">
        <v>7032</v>
      </c>
      <c r="G2421" s="425">
        <v>0</v>
      </c>
      <c r="H2421" s="425">
        <v>0</v>
      </c>
      <c r="I2421" s="425">
        <v>0</v>
      </c>
      <c r="J2421" s="425">
        <v>0</v>
      </c>
      <c r="K2421" s="425">
        <v>0</v>
      </c>
      <c r="L2421" s="425">
        <v>0</v>
      </c>
      <c r="M2421" s="425">
        <v>0</v>
      </c>
      <c r="N2421" s="425">
        <v>0</v>
      </c>
      <c r="O2421" s="425">
        <v>0</v>
      </c>
    </row>
    <row r="2422" spans="3:15" hidden="1" x14ac:dyDescent="0.3">
      <c r="C2422" t="s">
        <v>2292</v>
      </c>
      <c r="D2422" t="s">
        <v>2267</v>
      </c>
      <c r="E2422" t="s">
        <v>7033</v>
      </c>
      <c r="F2422" t="s">
        <v>7034</v>
      </c>
      <c r="G2422" s="425">
        <v>0</v>
      </c>
      <c r="H2422" s="425">
        <v>0</v>
      </c>
      <c r="I2422" s="425">
        <v>0</v>
      </c>
      <c r="J2422" s="425">
        <v>0</v>
      </c>
      <c r="K2422" s="425">
        <v>0</v>
      </c>
      <c r="L2422" s="425">
        <v>0</v>
      </c>
      <c r="M2422" s="425">
        <v>0</v>
      </c>
      <c r="N2422" s="425">
        <v>0</v>
      </c>
      <c r="O2422" s="425">
        <v>0</v>
      </c>
    </row>
    <row r="2423" spans="3:15" hidden="1" x14ac:dyDescent="0.3">
      <c r="C2423" t="s">
        <v>2292</v>
      </c>
      <c r="D2423" t="s">
        <v>2267</v>
      </c>
      <c r="E2423" t="s">
        <v>7035</v>
      </c>
      <c r="F2423" t="s">
        <v>7036</v>
      </c>
      <c r="G2423" s="425">
        <v>0</v>
      </c>
      <c r="H2423" s="425">
        <v>0</v>
      </c>
      <c r="I2423" s="425">
        <v>0</v>
      </c>
      <c r="J2423" s="425">
        <v>0</v>
      </c>
      <c r="K2423" s="425">
        <v>0</v>
      </c>
      <c r="L2423" s="425">
        <v>0</v>
      </c>
      <c r="M2423" s="425">
        <v>0</v>
      </c>
      <c r="N2423" s="425">
        <v>0</v>
      </c>
      <c r="O2423" s="425">
        <v>0</v>
      </c>
    </row>
    <row r="2424" spans="3:15" hidden="1" x14ac:dyDescent="0.3">
      <c r="C2424" t="s">
        <v>2292</v>
      </c>
      <c r="D2424" t="s">
        <v>2267</v>
      </c>
      <c r="E2424" t="s">
        <v>7037</v>
      </c>
      <c r="F2424" t="s">
        <v>7038</v>
      </c>
      <c r="G2424" s="425">
        <v>0</v>
      </c>
      <c r="H2424" s="425">
        <v>0</v>
      </c>
      <c r="I2424" s="425">
        <v>0</v>
      </c>
      <c r="J2424" s="425">
        <v>0</v>
      </c>
      <c r="K2424" s="425">
        <v>0</v>
      </c>
      <c r="L2424" s="425">
        <v>0</v>
      </c>
      <c r="M2424" s="425">
        <v>0</v>
      </c>
      <c r="N2424" s="425">
        <v>0</v>
      </c>
      <c r="O2424" s="425">
        <v>0</v>
      </c>
    </row>
    <row r="2425" spans="3:15" hidden="1" x14ac:dyDescent="0.3">
      <c r="C2425" t="s">
        <v>2292</v>
      </c>
      <c r="D2425" t="s">
        <v>2267</v>
      </c>
      <c r="E2425" t="s">
        <v>7039</v>
      </c>
      <c r="F2425" t="s">
        <v>7040</v>
      </c>
      <c r="G2425" s="425">
        <v>0</v>
      </c>
      <c r="H2425" s="425">
        <v>0</v>
      </c>
      <c r="I2425" s="425">
        <v>0</v>
      </c>
      <c r="J2425" s="425">
        <v>0</v>
      </c>
      <c r="K2425" s="425">
        <v>0</v>
      </c>
      <c r="L2425" s="425">
        <v>0</v>
      </c>
      <c r="M2425" s="425">
        <v>0</v>
      </c>
      <c r="N2425" s="425">
        <v>0</v>
      </c>
      <c r="O2425" s="425">
        <v>0</v>
      </c>
    </row>
    <row r="2426" spans="3:15" hidden="1" x14ac:dyDescent="0.3">
      <c r="C2426" t="s">
        <v>2292</v>
      </c>
      <c r="D2426" t="s">
        <v>2267</v>
      </c>
      <c r="E2426" t="s">
        <v>7041</v>
      </c>
      <c r="F2426" t="s">
        <v>7042</v>
      </c>
      <c r="G2426" s="425">
        <v>0</v>
      </c>
      <c r="H2426" s="425">
        <v>0</v>
      </c>
      <c r="I2426" s="425">
        <v>0</v>
      </c>
      <c r="J2426" s="425">
        <v>0</v>
      </c>
      <c r="K2426" s="425">
        <v>0</v>
      </c>
      <c r="L2426" s="425">
        <v>0</v>
      </c>
      <c r="M2426" s="425">
        <v>0</v>
      </c>
      <c r="N2426" s="425">
        <v>0</v>
      </c>
      <c r="O2426" s="425">
        <v>0</v>
      </c>
    </row>
    <row r="2427" spans="3:15" hidden="1" x14ac:dyDescent="0.3">
      <c r="C2427" t="s">
        <v>2292</v>
      </c>
      <c r="D2427" t="s">
        <v>2267</v>
      </c>
      <c r="E2427" t="s">
        <v>7043</v>
      </c>
      <c r="F2427" t="s">
        <v>7044</v>
      </c>
      <c r="G2427" s="425">
        <v>0</v>
      </c>
      <c r="H2427" s="425">
        <v>0</v>
      </c>
      <c r="I2427" s="425">
        <v>0</v>
      </c>
      <c r="J2427" s="425">
        <v>0</v>
      </c>
      <c r="K2427" s="425">
        <v>0</v>
      </c>
      <c r="L2427" s="425">
        <v>0</v>
      </c>
      <c r="M2427" s="425">
        <v>0</v>
      </c>
      <c r="N2427" s="425">
        <v>0</v>
      </c>
      <c r="O2427" s="425">
        <v>0</v>
      </c>
    </row>
    <row r="2428" spans="3:15" hidden="1" x14ac:dyDescent="0.3">
      <c r="C2428" t="s">
        <v>2292</v>
      </c>
      <c r="D2428" t="s">
        <v>2267</v>
      </c>
      <c r="E2428" t="s">
        <v>7045</v>
      </c>
      <c r="F2428" t="s">
        <v>7046</v>
      </c>
      <c r="G2428" s="425">
        <v>0</v>
      </c>
      <c r="H2428" s="425">
        <v>0</v>
      </c>
      <c r="I2428" s="425">
        <v>0</v>
      </c>
      <c r="J2428" s="425">
        <v>0</v>
      </c>
      <c r="K2428" s="425">
        <v>0</v>
      </c>
      <c r="L2428" s="425">
        <v>0</v>
      </c>
      <c r="M2428" s="425">
        <v>0</v>
      </c>
      <c r="N2428" s="425">
        <v>0</v>
      </c>
      <c r="O2428" s="425">
        <v>0</v>
      </c>
    </row>
    <row r="2429" spans="3:15" hidden="1" x14ac:dyDescent="0.3">
      <c r="C2429" t="s">
        <v>2292</v>
      </c>
      <c r="D2429" t="s">
        <v>2267</v>
      </c>
      <c r="E2429" t="s">
        <v>7047</v>
      </c>
      <c r="F2429" t="s">
        <v>7048</v>
      </c>
      <c r="G2429" s="425">
        <v>0</v>
      </c>
      <c r="H2429" s="425">
        <v>0</v>
      </c>
      <c r="I2429" s="425">
        <v>0</v>
      </c>
      <c r="J2429" s="425">
        <v>0</v>
      </c>
      <c r="K2429" s="425">
        <v>0</v>
      </c>
      <c r="L2429" s="425">
        <v>0</v>
      </c>
      <c r="M2429" s="425">
        <v>0</v>
      </c>
      <c r="N2429" s="425">
        <v>0</v>
      </c>
      <c r="O2429" s="425">
        <v>0</v>
      </c>
    </row>
    <row r="2430" spans="3:15" hidden="1" x14ac:dyDescent="0.3">
      <c r="C2430" t="s">
        <v>2292</v>
      </c>
      <c r="D2430" t="s">
        <v>2267</v>
      </c>
      <c r="E2430" t="s">
        <v>7049</v>
      </c>
      <c r="F2430" t="s">
        <v>7050</v>
      </c>
      <c r="G2430" s="425">
        <v>0</v>
      </c>
      <c r="H2430" s="425">
        <v>0</v>
      </c>
      <c r="I2430" s="425">
        <v>0</v>
      </c>
      <c r="J2430" s="425">
        <v>0</v>
      </c>
      <c r="K2430" s="425">
        <v>0</v>
      </c>
      <c r="L2430" s="425">
        <v>0</v>
      </c>
      <c r="M2430" s="425">
        <v>0</v>
      </c>
      <c r="N2430" s="425">
        <v>0</v>
      </c>
      <c r="O2430" s="425">
        <v>0</v>
      </c>
    </row>
    <row r="2431" spans="3:15" hidden="1" x14ac:dyDescent="0.3">
      <c r="C2431" t="s">
        <v>2292</v>
      </c>
      <c r="D2431" t="s">
        <v>2267</v>
      </c>
      <c r="E2431" t="s">
        <v>7051</v>
      </c>
      <c r="F2431" t="s">
        <v>7052</v>
      </c>
      <c r="G2431" s="425">
        <v>0</v>
      </c>
      <c r="H2431" s="425">
        <v>0</v>
      </c>
      <c r="I2431" s="425">
        <v>0</v>
      </c>
      <c r="J2431" s="425">
        <v>0</v>
      </c>
      <c r="K2431" s="425">
        <v>0</v>
      </c>
      <c r="L2431" s="425">
        <v>0</v>
      </c>
      <c r="M2431" s="425">
        <v>0</v>
      </c>
      <c r="N2431" s="425">
        <v>0</v>
      </c>
      <c r="O2431" s="425">
        <v>0</v>
      </c>
    </row>
    <row r="2432" spans="3:15" hidden="1" x14ac:dyDescent="0.3">
      <c r="C2432" t="s">
        <v>2292</v>
      </c>
      <c r="D2432" t="s">
        <v>2267</v>
      </c>
      <c r="E2432" t="s">
        <v>7053</v>
      </c>
      <c r="F2432" t="s">
        <v>7054</v>
      </c>
      <c r="G2432" s="425">
        <v>0</v>
      </c>
      <c r="H2432" s="425">
        <v>0</v>
      </c>
      <c r="I2432" s="425">
        <v>0</v>
      </c>
      <c r="J2432" s="425">
        <v>0</v>
      </c>
      <c r="K2432" s="425">
        <v>0</v>
      </c>
      <c r="L2432" s="425">
        <v>0</v>
      </c>
      <c r="M2432" s="425">
        <v>0</v>
      </c>
      <c r="N2432" s="425">
        <v>0</v>
      </c>
      <c r="O2432" s="425">
        <v>0</v>
      </c>
    </row>
    <row r="2433" spans="3:15" hidden="1" x14ac:dyDescent="0.3">
      <c r="C2433" t="s">
        <v>2292</v>
      </c>
      <c r="D2433" t="s">
        <v>2267</v>
      </c>
      <c r="E2433" t="s">
        <v>7055</v>
      </c>
      <c r="F2433" t="s">
        <v>7056</v>
      </c>
      <c r="G2433" s="425">
        <v>0</v>
      </c>
      <c r="H2433" s="425">
        <v>0</v>
      </c>
      <c r="I2433" s="425">
        <v>0</v>
      </c>
      <c r="J2433" s="425">
        <v>0</v>
      </c>
      <c r="K2433" s="425">
        <v>0</v>
      </c>
      <c r="L2433" s="425">
        <v>0</v>
      </c>
      <c r="M2433" s="425">
        <v>0</v>
      </c>
      <c r="N2433" s="425">
        <v>0</v>
      </c>
      <c r="O2433" s="425">
        <v>0</v>
      </c>
    </row>
    <row r="2434" spans="3:15" hidden="1" x14ac:dyDescent="0.3">
      <c r="C2434" t="s">
        <v>2292</v>
      </c>
      <c r="D2434" t="s">
        <v>2267</v>
      </c>
      <c r="E2434" t="s">
        <v>7057</v>
      </c>
      <c r="F2434" t="s">
        <v>7058</v>
      </c>
      <c r="G2434" s="425">
        <v>0</v>
      </c>
      <c r="H2434" s="425">
        <v>0</v>
      </c>
      <c r="I2434" s="425">
        <v>0</v>
      </c>
      <c r="J2434" s="425">
        <v>0</v>
      </c>
      <c r="K2434" s="425">
        <v>0</v>
      </c>
      <c r="L2434" s="425">
        <v>0</v>
      </c>
      <c r="M2434" s="425">
        <v>0</v>
      </c>
      <c r="N2434" s="425">
        <v>0</v>
      </c>
      <c r="O2434" s="425">
        <v>0</v>
      </c>
    </row>
    <row r="2435" spans="3:15" hidden="1" x14ac:dyDescent="0.3">
      <c r="C2435" t="s">
        <v>2292</v>
      </c>
      <c r="D2435" t="s">
        <v>2267</v>
      </c>
      <c r="E2435" t="s">
        <v>7059</v>
      </c>
      <c r="F2435" t="s">
        <v>7060</v>
      </c>
      <c r="G2435" s="425">
        <v>0</v>
      </c>
      <c r="H2435" s="425">
        <v>0</v>
      </c>
      <c r="I2435" s="425">
        <v>0</v>
      </c>
      <c r="J2435" s="425">
        <v>0</v>
      </c>
      <c r="K2435" s="425">
        <v>0</v>
      </c>
      <c r="L2435" s="425">
        <v>0</v>
      </c>
      <c r="M2435" s="425">
        <v>0</v>
      </c>
      <c r="N2435" s="425">
        <v>0</v>
      </c>
      <c r="O2435" s="425">
        <v>0</v>
      </c>
    </row>
    <row r="2436" spans="3:15" hidden="1" x14ac:dyDescent="0.3">
      <c r="C2436" t="s">
        <v>2292</v>
      </c>
      <c r="D2436" t="s">
        <v>2267</v>
      </c>
      <c r="E2436" t="s">
        <v>7061</v>
      </c>
      <c r="F2436" t="s">
        <v>7062</v>
      </c>
      <c r="G2436" s="425">
        <v>0</v>
      </c>
      <c r="H2436" s="425">
        <v>0</v>
      </c>
      <c r="I2436" s="425">
        <v>0</v>
      </c>
      <c r="J2436" s="425">
        <v>0</v>
      </c>
      <c r="K2436" s="425">
        <v>0</v>
      </c>
      <c r="L2436" s="425">
        <v>0</v>
      </c>
      <c r="M2436" s="425">
        <v>0</v>
      </c>
      <c r="N2436" s="425">
        <v>0</v>
      </c>
      <c r="O2436" s="425">
        <v>0</v>
      </c>
    </row>
    <row r="2437" spans="3:15" hidden="1" x14ac:dyDescent="0.3">
      <c r="C2437" t="s">
        <v>2292</v>
      </c>
      <c r="D2437" t="s">
        <v>2267</v>
      </c>
      <c r="E2437" t="s">
        <v>7063</v>
      </c>
      <c r="F2437" t="s">
        <v>7064</v>
      </c>
      <c r="G2437" s="425">
        <v>0</v>
      </c>
      <c r="H2437" s="425">
        <v>0</v>
      </c>
      <c r="I2437" s="425">
        <v>0</v>
      </c>
      <c r="J2437" s="425">
        <v>0</v>
      </c>
      <c r="K2437" s="425">
        <v>0</v>
      </c>
      <c r="L2437" s="425">
        <v>0</v>
      </c>
      <c r="M2437" s="425">
        <v>0</v>
      </c>
      <c r="N2437" s="425">
        <v>0</v>
      </c>
      <c r="O2437" s="425">
        <v>0</v>
      </c>
    </row>
    <row r="2438" spans="3:15" hidden="1" x14ac:dyDescent="0.3">
      <c r="C2438" t="s">
        <v>2292</v>
      </c>
      <c r="D2438" t="s">
        <v>2267</v>
      </c>
      <c r="E2438" t="s">
        <v>7065</v>
      </c>
      <c r="F2438" t="s">
        <v>7066</v>
      </c>
      <c r="G2438" s="425">
        <v>0</v>
      </c>
      <c r="H2438" s="425">
        <v>0</v>
      </c>
      <c r="I2438" s="425">
        <v>0</v>
      </c>
      <c r="J2438" s="425">
        <v>0</v>
      </c>
      <c r="K2438" s="425">
        <v>0</v>
      </c>
      <c r="L2438" s="425">
        <v>0</v>
      </c>
      <c r="M2438" s="425">
        <v>0</v>
      </c>
      <c r="N2438" s="425">
        <v>0</v>
      </c>
      <c r="O2438" s="425">
        <v>0</v>
      </c>
    </row>
    <row r="2439" spans="3:15" hidden="1" x14ac:dyDescent="0.3">
      <c r="C2439" t="s">
        <v>2292</v>
      </c>
      <c r="D2439" t="s">
        <v>2267</v>
      </c>
      <c r="E2439" t="s">
        <v>7067</v>
      </c>
      <c r="F2439" t="s">
        <v>7068</v>
      </c>
      <c r="G2439" s="425">
        <v>0</v>
      </c>
      <c r="H2439" s="425">
        <v>0</v>
      </c>
      <c r="I2439" s="425">
        <v>0</v>
      </c>
      <c r="J2439" s="425">
        <v>0</v>
      </c>
      <c r="K2439" s="425">
        <v>0</v>
      </c>
      <c r="L2439" s="425">
        <v>0</v>
      </c>
      <c r="M2439" s="425">
        <v>0</v>
      </c>
      <c r="N2439" s="425">
        <v>0</v>
      </c>
      <c r="O2439" s="425">
        <v>0</v>
      </c>
    </row>
    <row r="2440" spans="3:15" hidden="1" x14ac:dyDescent="0.3">
      <c r="C2440" t="s">
        <v>2292</v>
      </c>
      <c r="D2440" t="s">
        <v>2267</v>
      </c>
      <c r="E2440" t="s">
        <v>7069</v>
      </c>
      <c r="F2440" t="s">
        <v>7070</v>
      </c>
      <c r="G2440" s="425">
        <v>0</v>
      </c>
      <c r="H2440" s="425">
        <v>0</v>
      </c>
      <c r="I2440" s="425">
        <v>0</v>
      </c>
      <c r="J2440" s="425">
        <v>0</v>
      </c>
      <c r="K2440" s="425">
        <v>0</v>
      </c>
      <c r="L2440" s="425">
        <v>0</v>
      </c>
      <c r="M2440" s="425">
        <v>0</v>
      </c>
      <c r="N2440" s="425">
        <v>0</v>
      </c>
      <c r="O2440" s="425">
        <v>0</v>
      </c>
    </row>
    <row r="2441" spans="3:15" hidden="1" x14ac:dyDescent="0.3">
      <c r="C2441" t="s">
        <v>2292</v>
      </c>
      <c r="D2441" t="s">
        <v>2267</v>
      </c>
      <c r="E2441" t="s">
        <v>7071</v>
      </c>
      <c r="F2441" t="s">
        <v>7072</v>
      </c>
      <c r="G2441" s="425">
        <v>0</v>
      </c>
      <c r="H2441" s="425">
        <v>0</v>
      </c>
      <c r="I2441" s="425">
        <v>0</v>
      </c>
      <c r="J2441" s="425">
        <v>0</v>
      </c>
      <c r="K2441" s="425">
        <v>0</v>
      </c>
      <c r="L2441" s="425">
        <v>0</v>
      </c>
      <c r="M2441" s="425">
        <v>0</v>
      </c>
      <c r="N2441" s="425">
        <v>0</v>
      </c>
      <c r="O2441" s="425">
        <v>0</v>
      </c>
    </row>
    <row r="2442" spans="3:15" hidden="1" x14ac:dyDescent="0.3">
      <c r="C2442" t="s">
        <v>2292</v>
      </c>
      <c r="D2442" t="s">
        <v>2267</v>
      </c>
      <c r="E2442" t="s">
        <v>7073</v>
      </c>
      <c r="F2442" t="s">
        <v>7074</v>
      </c>
      <c r="G2442" s="425">
        <v>0</v>
      </c>
      <c r="H2442" s="425">
        <v>0</v>
      </c>
      <c r="I2442" s="425">
        <v>0</v>
      </c>
      <c r="J2442" s="425">
        <v>0</v>
      </c>
      <c r="K2442" s="425">
        <v>0</v>
      </c>
      <c r="L2442" s="425">
        <v>0</v>
      </c>
      <c r="M2442" s="425">
        <v>0</v>
      </c>
      <c r="N2442" s="425">
        <v>0</v>
      </c>
      <c r="O2442" s="425">
        <v>0</v>
      </c>
    </row>
    <row r="2443" spans="3:15" hidden="1" x14ac:dyDescent="0.3">
      <c r="C2443" t="s">
        <v>2292</v>
      </c>
      <c r="D2443" t="s">
        <v>2267</v>
      </c>
      <c r="E2443" t="s">
        <v>7075</v>
      </c>
      <c r="F2443" t="s">
        <v>7076</v>
      </c>
      <c r="G2443" s="425">
        <v>0</v>
      </c>
      <c r="H2443" s="425">
        <v>0</v>
      </c>
      <c r="I2443" s="425">
        <v>0</v>
      </c>
      <c r="J2443" s="425">
        <v>0</v>
      </c>
      <c r="K2443" s="425">
        <v>0</v>
      </c>
      <c r="L2443" s="425">
        <v>0</v>
      </c>
      <c r="M2443" s="425">
        <v>0</v>
      </c>
      <c r="N2443" s="425">
        <v>0</v>
      </c>
      <c r="O2443" s="425">
        <v>0</v>
      </c>
    </row>
    <row r="2444" spans="3:15" hidden="1" x14ac:dyDescent="0.3">
      <c r="C2444" t="s">
        <v>2292</v>
      </c>
      <c r="D2444" t="s">
        <v>2267</v>
      </c>
      <c r="E2444" t="s">
        <v>7077</v>
      </c>
      <c r="F2444" t="s">
        <v>7078</v>
      </c>
      <c r="G2444" s="425">
        <v>0</v>
      </c>
      <c r="H2444" s="425">
        <v>0</v>
      </c>
      <c r="I2444" s="425">
        <v>0</v>
      </c>
      <c r="J2444" s="425">
        <v>0</v>
      </c>
      <c r="K2444" s="425">
        <v>0</v>
      </c>
      <c r="L2444" s="425">
        <v>0</v>
      </c>
      <c r="M2444" s="425">
        <v>0</v>
      </c>
      <c r="N2444" s="425">
        <v>0</v>
      </c>
      <c r="O2444" s="425">
        <v>0</v>
      </c>
    </row>
    <row r="2445" spans="3:15" hidden="1" x14ac:dyDescent="0.3">
      <c r="C2445" t="s">
        <v>2292</v>
      </c>
      <c r="D2445" t="s">
        <v>2267</v>
      </c>
      <c r="E2445" t="s">
        <v>7079</v>
      </c>
      <c r="F2445" t="s">
        <v>7080</v>
      </c>
      <c r="G2445" s="425">
        <v>0</v>
      </c>
      <c r="H2445" s="425">
        <v>0</v>
      </c>
      <c r="I2445" s="425">
        <v>0</v>
      </c>
      <c r="J2445" s="425">
        <v>0</v>
      </c>
      <c r="K2445" s="425">
        <v>0</v>
      </c>
      <c r="L2445" s="425">
        <v>0</v>
      </c>
      <c r="M2445" s="425">
        <v>0</v>
      </c>
      <c r="N2445" s="425">
        <v>0</v>
      </c>
      <c r="O2445" s="425">
        <v>0</v>
      </c>
    </row>
    <row r="2446" spans="3:15" hidden="1" x14ac:dyDescent="0.3">
      <c r="C2446" t="s">
        <v>2292</v>
      </c>
      <c r="D2446" t="s">
        <v>2267</v>
      </c>
      <c r="E2446" t="s">
        <v>7081</v>
      </c>
      <c r="F2446" t="s">
        <v>7082</v>
      </c>
      <c r="G2446" s="425">
        <v>0</v>
      </c>
      <c r="H2446" s="425">
        <v>0</v>
      </c>
      <c r="I2446" s="425">
        <v>0</v>
      </c>
      <c r="J2446" s="425">
        <v>0</v>
      </c>
      <c r="K2446" s="425">
        <v>0</v>
      </c>
      <c r="L2446" s="425">
        <v>0</v>
      </c>
      <c r="M2446" s="425">
        <v>0</v>
      </c>
      <c r="N2446" s="425">
        <v>0</v>
      </c>
      <c r="O2446" s="425">
        <v>0</v>
      </c>
    </row>
    <row r="2447" spans="3:15" hidden="1" x14ac:dyDescent="0.3">
      <c r="C2447" t="s">
        <v>2292</v>
      </c>
      <c r="D2447" t="s">
        <v>2267</v>
      </c>
      <c r="E2447" t="s">
        <v>7083</v>
      </c>
      <c r="F2447" t="s">
        <v>7084</v>
      </c>
      <c r="G2447" s="425">
        <v>0</v>
      </c>
      <c r="H2447" s="425">
        <v>0</v>
      </c>
      <c r="I2447" s="425">
        <v>0</v>
      </c>
      <c r="J2447" s="425">
        <v>0</v>
      </c>
      <c r="K2447" s="425">
        <v>0</v>
      </c>
      <c r="L2447" s="425">
        <v>0</v>
      </c>
      <c r="M2447" s="425">
        <v>0</v>
      </c>
      <c r="N2447" s="425">
        <v>0</v>
      </c>
      <c r="O2447" s="425">
        <v>0</v>
      </c>
    </row>
    <row r="2448" spans="3:15" hidden="1" x14ac:dyDescent="0.3">
      <c r="C2448" t="s">
        <v>2292</v>
      </c>
      <c r="D2448" t="s">
        <v>2267</v>
      </c>
      <c r="E2448" t="s">
        <v>7085</v>
      </c>
      <c r="F2448" t="s">
        <v>7086</v>
      </c>
      <c r="G2448" s="425">
        <v>0</v>
      </c>
      <c r="H2448" s="425">
        <v>0</v>
      </c>
      <c r="I2448" s="425">
        <v>0</v>
      </c>
      <c r="J2448" s="425">
        <v>0</v>
      </c>
      <c r="K2448" s="425">
        <v>0</v>
      </c>
      <c r="L2448" s="425">
        <v>0</v>
      </c>
      <c r="M2448" s="425">
        <v>0</v>
      </c>
      <c r="N2448" s="425">
        <v>0</v>
      </c>
      <c r="O2448" s="425">
        <v>0</v>
      </c>
    </row>
    <row r="2449" spans="3:15" hidden="1" x14ac:dyDescent="0.3">
      <c r="C2449" t="s">
        <v>2292</v>
      </c>
      <c r="D2449" t="s">
        <v>2267</v>
      </c>
      <c r="E2449" t="s">
        <v>7087</v>
      </c>
      <c r="F2449" t="s">
        <v>7088</v>
      </c>
      <c r="G2449" s="425">
        <v>0</v>
      </c>
      <c r="H2449" s="425">
        <v>0</v>
      </c>
      <c r="I2449" s="425">
        <v>0</v>
      </c>
      <c r="J2449" s="425">
        <v>0</v>
      </c>
      <c r="K2449" s="425">
        <v>0</v>
      </c>
      <c r="L2449" s="425">
        <v>0</v>
      </c>
      <c r="M2449" s="425">
        <v>0</v>
      </c>
      <c r="N2449" s="425">
        <v>0</v>
      </c>
      <c r="O2449" s="425">
        <v>0</v>
      </c>
    </row>
    <row r="2450" spans="3:15" hidden="1" x14ac:dyDescent="0.3">
      <c r="C2450" t="s">
        <v>2292</v>
      </c>
      <c r="D2450" t="s">
        <v>2267</v>
      </c>
      <c r="E2450" t="s">
        <v>7089</v>
      </c>
      <c r="F2450" t="s">
        <v>7090</v>
      </c>
      <c r="G2450" s="425">
        <v>0</v>
      </c>
      <c r="H2450" s="425">
        <v>0</v>
      </c>
      <c r="I2450" s="425">
        <v>0</v>
      </c>
      <c r="J2450" s="425">
        <v>0</v>
      </c>
      <c r="K2450" s="425">
        <v>0</v>
      </c>
      <c r="L2450" s="425">
        <v>0</v>
      </c>
      <c r="M2450" s="425">
        <v>0</v>
      </c>
      <c r="N2450" s="425">
        <v>0</v>
      </c>
      <c r="O2450" s="425">
        <v>0</v>
      </c>
    </row>
    <row r="2451" spans="3:15" hidden="1" x14ac:dyDescent="0.3">
      <c r="C2451" t="s">
        <v>2292</v>
      </c>
      <c r="D2451" t="s">
        <v>2267</v>
      </c>
      <c r="E2451" t="s">
        <v>7091</v>
      </c>
      <c r="F2451" t="s">
        <v>7092</v>
      </c>
      <c r="G2451" s="425">
        <v>0</v>
      </c>
      <c r="H2451" s="425">
        <v>0</v>
      </c>
      <c r="I2451" s="425">
        <v>0</v>
      </c>
      <c r="J2451" s="425">
        <v>0</v>
      </c>
      <c r="K2451" s="425">
        <v>0</v>
      </c>
      <c r="L2451" s="425">
        <v>0</v>
      </c>
      <c r="M2451" s="425">
        <v>0</v>
      </c>
      <c r="N2451" s="425">
        <v>0</v>
      </c>
      <c r="O2451" s="425">
        <v>0</v>
      </c>
    </row>
    <row r="2452" spans="3:15" hidden="1" x14ac:dyDescent="0.3">
      <c r="C2452" t="s">
        <v>2292</v>
      </c>
      <c r="D2452" t="s">
        <v>2267</v>
      </c>
      <c r="E2452" t="s">
        <v>7093</v>
      </c>
      <c r="F2452" t="s">
        <v>7094</v>
      </c>
      <c r="G2452" s="425">
        <v>0</v>
      </c>
      <c r="H2452" s="425">
        <v>0</v>
      </c>
      <c r="I2452" s="425">
        <v>0</v>
      </c>
      <c r="J2452" s="425">
        <v>0</v>
      </c>
      <c r="K2452" s="425">
        <v>0</v>
      </c>
      <c r="L2452" s="425">
        <v>0</v>
      </c>
      <c r="M2452" s="425">
        <v>0</v>
      </c>
      <c r="N2452" s="425">
        <v>0</v>
      </c>
      <c r="O2452" s="425">
        <v>0</v>
      </c>
    </row>
    <row r="2453" spans="3:15" hidden="1" x14ac:dyDescent="0.3">
      <c r="C2453" t="s">
        <v>2292</v>
      </c>
      <c r="D2453" t="s">
        <v>2267</v>
      </c>
      <c r="E2453" t="s">
        <v>7095</v>
      </c>
      <c r="F2453" t="s">
        <v>7096</v>
      </c>
      <c r="G2453" s="425">
        <v>0</v>
      </c>
      <c r="H2453" s="425">
        <v>0</v>
      </c>
      <c r="I2453" s="425">
        <v>0</v>
      </c>
      <c r="J2453" s="425">
        <v>0</v>
      </c>
      <c r="K2453" s="425">
        <v>0</v>
      </c>
      <c r="L2453" s="425">
        <v>0</v>
      </c>
      <c r="M2453" s="425">
        <v>0</v>
      </c>
      <c r="N2453" s="425">
        <v>0</v>
      </c>
      <c r="O2453" s="425">
        <v>0</v>
      </c>
    </row>
    <row r="2454" spans="3:15" hidden="1" x14ac:dyDescent="0.3">
      <c r="C2454" t="s">
        <v>2292</v>
      </c>
      <c r="D2454" t="s">
        <v>2267</v>
      </c>
      <c r="E2454" t="s">
        <v>7097</v>
      </c>
      <c r="F2454" t="s">
        <v>7098</v>
      </c>
      <c r="G2454" s="425">
        <v>0</v>
      </c>
      <c r="H2454" s="425">
        <v>0</v>
      </c>
      <c r="I2454" s="425">
        <v>0</v>
      </c>
      <c r="J2454" s="425">
        <v>0</v>
      </c>
      <c r="K2454" s="425">
        <v>0</v>
      </c>
      <c r="L2454" s="425">
        <v>0</v>
      </c>
      <c r="M2454" s="425">
        <v>0</v>
      </c>
      <c r="N2454" s="425">
        <v>0</v>
      </c>
      <c r="O2454" s="425">
        <v>0</v>
      </c>
    </row>
    <row r="2455" spans="3:15" hidden="1" x14ac:dyDescent="0.3">
      <c r="C2455" t="s">
        <v>2292</v>
      </c>
      <c r="D2455" t="s">
        <v>2267</v>
      </c>
      <c r="E2455" t="s">
        <v>7099</v>
      </c>
      <c r="F2455" t="s">
        <v>7100</v>
      </c>
      <c r="G2455" s="425">
        <v>0</v>
      </c>
      <c r="H2455" s="425">
        <v>0</v>
      </c>
      <c r="I2455" s="425">
        <v>0</v>
      </c>
      <c r="J2455" s="425">
        <v>0</v>
      </c>
      <c r="K2455" s="425">
        <v>0</v>
      </c>
      <c r="L2455" s="425">
        <v>0</v>
      </c>
      <c r="M2455" s="425">
        <v>0</v>
      </c>
      <c r="N2455" s="425">
        <v>0</v>
      </c>
      <c r="O2455" s="425">
        <v>0</v>
      </c>
    </row>
    <row r="2456" spans="3:15" hidden="1" x14ac:dyDescent="0.3">
      <c r="C2456" t="s">
        <v>2292</v>
      </c>
      <c r="D2456" t="s">
        <v>2267</v>
      </c>
      <c r="E2456" t="s">
        <v>7101</v>
      </c>
      <c r="F2456" t="s">
        <v>7102</v>
      </c>
      <c r="G2456" s="425">
        <v>0</v>
      </c>
      <c r="H2456" s="425">
        <v>0</v>
      </c>
      <c r="I2456" s="425">
        <v>0</v>
      </c>
      <c r="J2456" s="425">
        <v>0</v>
      </c>
      <c r="K2456" s="425">
        <v>0</v>
      </c>
      <c r="L2456" s="425">
        <v>0</v>
      </c>
      <c r="M2456" s="425">
        <v>0</v>
      </c>
      <c r="N2456" s="425">
        <v>0</v>
      </c>
      <c r="O2456" s="425">
        <v>0</v>
      </c>
    </row>
    <row r="2457" spans="3:15" hidden="1" x14ac:dyDescent="0.3">
      <c r="C2457" t="s">
        <v>2292</v>
      </c>
      <c r="D2457" t="s">
        <v>2267</v>
      </c>
      <c r="E2457" t="s">
        <v>7103</v>
      </c>
      <c r="F2457" t="s">
        <v>7104</v>
      </c>
      <c r="G2457" s="425">
        <v>0</v>
      </c>
      <c r="H2457" s="425">
        <v>0</v>
      </c>
      <c r="I2457" s="425">
        <v>0</v>
      </c>
      <c r="J2457" s="425">
        <v>0</v>
      </c>
      <c r="K2457" s="425">
        <v>0</v>
      </c>
      <c r="L2457" s="425">
        <v>0</v>
      </c>
      <c r="M2457" s="425">
        <v>0</v>
      </c>
      <c r="N2457" s="425">
        <v>0</v>
      </c>
      <c r="O2457" s="425">
        <v>0</v>
      </c>
    </row>
    <row r="2458" spans="3:15" hidden="1" x14ac:dyDescent="0.3">
      <c r="C2458" t="s">
        <v>2292</v>
      </c>
      <c r="D2458" t="s">
        <v>2267</v>
      </c>
      <c r="E2458" t="s">
        <v>7105</v>
      </c>
      <c r="F2458" t="s">
        <v>7106</v>
      </c>
      <c r="G2458" s="425">
        <v>0</v>
      </c>
      <c r="H2458" s="425">
        <v>0</v>
      </c>
      <c r="I2458" s="425">
        <v>0</v>
      </c>
      <c r="J2458" s="425">
        <v>0</v>
      </c>
      <c r="K2458" s="425">
        <v>0</v>
      </c>
      <c r="L2458" s="425">
        <v>0</v>
      </c>
      <c r="M2458" s="425">
        <v>0</v>
      </c>
      <c r="N2458" s="425">
        <v>0</v>
      </c>
      <c r="O2458" s="425">
        <v>0</v>
      </c>
    </row>
    <row r="2459" spans="3:15" hidden="1" x14ac:dyDescent="0.3">
      <c r="C2459" t="s">
        <v>2292</v>
      </c>
      <c r="D2459" t="s">
        <v>2267</v>
      </c>
      <c r="E2459" t="s">
        <v>7107</v>
      </c>
      <c r="F2459" t="s">
        <v>7108</v>
      </c>
      <c r="G2459" s="425">
        <v>0</v>
      </c>
      <c r="H2459" s="425">
        <v>0</v>
      </c>
      <c r="I2459" s="425">
        <v>0</v>
      </c>
      <c r="J2459" s="425">
        <v>0</v>
      </c>
      <c r="K2459" s="425">
        <v>0</v>
      </c>
      <c r="L2459" s="425">
        <v>0</v>
      </c>
      <c r="M2459" s="425">
        <v>0</v>
      </c>
      <c r="N2459" s="425">
        <v>0</v>
      </c>
      <c r="O2459" s="425">
        <v>0</v>
      </c>
    </row>
    <row r="2460" spans="3:15" hidden="1" x14ac:dyDescent="0.3">
      <c r="C2460" t="s">
        <v>2292</v>
      </c>
      <c r="D2460" t="s">
        <v>2267</v>
      </c>
      <c r="E2460" t="s">
        <v>7109</v>
      </c>
      <c r="F2460" t="s">
        <v>7110</v>
      </c>
      <c r="G2460" s="425">
        <v>0</v>
      </c>
      <c r="H2460" s="425">
        <v>0</v>
      </c>
      <c r="I2460" s="425">
        <v>0</v>
      </c>
      <c r="J2460" s="425">
        <v>0</v>
      </c>
      <c r="K2460" s="425">
        <v>0</v>
      </c>
      <c r="L2460" s="425">
        <v>0</v>
      </c>
      <c r="M2460" s="425">
        <v>0</v>
      </c>
      <c r="N2460" s="425">
        <v>0</v>
      </c>
      <c r="O2460" s="425">
        <v>0</v>
      </c>
    </row>
    <row r="2461" spans="3:15" hidden="1" x14ac:dyDescent="0.3">
      <c r="C2461" t="s">
        <v>2292</v>
      </c>
      <c r="D2461" t="s">
        <v>2267</v>
      </c>
      <c r="E2461" t="s">
        <v>7111</v>
      </c>
      <c r="F2461" t="s">
        <v>7112</v>
      </c>
      <c r="G2461" s="425">
        <v>0</v>
      </c>
      <c r="H2461" s="425">
        <v>0</v>
      </c>
      <c r="I2461" s="425">
        <v>0</v>
      </c>
      <c r="J2461" s="425">
        <v>0</v>
      </c>
      <c r="K2461" s="425">
        <v>0</v>
      </c>
      <c r="L2461" s="425">
        <v>0</v>
      </c>
      <c r="M2461" s="425">
        <v>0</v>
      </c>
      <c r="N2461" s="425">
        <v>0</v>
      </c>
      <c r="O2461" s="425">
        <v>0</v>
      </c>
    </row>
    <row r="2462" spans="3:15" hidden="1" x14ac:dyDescent="0.3">
      <c r="C2462" t="s">
        <v>2292</v>
      </c>
      <c r="D2462" t="s">
        <v>2267</v>
      </c>
      <c r="E2462" t="s">
        <v>7113</v>
      </c>
      <c r="F2462" t="s">
        <v>7114</v>
      </c>
      <c r="G2462" s="425">
        <v>0</v>
      </c>
      <c r="H2462" s="425">
        <v>0</v>
      </c>
      <c r="I2462" s="425">
        <v>0</v>
      </c>
      <c r="J2462" s="425">
        <v>0</v>
      </c>
      <c r="K2462" s="425">
        <v>0</v>
      </c>
      <c r="L2462" s="425">
        <v>0</v>
      </c>
      <c r="M2462" s="425">
        <v>0</v>
      </c>
      <c r="N2462" s="425">
        <v>0</v>
      </c>
      <c r="O2462" s="425">
        <v>0</v>
      </c>
    </row>
    <row r="2463" spans="3:15" hidden="1" x14ac:dyDescent="0.3">
      <c r="C2463" t="s">
        <v>2292</v>
      </c>
      <c r="D2463" t="s">
        <v>2267</v>
      </c>
      <c r="E2463" t="s">
        <v>7115</v>
      </c>
      <c r="F2463" t="s">
        <v>7116</v>
      </c>
      <c r="G2463" s="425">
        <v>0</v>
      </c>
      <c r="H2463" s="425">
        <v>0</v>
      </c>
      <c r="I2463" s="425">
        <v>0</v>
      </c>
      <c r="J2463" s="425">
        <v>0</v>
      </c>
      <c r="K2463" s="425">
        <v>0</v>
      </c>
      <c r="L2463" s="425">
        <v>0</v>
      </c>
      <c r="M2463" s="425">
        <v>0</v>
      </c>
      <c r="N2463" s="425">
        <v>0</v>
      </c>
      <c r="O2463" s="425">
        <v>0</v>
      </c>
    </row>
    <row r="2464" spans="3:15" hidden="1" x14ac:dyDescent="0.3">
      <c r="C2464" t="s">
        <v>2292</v>
      </c>
      <c r="D2464" t="s">
        <v>2267</v>
      </c>
      <c r="E2464" t="s">
        <v>7117</v>
      </c>
      <c r="F2464" t="s">
        <v>7118</v>
      </c>
      <c r="G2464" s="425">
        <v>0</v>
      </c>
      <c r="H2464" s="425">
        <v>0</v>
      </c>
      <c r="I2464" s="425">
        <v>0</v>
      </c>
      <c r="J2464" s="425">
        <v>0</v>
      </c>
      <c r="K2464" s="425">
        <v>0</v>
      </c>
      <c r="L2464" s="425">
        <v>0</v>
      </c>
      <c r="M2464" s="425">
        <v>0</v>
      </c>
      <c r="N2464" s="425">
        <v>0</v>
      </c>
      <c r="O2464" s="425">
        <v>0</v>
      </c>
    </row>
    <row r="2465" spans="3:15" hidden="1" x14ac:dyDescent="0.3">
      <c r="C2465" t="s">
        <v>2292</v>
      </c>
      <c r="D2465" t="s">
        <v>2267</v>
      </c>
      <c r="E2465" t="s">
        <v>7119</v>
      </c>
      <c r="F2465" t="s">
        <v>7120</v>
      </c>
      <c r="G2465" s="425">
        <v>0</v>
      </c>
      <c r="H2465" s="425">
        <v>0</v>
      </c>
      <c r="I2465" s="425">
        <v>0</v>
      </c>
      <c r="J2465" s="425">
        <v>0</v>
      </c>
      <c r="K2465" s="425">
        <v>0</v>
      </c>
      <c r="L2465" s="425">
        <v>0</v>
      </c>
      <c r="M2465" s="425">
        <v>0</v>
      </c>
      <c r="N2465" s="425">
        <v>0</v>
      </c>
      <c r="O2465" s="425">
        <v>0</v>
      </c>
    </row>
    <row r="2466" spans="3:15" hidden="1" x14ac:dyDescent="0.3">
      <c r="C2466" t="s">
        <v>2292</v>
      </c>
      <c r="D2466" t="s">
        <v>2267</v>
      </c>
      <c r="E2466" t="s">
        <v>7121</v>
      </c>
      <c r="F2466" t="s">
        <v>7122</v>
      </c>
      <c r="G2466" s="425">
        <v>0</v>
      </c>
      <c r="H2466" s="425">
        <v>0</v>
      </c>
      <c r="I2466" s="425">
        <v>0</v>
      </c>
      <c r="J2466" s="425">
        <v>0</v>
      </c>
      <c r="K2466" s="425">
        <v>0</v>
      </c>
      <c r="L2466" s="425">
        <v>0</v>
      </c>
      <c r="M2466" s="425">
        <v>0</v>
      </c>
      <c r="N2466" s="425">
        <v>0</v>
      </c>
      <c r="O2466" s="425">
        <v>0</v>
      </c>
    </row>
    <row r="2467" spans="3:15" hidden="1" x14ac:dyDescent="0.3">
      <c r="C2467" t="s">
        <v>2292</v>
      </c>
      <c r="D2467" t="s">
        <v>2267</v>
      </c>
      <c r="E2467" t="s">
        <v>7123</v>
      </c>
      <c r="F2467" t="s">
        <v>7124</v>
      </c>
      <c r="G2467" s="425">
        <v>0</v>
      </c>
      <c r="H2467" s="425">
        <v>0</v>
      </c>
      <c r="I2467" s="425">
        <v>0</v>
      </c>
      <c r="J2467" s="425">
        <v>0</v>
      </c>
      <c r="K2467" s="425">
        <v>0</v>
      </c>
      <c r="L2467" s="425">
        <v>0</v>
      </c>
      <c r="M2467" s="425">
        <v>0</v>
      </c>
      <c r="N2467" s="425">
        <v>0</v>
      </c>
      <c r="O2467" s="425">
        <v>0</v>
      </c>
    </row>
    <row r="2468" spans="3:15" hidden="1" x14ac:dyDescent="0.3">
      <c r="C2468" t="s">
        <v>2292</v>
      </c>
      <c r="D2468" t="s">
        <v>2267</v>
      </c>
      <c r="E2468" t="s">
        <v>7125</v>
      </c>
      <c r="F2468" t="s">
        <v>7126</v>
      </c>
      <c r="G2468" s="425">
        <v>0</v>
      </c>
      <c r="H2468" s="425">
        <v>0</v>
      </c>
      <c r="I2468" s="425">
        <v>0</v>
      </c>
      <c r="J2468" s="425">
        <v>0</v>
      </c>
      <c r="K2468" s="425">
        <v>0</v>
      </c>
      <c r="L2468" s="425">
        <v>0</v>
      </c>
      <c r="M2468" s="425">
        <v>0</v>
      </c>
      <c r="N2468" s="425">
        <v>0</v>
      </c>
      <c r="O2468" s="425">
        <v>0</v>
      </c>
    </row>
    <row r="2469" spans="3:15" hidden="1" x14ac:dyDescent="0.3">
      <c r="C2469" t="s">
        <v>2292</v>
      </c>
      <c r="D2469" t="s">
        <v>2267</v>
      </c>
      <c r="E2469" t="s">
        <v>7127</v>
      </c>
      <c r="F2469" t="s">
        <v>7128</v>
      </c>
      <c r="G2469" s="425">
        <v>0</v>
      </c>
      <c r="H2469" s="425">
        <v>0</v>
      </c>
      <c r="I2469" s="425">
        <v>0</v>
      </c>
      <c r="J2469" s="425">
        <v>0</v>
      </c>
      <c r="K2469" s="425">
        <v>0</v>
      </c>
      <c r="L2469" s="425">
        <v>0</v>
      </c>
      <c r="M2469" s="425">
        <v>0</v>
      </c>
      <c r="N2469" s="425">
        <v>0</v>
      </c>
      <c r="O2469" s="425">
        <v>0</v>
      </c>
    </row>
    <row r="2470" spans="3:15" hidden="1" x14ac:dyDescent="0.3">
      <c r="C2470" t="s">
        <v>2292</v>
      </c>
      <c r="D2470" t="s">
        <v>2267</v>
      </c>
      <c r="E2470" t="s">
        <v>7129</v>
      </c>
      <c r="F2470" t="s">
        <v>7130</v>
      </c>
      <c r="G2470" s="425">
        <v>0</v>
      </c>
      <c r="H2470" s="425">
        <v>0</v>
      </c>
      <c r="I2470" s="425">
        <v>0</v>
      </c>
      <c r="J2470" s="425">
        <v>0</v>
      </c>
      <c r="K2470" s="425">
        <v>0</v>
      </c>
      <c r="L2470" s="425">
        <v>0</v>
      </c>
      <c r="M2470" s="425">
        <v>0</v>
      </c>
      <c r="N2470" s="425">
        <v>0</v>
      </c>
      <c r="O2470" s="425">
        <v>0</v>
      </c>
    </row>
    <row r="2471" spans="3:15" hidden="1" x14ac:dyDescent="0.3">
      <c r="C2471" t="s">
        <v>2292</v>
      </c>
      <c r="D2471" t="s">
        <v>2267</v>
      </c>
      <c r="E2471" t="s">
        <v>7131</v>
      </c>
      <c r="F2471" t="s">
        <v>7132</v>
      </c>
      <c r="G2471" s="425">
        <v>0</v>
      </c>
      <c r="H2471" s="425">
        <v>0</v>
      </c>
      <c r="I2471" s="425">
        <v>0</v>
      </c>
      <c r="J2471" s="425">
        <v>0</v>
      </c>
      <c r="K2471" s="425">
        <v>0</v>
      </c>
      <c r="L2471" s="425">
        <v>0</v>
      </c>
      <c r="M2471" s="425">
        <v>0</v>
      </c>
      <c r="N2471" s="425">
        <v>0</v>
      </c>
      <c r="O2471" s="425">
        <v>0</v>
      </c>
    </row>
    <row r="2472" spans="3:15" hidden="1" x14ac:dyDescent="0.3">
      <c r="C2472" t="s">
        <v>2292</v>
      </c>
      <c r="D2472" t="s">
        <v>2267</v>
      </c>
      <c r="E2472" t="s">
        <v>7133</v>
      </c>
      <c r="F2472" t="s">
        <v>7134</v>
      </c>
      <c r="G2472" s="425">
        <v>0</v>
      </c>
      <c r="H2472" s="425">
        <v>0</v>
      </c>
      <c r="I2472" s="425">
        <v>0</v>
      </c>
      <c r="J2472" s="425">
        <v>0</v>
      </c>
      <c r="K2472" s="425">
        <v>0</v>
      </c>
      <c r="L2472" s="425">
        <v>0</v>
      </c>
      <c r="M2472" s="425">
        <v>0</v>
      </c>
      <c r="N2472" s="425">
        <v>0</v>
      </c>
      <c r="O2472" s="425">
        <v>0</v>
      </c>
    </row>
    <row r="2473" spans="3:15" hidden="1" x14ac:dyDescent="0.3">
      <c r="C2473" t="s">
        <v>2292</v>
      </c>
      <c r="D2473" t="s">
        <v>2267</v>
      </c>
      <c r="E2473" t="s">
        <v>7135</v>
      </c>
      <c r="F2473" t="s">
        <v>7136</v>
      </c>
      <c r="G2473" s="425">
        <v>0</v>
      </c>
      <c r="H2473" s="425">
        <v>0</v>
      </c>
      <c r="I2473" s="425">
        <v>0</v>
      </c>
      <c r="J2473" s="425">
        <v>0</v>
      </c>
      <c r="K2473" s="425">
        <v>0</v>
      </c>
      <c r="L2473" s="425">
        <v>0</v>
      </c>
      <c r="M2473" s="425">
        <v>0</v>
      </c>
      <c r="N2473" s="425">
        <v>0</v>
      </c>
      <c r="O2473" s="425">
        <v>0</v>
      </c>
    </row>
    <row r="2474" spans="3:15" hidden="1" x14ac:dyDescent="0.3">
      <c r="C2474" t="s">
        <v>2292</v>
      </c>
      <c r="D2474" t="s">
        <v>2267</v>
      </c>
      <c r="E2474" t="s">
        <v>7137</v>
      </c>
      <c r="F2474" t="s">
        <v>7138</v>
      </c>
      <c r="G2474" s="425">
        <v>0</v>
      </c>
      <c r="H2474" s="425">
        <v>0</v>
      </c>
      <c r="I2474" s="425">
        <v>0</v>
      </c>
      <c r="J2474" s="425">
        <v>0</v>
      </c>
      <c r="K2474" s="425">
        <v>0</v>
      </c>
      <c r="L2474" s="425">
        <v>0</v>
      </c>
      <c r="M2474" s="425">
        <v>0</v>
      </c>
      <c r="N2474" s="425">
        <v>0</v>
      </c>
      <c r="O2474" s="425">
        <v>0</v>
      </c>
    </row>
    <row r="2475" spans="3:15" hidden="1" x14ac:dyDescent="0.3">
      <c r="C2475" t="s">
        <v>2292</v>
      </c>
      <c r="D2475" t="s">
        <v>2267</v>
      </c>
      <c r="E2475" t="s">
        <v>7139</v>
      </c>
      <c r="F2475" t="s">
        <v>7140</v>
      </c>
      <c r="G2475" s="425">
        <v>0</v>
      </c>
      <c r="H2475" s="425">
        <v>0</v>
      </c>
      <c r="I2475" s="425">
        <v>0</v>
      </c>
      <c r="J2475" s="425">
        <v>0</v>
      </c>
      <c r="K2475" s="425">
        <v>0</v>
      </c>
      <c r="L2475" s="425">
        <v>0</v>
      </c>
      <c r="M2475" s="425">
        <v>0</v>
      </c>
      <c r="N2475" s="425">
        <v>0</v>
      </c>
      <c r="O2475" s="425">
        <v>0</v>
      </c>
    </row>
    <row r="2476" spans="3:15" hidden="1" x14ac:dyDescent="0.3">
      <c r="C2476" t="s">
        <v>2292</v>
      </c>
      <c r="D2476" t="s">
        <v>2267</v>
      </c>
      <c r="E2476" t="s">
        <v>7141</v>
      </c>
      <c r="F2476" t="s">
        <v>7142</v>
      </c>
      <c r="G2476" s="425">
        <v>0</v>
      </c>
      <c r="H2476" s="425">
        <v>0</v>
      </c>
      <c r="I2476" s="425">
        <v>0</v>
      </c>
      <c r="J2476" s="425">
        <v>0</v>
      </c>
      <c r="K2476" s="425">
        <v>0</v>
      </c>
      <c r="L2476" s="425">
        <v>0</v>
      </c>
      <c r="M2476" s="425">
        <v>0</v>
      </c>
      <c r="N2476" s="425">
        <v>0</v>
      </c>
      <c r="O2476" s="425">
        <v>0</v>
      </c>
    </row>
    <row r="2477" spans="3:15" hidden="1" x14ac:dyDescent="0.3">
      <c r="C2477" t="s">
        <v>2292</v>
      </c>
      <c r="D2477" t="s">
        <v>2267</v>
      </c>
      <c r="E2477" t="s">
        <v>7143</v>
      </c>
      <c r="F2477" t="s">
        <v>7144</v>
      </c>
      <c r="G2477" s="425">
        <v>0</v>
      </c>
      <c r="H2477" s="425">
        <v>0</v>
      </c>
      <c r="I2477" s="425">
        <v>0</v>
      </c>
      <c r="J2477" s="425">
        <v>0</v>
      </c>
      <c r="K2477" s="425">
        <v>0</v>
      </c>
      <c r="L2477" s="425">
        <v>0</v>
      </c>
      <c r="M2477" s="425">
        <v>0</v>
      </c>
      <c r="N2477" s="425">
        <v>0</v>
      </c>
      <c r="O2477" s="425">
        <v>0</v>
      </c>
    </row>
    <row r="2478" spans="3:15" hidden="1" x14ac:dyDescent="0.3">
      <c r="C2478" t="s">
        <v>2292</v>
      </c>
      <c r="D2478" t="s">
        <v>2267</v>
      </c>
      <c r="E2478" t="s">
        <v>7145</v>
      </c>
      <c r="F2478" t="s">
        <v>7146</v>
      </c>
      <c r="G2478" s="425">
        <v>0</v>
      </c>
      <c r="H2478" s="425">
        <v>0</v>
      </c>
      <c r="I2478" s="425">
        <v>0</v>
      </c>
      <c r="J2478" s="425">
        <v>0</v>
      </c>
      <c r="K2478" s="425">
        <v>0</v>
      </c>
      <c r="L2478" s="425">
        <v>0</v>
      </c>
      <c r="M2478" s="425">
        <v>0</v>
      </c>
      <c r="N2478" s="425">
        <v>0</v>
      </c>
      <c r="O2478" s="425">
        <v>0</v>
      </c>
    </row>
    <row r="2479" spans="3:15" hidden="1" x14ac:dyDescent="0.3">
      <c r="C2479" t="s">
        <v>2292</v>
      </c>
      <c r="D2479" t="s">
        <v>2267</v>
      </c>
      <c r="E2479" t="s">
        <v>7147</v>
      </c>
      <c r="F2479" t="s">
        <v>7148</v>
      </c>
      <c r="G2479" s="425">
        <v>0</v>
      </c>
      <c r="H2479" s="425">
        <v>0</v>
      </c>
      <c r="I2479" s="425">
        <v>0</v>
      </c>
      <c r="J2479" s="425">
        <v>0</v>
      </c>
      <c r="K2479" s="425">
        <v>0</v>
      </c>
      <c r="L2479" s="425">
        <v>0</v>
      </c>
      <c r="M2479" s="425">
        <v>0</v>
      </c>
      <c r="N2479" s="425">
        <v>0</v>
      </c>
      <c r="O2479" s="425">
        <v>0</v>
      </c>
    </row>
    <row r="2480" spans="3:15" hidden="1" x14ac:dyDescent="0.3">
      <c r="C2480" t="s">
        <v>2292</v>
      </c>
      <c r="D2480" t="s">
        <v>2267</v>
      </c>
      <c r="E2480" t="s">
        <v>7149</v>
      </c>
      <c r="F2480" t="s">
        <v>7150</v>
      </c>
      <c r="G2480" s="425">
        <v>0</v>
      </c>
      <c r="H2480" s="425">
        <v>0</v>
      </c>
      <c r="I2480" s="425">
        <v>0</v>
      </c>
      <c r="J2480" s="425">
        <v>0</v>
      </c>
      <c r="K2480" s="425">
        <v>0</v>
      </c>
      <c r="L2480" s="425">
        <v>0</v>
      </c>
      <c r="M2480" s="425">
        <v>0</v>
      </c>
      <c r="N2480" s="425">
        <v>0</v>
      </c>
      <c r="O2480" s="425">
        <v>0</v>
      </c>
    </row>
    <row r="2481" spans="3:15" hidden="1" x14ac:dyDescent="0.3">
      <c r="C2481" t="s">
        <v>2292</v>
      </c>
      <c r="D2481" t="s">
        <v>2267</v>
      </c>
      <c r="E2481" t="s">
        <v>7151</v>
      </c>
      <c r="F2481" t="s">
        <v>7152</v>
      </c>
      <c r="G2481" s="425">
        <v>0</v>
      </c>
      <c r="H2481" s="425">
        <v>0</v>
      </c>
      <c r="I2481" s="425">
        <v>0</v>
      </c>
      <c r="J2481" s="425">
        <v>0</v>
      </c>
      <c r="K2481" s="425">
        <v>0</v>
      </c>
      <c r="L2481" s="425">
        <v>0</v>
      </c>
      <c r="M2481" s="425">
        <v>0</v>
      </c>
      <c r="N2481" s="425">
        <v>0</v>
      </c>
      <c r="O2481" s="425">
        <v>0</v>
      </c>
    </row>
    <row r="2482" spans="3:15" hidden="1" x14ac:dyDescent="0.3">
      <c r="C2482" t="s">
        <v>2266</v>
      </c>
      <c r="D2482" t="s">
        <v>2237</v>
      </c>
      <c r="E2482" t="s">
        <v>7153</v>
      </c>
      <c r="F2482" t="s">
        <v>7154</v>
      </c>
      <c r="G2482" s="425">
        <v>0</v>
      </c>
      <c r="H2482" s="425">
        <v>0</v>
      </c>
      <c r="I2482" s="425">
        <v>0</v>
      </c>
      <c r="J2482" s="425">
        <v>0</v>
      </c>
      <c r="K2482" s="425">
        <v>0</v>
      </c>
      <c r="L2482" s="425">
        <v>0</v>
      </c>
      <c r="M2482" s="425">
        <v>0</v>
      </c>
      <c r="N2482" s="425">
        <v>0</v>
      </c>
      <c r="O2482" s="425">
        <v>0</v>
      </c>
    </row>
    <row r="2483" spans="3:15" hidden="1" x14ac:dyDescent="0.3">
      <c r="C2483" t="s">
        <v>2266</v>
      </c>
      <c r="D2483" t="s">
        <v>2237</v>
      </c>
      <c r="E2483" t="s">
        <v>7155</v>
      </c>
      <c r="F2483" t="s">
        <v>7156</v>
      </c>
      <c r="G2483" s="425">
        <v>7359912763</v>
      </c>
      <c r="H2483" s="425">
        <v>0</v>
      </c>
      <c r="I2483" s="425">
        <v>0</v>
      </c>
      <c r="J2483" s="425">
        <v>0</v>
      </c>
      <c r="K2483" s="425">
        <v>0</v>
      </c>
      <c r="L2483" s="425">
        <v>7359912763</v>
      </c>
      <c r="M2483" s="425">
        <v>0</v>
      </c>
      <c r="N2483" s="425">
        <v>0</v>
      </c>
      <c r="O2483" s="425">
        <v>0</v>
      </c>
    </row>
    <row r="2484" spans="3:15" hidden="1" x14ac:dyDescent="0.3">
      <c r="C2484" t="s">
        <v>2292</v>
      </c>
      <c r="D2484" t="s">
        <v>2267</v>
      </c>
      <c r="E2484" t="s">
        <v>7157</v>
      </c>
      <c r="F2484" t="s">
        <v>7158</v>
      </c>
      <c r="G2484" s="425">
        <v>0</v>
      </c>
      <c r="H2484" s="425">
        <v>0</v>
      </c>
      <c r="I2484" s="425">
        <v>0</v>
      </c>
      <c r="J2484" s="425">
        <v>0</v>
      </c>
      <c r="K2484" s="425">
        <v>0</v>
      </c>
      <c r="L2484" s="425">
        <v>0</v>
      </c>
      <c r="M2484" s="425">
        <v>0</v>
      </c>
      <c r="N2484" s="425">
        <v>0</v>
      </c>
      <c r="O2484" s="425">
        <v>0</v>
      </c>
    </row>
    <row r="2485" spans="3:15" hidden="1" x14ac:dyDescent="0.3">
      <c r="C2485" t="s">
        <v>2292</v>
      </c>
      <c r="D2485" t="s">
        <v>2267</v>
      </c>
      <c r="E2485" t="s">
        <v>7159</v>
      </c>
      <c r="F2485" t="s">
        <v>7160</v>
      </c>
      <c r="G2485" s="425">
        <v>0</v>
      </c>
      <c r="H2485" s="425">
        <v>0</v>
      </c>
      <c r="I2485" s="425">
        <v>0</v>
      </c>
      <c r="J2485" s="425">
        <v>0</v>
      </c>
      <c r="K2485" s="425">
        <v>0</v>
      </c>
      <c r="L2485" s="425">
        <v>0</v>
      </c>
      <c r="M2485" s="425">
        <v>0</v>
      </c>
      <c r="N2485" s="425">
        <v>0</v>
      </c>
      <c r="O2485" s="425">
        <v>0</v>
      </c>
    </row>
    <row r="2486" spans="3:15" hidden="1" x14ac:dyDescent="0.3">
      <c r="C2486" t="s">
        <v>2292</v>
      </c>
      <c r="D2486" t="s">
        <v>2267</v>
      </c>
      <c r="E2486" t="s">
        <v>7161</v>
      </c>
      <c r="F2486" t="s">
        <v>7162</v>
      </c>
      <c r="G2486" s="425">
        <v>0</v>
      </c>
      <c r="H2486" s="425">
        <v>0</v>
      </c>
      <c r="I2486" s="425">
        <v>0</v>
      </c>
      <c r="J2486" s="425">
        <v>0</v>
      </c>
      <c r="K2486" s="425">
        <v>0</v>
      </c>
      <c r="L2486" s="425">
        <v>0</v>
      </c>
      <c r="M2486" s="425">
        <v>0</v>
      </c>
      <c r="N2486" s="425">
        <v>0</v>
      </c>
      <c r="O2486" s="425">
        <v>0</v>
      </c>
    </row>
    <row r="2487" spans="3:15" hidden="1" x14ac:dyDescent="0.3">
      <c r="C2487" t="s">
        <v>2292</v>
      </c>
      <c r="D2487" t="s">
        <v>2267</v>
      </c>
      <c r="E2487" t="s">
        <v>7163</v>
      </c>
      <c r="F2487" t="s">
        <v>7164</v>
      </c>
      <c r="G2487" s="425">
        <v>0</v>
      </c>
      <c r="H2487" s="425">
        <v>0</v>
      </c>
      <c r="I2487" s="425">
        <v>0</v>
      </c>
      <c r="J2487" s="425">
        <v>0</v>
      </c>
      <c r="K2487" s="425">
        <v>0</v>
      </c>
      <c r="L2487" s="425">
        <v>0</v>
      </c>
      <c r="M2487" s="425">
        <v>0</v>
      </c>
      <c r="N2487" s="425">
        <v>0</v>
      </c>
      <c r="O2487" s="425">
        <v>0</v>
      </c>
    </row>
    <row r="2488" spans="3:15" hidden="1" x14ac:dyDescent="0.3">
      <c r="C2488" t="s">
        <v>2292</v>
      </c>
      <c r="D2488" t="s">
        <v>2267</v>
      </c>
      <c r="E2488" t="s">
        <v>7165</v>
      </c>
      <c r="F2488" t="s">
        <v>7166</v>
      </c>
      <c r="G2488" s="425">
        <v>0</v>
      </c>
      <c r="H2488" s="425">
        <v>0</v>
      </c>
      <c r="I2488" s="425">
        <v>0</v>
      </c>
      <c r="J2488" s="425">
        <v>0</v>
      </c>
      <c r="K2488" s="425">
        <v>0</v>
      </c>
      <c r="L2488" s="425">
        <v>0</v>
      </c>
      <c r="M2488" s="425">
        <v>0</v>
      </c>
      <c r="N2488" s="425">
        <v>0</v>
      </c>
      <c r="O2488" s="425">
        <v>0</v>
      </c>
    </row>
    <row r="2489" spans="3:15" hidden="1" x14ac:dyDescent="0.3">
      <c r="C2489" t="s">
        <v>2292</v>
      </c>
      <c r="D2489" t="s">
        <v>2267</v>
      </c>
      <c r="E2489" t="s">
        <v>7167</v>
      </c>
      <c r="F2489" t="s">
        <v>7168</v>
      </c>
      <c r="G2489" s="425">
        <v>1113181333</v>
      </c>
      <c r="H2489" s="425">
        <v>0</v>
      </c>
      <c r="I2489" s="425">
        <v>0</v>
      </c>
      <c r="J2489" s="425">
        <v>0</v>
      </c>
      <c r="K2489" s="425">
        <v>0</v>
      </c>
      <c r="L2489" s="425">
        <v>1113181333</v>
      </c>
      <c r="M2489" s="425">
        <v>0</v>
      </c>
      <c r="N2489" s="425">
        <v>0</v>
      </c>
      <c r="O2489" s="425">
        <v>0</v>
      </c>
    </row>
    <row r="2490" spans="3:15" hidden="1" x14ac:dyDescent="0.3">
      <c r="C2490" t="s">
        <v>2292</v>
      </c>
      <c r="D2490" t="s">
        <v>2267</v>
      </c>
      <c r="E2490" t="s">
        <v>7169</v>
      </c>
      <c r="F2490" t="s">
        <v>7170</v>
      </c>
      <c r="G2490" s="425">
        <v>0</v>
      </c>
      <c r="H2490" s="425">
        <v>0</v>
      </c>
      <c r="I2490" s="425">
        <v>0</v>
      </c>
      <c r="J2490" s="425">
        <v>0</v>
      </c>
      <c r="K2490" s="425">
        <v>0</v>
      </c>
      <c r="L2490" s="425">
        <v>0</v>
      </c>
      <c r="M2490" s="425">
        <v>0</v>
      </c>
      <c r="N2490" s="425">
        <v>0</v>
      </c>
      <c r="O2490" s="425">
        <v>0</v>
      </c>
    </row>
    <row r="2491" spans="3:15" hidden="1" x14ac:dyDescent="0.3">
      <c r="C2491" t="s">
        <v>2292</v>
      </c>
      <c r="D2491" t="s">
        <v>2267</v>
      </c>
      <c r="E2491" t="s">
        <v>7171</v>
      </c>
      <c r="F2491" t="s">
        <v>7172</v>
      </c>
      <c r="G2491" s="425">
        <v>343539202</v>
      </c>
      <c r="H2491" s="425">
        <v>0</v>
      </c>
      <c r="I2491" s="425">
        <v>0</v>
      </c>
      <c r="J2491" s="425">
        <v>0</v>
      </c>
      <c r="K2491" s="425">
        <v>0</v>
      </c>
      <c r="L2491" s="425">
        <v>343539202</v>
      </c>
      <c r="M2491" s="425">
        <v>0</v>
      </c>
      <c r="N2491" s="425">
        <v>0</v>
      </c>
      <c r="O2491" s="425">
        <v>0</v>
      </c>
    </row>
    <row r="2492" spans="3:15" hidden="1" x14ac:dyDescent="0.3">
      <c r="C2492" t="s">
        <v>2292</v>
      </c>
      <c r="D2492" t="s">
        <v>2267</v>
      </c>
      <c r="E2492" t="s">
        <v>7173</v>
      </c>
      <c r="F2492" t="s">
        <v>7174</v>
      </c>
      <c r="G2492" s="425">
        <v>1669083</v>
      </c>
      <c r="H2492" s="425">
        <v>0</v>
      </c>
      <c r="I2492" s="425">
        <v>0</v>
      </c>
      <c r="J2492" s="425">
        <v>0</v>
      </c>
      <c r="K2492" s="425">
        <v>0</v>
      </c>
      <c r="L2492" s="425">
        <v>1669083</v>
      </c>
      <c r="M2492" s="425">
        <v>0</v>
      </c>
      <c r="N2492" s="425">
        <v>0</v>
      </c>
      <c r="O2492" s="425">
        <v>0</v>
      </c>
    </row>
    <row r="2493" spans="3:15" hidden="1" x14ac:dyDescent="0.3">
      <c r="C2493" t="s">
        <v>2292</v>
      </c>
      <c r="D2493" t="s">
        <v>2267</v>
      </c>
      <c r="E2493" t="s">
        <v>7175</v>
      </c>
      <c r="F2493" t="s">
        <v>7176</v>
      </c>
      <c r="G2493" s="425">
        <v>2215750</v>
      </c>
      <c r="H2493" s="425">
        <v>0</v>
      </c>
      <c r="I2493" s="425">
        <v>0</v>
      </c>
      <c r="J2493" s="425">
        <v>0</v>
      </c>
      <c r="K2493" s="425">
        <v>0</v>
      </c>
      <c r="L2493" s="425">
        <v>2215750</v>
      </c>
      <c r="M2493" s="425">
        <v>0</v>
      </c>
      <c r="N2493" s="425">
        <v>0</v>
      </c>
      <c r="O2493" s="425">
        <v>0</v>
      </c>
    </row>
    <row r="2494" spans="3:15" hidden="1" x14ac:dyDescent="0.3">
      <c r="C2494" t="s">
        <v>2292</v>
      </c>
      <c r="D2494" t="s">
        <v>2267</v>
      </c>
      <c r="E2494" t="s">
        <v>7177</v>
      </c>
      <c r="F2494" t="s">
        <v>7178</v>
      </c>
      <c r="G2494" s="425">
        <v>2</v>
      </c>
      <c r="H2494" s="425">
        <v>0</v>
      </c>
      <c r="I2494" s="425">
        <v>0</v>
      </c>
      <c r="J2494" s="425">
        <v>0</v>
      </c>
      <c r="K2494" s="425">
        <v>0</v>
      </c>
      <c r="L2494" s="425">
        <v>2</v>
      </c>
      <c r="M2494" s="425">
        <v>0</v>
      </c>
      <c r="N2494" s="425">
        <v>0</v>
      </c>
      <c r="O2494" s="425">
        <v>0</v>
      </c>
    </row>
    <row r="2495" spans="3:15" hidden="1" x14ac:dyDescent="0.3">
      <c r="C2495" t="s">
        <v>2292</v>
      </c>
      <c r="D2495" t="s">
        <v>2267</v>
      </c>
      <c r="E2495" t="s">
        <v>7179</v>
      </c>
      <c r="F2495" t="s">
        <v>7180</v>
      </c>
      <c r="G2495" s="425">
        <v>0</v>
      </c>
      <c r="H2495" s="425">
        <v>0</v>
      </c>
      <c r="I2495" s="425">
        <v>0</v>
      </c>
      <c r="J2495" s="425">
        <v>0</v>
      </c>
      <c r="K2495" s="425">
        <v>0</v>
      </c>
      <c r="L2495" s="425">
        <v>0</v>
      </c>
      <c r="M2495" s="425">
        <v>0</v>
      </c>
      <c r="N2495" s="425">
        <v>0</v>
      </c>
      <c r="O2495" s="425">
        <v>0</v>
      </c>
    </row>
    <row r="2496" spans="3:15" hidden="1" x14ac:dyDescent="0.3">
      <c r="C2496" t="s">
        <v>2292</v>
      </c>
      <c r="D2496" t="s">
        <v>2267</v>
      </c>
      <c r="E2496" t="s">
        <v>7181</v>
      </c>
      <c r="F2496" t="s">
        <v>7182</v>
      </c>
      <c r="G2496" s="425">
        <v>18826549</v>
      </c>
      <c r="H2496" s="425">
        <v>0</v>
      </c>
      <c r="I2496" s="425">
        <v>0</v>
      </c>
      <c r="J2496" s="425">
        <v>0</v>
      </c>
      <c r="K2496" s="425">
        <v>0</v>
      </c>
      <c r="L2496" s="425">
        <v>18826549</v>
      </c>
      <c r="M2496" s="425">
        <v>0</v>
      </c>
      <c r="N2496" s="425">
        <v>0</v>
      </c>
      <c r="O2496" s="425">
        <v>0</v>
      </c>
    </row>
    <row r="2497" spans="3:15" hidden="1" x14ac:dyDescent="0.3">
      <c r="C2497" t="s">
        <v>2292</v>
      </c>
      <c r="D2497" t="s">
        <v>2267</v>
      </c>
      <c r="E2497" t="s">
        <v>7183</v>
      </c>
      <c r="F2497" t="s">
        <v>7184</v>
      </c>
      <c r="G2497" s="425">
        <v>-49593498</v>
      </c>
      <c r="H2497" s="425">
        <v>0</v>
      </c>
      <c r="I2497" s="425">
        <v>0</v>
      </c>
      <c r="J2497" s="425">
        <v>0</v>
      </c>
      <c r="K2497" s="425">
        <v>0</v>
      </c>
      <c r="L2497" s="425">
        <v>-49593498</v>
      </c>
      <c r="M2497" s="425">
        <v>0</v>
      </c>
      <c r="N2497" s="425">
        <v>0</v>
      </c>
      <c r="O2497" s="425">
        <v>0</v>
      </c>
    </row>
    <row r="2498" spans="3:15" hidden="1" x14ac:dyDescent="0.3">
      <c r="C2498" t="s">
        <v>2292</v>
      </c>
      <c r="D2498" t="s">
        <v>2267</v>
      </c>
      <c r="E2498" t="s">
        <v>7185</v>
      </c>
      <c r="F2498" t="s">
        <v>7186</v>
      </c>
      <c r="G2498" s="425">
        <v>638506894</v>
      </c>
      <c r="H2498" s="425">
        <v>0</v>
      </c>
      <c r="I2498" s="425">
        <v>0</v>
      </c>
      <c r="J2498" s="425">
        <v>0</v>
      </c>
      <c r="K2498" s="425">
        <v>0</v>
      </c>
      <c r="L2498" s="425">
        <v>638506894</v>
      </c>
      <c r="M2498" s="425">
        <v>0</v>
      </c>
      <c r="N2498" s="425">
        <v>0</v>
      </c>
      <c r="O2498" s="425">
        <v>0</v>
      </c>
    </row>
    <row r="2499" spans="3:15" hidden="1" x14ac:dyDescent="0.3">
      <c r="C2499" t="s">
        <v>2292</v>
      </c>
      <c r="D2499" t="s">
        <v>2267</v>
      </c>
      <c r="E2499" t="s">
        <v>7187</v>
      </c>
      <c r="F2499" t="s">
        <v>7188</v>
      </c>
      <c r="G2499" s="425">
        <v>0</v>
      </c>
      <c r="H2499" s="425">
        <v>0</v>
      </c>
      <c r="I2499" s="425">
        <v>0</v>
      </c>
      <c r="J2499" s="425">
        <v>0</v>
      </c>
      <c r="K2499" s="425">
        <v>0</v>
      </c>
      <c r="L2499" s="425">
        <v>0</v>
      </c>
      <c r="M2499" s="425">
        <v>0</v>
      </c>
      <c r="N2499" s="425">
        <v>0</v>
      </c>
      <c r="O2499" s="425">
        <v>0</v>
      </c>
    </row>
    <row r="2500" spans="3:15" hidden="1" x14ac:dyDescent="0.3">
      <c r="C2500" t="s">
        <v>2292</v>
      </c>
      <c r="D2500" t="s">
        <v>2267</v>
      </c>
      <c r="E2500" t="s">
        <v>7189</v>
      </c>
      <c r="F2500" t="s">
        <v>7190</v>
      </c>
      <c r="G2500" s="425">
        <v>0</v>
      </c>
      <c r="H2500" s="425">
        <v>0</v>
      </c>
      <c r="I2500" s="425">
        <v>0</v>
      </c>
      <c r="J2500" s="425">
        <v>0</v>
      </c>
      <c r="K2500" s="425">
        <v>0</v>
      </c>
      <c r="L2500" s="425">
        <v>0</v>
      </c>
      <c r="M2500" s="425">
        <v>0</v>
      </c>
      <c r="N2500" s="425">
        <v>0</v>
      </c>
      <c r="O2500" s="425">
        <v>0</v>
      </c>
    </row>
    <row r="2501" spans="3:15" hidden="1" x14ac:dyDescent="0.3">
      <c r="C2501" t="s">
        <v>2292</v>
      </c>
      <c r="D2501" t="s">
        <v>2267</v>
      </c>
      <c r="E2501" t="s">
        <v>7191</v>
      </c>
      <c r="F2501" t="s">
        <v>7192</v>
      </c>
      <c r="G2501" s="425">
        <v>89900</v>
      </c>
      <c r="H2501" s="425">
        <v>0</v>
      </c>
      <c r="I2501" s="425">
        <v>0</v>
      </c>
      <c r="J2501" s="425">
        <v>0</v>
      </c>
      <c r="K2501" s="425">
        <v>0</v>
      </c>
      <c r="L2501" s="425">
        <v>89900</v>
      </c>
      <c r="M2501" s="425">
        <v>0</v>
      </c>
      <c r="N2501" s="425">
        <v>0</v>
      </c>
      <c r="O2501" s="425">
        <v>0</v>
      </c>
    </row>
    <row r="2502" spans="3:15" hidden="1" x14ac:dyDescent="0.3">
      <c r="C2502" t="s">
        <v>2292</v>
      </c>
      <c r="D2502" t="s">
        <v>2267</v>
      </c>
      <c r="E2502" t="s">
        <v>7193</v>
      </c>
      <c r="F2502" t="s">
        <v>7194</v>
      </c>
      <c r="G2502" s="425">
        <v>30304518</v>
      </c>
      <c r="H2502" s="425">
        <v>0</v>
      </c>
      <c r="I2502" s="425">
        <v>0</v>
      </c>
      <c r="J2502" s="425">
        <v>0</v>
      </c>
      <c r="K2502" s="425">
        <v>0</v>
      </c>
      <c r="L2502" s="425">
        <v>30304518</v>
      </c>
      <c r="M2502" s="425">
        <v>0</v>
      </c>
      <c r="N2502" s="425">
        <v>0</v>
      </c>
      <c r="O2502" s="425">
        <v>0</v>
      </c>
    </row>
    <row r="2503" spans="3:15" hidden="1" x14ac:dyDescent="0.3">
      <c r="C2503" t="s">
        <v>2292</v>
      </c>
      <c r="D2503" t="s">
        <v>2267</v>
      </c>
      <c r="E2503" t="s">
        <v>7195</v>
      </c>
      <c r="F2503" t="s">
        <v>7196</v>
      </c>
      <c r="G2503" s="425">
        <v>17964108</v>
      </c>
      <c r="H2503" s="425">
        <v>0</v>
      </c>
      <c r="I2503" s="425">
        <v>0</v>
      </c>
      <c r="J2503" s="425">
        <v>0</v>
      </c>
      <c r="K2503" s="425">
        <v>0</v>
      </c>
      <c r="L2503" s="425">
        <v>17964108</v>
      </c>
      <c r="M2503" s="425">
        <v>0</v>
      </c>
      <c r="N2503" s="425">
        <v>0</v>
      </c>
      <c r="O2503" s="425">
        <v>0</v>
      </c>
    </row>
    <row r="2504" spans="3:15" hidden="1" x14ac:dyDescent="0.3">
      <c r="C2504" t="s">
        <v>2292</v>
      </c>
      <c r="D2504" t="s">
        <v>2267</v>
      </c>
      <c r="E2504" t="s">
        <v>7197</v>
      </c>
      <c r="F2504" t="s">
        <v>7198</v>
      </c>
      <c r="G2504" s="425">
        <v>5188708795</v>
      </c>
      <c r="H2504" s="425">
        <v>0</v>
      </c>
      <c r="I2504" s="425">
        <v>0</v>
      </c>
      <c r="J2504" s="425">
        <v>0</v>
      </c>
      <c r="K2504" s="425">
        <v>0</v>
      </c>
      <c r="L2504" s="425">
        <v>5188708795</v>
      </c>
      <c r="M2504" s="425">
        <v>0</v>
      </c>
      <c r="N2504" s="425">
        <v>0</v>
      </c>
      <c r="O2504" s="425">
        <v>0</v>
      </c>
    </row>
    <row r="2505" spans="3:15" hidden="1" x14ac:dyDescent="0.3">
      <c r="C2505" t="s">
        <v>2292</v>
      </c>
      <c r="D2505" t="s">
        <v>2267</v>
      </c>
      <c r="E2505" t="s">
        <v>7199</v>
      </c>
      <c r="F2505" t="s">
        <v>7200</v>
      </c>
      <c r="G2505" s="425">
        <v>99000</v>
      </c>
      <c r="H2505" s="425">
        <v>0</v>
      </c>
      <c r="I2505" s="425">
        <v>0</v>
      </c>
      <c r="J2505" s="425">
        <v>0</v>
      </c>
      <c r="K2505" s="425">
        <v>0</v>
      </c>
      <c r="L2505" s="425">
        <v>99000</v>
      </c>
      <c r="M2505" s="425">
        <v>0</v>
      </c>
      <c r="N2505" s="425">
        <v>0</v>
      </c>
      <c r="O2505" s="425">
        <v>0</v>
      </c>
    </row>
    <row r="2506" spans="3:15" hidden="1" x14ac:dyDescent="0.3">
      <c r="C2506" t="s">
        <v>2292</v>
      </c>
      <c r="D2506" t="s">
        <v>2267</v>
      </c>
      <c r="E2506" t="s">
        <v>7201</v>
      </c>
      <c r="F2506" t="s">
        <v>7202</v>
      </c>
      <c r="G2506" s="425">
        <v>0</v>
      </c>
      <c r="H2506" s="425">
        <v>0</v>
      </c>
      <c r="I2506" s="425">
        <v>0</v>
      </c>
      <c r="J2506" s="425">
        <v>0</v>
      </c>
      <c r="K2506" s="425">
        <v>0</v>
      </c>
      <c r="L2506" s="425">
        <v>0</v>
      </c>
      <c r="M2506" s="425">
        <v>0</v>
      </c>
      <c r="N2506" s="425">
        <v>0</v>
      </c>
      <c r="O2506" s="425">
        <v>0</v>
      </c>
    </row>
    <row r="2507" spans="3:15" hidden="1" x14ac:dyDescent="0.3">
      <c r="C2507" t="s">
        <v>2292</v>
      </c>
      <c r="D2507" t="s">
        <v>2267</v>
      </c>
      <c r="E2507" t="s">
        <v>7203</v>
      </c>
      <c r="F2507" t="s">
        <v>7204</v>
      </c>
      <c r="G2507" s="425">
        <v>0</v>
      </c>
      <c r="H2507" s="425">
        <v>0</v>
      </c>
      <c r="I2507" s="425">
        <v>0</v>
      </c>
      <c r="J2507" s="425">
        <v>0</v>
      </c>
      <c r="K2507" s="425">
        <v>0</v>
      </c>
      <c r="L2507" s="425">
        <v>0</v>
      </c>
      <c r="M2507" s="425">
        <v>0</v>
      </c>
      <c r="N2507" s="425">
        <v>0</v>
      </c>
      <c r="O2507" s="425">
        <v>0</v>
      </c>
    </row>
    <row r="2508" spans="3:15" hidden="1" x14ac:dyDescent="0.3">
      <c r="C2508" t="s">
        <v>2292</v>
      </c>
      <c r="D2508" t="s">
        <v>2267</v>
      </c>
      <c r="E2508" t="s">
        <v>7205</v>
      </c>
      <c r="F2508" t="s">
        <v>7206</v>
      </c>
      <c r="G2508" s="425">
        <v>3348091</v>
      </c>
      <c r="H2508" s="425">
        <v>0</v>
      </c>
      <c r="I2508" s="425">
        <v>0</v>
      </c>
      <c r="J2508" s="425">
        <v>0</v>
      </c>
      <c r="K2508" s="425">
        <v>0</v>
      </c>
      <c r="L2508" s="425">
        <v>3348091</v>
      </c>
      <c r="M2508" s="425">
        <v>0</v>
      </c>
      <c r="N2508" s="425">
        <v>0</v>
      </c>
      <c r="O2508" s="425">
        <v>0</v>
      </c>
    </row>
    <row r="2509" spans="3:15" hidden="1" x14ac:dyDescent="0.3">
      <c r="C2509" t="s">
        <v>2292</v>
      </c>
      <c r="D2509" t="s">
        <v>2267</v>
      </c>
      <c r="E2509" t="s">
        <v>7207</v>
      </c>
      <c r="F2509" t="s">
        <v>7208</v>
      </c>
      <c r="G2509" s="425">
        <v>0</v>
      </c>
      <c r="H2509" s="425">
        <v>0</v>
      </c>
      <c r="I2509" s="425">
        <v>0</v>
      </c>
      <c r="J2509" s="425">
        <v>0</v>
      </c>
      <c r="K2509" s="425">
        <v>0</v>
      </c>
      <c r="L2509" s="425">
        <v>0</v>
      </c>
      <c r="M2509" s="425">
        <v>0</v>
      </c>
      <c r="N2509" s="425">
        <v>0</v>
      </c>
      <c r="O2509" s="425">
        <v>0</v>
      </c>
    </row>
    <row r="2510" spans="3:15" hidden="1" x14ac:dyDescent="0.3">
      <c r="C2510" t="s">
        <v>2292</v>
      </c>
      <c r="D2510" t="s">
        <v>2267</v>
      </c>
      <c r="E2510" t="s">
        <v>7209</v>
      </c>
      <c r="F2510" t="s">
        <v>7210</v>
      </c>
      <c r="G2510" s="425">
        <v>0</v>
      </c>
      <c r="H2510" s="425">
        <v>0</v>
      </c>
      <c r="I2510" s="425">
        <v>0</v>
      </c>
      <c r="J2510" s="425">
        <v>0</v>
      </c>
      <c r="K2510" s="425">
        <v>0</v>
      </c>
      <c r="L2510" s="425">
        <v>0</v>
      </c>
      <c r="M2510" s="425">
        <v>0</v>
      </c>
      <c r="N2510" s="425">
        <v>0</v>
      </c>
      <c r="O2510" s="425">
        <v>0</v>
      </c>
    </row>
    <row r="2511" spans="3:15" hidden="1" x14ac:dyDescent="0.3">
      <c r="C2511" t="s">
        <v>2292</v>
      </c>
      <c r="D2511" t="s">
        <v>2267</v>
      </c>
      <c r="E2511" t="s">
        <v>7211</v>
      </c>
      <c r="F2511" t="s">
        <v>7212</v>
      </c>
      <c r="G2511" s="425">
        <v>1864</v>
      </c>
      <c r="H2511" s="425">
        <v>0</v>
      </c>
      <c r="I2511" s="425">
        <v>0</v>
      </c>
      <c r="J2511" s="425">
        <v>0</v>
      </c>
      <c r="K2511" s="425">
        <v>0</v>
      </c>
      <c r="L2511" s="425">
        <v>1864</v>
      </c>
      <c r="M2511" s="425">
        <v>0</v>
      </c>
      <c r="N2511" s="425">
        <v>0</v>
      </c>
      <c r="O2511" s="425">
        <v>0</v>
      </c>
    </row>
    <row r="2512" spans="3:15" hidden="1" x14ac:dyDescent="0.3">
      <c r="C2512" t="s">
        <v>2292</v>
      </c>
      <c r="D2512" t="s">
        <v>2267</v>
      </c>
      <c r="E2512" t="s">
        <v>7213</v>
      </c>
      <c r="F2512" t="s">
        <v>7214</v>
      </c>
      <c r="G2512" s="425">
        <v>49594876</v>
      </c>
      <c r="H2512" s="425">
        <v>0</v>
      </c>
      <c r="I2512" s="425">
        <v>0</v>
      </c>
      <c r="J2512" s="425">
        <v>0</v>
      </c>
      <c r="K2512" s="425">
        <v>0</v>
      </c>
      <c r="L2512" s="425">
        <v>49594876</v>
      </c>
      <c r="M2512" s="425">
        <v>0</v>
      </c>
      <c r="N2512" s="425">
        <v>0</v>
      </c>
      <c r="O2512" s="425">
        <v>0</v>
      </c>
    </row>
    <row r="2513" spans="3:15" hidden="1" x14ac:dyDescent="0.3">
      <c r="C2513" t="s">
        <v>2292</v>
      </c>
      <c r="D2513" t="s">
        <v>2267</v>
      </c>
      <c r="E2513" t="s">
        <v>7215</v>
      </c>
      <c r="F2513" t="s">
        <v>7216</v>
      </c>
      <c r="G2513" s="425">
        <v>72</v>
      </c>
      <c r="H2513" s="425">
        <v>0</v>
      </c>
      <c r="I2513" s="425">
        <v>0</v>
      </c>
      <c r="J2513" s="425">
        <v>0</v>
      </c>
      <c r="K2513" s="425">
        <v>0</v>
      </c>
      <c r="L2513" s="425">
        <v>72</v>
      </c>
      <c r="M2513" s="425">
        <v>0</v>
      </c>
      <c r="N2513" s="425">
        <v>0</v>
      </c>
      <c r="O2513" s="425">
        <v>0</v>
      </c>
    </row>
    <row r="2514" spans="3:15" hidden="1" x14ac:dyDescent="0.3">
      <c r="C2514" t="s">
        <v>2292</v>
      </c>
      <c r="D2514" t="s">
        <v>2267</v>
      </c>
      <c r="E2514" t="s">
        <v>7217</v>
      </c>
      <c r="F2514" t="s">
        <v>7218</v>
      </c>
      <c r="G2514" s="425">
        <v>737447</v>
      </c>
      <c r="H2514" s="425">
        <v>0</v>
      </c>
      <c r="I2514" s="425">
        <v>0</v>
      </c>
      <c r="J2514" s="425">
        <v>0</v>
      </c>
      <c r="K2514" s="425">
        <v>0</v>
      </c>
      <c r="L2514" s="425">
        <v>737447</v>
      </c>
      <c r="M2514" s="425">
        <v>0</v>
      </c>
      <c r="N2514" s="425">
        <v>0</v>
      </c>
      <c r="O2514" s="425">
        <v>0</v>
      </c>
    </row>
    <row r="2515" spans="3:15" hidden="1" x14ac:dyDescent="0.3">
      <c r="C2515" t="s">
        <v>2292</v>
      </c>
      <c r="D2515" t="s">
        <v>2267</v>
      </c>
      <c r="E2515" t="s">
        <v>7219</v>
      </c>
      <c r="F2515" t="s">
        <v>7220</v>
      </c>
      <c r="G2515" s="425">
        <v>718777</v>
      </c>
      <c r="H2515" s="425">
        <v>0</v>
      </c>
      <c r="I2515" s="425">
        <v>0</v>
      </c>
      <c r="J2515" s="425">
        <v>0</v>
      </c>
      <c r="K2515" s="425">
        <v>0</v>
      </c>
      <c r="L2515" s="425">
        <v>718777</v>
      </c>
      <c r="M2515" s="425">
        <v>0</v>
      </c>
      <c r="N2515" s="425">
        <v>0</v>
      </c>
      <c r="O2515" s="425">
        <v>0</v>
      </c>
    </row>
    <row r="2516" spans="3:15" hidden="1" x14ac:dyDescent="0.3">
      <c r="C2516" t="s">
        <v>2292</v>
      </c>
      <c r="D2516" t="s">
        <v>2267</v>
      </c>
      <c r="E2516" t="s">
        <v>7221</v>
      </c>
      <c r="F2516" t="s">
        <v>7222</v>
      </c>
      <c r="G2516" s="425">
        <v>0</v>
      </c>
      <c r="H2516" s="425">
        <v>0</v>
      </c>
      <c r="I2516" s="425">
        <v>0</v>
      </c>
      <c r="J2516" s="425">
        <v>0</v>
      </c>
      <c r="K2516" s="425">
        <v>0</v>
      </c>
      <c r="L2516" s="425">
        <v>0</v>
      </c>
      <c r="M2516" s="425">
        <v>0</v>
      </c>
      <c r="N2516" s="425">
        <v>0</v>
      </c>
      <c r="O2516" s="425">
        <v>0</v>
      </c>
    </row>
    <row r="2517" spans="3:15" hidden="1" x14ac:dyDescent="0.3">
      <c r="C2517" t="s">
        <v>2292</v>
      </c>
      <c r="D2517" t="s">
        <v>2267</v>
      </c>
      <c r="E2517" t="s">
        <v>7223</v>
      </c>
      <c r="F2517" t="s">
        <v>7224</v>
      </c>
      <c r="G2517" s="425">
        <v>0</v>
      </c>
      <c r="H2517" s="425">
        <v>0</v>
      </c>
      <c r="I2517" s="425">
        <v>0</v>
      </c>
      <c r="J2517" s="425">
        <v>0</v>
      </c>
      <c r="K2517" s="425">
        <v>0</v>
      </c>
      <c r="L2517" s="425">
        <v>0</v>
      </c>
      <c r="M2517" s="425">
        <v>0</v>
      </c>
      <c r="N2517" s="425">
        <v>0</v>
      </c>
      <c r="O2517" s="425">
        <v>0</v>
      </c>
    </row>
    <row r="2518" spans="3:15" hidden="1" x14ac:dyDescent="0.3">
      <c r="C2518" t="s">
        <v>2263</v>
      </c>
      <c r="D2518" t="s">
        <v>2237</v>
      </c>
      <c r="E2518" t="s">
        <v>7225</v>
      </c>
      <c r="F2518" t="s">
        <v>7226</v>
      </c>
      <c r="G2518" s="425">
        <v>214541533843</v>
      </c>
      <c r="H2518" s="425">
        <v>0</v>
      </c>
      <c r="I2518" s="425">
        <v>0</v>
      </c>
      <c r="J2518" s="425">
        <v>0</v>
      </c>
      <c r="K2518" s="425">
        <v>0</v>
      </c>
      <c r="L2518" s="425">
        <v>0</v>
      </c>
      <c r="M2518" s="425">
        <v>0</v>
      </c>
      <c r="N2518" s="425">
        <v>214541533843</v>
      </c>
      <c r="O2518" s="425">
        <v>0</v>
      </c>
    </row>
    <row r="2519" spans="3:15" hidden="1" x14ac:dyDescent="0.3">
      <c r="C2519" t="s">
        <v>2266</v>
      </c>
      <c r="D2519" t="s">
        <v>2267</v>
      </c>
      <c r="E2519" t="s">
        <v>7227</v>
      </c>
      <c r="F2519" t="s">
        <v>7228</v>
      </c>
      <c r="G2519" s="425">
        <v>0</v>
      </c>
      <c r="H2519" s="425">
        <v>0</v>
      </c>
      <c r="I2519" s="425">
        <v>0</v>
      </c>
      <c r="J2519" s="425">
        <v>0</v>
      </c>
      <c r="K2519" s="425">
        <v>0</v>
      </c>
      <c r="L2519" s="425">
        <v>0</v>
      </c>
      <c r="M2519" s="425">
        <v>0</v>
      </c>
      <c r="N2519" s="425">
        <v>0</v>
      </c>
      <c r="O2519" s="425">
        <v>0</v>
      </c>
    </row>
    <row r="2520" spans="3:15" hidden="1" x14ac:dyDescent="0.3">
      <c r="C2520" t="s">
        <v>2266</v>
      </c>
      <c r="D2520" t="s">
        <v>2267</v>
      </c>
      <c r="E2520" t="s">
        <v>7229</v>
      </c>
      <c r="F2520" t="s">
        <v>7230</v>
      </c>
      <c r="G2520" s="425">
        <v>0</v>
      </c>
      <c r="H2520" s="425">
        <v>0</v>
      </c>
      <c r="I2520" s="425">
        <v>0</v>
      </c>
      <c r="J2520" s="425">
        <v>0</v>
      </c>
      <c r="K2520" s="425">
        <v>0</v>
      </c>
      <c r="L2520" s="425">
        <v>0</v>
      </c>
      <c r="M2520" s="425">
        <v>0</v>
      </c>
      <c r="N2520" s="425">
        <v>0</v>
      </c>
      <c r="O2520" s="425">
        <v>0</v>
      </c>
    </row>
    <row r="2521" spans="3:15" hidden="1" x14ac:dyDescent="0.3">
      <c r="C2521" t="s">
        <v>2266</v>
      </c>
      <c r="D2521" t="s">
        <v>2267</v>
      </c>
      <c r="E2521" t="s">
        <v>7231</v>
      </c>
      <c r="F2521" t="s">
        <v>7232</v>
      </c>
      <c r="G2521" s="425">
        <v>0</v>
      </c>
      <c r="H2521" s="425">
        <v>0</v>
      </c>
      <c r="I2521" s="425">
        <v>0</v>
      </c>
      <c r="J2521" s="425">
        <v>0</v>
      </c>
      <c r="K2521" s="425">
        <v>0</v>
      </c>
      <c r="L2521" s="425">
        <v>0</v>
      </c>
      <c r="M2521" s="425">
        <v>0</v>
      </c>
      <c r="N2521" s="425">
        <v>0</v>
      </c>
      <c r="O2521" s="425">
        <v>0</v>
      </c>
    </row>
    <row r="2522" spans="3:15" hidden="1" x14ac:dyDescent="0.3">
      <c r="C2522" t="s">
        <v>2266</v>
      </c>
      <c r="D2522" t="s">
        <v>2267</v>
      </c>
      <c r="E2522" t="s">
        <v>7233</v>
      </c>
      <c r="F2522" t="s">
        <v>7234</v>
      </c>
      <c r="G2522" s="425">
        <v>0</v>
      </c>
      <c r="H2522" s="425">
        <v>0</v>
      </c>
      <c r="I2522" s="425">
        <v>0</v>
      </c>
      <c r="J2522" s="425">
        <v>0</v>
      </c>
      <c r="K2522" s="425">
        <v>0</v>
      </c>
      <c r="L2522" s="425">
        <v>0</v>
      </c>
      <c r="M2522" s="425">
        <v>0</v>
      </c>
      <c r="N2522" s="425">
        <v>0</v>
      </c>
      <c r="O2522" s="425">
        <v>0</v>
      </c>
    </row>
    <row r="2523" spans="3:15" hidden="1" x14ac:dyDescent="0.3">
      <c r="C2523" t="s">
        <v>2266</v>
      </c>
      <c r="D2523" t="s">
        <v>2267</v>
      </c>
      <c r="E2523" t="s">
        <v>7235</v>
      </c>
      <c r="F2523" t="s">
        <v>7236</v>
      </c>
      <c r="G2523" s="425">
        <v>0</v>
      </c>
      <c r="H2523" s="425">
        <v>0</v>
      </c>
      <c r="I2523" s="425">
        <v>0</v>
      </c>
      <c r="J2523" s="425">
        <v>0</v>
      </c>
      <c r="K2523" s="425">
        <v>0</v>
      </c>
      <c r="L2523" s="425">
        <v>0</v>
      </c>
      <c r="M2523" s="425">
        <v>0</v>
      </c>
      <c r="N2523" s="425">
        <v>0</v>
      </c>
      <c r="O2523" s="425">
        <v>0</v>
      </c>
    </row>
    <row r="2524" spans="3:15" hidden="1" x14ac:dyDescent="0.3">
      <c r="C2524" t="s">
        <v>2266</v>
      </c>
      <c r="D2524" t="s">
        <v>2267</v>
      </c>
      <c r="E2524" t="s">
        <v>7237</v>
      </c>
      <c r="F2524" t="s">
        <v>7238</v>
      </c>
      <c r="G2524" s="425">
        <v>0</v>
      </c>
      <c r="H2524" s="425">
        <v>0</v>
      </c>
      <c r="I2524" s="425">
        <v>0</v>
      </c>
      <c r="J2524" s="425">
        <v>0</v>
      </c>
      <c r="K2524" s="425">
        <v>0</v>
      </c>
      <c r="L2524" s="425">
        <v>0</v>
      </c>
      <c r="M2524" s="425">
        <v>0</v>
      </c>
      <c r="N2524" s="425">
        <v>0</v>
      </c>
      <c r="O2524" s="425">
        <v>0</v>
      </c>
    </row>
    <row r="2525" spans="3:15" hidden="1" x14ac:dyDescent="0.3">
      <c r="C2525" t="s">
        <v>2266</v>
      </c>
      <c r="D2525" t="s">
        <v>2267</v>
      </c>
      <c r="E2525" t="s">
        <v>7239</v>
      </c>
      <c r="F2525" t="s">
        <v>7240</v>
      </c>
      <c r="G2525" s="425">
        <v>0</v>
      </c>
      <c r="H2525" s="425">
        <v>0</v>
      </c>
      <c r="I2525" s="425">
        <v>0</v>
      </c>
      <c r="J2525" s="425">
        <v>0</v>
      </c>
      <c r="K2525" s="425">
        <v>0</v>
      </c>
      <c r="L2525" s="425">
        <v>0</v>
      </c>
      <c r="M2525" s="425">
        <v>0</v>
      </c>
      <c r="N2525" s="425">
        <v>0</v>
      </c>
      <c r="O2525" s="425">
        <v>0</v>
      </c>
    </row>
    <row r="2526" spans="3:15" hidden="1" x14ac:dyDescent="0.3">
      <c r="C2526" t="s">
        <v>2266</v>
      </c>
      <c r="D2526" t="s">
        <v>2267</v>
      </c>
      <c r="E2526" t="s">
        <v>7241</v>
      </c>
      <c r="F2526" t="s">
        <v>7242</v>
      </c>
      <c r="G2526" s="425">
        <v>29200000000</v>
      </c>
      <c r="H2526" s="425">
        <v>0</v>
      </c>
      <c r="I2526" s="425">
        <v>0</v>
      </c>
      <c r="J2526" s="425">
        <v>0</v>
      </c>
      <c r="K2526" s="425">
        <v>0</v>
      </c>
      <c r="L2526" s="425">
        <v>0</v>
      </c>
      <c r="M2526" s="425">
        <v>0</v>
      </c>
      <c r="N2526" s="425">
        <v>29200000000</v>
      </c>
      <c r="O2526" s="425">
        <v>0</v>
      </c>
    </row>
    <row r="2527" spans="3:15" hidden="1" x14ac:dyDescent="0.3">
      <c r="C2527" t="s">
        <v>2266</v>
      </c>
      <c r="D2527" t="s">
        <v>2267</v>
      </c>
      <c r="E2527" t="s">
        <v>7243</v>
      </c>
      <c r="F2527" t="s">
        <v>7244</v>
      </c>
      <c r="G2527" s="425">
        <v>185341510571</v>
      </c>
      <c r="H2527" s="425">
        <v>0</v>
      </c>
      <c r="I2527" s="425">
        <v>0</v>
      </c>
      <c r="J2527" s="425">
        <v>0</v>
      </c>
      <c r="K2527" s="425">
        <v>0</v>
      </c>
      <c r="L2527" s="425">
        <v>0</v>
      </c>
      <c r="M2527" s="425">
        <v>0</v>
      </c>
      <c r="N2527" s="425">
        <v>185341510571</v>
      </c>
      <c r="O2527" s="425">
        <v>0</v>
      </c>
    </row>
    <row r="2528" spans="3:15" hidden="1" x14ac:dyDescent="0.3">
      <c r="C2528" t="s">
        <v>2266</v>
      </c>
      <c r="D2528" t="s">
        <v>2267</v>
      </c>
      <c r="E2528" t="s">
        <v>7245</v>
      </c>
      <c r="F2528" t="s">
        <v>7246</v>
      </c>
      <c r="G2528" s="425">
        <v>0</v>
      </c>
      <c r="H2528" s="425">
        <v>0</v>
      </c>
      <c r="I2528" s="425">
        <v>0</v>
      </c>
      <c r="J2528" s="425">
        <v>0</v>
      </c>
      <c r="K2528" s="425">
        <v>0</v>
      </c>
      <c r="L2528" s="425">
        <v>0</v>
      </c>
      <c r="M2528" s="425">
        <v>0</v>
      </c>
      <c r="N2528" s="425">
        <v>0</v>
      </c>
      <c r="O2528" s="425">
        <v>0</v>
      </c>
    </row>
    <row r="2529" spans="1:15" hidden="1" x14ac:dyDescent="0.3">
      <c r="C2529" t="s">
        <v>2266</v>
      </c>
      <c r="D2529" t="s">
        <v>2267</v>
      </c>
      <c r="E2529" t="s">
        <v>7247</v>
      </c>
      <c r="F2529" t="s">
        <v>7248</v>
      </c>
      <c r="G2529" s="425">
        <v>0</v>
      </c>
      <c r="H2529" s="425">
        <v>0</v>
      </c>
      <c r="I2529" s="425">
        <v>0</v>
      </c>
      <c r="J2529" s="425">
        <v>0</v>
      </c>
      <c r="K2529" s="425">
        <v>0</v>
      </c>
      <c r="L2529" s="425">
        <v>0</v>
      </c>
      <c r="M2529" s="425">
        <v>0</v>
      </c>
      <c r="N2529" s="425">
        <v>0</v>
      </c>
      <c r="O2529" s="425">
        <v>0</v>
      </c>
    </row>
    <row r="2530" spans="1:15" hidden="1" x14ac:dyDescent="0.3">
      <c r="C2530" t="s">
        <v>2266</v>
      </c>
      <c r="D2530" t="s">
        <v>2267</v>
      </c>
      <c r="E2530" t="s">
        <v>7249</v>
      </c>
      <c r="F2530" t="s">
        <v>7250</v>
      </c>
      <c r="G2530" s="425">
        <v>23272</v>
      </c>
      <c r="H2530" s="425">
        <v>0</v>
      </c>
      <c r="I2530" s="425">
        <v>0</v>
      </c>
      <c r="J2530" s="425">
        <v>0</v>
      </c>
      <c r="K2530" s="425">
        <v>0</v>
      </c>
      <c r="L2530" s="425">
        <v>0</v>
      </c>
      <c r="M2530" s="425">
        <v>0</v>
      </c>
      <c r="N2530" s="425">
        <v>23272</v>
      </c>
      <c r="O2530" s="425">
        <v>0</v>
      </c>
    </row>
    <row r="2531" spans="1:15" hidden="1" x14ac:dyDescent="0.3">
      <c r="C2531" t="s">
        <v>2266</v>
      </c>
      <c r="D2531" t="s">
        <v>2267</v>
      </c>
      <c r="E2531" t="s">
        <v>7251</v>
      </c>
      <c r="F2531" t="s">
        <v>7252</v>
      </c>
      <c r="G2531" s="425">
        <v>0</v>
      </c>
      <c r="H2531" s="425">
        <v>0</v>
      </c>
      <c r="I2531" s="425">
        <v>0</v>
      </c>
      <c r="J2531" s="425">
        <v>0</v>
      </c>
      <c r="K2531" s="425">
        <v>0</v>
      </c>
      <c r="L2531" s="425">
        <v>0</v>
      </c>
      <c r="M2531" s="425">
        <v>0</v>
      </c>
      <c r="N2531" s="425">
        <v>0</v>
      </c>
      <c r="O2531" s="425">
        <v>0</v>
      </c>
    </row>
    <row r="2532" spans="1:15" hidden="1" x14ac:dyDescent="0.3">
      <c r="A2532" s="236"/>
      <c r="B2532" s="237" t="s">
        <v>90</v>
      </c>
      <c r="C2532" t="s">
        <v>2260</v>
      </c>
      <c r="D2532" t="s">
        <v>2237</v>
      </c>
      <c r="E2532" t="s">
        <v>7253</v>
      </c>
      <c r="F2532" t="s">
        <v>7254</v>
      </c>
      <c r="G2532" s="425">
        <v>866765810490</v>
      </c>
      <c r="H2532" s="425">
        <v>620522784534</v>
      </c>
      <c r="I2532" s="425">
        <v>104657599084</v>
      </c>
      <c r="J2532" s="425">
        <v>0</v>
      </c>
      <c r="K2532" s="425">
        <v>9100094796</v>
      </c>
      <c r="L2532" s="425">
        <v>53262919195</v>
      </c>
      <c r="M2532" s="425">
        <v>67534107283</v>
      </c>
      <c r="N2532" s="425">
        <v>11688305598</v>
      </c>
      <c r="O2532" s="425">
        <v>0</v>
      </c>
    </row>
    <row r="2533" spans="1:15" hidden="1" x14ac:dyDescent="0.3">
      <c r="A2533" s="238"/>
      <c r="B2533" s="235" t="s">
        <v>91</v>
      </c>
      <c r="C2533" t="s">
        <v>2263</v>
      </c>
      <c r="D2533" t="s">
        <v>2237</v>
      </c>
      <c r="E2533" t="s">
        <v>7255</v>
      </c>
      <c r="F2533" t="s">
        <v>7256</v>
      </c>
      <c r="G2533" s="425">
        <v>446787421965</v>
      </c>
      <c r="H2533" s="425">
        <v>366135347586</v>
      </c>
      <c r="I2533" s="425">
        <v>29683664242</v>
      </c>
      <c r="J2533" s="425">
        <v>0</v>
      </c>
      <c r="K2533" s="425">
        <v>25198411</v>
      </c>
      <c r="L2533" s="425">
        <v>50615505738</v>
      </c>
      <c r="M2533" s="425">
        <v>0</v>
      </c>
      <c r="N2533" s="425">
        <v>327705988</v>
      </c>
      <c r="O2533" s="425">
        <v>0</v>
      </c>
    </row>
    <row r="2534" spans="1:15" hidden="1" x14ac:dyDescent="0.3">
      <c r="C2534" t="s">
        <v>2266</v>
      </c>
      <c r="D2534" t="s">
        <v>2237</v>
      </c>
      <c r="E2534" t="s">
        <v>7257</v>
      </c>
      <c r="F2534" t="s">
        <v>7258</v>
      </c>
      <c r="G2534" s="425">
        <v>446829581496</v>
      </c>
      <c r="H2534" s="425">
        <v>366139263794</v>
      </c>
      <c r="I2534" s="425">
        <v>29683788700</v>
      </c>
      <c r="J2534" s="425">
        <v>0</v>
      </c>
      <c r="K2534" s="425">
        <v>25722486</v>
      </c>
      <c r="L2534" s="425">
        <v>50646191253</v>
      </c>
      <c r="M2534" s="425">
        <v>0</v>
      </c>
      <c r="N2534" s="425">
        <v>334615263</v>
      </c>
      <c r="O2534" s="425">
        <v>0</v>
      </c>
    </row>
    <row r="2535" spans="1:15" hidden="1" x14ac:dyDescent="0.3">
      <c r="C2535" t="s">
        <v>2292</v>
      </c>
      <c r="D2535" t="s">
        <v>2267</v>
      </c>
      <c r="E2535" t="s">
        <v>7259</v>
      </c>
      <c r="F2535" t="s">
        <v>7260</v>
      </c>
      <c r="G2535" s="425">
        <v>387447232089</v>
      </c>
      <c r="H2535" s="425">
        <v>365058380040</v>
      </c>
      <c r="I2535" s="425">
        <v>21975636364</v>
      </c>
      <c r="J2535" s="425">
        <v>0</v>
      </c>
      <c r="K2535" s="425">
        <v>25522486</v>
      </c>
      <c r="L2535" s="425">
        <v>53077936</v>
      </c>
      <c r="M2535" s="425">
        <v>0</v>
      </c>
      <c r="N2535" s="425">
        <v>334615263</v>
      </c>
      <c r="O2535" s="425">
        <v>0</v>
      </c>
    </row>
    <row r="2536" spans="1:15" hidden="1" x14ac:dyDescent="0.3">
      <c r="C2536" t="s">
        <v>2292</v>
      </c>
      <c r="D2536" t="s">
        <v>2267</v>
      </c>
      <c r="E2536" t="s">
        <v>7261</v>
      </c>
      <c r="F2536" t="s">
        <v>7262</v>
      </c>
      <c r="G2536" s="425">
        <v>6294215132</v>
      </c>
      <c r="H2536" s="425">
        <v>1080883754</v>
      </c>
      <c r="I2536" s="425">
        <v>5213331378</v>
      </c>
      <c r="J2536" s="425">
        <v>0</v>
      </c>
      <c r="K2536" s="425">
        <v>0</v>
      </c>
      <c r="L2536" s="425">
        <v>0</v>
      </c>
      <c r="M2536" s="425">
        <v>0</v>
      </c>
      <c r="N2536" s="425">
        <v>0</v>
      </c>
      <c r="O2536" s="425">
        <v>0</v>
      </c>
    </row>
    <row r="2537" spans="1:15" hidden="1" x14ac:dyDescent="0.3">
      <c r="C2537" t="s">
        <v>2292</v>
      </c>
      <c r="D2537" t="s">
        <v>2267</v>
      </c>
      <c r="E2537" t="s">
        <v>7263</v>
      </c>
      <c r="F2537" t="s">
        <v>7264</v>
      </c>
      <c r="G2537" s="425">
        <v>2163164494</v>
      </c>
      <c r="H2537" s="425">
        <v>0</v>
      </c>
      <c r="I2537" s="425">
        <v>2163164494</v>
      </c>
      <c r="J2537" s="425">
        <v>0</v>
      </c>
      <c r="K2537" s="425">
        <v>0</v>
      </c>
      <c r="L2537" s="425">
        <v>0</v>
      </c>
      <c r="M2537" s="425">
        <v>0</v>
      </c>
      <c r="N2537" s="425">
        <v>0</v>
      </c>
      <c r="O2537" s="425">
        <v>0</v>
      </c>
    </row>
    <row r="2538" spans="1:15" hidden="1" x14ac:dyDescent="0.3">
      <c r="C2538" t="s">
        <v>2292</v>
      </c>
      <c r="D2538" t="s">
        <v>2267</v>
      </c>
      <c r="E2538" t="s">
        <v>7265</v>
      </c>
      <c r="F2538" t="s">
        <v>7266</v>
      </c>
      <c r="G2538" s="425">
        <v>15493316078</v>
      </c>
      <c r="H2538" s="425">
        <v>0</v>
      </c>
      <c r="I2538" s="425">
        <v>0</v>
      </c>
      <c r="J2538" s="425">
        <v>0</v>
      </c>
      <c r="K2538" s="425">
        <v>0</v>
      </c>
      <c r="L2538" s="425">
        <v>15493316078</v>
      </c>
      <c r="M2538" s="425">
        <v>0</v>
      </c>
      <c r="N2538" s="425">
        <v>0</v>
      </c>
      <c r="O2538" s="425">
        <v>0</v>
      </c>
    </row>
    <row r="2539" spans="1:15" hidden="1" x14ac:dyDescent="0.3">
      <c r="C2539" t="s">
        <v>2292</v>
      </c>
      <c r="D2539" t="s">
        <v>2267</v>
      </c>
      <c r="E2539" t="s">
        <v>7267</v>
      </c>
      <c r="F2539" t="s">
        <v>7268</v>
      </c>
      <c r="G2539" s="425">
        <v>23064174</v>
      </c>
      <c r="H2539" s="425">
        <v>0</v>
      </c>
      <c r="I2539" s="425">
        <v>0</v>
      </c>
      <c r="J2539" s="425">
        <v>0</v>
      </c>
      <c r="K2539" s="425">
        <v>0</v>
      </c>
      <c r="L2539" s="425">
        <v>23064174</v>
      </c>
      <c r="M2539" s="425">
        <v>0</v>
      </c>
      <c r="N2539" s="425">
        <v>0</v>
      </c>
      <c r="O2539" s="425">
        <v>0</v>
      </c>
    </row>
    <row r="2540" spans="1:15" hidden="1" x14ac:dyDescent="0.3">
      <c r="C2540" t="s">
        <v>2292</v>
      </c>
      <c r="D2540" t="s">
        <v>2267</v>
      </c>
      <c r="E2540" t="s">
        <v>7269</v>
      </c>
      <c r="F2540" t="s">
        <v>7270</v>
      </c>
      <c r="G2540" s="425">
        <v>1811126849</v>
      </c>
      <c r="H2540" s="425">
        <v>0</v>
      </c>
      <c r="I2540" s="425">
        <v>0</v>
      </c>
      <c r="J2540" s="425">
        <v>0</v>
      </c>
      <c r="K2540" s="425">
        <v>0</v>
      </c>
      <c r="L2540" s="425">
        <v>1811126849</v>
      </c>
      <c r="M2540" s="425">
        <v>0</v>
      </c>
      <c r="N2540" s="425">
        <v>0</v>
      </c>
      <c r="O2540" s="425">
        <v>0</v>
      </c>
    </row>
    <row r="2541" spans="1:15" hidden="1" x14ac:dyDescent="0.3">
      <c r="C2541" t="s">
        <v>2292</v>
      </c>
      <c r="D2541" t="s">
        <v>2267</v>
      </c>
      <c r="E2541" t="s">
        <v>7271</v>
      </c>
      <c r="F2541" t="s">
        <v>7272</v>
      </c>
      <c r="G2541" s="425">
        <v>0</v>
      </c>
      <c r="H2541" s="425">
        <v>0</v>
      </c>
      <c r="I2541" s="425">
        <v>0</v>
      </c>
      <c r="J2541" s="425">
        <v>0</v>
      </c>
      <c r="K2541" s="425">
        <v>0</v>
      </c>
      <c r="L2541" s="425">
        <v>0</v>
      </c>
      <c r="M2541" s="425">
        <v>0</v>
      </c>
      <c r="N2541" s="425">
        <v>0</v>
      </c>
      <c r="O2541" s="425">
        <v>0</v>
      </c>
    </row>
    <row r="2542" spans="1:15" hidden="1" x14ac:dyDescent="0.3">
      <c r="C2542" t="s">
        <v>2292</v>
      </c>
      <c r="D2542" t="s">
        <v>2267</v>
      </c>
      <c r="E2542" t="s">
        <v>7273</v>
      </c>
      <c r="F2542" t="s">
        <v>7274</v>
      </c>
      <c r="G2542" s="425">
        <v>331316464</v>
      </c>
      <c r="H2542" s="425">
        <v>0</v>
      </c>
      <c r="I2542" s="425">
        <v>331316464</v>
      </c>
      <c r="J2542" s="425">
        <v>0</v>
      </c>
      <c r="K2542" s="425">
        <v>0</v>
      </c>
      <c r="L2542" s="425">
        <v>0</v>
      </c>
      <c r="M2542" s="425">
        <v>0</v>
      </c>
      <c r="N2542" s="425">
        <v>0</v>
      </c>
      <c r="O2542" s="425">
        <v>0</v>
      </c>
    </row>
    <row r="2543" spans="1:15" hidden="1" x14ac:dyDescent="0.3">
      <c r="C2543" t="s">
        <v>2292</v>
      </c>
      <c r="D2543" t="s">
        <v>2267</v>
      </c>
      <c r="E2543" t="s">
        <v>7275</v>
      </c>
      <c r="F2543" t="s">
        <v>7276</v>
      </c>
      <c r="G2543" s="425">
        <v>340000</v>
      </c>
      <c r="H2543" s="425">
        <v>0</v>
      </c>
      <c r="I2543" s="425">
        <v>340000</v>
      </c>
      <c r="J2543" s="425">
        <v>0</v>
      </c>
      <c r="K2543" s="425">
        <v>0</v>
      </c>
      <c r="L2543" s="425">
        <v>0</v>
      </c>
      <c r="M2543" s="425">
        <v>0</v>
      </c>
      <c r="N2543" s="425">
        <v>0</v>
      </c>
      <c r="O2543" s="425">
        <v>0</v>
      </c>
    </row>
    <row r="2544" spans="1:15" hidden="1" x14ac:dyDescent="0.3">
      <c r="C2544" t="s">
        <v>2292</v>
      </c>
      <c r="D2544" t="s">
        <v>2267</v>
      </c>
      <c r="E2544" t="s">
        <v>7277</v>
      </c>
      <c r="F2544" t="s">
        <v>7278</v>
      </c>
      <c r="G2544" s="425">
        <v>0</v>
      </c>
      <c r="H2544" s="425">
        <v>0</v>
      </c>
      <c r="I2544" s="425">
        <v>0</v>
      </c>
      <c r="J2544" s="425">
        <v>0</v>
      </c>
      <c r="K2544" s="425">
        <v>0</v>
      </c>
      <c r="L2544" s="425">
        <v>0</v>
      </c>
      <c r="M2544" s="425">
        <v>0</v>
      </c>
      <c r="N2544" s="425">
        <v>0</v>
      </c>
      <c r="O2544" s="425">
        <v>0</v>
      </c>
    </row>
    <row r="2545" spans="3:15" hidden="1" x14ac:dyDescent="0.3">
      <c r="C2545" t="s">
        <v>2292</v>
      </c>
      <c r="D2545" t="s">
        <v>2267</v>
      </c>
      <c r="E2545" t="s">
        <v>7279</v>
      </c>
      <c r="F2545" t="s">
        <v>7280</v>
      </c>
      <c r="G2545" s="425">
        <v>22356439</v>
      </c>
      <c r="H2545" s="425">
        <v>0</v>
      </c>
      <c r="I2545" s="425">
        <v>0</v>
      </c>
      <c r="J2545" s="425">
        <v>0</v>
      </c>
      <c r="K2545" s="425">
        <v>0</v>
      </c>
      <c r="L2545" s="425">
        <v>22356439</v>
      </c>
      <c r="M2545" s="425">
        <v>0</v>
      </c>
      <c r="N2545" s="425">
        <v>0</v>
      </c>
      <c r="O2545" s="425">
        <v>0</v>
      </c>
    </row>
    <row r="2546" spans="3:15" hidden="1" x14ac:dyDescent="0.3">
      <c r="C2546" t="s">
        <v>2292</v>
      </c>
      <c r="D2546" t="s">
        <v>2267</v>
      </c>
      <c r="E2546" t="s">
        <v>7281</v>
      </c>
      <c r="F2546" t="s">
        <v>7282</v>
      </c>
      <c r="G2546" s="425">
        <v>143490000</v>
      </c>
      <c r="H2546" s="425">
        <v>0</v>
      </c>
      <c r="I2546" s="425">
        <v>0</v>
      </c>
      <c r="J2546" s="425">
        <v>0</v>
      </c>
      <c r="K2546" s="425">
        <v>0</v>
      </c>
      <c r="L2546" s="425">
        <v>143490000</v>
      </c>
      <c r="M2546" s="425">
        <v>0</v>
      </c>
      <c r="N2546" s="425">
        <v>0</v>
      </c>
      <c r="O2546" s="425">
        <v>0</v>
      </c>
    </row>
    <row r="2547" spans="3:15" hidden="1" x14ac:dyDescent="0.3">
      <c r="C2547" t="s">
        <v>2292</v>
      </c>
      <c r="D2547" t="s">
        <v>2267</v>
      </c>
      <c r="E2547" t="s">
        <v>7283</v>
      </c>
      <c r="F2547" t="s">
        <v>7284</v>
      </c>
      <c r="G2547" s="425">
        <v>0</v>
      </c>
      <c r="H2547" s="425">
        <v>0</v>
      </c>
      <c r="I2547" s="425">
        <v>0</v>
      </c>
      <c r="J2547" s="425">
        <v>0</v>
      </c>
      <c r="K2547" s="425">
        <v>0</v>
      </c>
      <c r="L2547" s="425">
        <v>0</v>
      </c>
      <c r="M2547" s="425">
        <v>0</v>
      </c>
      <c r="N2547" s="425">
        <v>0</v>
      </c>
      <c r="O2547" s="425">
        <v>0</v>
      </c>
    </row>
    <row r="2548" spans="3:15" hidden="1" x14ac:dyDescent="0.3">
      <c r="C2548" t="s">
        <v>2292</v>
      </c>
      <c r="D2548" t="s">
        <v>2267</v>
      </c>
      <c r="E2548" t="s">
        <v>7285</v>
      </c>
      <c r="F2548" t="s">
        <v>7286</v>
      </c>
      <c r="G2548" s="425">
        <v>4006243</v>
      </c>
      <c r="H2548" s="425">
        <v>0</v>
      </c>
      <c r="I2548" s="425">
        <v>0</v>
      </c>
      <c r="J2548" s="425">
        <v>0</v>
      </c>
      <c r="K2548" s="425">
        <v>0</v>
      </c>
      <c r="L2548" s="425">
        <v>4006243</v>
      </c>
      <c r="M2548" s="425">
        <v>0</v>
      </c>
      <c r="N2548" s="425">
        <v>0</v>
      </c>
      <c r="O2548" s="425">
        <v>0</v>
      </c>
    </row>
    <row r="2549" spans="3:15" hidden="1" x14ac:dyDescent="0.3">
      <c r="C2549" t="s">
        <v>2292</v>
      </c>
      <c r="D2549" t="s">
        <v>2267</v>
      </c>
      <c r="E2549" t="s">
        <v>7287</v>
      </c>
      <c r="F2549" t="s">
        <v>7288</v>
      </c>
      <c r="G2549" s="425">
        <v>0</v>
      </c>
      <c r="H2549" s="425">
        <v>0</v>
      </c>
      <c r="I2549" s="425">
        <v>0</v>
      </c>
      <c r="J2549" s="425">
        <v>0</v>
      </c>
      <c r="K2549" s="425">
        <v>0</v>
      </c>
      <c r="L2549" s="425">
        <v>0</v>
      </c>
      <c r="M2549" s="425">
        <v>0</v>
      </c>
      <c r="N2549" s="425">
        <v>0</v>
      </c>
      <c r="O2549" s="425">
        <v>0</v>
      </c>
    </row>
    <row r="2550" spans="3:15" hidden="1" x14ac:dyDescent="0.3">
      <c r="C2550" t="s">
        <v>2292</v>
      </c>
      <c r="D2550" t="s">
        <v>2267</v>
      </c>
      <c r="E2550" t="s">
        <v>7289</v>
      </c>
      <c r="F2550" t="s">
        <v>7290</v>
      </c>
      <c r="G2550" s="425">
        <v>660000</v>
      </c>
      <c r="H2550" s="425">
        <v>0</v>
      </c>
      <c r="I2550" s="425">
        <v>0</v>
      </c>
      <c r="J2550" s="425">
        <v>0</v>
      </c>
      <c r="K2550" s="425">
        <v>0</v>
      </c>
      <c r="L2550" s="425">
        <v>660000</v>
      </c>
      <c r="M2550" s="425">
        <v>0</v>
      </c>
      <c r="N2550" s="425">
        <v>0</v>
      </c>
      <c r="O2550" s="425">
        <v>0</v>
      </c>
    </row>
    <row r="2551" spans="3:15" hidden="1" x14ac:dyDescent="0.3">
      <c r="C2551" t="s">
        <v>2292</v>
      </c>
      <c r="D2551" t="s">
        <v>2267</v>
      </c>
      <c r="E2551" t="s">
        <v>7291</v>
      </c>
      <c r="F2551" t="s">
        <v>7292</v>
      </c>
      <c r="G2551" s="425">
        <v>214884252</v>
      </c>
      <c r="H2551" s="425">
        <v>0</v>
      </c>
      <c r="I2551" s="425">
        <v>0</v>
      </c>
      <c r="J2551" s="425">
        <v>0</v>
      </c>
      <c r="K2551" s="425">
        <v>0</v>
      </c>
      <c r="L2551" s="425">
        <v>214884252</v>
      </c>
      <c r="M2551" s="425">
        <v>0</v>
      </c>
      <c r="N2551" s="425">
        <v>0</v>
      </c>
      <c r="O2551" s="425">
        <v>0</v>
      </c>
    </row>
    <row r="2552" spans="3:15" hidden="1" x14ac:dyDescent="0.3">
      <c r="C2552" t="s">
        <v>2292</v>
      </c>
      <c r="D2552" t="s">
        <v>2267</v>
      </c>
      <c r="E2552" t="s">
        <v>7293</v>
      </c>
      <c r="F2552" t="s">
        <v>7294</v>
      </c>
      <c r="G2552" s="425">
        <v>1886388150</v>
      </c>
      <c r="H2552" s="425">
        <v>0</v>
      </c>
      <c r="I2552" s="425">
        <v>0</v>
      </c>
      <c r="J2552" s="425">
        <v>0</v>
      </c>
      <c r="K2552" s="425">
        <v>0</v>
      </c>
      <c r="L2552" s="425">
        <v>1886388150</v>
      </c>
      <c r="M2552" s="425">
        <v>0</v>
      </c>
      <c r="N2552" s="425">
        <v>0</v>
      </c>
      <c r="O2552" s="425">
        <v>0</v>
      </c>
    </row>
    <row r="2553" spans="3:15" hidden="1" x14ac:dyDescent="0.3">
      <c r="C2553" t="s">
        <v>2292</v>
      </c>
      <c r="D2553" t="s">
        <v>2267</v>
      </c>
      <c r="E2553" t="s">
        <v>7295</v>
      </c>
      <c r="F2553" t="s">
        <v>7296</v>
      </c>
      <c r="G2553" s="425">
        <v>8345354</v>
      </c>
      <c r="H2553" s="425">
        <v>0</v>
      </c>
      <c r="I2553" s="425">
        <v>0</v>
      </c>
      <c r="J2553" s="425">
        <v>0</v>
      </c>
      <c r="K2553" s="425">
        <v>0</v>
      </c>
      <c r="L2553" s="425">
        <v>8345354</v>
      </c>
      <c r="M2553" s="425">
        <v>0</v>
      </c>
      <c r="N2553" s="425">
        <v>0</v>
      </c>
      <c r="O2553" s="425">
        <v>0</v>
      </c>
    </row>
    <row r="2554" spans="3:15" hidden="1" x14ac:dyDescent="0.3">
      <c r="C2554" t="s">
        <v>2292</v>
      </c>
      <c r="D2554" t="s">
        <v>2267</v>
      </c>
      <c r="E2554" t="s">
        <v>7297</v>
      </c>
      <c r="F2554" t="s">
        <v>7298</v>
      </c>
      <c r="G2554" s="425">
        <v>3923741633</v>
      </c>
      <c r="H2554" s="425">
        <v>0</v>
      </c>
      <c r="I2554" s="425">
        <v>0</v>
      </c>
      <c r="J2554" s="425">
        <v>0</v>
      </c>
      <c r="K2554" s="425">
        <v>0</v>
      </c>
      <c r="L2554" s="425">
        <v>3923741633</v>
      </c>
      <c r="M2554" s="425">
        <v>0</v>
      </c>
      <c r="N2554" s="425">
        <v>0</v>
      </c>
      <c r="O2554" s="425">
        <v>0</v>
      </c>
    </row>
    <row r="2555" spans="3:15" hidden="1" x14ac:dyDescent="0.3">
      <c r="C2555" t="s">
        <v>2292</v>
      </c>
      <c r="D2555" t="s">
        <v>2267</v>
      </c>
      <c r="E2555" t="s">
        <v>7299</v>
      </c>
      <c r="F2555" t="s">
        <v>7300</v>
      </c>
      <c r="G2555" s="425">
        <v>0</v>
      </c>
      <c r="H2555" s="425">
        <v>0</v>
      </c>
      <c r="I2555" s="425">
        <v>0</v>
      </c>
      <c r="J2555" s="425">
        <v>0</v>
      </c>
      <c r="K2555" s="425">
        <v>0</v>
      </c>
      <c r="L2555" s="425">
        <v>0</v>
      </c>
      <c r="M2555" s="425">
        <v>0</v>
      </c>
      <c r="N2555" s="425">
        <v>0</v>
      </c>
      <c r="O2555" s="425">
        <v>0</v>
      </c>
    </row>
    <row r="2556" spans="3:15" hidden="1" x14ac:dyDescent="0.3">
      <c r="C2556" t="s">
        <v>2292</v>
      </c>
      <c r="D2556" t="s">
        <v>2267</v>
      </c>
      <c r="E2556" t="s">
        <v>7301</v>
      </c>
      <c r="F2556" t="s">
        <v>7302</v>
      </c>
      <c r="G2556" s="425">
        <v>4097494894</v>
      </c>
      <c r="H2556" s="425">
        <v>0</v>
      </c>
      <c r="I2556" s="425">
        <v>0</v>
      </c>
      <c r="J2556" s="425">
        <v>0</v>
      </c>
      <c r="K2556" s="425">
        <v>0</v>
      </c>
      <c r="L2556" s="425">
        <v>4097494894</v>
      </c>
      <c r="M2556" s="425">
        <v>0</v>
      </c>
      <c r="N2556" s="425">
        <v>0</v>
      </c>
      <c r="O2556" s="425">
        <v>0</v>
      </c>
    </row>
    <row r="2557" spans="3:15" hidden="1" x14ac:dyDescent="0.3">
      <c r="C2557" t="s">
        <v>2292</v>
      </c>
      <c r="D2557" t="s">
        <v>2267</v>
      </c>
      <c r="E2557" t="s">
        <v>7303</v>
      </c>
      <c r="F2557" t="s">
        <v>7304</v>
      </c>
      <c r="G2557" s="425">
        <v>0</v>
      </c>
      <c r="H2557" s="425">
        <v>0</v>
      </c>
      <c r="I2557" s="425">
        <v>0</v>
      </c>
      <c r="J2557" s="425">
        <v>0</v>
      </c>
      <c r="K2557" s="425">
        <v>0</v>
      </c>
      <c r="L2557" s="425">
        <v>0</v>
      </c>
      <c r="M2557" s="425">
        <v>0</v>
      </c>
      <c r="N2557" s="425">
        <v>0</v>
      </c>
      <c r="O2557" s="425">
        <v>0</v>
      </c>
    </row>
    <row r="2558" spans="3:15" hidden="1" x14ac:dyDescent="0.3">
      <c r="C2558" t="s">
        <v>2292</v>
      </c>
      <c r="D2558" t="s">
        <v>2267</v>
      </c>
      <c r="E2558" t="s">
        <v>7305</v>
      </c>
      <c r="F2558" t="s">
        <v>7306</v>
      </c>
      <c r="G2558" s="425">
        <v>200000</v>
      </c>
      <c r="H2558" s="425">
        <v>0</v>
      </c>
      <c r="I2558" s="425">
        <v>0</v>
      </c>
      <c r="J2558" s="425">
        <v>0</v>
      </c>
      <c r="K2558" s="425">
        <v>200000</v>
      </c>
      <c r="L2558" s="425">
        <v>0</v>
      </c>
      <c r="M2558" s="425">
        <v>0</v>
      </c>
      <c r="N2558" s="425">
        <v>0</v>
      </c>
      <c r="O2558" s="425">
        <v>0</v>
      </c>
    </row>
    <row r="2559" spans="3:15" hidden="1" x14ac:dyDescent="0.3">
      <c r="C2559" t="s">
        <v>2292</v>
      </c>
      <c r="D2559" t="s">
        <v>2267</v>
      </c>
      <c r="E2559" t="s">
        <v>7307</v>
      </c>
      <c r="F2559" t="s">
        <v>7308</v>
      </c>
      <c r="G2559" s="425">
        <v>1567955</v>
      </c>
      <c r="H2559" s="425">
        <v>0</v>
      </c>
      <c r="I2559" s="425">
        <v>0</v>
      </c>
      <c r="J2559" s="425">
        <v>0</v>
      </c>
      <c r="K2559" s="425">
        <v>0</v>
      </c>
      <c r="L2559" s="425">
        <v>1567955</v>
      </c>
      <c r="M2559" s="425">
        <v>0</v>
      </c>
      <c r="N2559" s="425">
        <v>0</v>
      </c>
      <c r="O2559" s="425">
        <v>0</v>
      </c>
    </row>
    <row r="2560" spans="3:15" hidden="1" x14ac:dyDescent="0.3">
      <c r="C2560" t="s">
        <v>2292</v>
      </c>
      <c r="D2560" t="s">
        <v>2267</v>
      </c>
      <c r="E2560" t="s">
        <v>7309</v>
      </c>
      <c r="F2560" t="s">
        <v>7310</v>
      </c>
      <c r="G2560" s="425">
        <v>22962671296</v>
      </c>
      <c r="H2560" s="425">
        <v>0</v>
      </c>
      <c r="I2560" s="425">
        <v>0</v>
      </c>
      <c r="J2560" s="425">
        <v>0</v>
      </c>
      <c r="K2560" s="425">
        <v>0</v>
      </c>
      <c r="L2560" s="425">
        <v>22962671296</v>
      </c>
      <c r="M2560" s="425">
        <v>0</v>
      </c>
      <c r="N2560" s="425">
        <v>0</v>
      </c>
      <c r="O2560" s="425">
        <v>0</v>
      </c>
    </row>
    <row r="2561" spans="1:15" hidden="1" x14ac:dyDescent="0.3">
      <c r="C2561" t="s">
        <v>2292</v>
      </c>
      <c r="D2561" t="s">
        <v>2267</v>
      </c>
      <c r="E2561" t="s">
        <v>7311</v>
      </c>
      <c r="F2561" t="s">
        <v>7312</v>
      </c>
      <c r="G2561" s="425">
        <v>0</v>
      </c>
      <c r="H2561" s="425">
        <v>0</v>
      </c>
      <c r="I2561" s="425">
        <v>0</v>
      </c>
      <c r="J2561" s="425">
        <v>0</v>
      </c>
      <c r="K2561" s="425">
        <v>0</v>
      </c>
      <c r="L2561" s="425">
        <v>0</v>
      </c>
      <c r="M2561" s="425">
        <v>0</v>
      </c>
      <c r="N2561" s="425">
        <v>0</v>
      </c>
      <c r="O2561" s="425">
        <v>0</v>
      </c>
    </row>
    <row r="2562" spans="1:15" hidden="1" x14ac:dyDescent="0.3">
      <c r="C2562" t="s">
        <v>2266</v>
      </c>
      <c r="D2562" t="s">
        <v>2237</v>
      </c>
      <c r="E2562" t="s">
        <v>7313</v>
      </c>
      <c r="F2562" t="s">
        <v>7314</v>
      </c>
      <c r="G2562" s="425">
        <v>-42159531</v>
      </c>
      <c r="H2562" s="425">
        <v>-3916208</v>
      </c>
      <c r="I2562" s="425">
        <v>-124458</v>
      </c>
      <c r="J2562" s="425">
        <v>0</v>
      </c>
      <c r="K2562" s="425">
        <v>-524075</v>
      </c>
      <c r="L2562" s="425">
        <v>-30685515</v>
      </c>
      <c r="M2562" s="425">
        <v>0</v>
      </c>
      <c r="N2562" s="425">
        <v>-6909275</v>
      </c>
      <c r="O2562" s="425">
        <v>0</v>
      </c>
    </row>
    <row r="2563" spans="1:15" hidden="1" x14ac:dyDescent="0.3">
      <c r="C2563" t="s">
        <v>2292</v>
      </c>
      <c r="D2563" t="s">
        <v>2267</v>
      </c>
      <c r="E2563" t="s">
        <v>7315</v>
      </c>
      <c r="F2563" t="s">
        <v>7316</v>
      </c>
      <c r="G2563" s="425">
        <v>-42159531</v>
      </c>
      <c r="H2563" s="425">
        <v>-3916208</v>
      </c>
      <c r="I2563" s="425">
        <v>-124458</v>
      </c>
      <c r="J2563" s="425">
        <v>0</v>
      </c>
      <c r="K2563" s="425">
        <v>-524075</v>
      </c>
      <c r="L2563" s="425">
        <v>-30685515</v>
      </c>
      <c r="M2563" s="425">
        <v>0</v>
      </c>
      <c r="N2563" s="425">
        <v>-6909275</v>
      </c>
      <c r="O2563" s="425">
        <v>0</v>
      </c>
    </row>
    <row r="2564" spans="1:15" hidden="1" x14ac:dyDescent="0.3">
      <c r="A2564" s="233"/>
      <c r="B2564" s="235" t="s">
        <v>92</v>
      </c>
      <c r="C2564" t="s">
        <v>2263</v>
      </c>
      <c r="D2564" t="s">
        <v>2237</v>
      </c>
      <c r="E2564" t="s">
        <v>7317</v>
      </c>
      <c r="F2564" t="s">
        <v>7318</v>
      </c>
      <c r="G2564" s="425">
        <v>133804208894</v>
      </c>
      <c r="H2564" s="425">
        <v>96576178967</v>
      </c>
      <c r="I2564" s="425">
        <v>20742029535</v>
      </c>
      <c r="J2564" s="425">
        <v>0</v>
      </c>
      <c r="K2564" s="425">
        <v>3920954899</v>
      </c>
      <c r="L2564" s="425">
        <v>627433003</v>
      </c>
      <c r="M2564" s="425">
        <v>10401385643</v>
      </c>
      <c r="N2564" s="425">
        <v>1536226847</v>
      </c>
      <c r="O2564" s="425">
        <v>0</v>
      </c>
    </row>
    <row r="2565" spans="1:15" hidden="1" x14ac:dyDescent="0.3">
      <c r="C2565" t="s">
        <v>2266</v>
      </c>
      <c r="D2565" t="s">
        <v>2237</v>
      </c>
      <c r="E2565" t="s">
        <v>7319</v>
      </c>
      <c r="F2565" t="s">
        <v>7320</v>
      </c>
      <c r="G2565" s="425">
        <v>148020171094</v>
      </c>
      <c r="H2565" s="425">
        <v>97963456373</v>
      </c>
      <c r="I2565" s="425">
        <v>21225336345</v>
      </c>
      <c r="J2565" s="425">
        <v>0</v>
      </c>
      <c r="K2565" s="425">
        <v>3924336946</v>
      </c>
      <c r="L2565" s="425">
        <v>627751871</v>
      </c>
      <c r="M2565" s="425">
        <v>22088991106</v>
      </c>
      <c r="N2565" s="425">
        <v>2190298453</v>
      </c>
      <c r="O2565" s="425">
        <v>0</v>
      </c>
    </row>
    <row r="2566" spans="1:15" hidden="1" x14ac:dyDescent="0.3">
      <c r="C2566" t="s">
        <v>2292</v>
      </c>
      <c r="D2566" t="s">
        <v>2267</v>
      </c>
      <c r="E2566" t="s">
        <v>7321</v>
      </c>
      <c r="F2566" t="s">
        <v>7322</v>
      </c>
      <c r="G2566" s="425">
        <v>138773067725</v>
      </c>
      <c r="H2566" s="425">
        <v>94592087499</v>
      </c>
      <c r="I2566" s="425">
        <v>19061430560</v>
      </c>
      <c r="J2566" s="425">
        <v>0</v>
      </c>
      <c r="K2566" s="425">
        <v>3465434838</v>
      </c>
      <c r="L2566" s="425">
        <v>34838686</v>
      </c>
      <c r="M2566" s="425">
        <v>19855810110</v>
      </c>
      <c r="N2566" s="425">
        <v>1763466032</v>
      </c>
      <c r="O2566" s="425">
        <v>0</v>
      </c>
    </row>
    <row r="2567" spans="1:15" hidden="1" x14ac:dyDescent="0.3">
      <c r="C2567" t="s">
        <v>2292</v>
      </c>
      <c r="D2567" t="s">
        <v>2267</v>
      </c>
      <c r="E2567" t="s">
        <v>7323</v>
      </c>
      <c r="F2567" t="s">
        <v>7324</v>
      </c>
      <c r="G2567" s="425">
        <v>5253990077</v>
      </c>
      <c r="H2567" s="425">
        <v>599413329</v>
      </c>
      <c r="I2567" s="425">
        <v>2069562135</v>
      </c>
      <c r="J2567" s="425">
        <v>0</v>
      </c>
      <c r="K2567" s="425">
        <v>351833617</v>
      </c>
      <c r="L2567" s="425">
        <v>0</v>
      </c>
      <c r="M2567" s="425">
        <v>2233180996</v>
      </c>
      <c r="N2567" s="425">
        <v>0</v>
      </c>
      <c r="O2567" s="425">
        <v>0</v>
      </c>
    </row>
    <row r="2568" spans="1:15" hidden="1" x14ac:dyDescent="0.3">
      <c r="C2568" t="s">
        <v>2292</v>
      </c>
      <c r="D2568" t="s">
        <v>2267</v>
      </c>
      <c r="E2568" t="s">
        <v>7325</v>
      </c>
      <c r="F2568" t="s">
        <v>7326</v>
      </c>
      <c r="G2568" s="425">
        <v>0</v>
      </c>
      <c r="H2568" s="425">
        <v>0</v>
      </c>
      <c r="I2568" s="425">
        <v>0</v>
      </c>
      <c r="J2568" s="425">
        <v>0</v>
      </c>
      <c r="K2568" s="425">
        <v>0</v>
      </c>
      <c r="L2568" s="425">
        <v>0</v>
      </c>
      <c r="M2568" s="425">
        <v>0</v>
      </c>
      <c r="N2568" s="425">
        <v>0</v>
      </c>
      <c r="O2568" s="425">
        <v>0</v>
      </c>
    </row>
    <row r="2569" spans="1:15" hidden="1" x14ac:dyDescent="0.3">
      <c r="C2569" t="s">
        <v>2292</v>
      </c>
      <c r="D2569" t="s">
        <v>2267</v>
      </c>
      <c r="E2569" t="s">
        <v>7327</v>
      </c>
      <c r="F2569" t="s">
        <v>7328</v>
      </c>
      <c r="G2569" s="425">
        <v>1735301024</v>
      </c>
      <c r="H2569" s="425">
        <v>1735301024</v>
      </c>
      <c r="I2569" s="425">
        <v>0</v>
      </c>
      <c r="J2569" s="425">
        <v>0</v>
      </c>
      <c r="K2569" s="425">
        <v>0</v>
      </c>
      <c r="L2569" s="425">
        <v>0</v>
      </c>
      <c r="M2569" s="425">
        <v>0</v>
      </c>
      <c r="N2569" s="425">
        <v>0</v>
      </c>
      <c r="O2569" s="425">
        <v>0</v>
      </c>
    </row>
    <row r="2570" spans="1:15" hidden="1" x14ac:dyDescent="0.3">
      <c r="C2570" t="s">
        <v>2292</v>
      </c>
      <c r="D2570" t="s">
        <v>2267</v>
      </c>
      <c r="E2570" t="s">
        <v>7329</v>
      </c>
      <c r="F2570" t="s">
        <v>7330</v>
      </c>
      <c r="G2570" s="425">
        <v>0</v>
      </c>
      <c r="H2570" s="425">
        <v>0</v>
      </c>
      <c r="I2570" s="425">
        <v>0</v>
      </c>
      <c r="J2570" s="425">
        <v>0</v>
      </c>
      <c r="K2570" s="425">
        <v>0</v>
      </c>
      <c r="L2570" s="425">
        <v>0</v>
      </c>
      <c r="M2570" s="425">
        <v>0</v>
      </c>
      <c r="N2570" s="425">
        <v>0</v>
      </c>
      <c r="O2570" s="425">
        <v>0</v>
      </c>
    </row>
    <row r="2571" spans="1:15" hidden="1" x14ac:dyDescent="0.3">
      <c r="C2571" t="s">
        <v>2292</v>
      </c>
      <c r="D2571" t="s">
        <v>2267</v>
      </c>
      <c r="E2571" t="s">
        <v>7331</v>
      </c>
      <c r="F2571" t="s">
        <v>7332</v>
      </c>
      <c r="G2571" s="425">
        <v>0</v>
      </c>
      <c r="H2571" s="425">
        <v>0</v>
      </c>
      <c r="I2571" s="425">
        <v>0</v>
      </c>
      <c r="J2571" s="425">
        <v>0</v>
      </c>
      <c r="K2571" s="425">
        <v>0</v>
      </c>
      <c r="L2571" s="425">
        <v>0</v>
      </c>
      <c r="M2571" s="425">
        <v>0</v>
      </c>
      <c r="N2571" s="425">
        <v>0</v>
      </c>
      <c r="O2571" s="425">
        <v>0</v>
      </c>
    </row>
    <row r="2572" spans="1:15" hidden="1" x14ac:dyDescent="0.3">
      <c r="C2572" t="s">
        <v>2292</v>
      </c>
      <c r="D2572" t="s">
        <v>2267</v>
      </c>
      <c r="E2572" t="s">
        <v>7333</v>
      </c>
      <c r="F2572" t="s">
        <v>7334</v>
      </c>
      <c r="G2572" s="425">
        <v>342872</v>
      </c>
      <c r="H2572" s="425">
        <v>0</v>
      </c>
      <c r="I2572" s="425">
        <v>0</v>
      </c>
      <c r="J2572" s="425">
        <v>0</v>
      </c>
      <c r="K2572" s="425">
        <v>342872</v>
      </c>
      <c r="L2572" s="425">
        <v>0</v>
      </c>
      <c r="M2572" s="425">
        <v>0</v>
      </c>
      <c r="N2572" s="425">
        <v>0</v>
      </c>
      <c r="O2572" s="425">
        <v>0</v>
      </c>
    </row>
    <row r="2573" spans="1:15" hidden="1" x14ac:dyDescent="0.3">
      <c r="C2573" t="s">
        <v>2292</v>
      </c>
      <c r="D2573" t="s">
        <v>2267</v>
      </c>
      <c r="E2573" t="s">
        <v>7335</v>
      </c>
      <c r="F2573" t="s">
        <v>7336</v>
      </c>
      <c r="G2573" s="425">
        <v>0</v>
      </c>
      <c r="H2573" s="425">
        <v>0</v>
      </c>
      <c r="I2573" s="425">
        <v>0</v>
      </c>
      <c r="J2573" s="425">
        <v>0</v>
      </c>
      <c r="K2573" s="425">
        <v>0</v>
      </c>
      <c r="L2573" s="425">
        <v>0</v>
      </c>
      <c r="M2573" s="425">
        <v>0</v>
      </c>
      <c r="N2573" s="425">
        <v>0</v>
      </c>
      <c r="O2573" s="425">
        <v>0</v>
      </c>
    </row>
    <row r="2574" spans="1:15" hidden="1" x14ac:dyDescent="0.3">
      <c r="C2574" t="s">
        <v>2292</v>
      </c>
      <c r="D2574" t="s">
        <v>2267</v>
      </c>
      <c r="E2574" t="s">
        <v>7337</v>
      </c>
      <c r="F2574" t="s">
        <v>7338</v>
      </c>
      <c r="G2574" s="425">
        <v>0</v>
      </c>
      <c r="H2574" s="425">
        <v>0</v>
      </c>
      <c r="I2574" s="425">
        <v>0</v>
      </c>
      <c r="J2574" s="425">
        <v>0</v>
      </c>
      <c r="K2574" s="425">
        <v>0</v>
      </c>
      <c r="L2574" s="425">
        <v>0</v>
      </c>
      <c r="M2574" s="425">
        <v>0</v>
      </c>
      <c r="N2574" s="425">
        <v>0</v>
      </c>
      <c r="O2574" s="425">
        <v>0</v>
      </c>
    </row>
    <row r="2575" spans="1:15" hidden="1" x14ac:dyDescent="0.3">
      <c r="C2575" t="s">
        <v>2292</v>
      </c>
      <c r="D2575" t="s">
        <v>2267</v>
      </c>
      <c r="E2575" t="s">
        <v>7339</v>
      </c>
      <c r="F2575" t="s">
        <v>7340</v>
      </c>
      <c r="G2575" s="425">
        <v>3000000</v>
      </c>
      <c r="H2575" s="425">
        <v>0</v>
      </c>
      <c r="I2575" s="425">
        <v>0</v>
      </c>
      <c r="J2575" s="425">
        <v>0</v>
      </c>
      <c r="K2575" s="425">
        <v>3000000</v>
      </c>
      <c r="L2575" s="425">
        <v>0</v>
      </c>
      <c r="M2575" s="425">
        <v>0</v>
      </c>
      <c r="N2575" s="425">
        <v>0</v>
      </c>
      <c r="O2575" s="425">
        <v>0</v>
      </c>
    </row>
    <row r="2576" spans="1:15" hidden="1" x14ac:dyDescent="0.3">
      <c r="C2576" t="s">
        <v>2292</v>
      </c>
      <c r="D2576" t="s">
        <v>2267</v>
      </c>
      <c r="E2576" t="s">
        <v>7341</v>
      </c>
      <c r="F2576" t="s">
        <v>7342</v>
      </c>
      <c r="G2576" s="425">
        <v>1249097426</v>
      </c>
      <c r="H2576" s="425">
        <v>939546035</v>
      </c>
      <c r="I2576" s="425">
        <v>82637132</v>
      </c>
      <c r="J2576" s="425">
        <v>0</v>
      </c>
      <c r="K2576" s="425">
        <v>0</v>
      </c>
      <c r="L2576" s="425">
        <v>226914259</v>
      </c>
      <c r="M2576" s="425">
        <v>0</v>
      </c>
      <c r="N2576" s="425">
        <v>0</v>
      </c>
      <c r="O2576" s="425">
        <v>0</v>
      </c>
    </row>
    <row r="2577" spans="3:15" hidden="1" x14ac:dyDescent="0.3">
      <c r="C2577" t="s">
        <v>2292</v>
      </c>
      <c r="D2577" t="s">
        <v>2267</v>
      </c>
      <c r="E2577" t="s">
        <v>7343</v>
      </c>
      <c r="F2577" t="s">
        <v>7344</v>
      </c>
      <c r="G2577" s="425">
        <v>323170</v>
      </c>
      <c r="H2577" s="425">
        <v>0</v>
      </c>
      <c r="I2577" s="425">
        <v>0</v>
      </c>
      <c r="J2577" s="425">
        <v>0</v>
      </c>
      <c r="K2577" s="425">
        <v>0</v>
      </c>
      <c r="L2577" s="425">
        <v>323170</v>
      </c>
      <c r="M2577" s="425">
        <v>0</v>
      </c>
      <c r="N2577" s="425">
        <v>0</v>
      </c>
      <c r="O2577" s="425">
        <v>0</v>
      </c>
    </row>
    <row r="2578" spans="3:15" hidden="1" x14ac:dyDescent="0.3">
      <c r="C2578" t="s">
        <v>2292</v>
      </c>
      <c r="D2578" t="s">
        <v>2267</v>
      </c>
      <c r="E2578" t="s">
        <v>7345</v>
      </c>
      <c r="F2578" t="s">
        <v>7346</v>
      </c>
      <c r="G2578" s="425">
        <v>171003978</v>
      </c>
      <c r="H2578" s="425">
        <v>0</v>
      </c>
      <c r="I2578" s="425">
        <v>0</v>
      </c>
      <c r="J2578" s="425">
        <v>0</v>
      </c>
      <c r="K2578" s="425">
        <v>0</v>
      </c>
      <c r="L2578" s="425">
        <v>171003978</v>
      </c>
      <c r="M2578" s="425">
        <v>0</v>
      </c>
      <c r="N2578" s="425">
        <v>0</v>
      </c>
      <c r="O2578" s="425">
        <v>0</v>
      </c>
    </row>
    <row r="2579" spans="3:15" hidden="1" x14ac:dyDescent="0.3">
      <c r="C2579" t="s">
        <v>2292</v>
      </c>
      <c r="D2579" t="s">
        <v>2267</v>
      </c>
      <c r="E2579" t="s">
        <v>7347</v>
      </c>
      <c r="F2579" t="s">
        <v>7348</v>
      </c>
      <c r="G2579" s="425">
        <v>0</v>
      </c>
      <c r="H2579" s="425">
        <v>0</v>
      </c>
      <c r="I2579" s="425">
        <v>0</v>
      </c>
      <c r="J2579" s="425">
        <v>0</v>
      </c>
      <c r="K2579" s="425">
        <v>0</v>
      </c>
      <c r="L2579" s="425">
        <v>0</v>
      </c>
      <c r="M2579" s="425">
        <v>0</v>
      </c>
      <c r="N2579" s="425">
        <v>0</v>
      </c>
      <c r="O2579" s="425">
        <v>0</v>
      </c>
    </row>
    <row r="2580" spans="3:15" hidden="1" x14ac:dyDescent="0.3">
      <c r="C2580" t="s">
        <v>2292</v>
      </c>
      <c r="D2580" t="s">
        <v>2267</v>
      </c>
      <c r="E2580" t="s">
        <v>7349</v>
      </c>
      <c r="F2580" t="s">
        <v>7350</v>
      </c>
      <c r="G2580" s="425">
        <v>0</v>
      </c>
      <c r="H2580" s="425">
        <v>0</v>
      </c>
      <c r="I2580" s="425">
        <v>0</v>
      </c>
      <c r="J2580" s="425">
        <v>0</v>
      </c>
      <c r="K2580" s="425">
        <v>0</v>
      </c>
      <c r="L2580" s="425">
        <v>0</v>
      </c>
      <c r="M2580" s="425">
        <v>0</v>
      </c>
      <c r="N2580" s="425">
        <v>0</v>
      </c>
      <c r="O2580" s="425">
        <v>0</v>
      </c>
    </row>
    <row r="2581" spans="3:15" hidden="1" x14ac:dyDescent="0.3">
      <c r="C2581" t="s">
        <v>2292</v>
      </c>
      <c r="D2581" t="s">
        <v>2267</v>
      </c>
      <c r="E2581" t="s">
        <v>7351</v>
      </c>
      <c r="F2581" t="s">
        <v>7352</v>
      </c>
      <c r="G2581" s="425">
        <v>708826</v>
      </c>
      <c r="H2581" s="425">
        <v>0</v>
      </c>
      <c r="I2581" s="425">
        <v>0</v>
      </c>
      <c r="J2581" s="425">
        <v>0</v>
      </c>
      <c r="K2581" s="425">
        <v>0</v>
      </c>
      <c r="L2581" s="425">
        <v>708826</v>
      </c>
      <c r="M2581" s="425">
        <v>0</v>
      </c>
      <c r="N2581" s="425">
        <v>0</v>
      </c>
      <c r="O2581" s="425">
        <v>0</v>
      </c>
    </row>
    <row r="2582" spans="3:15" hidden="1" x14ac:dyDescent="0.3">
      <c r="C2582" t="s">
        <v>2292</v>
      </c>
      <c r="D2582" t="s">
        <v>2267</v>
      </c>
      <c r="E2582" t="s">
        <v>7353</v>
      </c>
      <c r="F2582" t="s">
        <v>7354</v>
      </c>
      <c r="G2582" s="425">
        <v>3300</v>
      </c>
      <c r="H2582" s="425">
        <v>0</v>
      </c>
      <c r="I2582" s="425">
        <v>0</v>
      </c>
      <c r="J2582" s="425">
        <v>0</v>
      </c>
      <c r="K2582" s="425">
        <v>0</v>
      </c>
      <c r="L2582" s="425">
        <v>3300</v>
      </c>
      <c r="M2582" s="425">
        <v>0</v>
      </c>
      <c r="N2582" s="425">
        <v>0</v>
      </c>
      <c r="O2582" s="425">
        <v>0</v>
      </c>
    </row>
    <row r="2583" spans="3:15" hidden="1" x14ac:dyDescent="0.3">
      <c r="C2583" t="s">
        <v>2292</v>
      </c>
      <c r="D2583" t="s">
        <v>2267</v>
      </c>
      <c r="E2583" t="s">
        <v>7355</v>
      </c>
      <c r="F2583" t="s">
        <v>7356</v>
      </c>
      <c r="G2583" s="425">
        <v>0</v>
      </c>
      <c r="H2583" s="425">
        <v>0</v>
      </c>
      <c r="I2583" s="425">
        <v>0</v>
      </c>
      <c r="J2583" s="425">
        <v>0</v>
      </c>
      <c r="K2583" s="425">
        <v>0</v>
      </c>
      <c r="L2583" s="425">
        <v>0</v>
      </c>
      <c r="M2583" s="425">
        <v>0</v>
      </c>
      <c r="N2583" s="425">
        <v>0</v>
      </c>
      <c r="O2583" s="425">
        <v>0</v>
      </c>
    </row>
    <row r="2584" spans="3:15" hidden="1" x14ac:dyDescent="0.3">
      <c r="C2584" t="s">
        <v>2292</v>
      </c>
      <c r="D2584" t="s">
        <v>2267</v>
      </c>
      <c r="E2584" t="s">
        <v>7357</v>
      </c>
      <c r="F2584" t="s">
        <v>7358</v>
      </c>
      <c r="G2584" s="425">
        <v>0</v>
      </c>
      <c r="H2584" s="425">
        <v>0</v>
      </c>
      <c r="I2584" s="425">
        <v>0</v>
      </c>
      <c r="J2584" s="425">
        <v>0</v>
      </c>
      <c r="K2584" s="425">
        <v>0</v>
      </c>
      <c r="L2584" s="425">
        <v>0</v>
      </c>
      <c r="M2584" s="425">
        <v>0</v>
      </c>
      <c r="N2584" s="425">
        <v>0</v>
      </c>
      <c r="O2584" s="425">
        <v>0</v>
      </c>
    </row>
    <row r="2585" spans="3:15" hidden="1" x14ac:dyDescent="0.3">
      <c r="C2585" t="s">
        <v>2292</v>
      </c>
      <c r="D2585" t="s">
        <v>2267</v>
      </c>
      <c r="E2585" t="s">
        <v>7359</v>
      </c>
      <c r="F2585" t="s">
        <v>7360</v>
      </c>
      <c r="G2585" s="425">
        <v>3845969</v>
      </c>
      <c r="H2585" s="425">
        <v>0</v>
      </c>
      <c r="I2585" s="425">
        <v>0</v>
      </c>
      <c r="J2585" s="425">
        <v>0</v>
      </c>
      <c r="K2585" s="425">
        <v>0</v>
      </c>
      <c r="L2585" s="425">
        <v>3845969</v>
      </c>
      <c r="M2585" s="425">
        <v>0</v>
      </c>
      <c r="N2585" s="425">
        <v>0</v>
      </c>
      <c r="O2585" s="425">
        <v>0</v>
      </c>
    </row>
    <row r="2586" spans="3:15" hidden="1" x14ac:dyDescent="0.3">
      <c r="C2586" t="s">
        <v>2292</v>
      </c>
      <c r="D2586" t="s">
        <v>2267</v>
      </c>
      <c r="E2586" t="s">
        <v>7361</v>
      </c>
      <c r="F2586" t="s">
        <v>7362</v>
      </c>
      <c r="G2586" s="425">
        <v>136113799</v>
      </c>
      <c r="H2586" s="425">
        <v>0</v>
      </c>
      <c r="I2586" s="425">
        <v>0</v>
      </c>
      <c r="J2586" s="425">
        <v>0</v>
      </c>
      <c r="K2586" s="425">
        <v>100443526</v>
      </c>
      <c r="L2586" s="425">
        <v>35670273</v>
      </c>
      <c r="M2586" s="425">
        <v>0</v>
      </c>
      <c r="N2586" s="425">
        <v>0</v>
      </c>
      <c r="O2586" s="425">
        <v>0</v>
      </c>
    </row>
    <row r="2587" spans="3:15" hidden="1" x14ac:dyDescent="0.3">
      <c r="C2587" t="s">
        <v>2292</v>
      </c>
      <c r="D2587" t="s">
        <v>2267</v>
      </c>
      <c r="E2587" t="s">
        <v>7363</v>
      </c>
      <c r="F2587" t="s">
        <v>7364</v>
      </c>
      <c r="G2587" s="425">
        <v>0</v>
      </c>
      <c r="H2587" s="425">
        <v>0</v>
      </c>
      <c r="I2587" s="425">
        <v>0</v>
      </c>
      <c r="J2587" s="425">
        <v>0</v>
      </c>
      <c r="K2587" s="425">
        <v>0</v>
      </c>
      <c r="L2587" s="425">
        <v>0</v>
      </c>
      <c r="M2587" s="425">
        <v>0</v>
      </c>
      <c r="N2587" s="425">
        <v>0</v>
      </c>
      <c r="O2587" s="425">
        <v>0</v>
      </c>
    </row>
    <row r="2588" spans="3:15" hidden="1" x14ac:dyDescent="0.3">
      <c r="C2588" t="s">
        <v>2292</v>
      </c>
      <c r="D2588" t="s">
        <v>2267</v>
      </c>
      <c r="E2588" t="s">
        <v>7365</v>
      </c>
      <c r="F2588" t="s">
        <v>7366</v>
      </c>
      <c r="G2588" s="425">
        <v>112097097</v>
      </c>
      <c r="H2588" s="425">
        <v>97108486</v>
      </c>
      <c r="I2588" s="425">
        <v>11706518</v>
      </c>
      <c r="J2588" s="425">
        <v>0</v>
      </c>
      <c r="K2588" s="425">
        <v>3282093</v>
      </c>
      <c r="L2588" s="425">
        <v>0</v>
      </c>
      <c r="M2588" s="425">
        <v>0</v>
      </c>
      <c r="N2588" s="425">
        <v>0</v>
      </c>
      <c r="O2588" s="425">
        <v>0</v>
      </c>
    </row>
    <row r="2589" spans="3:15" hidden="1" x14ac:dyDescent="0.3">
      <c r="C2589" t="s">
        <v>2292</v>
      </c>
      <c r="D2589" t="s">
        <v>2267</v>
      </c>
      <c r="E2589" t="s">
        <v>7367</v>
      </c>
      <c r="F2589" t="s">
        <v>7368</v>
      </c>
      <c r="G2589" s="425">
        <v>0</v>
      </c>
      <c r="H2589" s="425">
        <v>0</v>
      </c>
      <c r="I2589" s="425">
        <v>0</v>
      </c>
      <c r="J2589" s="425">
        <v>0</v>
      </c>
      <c r="K2589" s="425">
        <v>0</v>
      </c>
      <c r="L2589" s="425">
        <v>0</v>
      </c>
      <c r="M2589" s="425">
        <v>0</v>
      </c>
      <c r="N2589" s="425">
        <v>0</v>
      </c>
      <c r="O2589" s="425">
        <v>0</v>
      </c>
    </row>
    <row r="2590" spans="3:15" hidden="1" x14ac:dyDescent="0.3">
      <c r="C2590" t="s">
        <v>2292</v>
      </c>
      <c r="D2590" t="s">
        <v>2267</v>
      </c>
      <c r="E2590" t="s">
        <v>7369</v>
      </c>
      <c r="F2590" t="s">
        <v>7370</v>
      </c>
      <c r="G2590" s="425">
        <v>0</v>
      </c>
      <c r="H2590" s="425">
        <v>0</v>
      </c>
      <c r="I2590" s="425">
        <v>0</v>
      </c>
      <c r="J2590" s="425">
        <v>0</v>
      </c>
      <c r="K2590" s="425">
        <v>0</v>
      </c>
      <c r="L2590" s="425">
        <v>0</v>
      </c>
      <c r="M2590" s="425">
        <v>0</v>
      </c>
      <c r="N2590" s="425">
        <v>0</v>
      </c>
      <c r="O2590" s="425">
        <v>0</v>
      </c>
    </row>
    <row r="2591" spans="3:15" hidden="1" x14ac:dyDescent="0.3">
      <c r="C2591" t="s">
        <v>2292</v>
      </c>
      <c r="D2591" t="s">
        <v>2267</v>
      </c>
      <c r="E2591" t="s">
        <v>7371</v>
      </c>
      <c r="F2591" t="s">
        <v>7372</v>
      </c>
      <c r="G2591" s="425">
        <v>0</v>
      </c>
      <c r="H2591" s="425">
        <v>0</v>
      </c>
      <c r="I2591" s="425">
        <v>0</v>
      </c>
      <c r="J2591" s="425">
        <v>0</v>
      </c>
      <c r="K2591" s="425">
        <v>0</v>
      </c>
      <c r="L2591" s="425">
        <v>0</v>
      </c>
      <c r="M2591" s="425">
        <v>0</v>
      </c>
      <c r="N2591" s="425">
        <v>0</v>
      </c>
      <c r="O2591" s="425">
        <v>0</v>
      </c>
    </row>
    <row r="2592" spans="3:15" hidden="1" x14ac:dyDescent="0.3">
      <c r="C2592" t="s">
        <v>2292</v>
      </c>
      <c r="D2592" t="s">
        <v>2267</v>
      </c>
      <c r="E2592" t="s">
        <v>7373</v>
      </c>
      <c r="F2592" t="s">
        <v>7374</v>
      </c>
      <c r="G2592" s="425">
        <v>581275831</v>
      </c>
      <c r="H2592" s="425">
        <v>0</v>
      </c>
      <c r="I2592" s="425">
        <v>0</v>
      </c>
      <c r="J2592" s="425">
        <v>0</v>
      </c>
      <c r="K2592" s="425">
        <v>0</v>
      </c>
      <c r="L2592" s="425">
        <v>154443410</v>
      </c>
      <c r="M2592" s="425">
        <v>0</v>
      </c>
      <c r="N2592" s="425">
        <v>426832421</v>
      </c>
      <c r="O2592" s="425">
        <v>0</v>
      </c>
    </row>
    <row r="2593" spans="1:15" hidden="1" x14ac:dyDescent="0.3">
      <c r="C2593" t="s">
        <v>2266</v>
      </c>
      <c r="D2593" t="s">
        <v>2237</v>
      </c>
      <c r="E2593" t="s">
        <v>7375</v>
      </c>
      <c r="F2593" t="s">
        <v>7376</v>
      </c>
      <c r="G2593" s="425">
        <v>-14215962200</v>
      </c>
      <c r="H2593" s="425">
        <v>-1387277406</v>
      </c>
      <c r="I2593" s="425">
        <v>-483306810</v>
      </c>
      <c r="J2593" s="425">
        <v>0</v>
      </c>
      <c r="K2593" s="425">
        <v>-3382047</v>
      </c>
      <c r="L2593" s="425">
        <v>-318868</v>
      </c>
      <c r="M2593" s="425">
        <v>-11687605463</v>
      </c>
      <c r="N2593" s="425">
        <v>-654071606</v>
      </c>
      <c r="O2593" s="425">
        <v>0</v>
      </c>
    </row>
    <row r="2594" spans="1:15" hidden="1" x14ac:dyDescent="0.3">
      <c r="C2594" t="s">
        <v>2292</v>
      </c>
      <c r="D2594" t="s">
        <v>2267</v>
      </c>
      <c r="E2594" t="s">
        <v>7377</v>
      </c>
      <c r="F2594" t="s">
        <v>7378</v>
      </c>
      <c r="G2594" s="425">
        <v>-14215962200</v>
      </c>
      <c r="H2594" s="425">
        <v>-1387277406</v>
      </c>
      <c r="I2594" s="425">
        <v>-483306810</v>
      </c>
      <c r="J2594" s="425">
        <v>0</v>
      </c>
      <c r="K2594" s="425">
        <v>-3382047</v>
      </c>
      <c r="L2594" s="425">
        <v>-318868</v>
      </c>
      <c r="M2594" s="425">
        <v>-11687605463</v>
      </c>
      <c r="N2594" s="425">
        <v>-654071606</v>
      </c>
      <c r="O2594" s="425">
        <v>0</v>
      </c>
    </row>
    <row r="2595" spans="1:15" hidden="1" x14ac:dyDescent="0.3">
      <c r="A2595" s="233"/>
      <c r="B2595" s="235" t="s">
        <v>93</v>
      </c>
      <c r="C2595" t="s">
        <v>2263</v>
      </c>
      <c r="D2595" t="s">
        <v>2237</v>
      </c>
      <c r="E2595" t="s">
        <v>7379</v>
      </c>
      <c r="F2595" t="s">
        <v>7380</v>
      </c>
      <c r="G2595" s="425">
        <v>3864657468</v>
      </c>
      <c r="H2595" s="425">
        <v>0</v>
      </c>
      <c r="I2595" s="425">
        <v>274050787</v>
      </c>
      <c r="J2595" s="425">
        <v>0</v>
      </c>
      <c r="K2595" s="425">
        <v>0</v>
      </c>
      <c r="L2595" s="425">
        <v>1969980454</v>
      </c>
      <c r="M2595" s="425">
        <v>431372032</v>
      </c>
      <c r="N2595" s="425">
        <v>1189254195</v>
      </c>
      <c r="O2595" s="425">
        <v>0</v>
      </c>
    </row>
    <row r="2596" spans="1:15" hidden="1" x14ac:dyDescent="0.3">
      <c r="C2596" t="s">
        <v>2266</v>
      </c>
      <c r="D2596" t="s">
        <v>2267</v>
      </c>
      <c r="E2596" t="s">
        <v>7381</v>
      </c>
      <c r="F2596" t="s">
        <v>7382</v>
      </c>
      <c r="G2596" s="425">
        <v>1463304982</v>
      </c>
      <c r="H2596" s="425">
        <v>0</v>
      </c>
      <c r="I2596" s="425">
        <v>274050787</v>
      </c>
      <c r="J2596" s="425">
        <v>0</v>
      </c>
      <c r="K2596" s="425">
        <v>0</v>
      </c>
      <c r="L2596" s="425">
        <v>0</v>
      </c>
      <c r="M2596" s="425">
        <v>0</v>
      </c>
      <c r="N2596" s="425">
        <v>1189254195</v>
      </c>
      <c r="O2596" s="425">
        <v>0</v>
      </c>
    </row>
    <row r="2597" spans="1:15" hidden="1" x14ac:dyDescent="0.3">
      <c r="C2597" t="s">
        <v>2266</v>
      </c>
      <c r="D2597" t="s">
        <v>2267</v>
      </c>
      <c r="E2597" t="s">
        <v>7383</v>
      </c>
      <c r="F2597" t="s">
        <v>7384</v>
      </c>
      <c r="G2597" s="425">
        <v>2401352486</v>
      </c>
      <c r="H2597" s="425">
        <v>0</v>
      </c>
      <c r="I2597" s="425">
        <v>0</v>
      </c>
      <c r="J2597" s="425">
        <v>0</v>
      </c>
      <c r="K2597" s="425">
        <v>0</v>
      </c>
      <c r="L2597" s="425">
        <v>1969980454</v>
      </c>
      <c r="M2597" s="425">
        <v>431372032</v>
      </c>
      <c r="N2597" s="425">
        <v>0</v>
      </c>
      <c r="O2597" s="425">
        <v>0</v>
      </c>
    </row>
    <row r="2598" spans="1:15" hidden="1" x14ac:dyDescent="0.3">
      <c r="C2598" t="s">
        <v>2266</v>
      </c>
      <c r="D2598" t="s">
        <v>2267</v>
      </c>
      <c r="E2598" t="s">
        <v>7385</v>
      </c>
      <c r="F2598" t="s">
        <v>7386</v>
      </c>
      <c r="G2598" s="425">
        <v>0</v>
      </c>
      <c r="H2598" s="425">
        <v>0</v>
      </c>
      <c r="I2598" s="425">
        <v>0</v>
      </c>
      <c r="J2598" s="425">
        <v>0</v>
      </c>
      <c r="K2598" s="425">
        <v>0</v>
      </c>
      <c r="L2598" s="425">
        <v>0</v>
      </c>
      <c r="M2598" s="425">
        <v>0</v>
      </c>
      <c r="N2598" s="425">
        <v>0</v>
      </c>
      <c r="O2598" s="425">
        <v>0</v>
      </c>
    </row>
    <row r="2599" spans="1:15" hidden="1" x14ac:dyDescent="0.3">
      <c r="A2599" s="233"/>
      <c r="B2599" s="235" t="s">
        <v>94</v>
      </c>
      <c r="C2599" t="s">
        <v>2263</v>
      </c>
      <c r="D2599" t="s">
        <v>2237</v>
      </c>
      <c r="E2599" t="s">
        <v>7387</v>
      </c>
      <c r="F2599" t="s">
        <v>7388</v>
      </c>
      <c r="G2599" s="425">
        <v>0</v>
      </c>
      <c r="H2599" s="425">
        <v>0</v>
      </c>
      <c r="I2599" s="425">
        <v>0</v>
      </c>
      <c r="J2599" s="425">
        <v>0</v>
      </c>
      <c r="K2599" s="425">
        <v>0</v>
      </c>
      <c r="L2599" s="425">
        <v>0</v>
      </c>
      <c r="M2599" s="425">
        <v>0</v>
      </c>
      <c r="N2599" s="425">
        <v>0</v>
      </c>
      <c r="O2599" s="425">
        <v>0</v>
      </c>
    </row>
    <row r="2600" spans="1:15" hidden="1" x14ac:dyDescent="0.3">
      <c r="C2600" t="s">
        <v>2266</v>
      </c>
      <c r="D2600" t="s">
        <v>2237</v>
      </c>
      <c r="E2600" t="s">
        <v>7389</v>
      </c>
      <c r="F2600" t="s">
        <v>7390</v>
      </c>
      <c r="G2600" s="425">
        <v>0</v>
      </c>
      <c r="H2600" s="425">
        <v>0</v>
      </c>
      <c r="I2600" s="425">
        <v>0</v>
      </c>
      <c r="J2600" s="425">
        <v>0</v>
      </c>
      <c r="K2600" s="425">
        <v>0</v>
      </c>
      <c r="L2600" s="425">
        <v>0</v>
      </c>
      <c r="M2600" s="425">
        <v>0</v>
      </c>
      <c r="N2600" s="425">
        <v>0</v>
      </c>
      <c r="O2600" s="425">
        <v>0</v>
      </c>
    </row>
    <row r="2601" spans="1:15" hidden="1" x14ac:dyDescent="0.3">
      <c r="C2601" t="s">
        <v>2292</v>
      </c>
      <c r="D2601" t="s">
        <v>2267</v>
      </c>
      <c r="E2601" t="s">
        <v>7391</v>
      </c>
      <c r="F2601" t="s">
        <v>7392</v>
      </c>
      <c r="G2601" s="425">
        <v>0</v>
      </c>
      <c r="H2601" s="425">
        <v>0</v>
      </c>
      <c r="I2601" s="425">
        <v>0</v>
      </c>
      <c r="J2601" s="425">
        <v>0</v>
      </c>
      <c r="K2601" s="425">
        <v>0</v>
      </c>
      <c r="L2601" s="425">
        <v>0</v>
      </c>
      <c r="M2601" s="425">
        <v>0</v>
      </c>
      <c r="N2601" s="425">
        <v>0</v>
      </c>
      <c r="O2601" s="425">
        <v>0</v>
      </c>
    </row>
    <row r="2602" spans="1:15" hidden="1" x14ac:dyDescent="0.3">
      <c r="C2602" t="s">
        <v>2266</v>
      </c>
      <c r="D2602" t="s">
        <v>2237</v>
      </c>
      <c r="E2602" t="s">
        <v>7393</v>
      </c>
      <c r="F2602" t="s">
        <v>7394</v>
      </c>
      <c r="G2602" s="425">
        <v>0</v>
      </c>
      <c r="H2602" s="425">
        <v>0</v>
      </c>
      <c r="I2602" s="425">
        <v>0</v>
      </c>
      <c r="J2602" s="425">
        <v>0</v>
      </c>
      <c r="K2602" s="425">
        <v>0</v>
      </c>
      <c r="L2602" s="425">
        <v>0</v>
      </c>
      <c r="M2602" s="425">
        <v>0</v>
      </c>
      <c r="N2602" s="425">
        <v>0</v>
      </c>
      <c r="O2602" s="425">
        <v>0</v>
      </c>
    </row>
    <row r="2603" spans="1:15" hidden="1" x14ac:dyDescent="0.3">
      <c r="C2603" t="s">
        <v>2292</v>
      </c>
      <c r="D2603" t="s">
        <v>2267</v>
      </c>
      <c r="E2603" t="s">
        <v>7395</v>
      </c>
      <c r="F2603" t="s">
        <v>7396</v>
      </c>
      <c r="G2603" s="425">
        <v>0</v>
      </c>
      <c r="H2603" s="425">
        <v>0</v>
      </c>
      <c r="I2603" s="425">
        <v>0</v>
      </c>
      <c r="J2603" s="425">
        <v>0</v>
      </c>
      <c r="K2603" s="425">
        <v>0</v>
      </c>
      <c r="L2603" s="425">
        <v>0</v>
      </c>
      <c r="M2603" s="425">
        <v>0</v>
      </c>
      <c r="N2603" s="425">
        <v>0</v>
      </c>
      <c r="O2603" s="425">
        <v>0</v>
      </c>
    </row>
    <row r="2604" spans="1:15" hidden="1" x14ac:dyDescent="0.3">
      <c r="A2604" s="233"/>
      <c r="B2604" s="235" t="s">
        <v>95</v>
      </c>
      <c r="C2604" t="s">
        <v>2263</v>
      </c>
      <c r="D2604" t="s">
        <v>2237</v>
      </c>
      <c r="E2604" t="s">
        <v>7397</v>
      </c>
      <c r="F2604" t="s">
        <v>7398</v>
      </c>
      <c r="G2604" s="425">
        <v>0</v>
      </c>
      <c r="H2604" s="425">
        <v>0</v>
      </c>
      <c r="I2604" s="425">
        <v>0</v>
      </c>
      <c r="J2604" s="425">
        <v>0</v>
      </c>
      <c r="K2604" s="425">
        <v>0</v>
      </c>
      <c r="L2604" s="425">
        <v>0</v>
      </c>
      <c r="M2604" s="425">
        <v>0</v>
      </c>
      <c r="N2604" s="425">
        <v>0</v>
      </c>
      <c r="O2604" s="425">
        <v>0</v>
      </c>
    </row>
    <row r="2605" spans="1:15" hidden="1" x14ac:dyDescent="0.3">
      <c r="C2605" t="s">
        <v>2266</v>
      </c>
      <c r="D2605" t="s">
        <v>2267</v>
      </c>
      <c r="E2605" t="s">
        <v>7399</v>
      </c>
      <c r="F2605" t="s">
        <v>7400</v>
      </c>
      <c r="G2605" s="425">
        <v>0</v>
      </c>
      <c r="H2605" s="425">
        <v>0</v>
      </c>
      <c r="I2605" s="425">
        <v>0</v>
      </c>
      <c r="J2605" s="425">
        <v>0</v>
      </c>
      <c r="K2605" s="425">
        <v>0</v>
      </c>
      <c r="L2605" s="425">
        <v>0</v>
      </c>
      <c r="M2605" s="425">
        <v>0</v>
      </c>
      <c r="N2605" s="425">
        <v>0</v>
      </c>
      <c r="O2605" s="425">
        <v>0</v>
      </c>
    </row>
    <row r="2606" spans="1:15" hidden="1" x14ac:dyDescent="0.3">
      <c r="C2606" t="s">
        <v>2266</v>
      </c>
      <c r="D2606" t="s">
        <v>2267</v>
      </c>
      <c r="E2606" t="s">
        <v>7401</v>
      </c>
      <c r="F2606" t="s">
        <v>7402</v>
      </c>
      <c r="G2606" s="425">
        <v>0</v>
      </c>
      <c r="H2606" s="425">
        <v>0</v>
      </c>
      <c r="I2606" s="425">
        <v>0</v>
      </c>
      <c r="J2606" s="425">
        <v>0</v>
      </c>
      <c r="K2606" s="425">
        <v>0</v>
      </c>
      <c r="L2606" s="425">
        <v>0</v>
      </c>
      <c r="M2606" s="425">
        <v>0</v>
      </c>
      <c r="N2606" s="425">
        <v>0</v>
      </c>
      <c r="O2606" s="425">
        <v>0</v>
      </c>
    </row>
    <row r="2607" spans="1:15" hidden="1" x14ac:dyDescent="0.3">
      <c r="C2607" t="s">
        <v>2266</v>
      </c>
      <c r="D2607" t="s">
        <v>2267</v>
      </c>
      <c r="E2607" t="s">
        <v>7403</v>
      </c>
      <c r="F2607" t="s">
        <v>7404</v>
      </c>
      <c r="G2607" s="425">
        <v>0</v>
      </c>
      <c r="H2607" s="425">
        <v>0</v>
      </c>
      <c r="I2607" s="425">
        <v>0</v>
      </c>
      <c r="J2607" s="425">
        <v>0</v>
      </c>
      <c r="K2607" s="425">
        <v>0</v>
      </c>
      <c r="L2607" s="425">
        <v>0</v>
      </c>
      <c r="M2607" s="425">
        <v>0</v>
      </c>
      <c r="N2607" s="425">
        <v>0</v>
      </c>
      <c r="O2607" s="425">
        <v>0</v>
      </c>
    </row>
    <row r="2608" spans="1:15" hidden="1" x14ac:dyDescent="0.3">
      <c r="C2608" t="s">
        <v>2266</v>
      </c>
      <c r="D2608" t="s">
        <v>2267</v>
      </c>
      <c r="E2608" t="s">
        <v>7399</v>
      </c>
      <c r="F2608" t="s">
        <v>7405</v>
      </c>
      <c r="G2608" s="425">
        <v>0</v>
      </c>
      <c r="H2608" s="425">
        <v>0</v>
      </c>
      <c r="I2608" s="425">
        <v>0</v>
      </c>
      <c r="J2608" s="425">
        <v>0</v>
      </c>
      <c r="K2608" s="425">
        <v>0</v>
      </c>
      <c r="L2608" s="425">
        <v>0</v>
      </c>
      <c r="M2608" s="425">
        <v>0</v>
      </c>
      <c r="N2608" s="425">
        <v>0</v>
      </c>
      <c r="O2608" s="425">
        <v>0</v>
      </c>
    </row>
    <row r="2609" spans="1:15" hidden="1" x14ac:dyDescent="0.3">
      <c r="A2609" s="233"/>
      <c r="B2609" s="235" t="s">
        <v>96</v>
      </c>
      <c r="C2609" t="s">
        <v>2263</v>
      </c>
      <c r="D2609" t="s">
        <v>2237</v>
      </c>
      <c r="E2609" t="s">
        <v>7406</v>
      </c>
      <c r="F2609" t="s">
        <v>7407</v>
      </c>
      <c r="G2609" s="425">
        <v>1390274946</v>
      </c>
      <c r="H2609" s="425">
        <v>1148170</v>
      </c>
      <c r="I2609" s="425">
        <v>20025197</v>
      </c>
      <c r="J2609" s="425">
        <v>0</v>
      </c>
      <c r="K2609" s="425">
        <v>1369101579</v>
      </c>
      <c r="L2609" s="425">
        <v>0</v>
      </c>
      <c r="M2609" s="425">
        <v>0</v>
      </c>
      <c r="N2609" s="425">
        <v>0</v>
      </c>
      <c r="O2609" s="425">
        <v>0</v>
      </c>
    </row>
    <row r="2610" spans="1:15" hidden="1" x14ac:dyDescent="0.3">
      <c r="C2610" t="s">
        <v>2266</v>
      </c>
      <c r="D2610" t="s">
        <v>2267</v>
      </c>
      <c r="E2610" t="s">
        <v>7408</v>
      </c>
      <c r="F2610" t="s">
        <v>7409</v>
      </c>
      <c r="G2610" s="425">
        <v>283700</v>
      </c>
      <c r="H2610" s="425">
        <v>283700</v>
      </c>
      <c r="I2610" s="425">
        <v>0</v>
      </c>
      <c r="J2610" s="425">
        <v>0</v>
      </c>
      <c r="K2610" s="425">
        <v>0</v>
      </c>
      <c r="L2610" s="425">
        <v>0</v>
      </c>
      <c r="M2610" s="425">
        <v>0</v>
      </c>
      <c r="N2610" s="425">
        <v>0</v>
      </c>
      <c r="O2610" s="425">
        <v>0</v>
      </c>
    </row>
    <row r="2611" spans="1:15" hidden="1" x14ac:dyDescent="0.3">
      <c r="C2611" t="s">
        <v>2266</v>
      </c>
      <c r="D2611" t="s">
        <v>2267</v>
      </c>
      <c r="E2611" t="s">
        <v>7410</v>
      </c>
      <c r="F2611" t="s">
        <v>7411</v>
      </c>
      <c r="G2611" s="425">
        <v>374637780</v>
      </c>
      <c r="H2611" s="425">
        <v>-957500</v>
      </c>
      <c r="I2611" s="425">
        <v>2575600</v>
      </c>
      <c r="J2611" s="425">
        <v>0</v>
      </c>
      <c r="K2611" s="425">
        <v>373019680</v>
      </c>
      <c r="L2611" s="425">
        <v>0</v>
      </c>
      <c r="M2611" s="425">
        <v>0</v>
      </c>
      <c r="N2611" s="425">
        <v>0</v>
      </c>
      <c r="O2611" s="425">
        <v>0</v>
      </c>
    </row>
    <row r="2612" spans="1:15" hidden="1" x14ac:dyDescent="0.3">
      <c r="C2612" t="s">
        <v>2266</v>
      </c>
      <c r="D2612" t="s">
        <v>2267</v>
      </c>
      <c r="E2612" t="s">
        <v>7412</v>
      </c>
      <c r="F2612" t="s">
        <v>7413</v>
      </c>
      <c r="G2612" s="425">
        <v>288804085</v>
      </c>
      <c r="H2612" s="425">
        <v>545920</v>
      </c>
      <c r="I2612" s="425">
        <v>6184090</v>
      </c>
      <c r="J2612" s="425">
        <v>0</v>
      </c>
      <c r="K2612" s="425">
        <v>282074075</v>
      </c>
      <c r="L2612" s="425">
        <v>0</v>
      </c>
      <c r="M2612" s="425">
        <v>0</v>
      </c>
      <c r="N2612" s="425">
        <v>0</v>
      </c>
      <c r="O2612" s="425">
        <v>0</v>
      </c>
    </row>
    <row r="2613" spans="1:15" hidden="1" x14ac:dyDescent="0.3">
      <c r="C2613" t="s">
        <v>2266</v>
      </c>
      <c r="D2613" t="s">
        <v>2267</v>
      </c>
      <c r="E2613" t="s">
        <v>7414</v>
      </c>
      <c r="F2613" t="s">
        <v>7415</v>
      </c>
      <c r="G2613" s="425">
        <v>191544381</v>
      </c>
      <c r="H2613" s="425">
        <v>1276050</v>
      </c>
      <c r="I2613" s="425">
        <v>10440507</v>
      </c>
      <c r="J2613" s="425">
        <v>0</v>
      </c>
      <c r="K2613" s="425">
        <v>179827824</v>
      </c>
      <c r="L2613" s="425">
        <v>0</v>
      </c>
      <c r="M2613" s="425">
        <v>0</v>
      </c>
      <c r="N2613" s="425">
        <v>0</v>
      </c>
      <c r="O2613" s="425">
        <v>0</v>
      </c>
    </row>
    <row r="2614" spans="1:15" hidden="1" x14ac:dyDescent="0.3">
      <c r="C2614" t="s">
        <v>2266</v>
      </c>
      <c r="D2614" t="s">
        <v>2267</v>
      </c>
      <c r="E2614" t="s">
        <v>7416</v>
      </c>
      <c r="F2614" t="s">
        <v>7417</v>
      </c>
      <c r="G2614" s="425">
        <v>535005000</v>
      </c>
      <c r="H2614" s="425">
        <v>0</v>
      </c>
      <c r="I2614" s="425">
        <v>825000</v>
      </c>
      <c r="J2614" s="425">
        <v>0</v>
      </c>
      <c r="K2614" s="425">
        <v>534180000</v>
      </c>
      <c r="L2614" s="425">
        <v>0</v>
      </c>
      <c r="M2614" s="425">
        <v>0</v>
      </c>
      <c r="N2614" s="425">
        <v>0</v>
      </c>
      <c r="O2614" s="425">
        <v>0</v>
      </c>
    </row>
    <row r="2615" spans="1:15" hidden="1" x14ac:dyDescent="0.3">
      <c r="A2615" s="233"/>
      <c r="B2615" s="235" t="s">
        <v>7418</v>
      </c>
      <c r="C2615" t="s">
        <v>2263</v>
      </c>
      <c r="D2615" t="s">
        <v>2237</v>
      </c>
      <c r="E2615" t="s">
        <v>7419</v>
      </c>
      <c r="F2615" t="s">
        <v>7420</v>
      </c>
      <c r="G2615" s="425">
        <v>195543914060</v>
      </c>
      <c r="H2615" s="425">
        <v>130389733376</v>
      </c>
      <c r="I2615" s="425">
        <v>53477412627</v>
      </c>
      <c r="J2615" s="425">
        <v>0</v>
      </c>
      <c r="K2615" s="425">
        <v>0</v>
      </c>
      <c r="L2615" s="425">
        <v>50000000</v>
      </c>
      <c r="M2615" s="425">
        <v>3352427328</v>
      </c>
      <c r="N2615" s="425">
        <v>8274340729</v>
      </c>
      <c r="O2615" s="425">
        <v>0</v>
      </c>
    </row>
    <row r="2616" spans="1:15" hidden="1" x14ac:dyDescent="0.3">
      <c r="C2616" t="s">
        <v>2266</v>
      </c>
      <c r="D2616" t="s">
        <v>2267</v>
      </c>
      <c r="E2616" t="s">
        <v>7421</v>
      </c>
      <c r="F2616" t="s">
        <v>7422</v>
      </c>
      <c r="G2616" s="425">
        <v>198322691971</v>
      </c>
      <c r="H2616" s="425">
        <v>132085952425</v>
      </c>
      <c r="I2616" s="425">
        <v>54239284146</v>
      </c>
      <c r="J2616" s="425">
        <v>0</v>
      </c>
      <c r="K2616" s="425">
        <v>0</v>
      </c>
      <c r="L2616" s="425">
        <v>50000000</v>
      </c>
      <c r="M2616" s="425">
        <v>3471744000</v>
      </c>
      <c r="N2616" s="425">
        <v>8475711400</v>
      </c>
      <c r="O2616" s="425">
        <v>0</v>
      </c>
    </row>
    <row r="2617" spans="1:15" hidden="1" x14ac:dyDescent="0.3">
      <c r="C2617" t="s">
        <v>2266</v>
      </c>
      <c r="D2617" t="s">
        <v>2267</v>
      </c>
      <c r="E2617" t="s">
        <v>7423</v>
      </c>
      <c r="F2617" t="s">
        <v>7424</v>
      </c>
      <c r="G2617" s="425">
        <v>-2778777911</v>
      </c>
      <c r="H2617" s="425">
        <v>-1696219049</v>
      </c>
      <c r="I2617" s="425">
        <v>-761871519</v>
      </c>
      <c r="J2617" s="425">
        <v>0</v>
      </c>
      <c r="K2617" s="425">
        <v>0</v>
      </c>
      <c r="L2617" s="425">
        <v>0</v>
      </c>
      <c r="M2617" s="425">
        <v>-119316672</v>
      </c>
      <c r="N2617" s="425">
        <v>-201370671</v>
      </c>
      <c r="O2617" s="425">
        <v>0</v>
      </c>
    </row>
    <row r="2618" spans="1:15" hidden="1" x14ac:dyDescent="0.3">
      <c r="A2618" s="233"/>
      <c r="B2618" s="235" t="s">
        <v>97</v>
      </c>
      <c r="C2618" t="s">
        <v>2263</v>
      </c>
      <c r="D2618" t="s">
        <v>2237</v>
      </c>
      <c r="E2618" t="s">
        <v>7425</v>
      </c>
      <c r="F2618" t="s">
        <v>7426</v>
      </c>
      <c r="G2618" s="425">
        <v>590240000</v>
      </c>
      <c r="H2618" s="425">
        <v>0</v>
      </c>
      <c r="I2618" s="425">
        <v>0</v>
      </c>
      <c r="J2618" s="425">
        <v>0</v>
      </c>
      <c r="K2618" s="425">
        <v>0</v>
      </c>
      <c r="L2618" s="425">
        <v>0</v>
      </c>
      <c r="M2618" s="425">
        <v>590240000</v>
      </c>
      <c r="N2618" s="425">
        <v>0</v>
      </c>
      <c r="O2618" s="425">
        <v>0</v>
      </c>
    </row>
    <row r="2619" spans="1:15" hidden="1" x14ac:dyDescent="0.3">
      <c r="C2619" t="s">
        <v>2266</v>
      </c>
      <c r="D2619" t="s">
        <v>2267</v>
      </c>
      <c r="E2619" t="s">
        <v>7427</v>
      </c>
      <c r="F2619" t="s">
        <v>7428</v>
      </c>
      <c r="G2619" s="425">
        <v>0</v>
      </c>
      <c r="H2619" s="425">
        <v>0</v>
      </c>
      <c r="I2619" s="425">
        <v>0</v>
      </c>
      <c r="J2619" s="425">
        <v>0</v>
      </c>
      <c r="K2619" s="425">
        <v>0</v>
      </c>
      <c r="L2619" s="425">
        <v>0</v>
      </c>
      <c r="M2619" s="425">
        <v>0</v>
      </c>
      <c r="N2619" s="425">
        <v>0</v>
      </c>
      <c r="O2619" s="425">
        <v>0</v>
      </c>
    </row>
    <row r="2620" spans="1:15" hidden="1" x14ac:dyDescent="0.3">
      <c r="C2620" t="s">
        <v>2266</v>
      </c>
      <c r="D2620" t="s">
        <v>2267</v>
      </c>
      <c r="E2620" t="s">
        <v>7429</v>
      </c>
      <c r="F2620" t="s">
        <v>7430</v>
      </c>
      <c r="G2620" s="425">
        <v>590240000</v>
      </c>
      <c r="H2620" s="425">
        <v>0</v>
      </c>
      <c r="I2620" s="425">
        <v>0</v>
      </c>
      <c r="J2620" s="425">
        <v>0</v>
      </c>
      <c r="K2620" s="425">
        <v>0</v>
      </c>
      <c r="L2620" s="425">
        <v>0</v>
      </c>
      <c r="M2620" s="425">
        <v>590240000</v>
      </c>
      <c r="N2620" s="425">
        <v>0</v>
      </c>
      <c r="O2620" s="425">
        <v>0</v>
      </c>
    </row>
    <row r="2621" spans="1:15" hidden="1" x14ac:dyDescent="0.3">
      <c r="C2621" t="s">
        <v>2266</v>
      </c>
      <c r="D2621" t="s">
        <v>2267</v>
      </c>
      <c r="E2621" t="s">
        <v>7431</v>
      </c>
      <c r="F2621" t="s">
        <v>7432</v>
      </c>
      <c r="G2621" s="425">
        <v>0</v>
      </c>
      <c r="H2621" s="425">
        <v>0</v>
      </c>
      <c r="I2621" s="425">
        <v>0</v>
      </c>
      <c r="J2621" s="425">
        <v>0</v>
      </c>
      <c r="K2621" s="425">
        <v>0</v>
      </c>
      <c r="L2621" s="425">
        <v>0</v>
      </c>
      <c r="M2621" s="425">
        <v>0</v>
      </c>
      <c r="N2621" s="425">
        <v>0</v>
      </c>
      <c r="O2621" s="425">
        <v>0</v>
      </c>
    </row>
    <row r="2622" spans="1:15" hidden="1" x14ac:dyDescent="0.3">
      <c r="A2622" s="233"/>
      <c r="B2622" s="235" t="s">
        <v>98</v>
      </c>
      <c r="C2622" t="s">
        <v>2263</v>
      </c>
      <c r="D2622" t="s">
        <v>2237</v>
      </c>
      <c r="E2622" t="s">
        <v>7433</v>
      </c>
      <c r="F2622" t="s">
        <v>7434</v>
      </c>
      <c r="G2622" s="425">
        <v>0</v>
      </c>
      <c r="H2622" s="425">
        <v>0</v>
      </c>
      <c r="I2622" s="425">
        <v>0</v>
      </c>
      <c r="J2622" s="425">
        <v>0</v>
      </c>
      <c r="K2622" s="425">
        <v>0</v>
      </c>
      <c r="L2622" s="425">
        <v>0</v>
      </c>
      <c r="M2622" s="425">
        <v>0</v>
      </c>
      <c r="N2622" s="425">
        <v>0</v>
      </c>
      <c r="O2622" s="425">
        <v>0</v>
      </c>
    </row>
    <row r="2623" spans="1:15" hidden="1" x14ac:dyDescent="0.3">
      <c r="C2623" t="s">
        <v>2266</v>
      </c>
      <c r="D2623" t="s">
        <v>2267</v>
      </c>
      <c r="E2623" t="s">
        <v>7435</v>
      </c>
      <c r="F2623" t="s">
        <v>7436</v>
      </c>
      <c r="G2623" s="425">
        <v>0</v>
      </c>
      <c r="H2623" s="425">
        <v>0</v>
      </c>
      <c r="I2623" s="425">
        <v>0</v>
      </c>
      <c r="J2623" s="425">
        <v>0</v>
      </c>
      <c r="K2623" s="425">
        <v>0</v>
      </c>
      <c r="L2623" s="425">
        <v>0</v>
      </c>
      <c r="M2623" s="425">
        <v>0</v>
      </c>
      <c r="N2623" s="425">
        <v>0</v>
      </c>
      <c r="O2623" s="425">
        <v>0</v>
      </c>
    </row>
    <row r="2624" spans="1:15" hidden="1" x14ac:dyDescent="0.3">
      <c r="A2624" s="233"/>
      <c r="B2624" s="235" t="s">
        <v>99</v>
      </c>
      <c r="C2624" t="s">
        <v>2263</v>
      </c>
      <c r="D2624" t="s">
        <v>2237</v>
      </c>
      <c r="E2624" t="s">
        <v>7437</v>
      </c>
      <c r="F2624" t="s">
        <v>7438</v>
      </c>
      <c r="G2624" s="425">
        <v>84785093157</v>
      </c>
      <c r="H2624" s="425">
        <v>27420376435</v>
      </c>
      <c r="I2624" s="425">
        <v>460416696</v>
      </c>
      <c r="J2624" s="425">
        <v>0</v>
      </c>
      <c r="K2624" s="425">
        <v>3784839907</v>
      </c>
      <c r="L2624" s="425">
        <v>0</v>
      </c>
      <c r="M2624" s="425">
        <v>52758682280</v>
      </c>
      <c r="N2624" s="425">
        <v>360777839</v>
      </c>
      <c r="O2624" s="425">
        <v>0</v>
      </c>
    </row>
    <row r="2625" spans="1:15" hidden="1" x14ac:dyDescent="0.3">
      <c r="C2625" t="s">
        <v>2266</v>
      </c>
      <c r="D2625" t="s">
        <v>2267</v>
      </c>
      <c r="E2625" t="s">
        <v>7439</v>
      </c>
      <c r="F2625" t="s">
        <v>7440</v>
      </c>
      <c r="G2625" s="425">
        <v>83492786313</v>
      </c>
      <c r="H2625" s="425">
        <v>26450382491</v>
      </c>
      <c r="I2625" s="425">
        <v>460416696</v>
      </c>
      <c r="J2625" s="425">
        <v>0</v>
      </c>
      <c r="K2625" s="425">
        <v>3784839907</v>
      </c>
      <c r="L2625" s="425">
        <v>0</v>
      </c>
      <c r="M2625" s="425">
        <v>52758682280</v>
      </c>
      <c r="N2625" s="425">
        <v>38464939</v>
      </c>
      <c r="O2625" s="425">
        <v>0</v>
      </c>
    </row>
    <row r="2626" spans="1:15" hidden="1" x14ac:dyDescent="0.3">
      <c r="C2626" t="s">
        <v>2266</v>
      </c>
      <c r="D2626" t="s">
        <v>2267</v>
      </c>
      <c r="E2626" t="s">
        <v>7441</v>
      </c>
      <c r="F2626" t="s">
        <v>7442</v>
      </c>
      <c r="G2626" s="425">
        <v>1292306844</v>
      </c>
      <c r="H2626" s="425">
        <v>969993944</v>
      </c>
      <c r="I2626" s="425">
        <v>0</v>
      </c>
      <c r="J2626" s="425">
        <v>0</v>
      </c>
      <c r="K2626" s="425">
        <v>0</v>
      </c>
      <c r="L2626" s="425">
        <v>0</v>
      </c>
      <c r="M2626" s="425">
        <v>0</v>
      </c>
      <c r="N2626" s="425">
        <v>322312900</v>
      </c>
      <c r="O2626" s="425">
        <v>0</v>
      </c>
    </row>
    <row r="2627" spans="1:15" hidden="1" x14ac:dyDescent="0.3">
      <c r="A2627" s="240"/>
      <c r="B2627" s="239" t="s">
        <v>100</v>
      </c>
      <c r="C2627" t="s">
        <v>2260</v>
      </c>
      <c r="D2627" t="s">
        <v>2237</v>
      </c>
      <c r="E2627" t="s">
        <v>7443</v>
      </c>
      <c r="F2627" t="s">
        <v>7444</v>
      </c>
      <c r="G2627" s="425">
        <v>139922954133</v>
      </c>
      <c r="H2627" s="425">
        <v>0</v>
      </c>
      <c r="I2627" s="425">
        <v>0</v>
      </c>
      <c r="J2627" s="425">
        <v>0</v>
      </c>
      <c r="K2627" s="425">
        <v>0</v>
      </c>
      <c r="L2627" s="425">
        <v>0</v>
      </c>
      <c r="M2627" s="425">
        <v>2902854307</v>
      </c>
      <c r="N2627" s="425">
        <v>137020099826</v>
      </c>
      <c r="O2627" s="425">
        <v>0</v>
      </c>
    </row>
    <row r="2628" spans="1:15" hidden="1" x14ac:dyDescent="0.3">
      <c r="A2628" s="233"/>
      <c r="B2628" s="235" t="s">
        <v>105</v>
      </c>
      <c r="C2628" t="s">
        <v>2263</v>
      </c>
      <c r="D2628" t="s">
        <v>2237</v>
      </c>
      <c r="E2628" t="s">
        <v>7445</v>
      </c>
      <c r="F2628" t="s">
        <v>7446</v>
      </c>
      <c r="G2628" s="425">
        <v>139922954133</v>
      </c>
      <c r="H2628" s="425">
        <v>0</v>
      </c>
      <c r="I2628" s="425">
        <v>0</v>
      </c>
      <c r="J2628" s="425">
        <v>0</v>
      </c>
      <c r="K2628" s="425">
        <v>0</v>
      </c>
      <c r="L2628" s="425">
        <v>0</v>
      </c>
      <c r="M2628" s="425">
        <v>2902854307</v>
      </c>
      <c r="N2628" s="425">
        <v>137020099826</v>
      </c>
      <c r="O2628" s="425">
        <v>0</v>
      </c>
    </row>
    <row r="2629" spans="1:15" hidden="1" x14ac:dyDescent="0.3">
      <c r="C2629" t="s">
        <v>2266</v>
      </c>
      <c r="D2629" t="s">
        <v>2267</v>
      </c>
      <c r="E2629" t="s">
        <v>7447</v>
      </c>
      <c r="F2629" t="s">
        <v>7448</v>
      </c>
      <c r="G2629" s="425">
        <v>0</v>
      </c>
      <c r="H2629" s="425">
        <v>0</v>
      </c>
      <c r="I2629" s="425">
        <v>0</v>
      </c>
      <c r="J2629" s="425">
        <v>0</v>
      </c>
      <c r="K2629" s="425">
        <v>0</v>
      </c>
      <c r="L2629" s="425">
        <v>0</v>
      </c>
      <c r="M2629" s="425">
        <v>0</v>
      </c>
      <c r="N2629" s="425">
        <v>0</v>
      </c>
      <c r="O2629" s="425">
        <v>0</v>
      </c>
    </row>
    <row r="2630" spans="1:15" hidden="1" x14ac:dyDescent="0.3">
      <c r="C2630" t="s">
        <v>2266</v>
      </c>
      <c r="D2630" t="s">
        <v>2267</v>
      </c>
      <c r="E2630" t="s">
        <v>7449</v>
      </c>
      <c r="F2630" t="s">
        <v>7450</v>
      </c>
      <c r="G2630" s="425">
        <v>0</v>
      </c>
      <c r="H2630" s="425">
        <v>0</v>
      </c>
      <c r="I2630" s="425">
        <v>0</v>
      </c>
      <c r="J2630" s="425">
        <v>0</v>
      </c>
      <c r="K2630" s="425">
        <v>0</v>
      </c>
      <c r="L2630" s="425">
        <v>0</v>
      </c>
      <c r="M2630" s="425">
        <v>0</v>
      </c>
      <c r="N2630" s="425">
        <v>0</v>
      </c>
      <c r="O2630" s="425">
        <v>0</v>
      </c>
    </row>
    <row r="2631" spans="1:15" hidden="1" x14ac:dyDescent="0.3">
      <c r="C2631" t="s">
        <v>2266</v>
      </c>
      <c r="D2631" t="s">
        <v>2267</v>
      </c>
      <c r="E2631" t="s">
        <v>7451</v>
      </c>
      <c r="F2631" t="s">
        <v>7452</v>
      </c>
      <c r="G2631" s="425">
        <v>0</v>
      </c>
      <c r="H2631" s="425">
        <v>0</v>
      </c>
      <c r="I2631" s="425">
        <v>0</v>
      </c>
      <c r="J2631" s="425">
        <v>0</v>
      </c>
      <c r="K2631" s="425">
        <v>0</v>
      </c>
      <c r="L2631" s="425">
        <v>0</v>
      </c>
      <c r="M2631" s="425">
        <v>0</v>
      </c>
      <c r="N2631" s="425">
        <v>0</v>
      </c>
      <c r="O2631" s="425">
        <v>0</v>
      </c>
    </row>
    <row r="2632" spans="1:15" hidden="1" x14ac:dyDescent="0.3">
      <c r="C2632" t="s">
        <v>2266</v>
      </c>
      <c r="D2632" t="s">
        <v>2267</v>
      </c>
      <c r="E2632" t="s">
        <v>7453</v>
      </c>
      <c r="F2632" t="s">
        <v>7454</v>
      </c>
      <c r="G2632" s="425">
        <v>139922954133</v>
      </c>
      <c r="H2632" s="425">
        <v>0</v>
      </c>
      <c r="I2632" s="425">
        <v>0</v>
      </c>
      <c r="J2632" s="425">
        <v>0</v>
      </c>
      <c r="K2632" s="425">
        <v>0</v>
      </c>
      <c r="L2632" s="425">
        <v>0</v>
      </c>
      <c r="M2632" s="425">
        <v>2902854307</v>
      </c>
      <c r="N2632" s="425">
        <v>137020099826</v>
      </c>
      <c r="O2632" s="425">
        <v>0</v>
      </c>
    </row>
    <row r="2633" spans="1:15" hidden="1" x14ac:dyDescent="0.3">
      <c r="C2633" t="s">
        <v>2266</v>
      </c>
      <c r="D2633" t="s">
        <v>2267</v>
      </c>
      <c r="E2633" t="s">
        <v>7455</v>
      </c>
      <c r="F2633" t="s">
        <v>7456</v>
      </c>
      <c r="G2633" s="425">
        <v>0</v>
      </c>
      <c r="H2633" s="425">
        <v>0</v>
      </c>
      <c r="I2633" s="425">
        <v>0</v>
      </c>
      <c r="J2633" s="425">
        <v>0</v>
      </c>
      <c r="K2633" s="425">
        <v>0</v>
      </c>
      <c r="L2633" s="425">
        <v>0</v>
      </c>
      <c r="M2633" s="425">
        <v>0</v>
      </c>
      <c r="N2633" s="425">
        <v>0</v>
      </c>
      <c r="O2633" s="425">
        <v>0</v>
      </c>
    </row>
    <row r="2634" spans="1:15" hidden="1" x14ac:dyDescent="0.3">
      <c r="C2634" t="s">
        <v>2266</v>
      </c>
      <c r="D2634" t="s">
        <v>2267</v>
      </c>
      <c r="E2634" t="s">
        <v>7457</v>
      </c>
      <c r="F2634" t="s">
        <v>7458</v>
      </c>
      <c r="G2634" s="425">
        <v>0</v>
      </c>
      <c r="H2634" s="425">
        <v>0</v>
      </c>
      <c r="I2634" s="425">
        <v>0</v>
      </c>
      <c r="J2634" s="425">
        <v>0</v>
      </c>
      <c r="K2634" s="425">
        <v>0</v>
      </c>
      <c r="L2634" s="425">
        <v>0</v>
      </c>
      <c r="M2634" s="425">
        <v>0</v>
      </c>
      <c r="N2634" s="425">
        <v>0</v>
      </c>
      <c r="O2634" s="425">
        <v>0</v>
      </c>
    </row>
    <row r="2635" spans="1:15" hidden="1" x14ac:dyDescent="0.3">
      <c r="C2635" t="s">
        <v>2266</v>
      </c>
      <c r="D2635" t="s">
        <v>2267</v>
      </c>
      <c r="E2635" t="s">
        <v>7459</v>
      </c>
      <c r="F2635" t="s">
        <v>7460</v>
      </c>
      <c r="G2635" s="425">
        <v>0</v>
      </c>
      <c r="H2635" s="425">
        <v>0</v>
      </c>
      <c r="I2635" s="425">
        <v>0</v>
      </c>
      <c r="J2635" s="425">
        <v>0</v>
      </c>
      <c r="K2635" s="425">
        <v>0</v>
      </c>
      <c r="L2635" s="425">
        <v>0</v>
      </c>
      <c r="M2635" s="425">
        <v>0</v>
      </c>
      <c r="N2635" s="425">
        <v>0</v>
      </c>
      <c r="O2635" s="425">
        <v>0</v>
      </c>
    </row>
    <row r="2636" spans="1:15" hidden="1" x14ac:dyDescent="0.3">
      <c r="C2636" t="s">
        <v>2266</v>
      </c>
      <c r="D2636" t="s">
        <v>2267</v>
      </c>
      <c r="E2636" t="s">
        <v>7461</v>
      </c>
      <c r="F2636" t="s">
        <v>7462</v>
      </c>
      <c r="G2636" s="425">
        <v>0</v>
      </c>
      <c r="H2636" s="425">
        <v>0</v>
      </c>
      <c r="I2636" s="425">
        <v>0</v>
      </c>
      <c r="J2636" s="425">
        <v>0</v>
      </c>
      <c r="K2636" s="425">
        <v>0</v>
      </c>
      <c r="L2636" s="425">
        <v>0</v>
      </c>
      <c r="M2636" s="425">
        <v>0</v>
      </c>
      <c r="N2636" s="425">
        <v>0</v>
      </c>
      <c r="O2636" s="425">
        <v>0</v>
      </c>
    </row>
    <row r="2637" spans="1:15" hidden="1" x14ac:dyDescent="0.3">
      <c r="A2637" s="233"/>
      <c r="B2637" s="235" t="s">
        <v>104</v>
      </c>
      <c r="C2637" t="s">
        <v>2263</v>
      </c>
      <c r="D2637" t="s">
        <v>2237</v>
      </c>
      <c r="E2637" t="s">
        <v>7463</v>
      </c>
      <c r="F2637" t="s">
        <v>7464</v>
      </c>
      <c r="G2637" s="425">
        <v>0</v>
      </c>
      <c r="H2637" s="425">
        <v>0</v>
      </c>
      <c r="I2637" s="425">
        <v>0</v>
      </c>
      <c r="J2637" s="425">
        <v>0</v>
      </c>
      <c r="K2637" s="425">
        <v>0</v>
      </c>
      <c r="L2637" s="425">
        <v>0</v>
      </c>
      <c r="M2637" s="425">
        <v>0</v>
      </c>
      <c r="N2637" s="425">
        <v>0</v>
      </c>
      <c r="O2637" s="425">
        <v>0</v>
      </c>
    </row>
    <row r="2638" spans="1:15" hidden="1" x14ac:dyDescent="0.3">
      <c r="C2638" t="s">
        <v>2266</v>
      </c>
      <c r="D2638" t="s">
        <v>2267</v>
      </c>
      <c r="E2638" t="s">
        <v>7465</v>
      </c>
      <c r="F2638" t="s">
        <v>7466</v>
      </c>
      <c r="G2638" s="425">
        <v>0</v>
      </c>
      <c r="H2638" s="425">
        <v>0</v>
      </c>
      <c r="I2638" s="425">
        <v>0</v>
      </c>
      <c r="J2638" s="425">
        <v>0</v>
      </c>
      <c r="K2638" s="425">
        <v>0</v>
      </c>
      <c r="L2638" s="425">
        <v>0</v>
      </c>
      <c r="M2638" s="425">
        <v>0</v>
      </c>
      <c r="N2638" s="425">
        <v>0</v>
      </c>
      <c r="O2638" s="425">
        <v>0</v>
      </c>
    </row>
    <row r="2639" spans="1:15" hidden="1" x14ac:dyDescent="0.3">
      <c r="A2639" s="240"/>
      <c r="B2639" s="239" t="s">
        <v>107</v>
      </c>
      <c r="C2639" t="s">
        <v>2260</v>
      </c>
      <c r="D2639" t="s">
        <v>2237</v>
      </c>
      <c r="E2639" t="s">
        <v>7467</v>
      </c>
      <c r="F2639" t="s">
        <v>7468</v>
      </c>
      <c r="G2639" s="425">
        <v>89596322727</v>
      </c>
      <c r="H2639" s="425">
        <v>74317540999</v>
      </c>
      <c r="I2639" s="425">
        <v>881185586</v>
      </c>
      <c r="J2639" s="425">
        <v>0</v>
      </c>
      <c r="K2639" s="425">
        <v>1303804754</v>
      </c>
      <c r="L2639" s="425">
        <v>9526003453</v>
      </c>
      <c r="M2639" s="425">
        <v>1340959202</v>
      </c>
      <c r="N2639" s="425">
        <v>2226828733</v>
      </c>
      <c r="O2639" s="425">
        <v>0</v>
      </c>
    </row>
    <row r="2640" spans="1:15" hidden="1" x14ac:dyDescent="0.3">
      <c r="C2640" t="s">
        <v>2263</v>
      </c>
      <c r="D2640" t="s">
        <v>2237</v>
      </c>
      <c r="E2640" t="s">
        <v>7469</v>
      </c>
      <c r="F2640" t="s">
        <v>7470</v>
      </c>
      <c r="G2640" s="425">
        <v>15143026419</v>
      </c>
      <c r="H2640" s="425">
        <v>6837988643</v>
      </c>
      <c r="I2640" s="425">
        <v>82105000</v>
      </c>
      <c r="J2640" s="425">
        <v>0</v>
      </c>
      <c r="K2640" s="425">
        <v>37523589</v>
      </c>
      <c r="L2640" s="425">
        <v>7773116489</v>
      </c>
      <c r="M2640" s="425">
        <v>10000000</v>
      </c>
      <c r="N2640" s="425">
        <v>402292698</v>
      </c>
      <c r="O2640" s="425">
        <v>0</v>
      </c>
    </row>
    <row r="2641" spans="3:15" hidden="1" x14ac:dyDescent="0.3">
      <c r="C2641" t="s">
        <v>2266</v>
      </c>
      <c r="D2641" t="s">
        <v>2267</v>
      </c>
      <c r="E2641" t="s">
        <v>7471</v>
      </c>
      <c r="F2641" t="s">
        <v>7472</v>
      </c>
      <c r="G2641" s="425">
        <v>7369884547</v>
      </c>
      <c r="H2641" s="425">
        <v>6837988643</v>
      </c>
      <c r="I2641" s="425">
        <v>82105000</v>
      </c>
      <c r="J2641" s="425">
        <v>0</v>
      </c>
      <c r="K2641" s="425">
        <v>37523589</v>
      </c>
      <c r="L2641" s="425">
        <v>0</v>
      </c>
      <c r="M2641" s="425">
        <v>10000000</v>
      </c>
      <c r="N2641" s="425">
        <v>402267315</v>
      </c>
      <c r="O2641" s="425">
        <v>0</v>
      </c>
    </row>
    <row r="2642" spans="3:15" hidden="1" x14ac:dyDescent="0.3">
      <c r="C2642" t="s">
        <v>2266</v>
      </c>
      <c r="D2642" t="s">
        <v>2267</v>
      </c>
      <c r="E2642" t="s">
        <v>7473</v>
      </c>
      <c r="F2642" t="s">
        <v>7474</v>
      </c>
      <c r="G2642" s="425">
        <v>25383</v>
      </c>
      <c r="H2642" s="425">
        <v>0</v>
      </c>
      <c r="I2642" s="425">
        <v>0</v>
      </c>
      <c r="J2642" s="425">
        <v>0</v>
      </c>
      <c r="K2642" s="425">
        <v>0</v>
      </c>
      <c r="L2642" s="425">
        <v>0</v>
      </c>
      <c r="M2642" s="425">
        <v>0</v>
      </c>
      <c r="N2642" s="425">
        <v>25383</v>
      </c>
      <c r="O2642" s="425">
        <v>0</v>
      </c>
    </row>
    <row r="2643" spans="3:15" hidden="1" x14ac:dyDescent="0.3">
      <c r="C2643" t="s">
        <v>2266</v>
      </c>
      <c r="D2643" t="s">
        <v>2267</v>
      </c>
      <c r="E2643" t="s">
        <v>7475</v>
      </c>
      <c r="F2643" t="s">
        <v>7476</v>
      </c>
      <c r="G2643" s="425">
        <v>7773116489</v>
      </c>
      <c r="H2643" s="425">
        <v>0</v>
      </c>
      <c r="I2643" s="425">
        <v>0</v>
      </c>
      <c r="J2643" s="425">
        <v>0</v>
      </c>
      <c r="K2643" s="425">
        <v>0</v>
      </c>
      <c r="L2643" s="425">
        <v>7773116489</v>
      </c>
      <c r="M2643" s="425">
        <v>0</v>
      </c>
      <c r="N2643" s="425">
        <v>0</v>
      </c>
      <c r="O2643" s="425">
        <v>0</v>
      </c>
    </row>
    <row r="2644" spans="3:15" hidden="1" x14ac:dyDescent="0.3">
      <c r="C2644" t="s">
        <v>2266</v>
      </c>
      <c r="D2644" t="s">
        <v>2267</v>
      </c>
      <c r="E2644" t="s">
        <v>7477</v>
      </c>
      <c r="F2644" t="s">
        <v>7478</v>
      </c>
      <c r="G2644" s="425">
        <v>0</v>
      </c>
      <c r="H2644" s="425">
        <v>0</v>
      </c>
      <c r="I2644" s="425">
        <v>0</v>
      </c>
      <c r="J2644" s="425">
        <v>0</v>
      </c>
      <c r="K2644" s="425">
        <v>0</v>
      </c>
      <c r="L2644" s="425">
        <v>0</v>
      </c>
      <c r="M2644" s="425">
        <v>0</v>
      </c>
      <c r="N2644" s="425">
        <v>0</v>
      </c>
      <c r="O2644" s="425">
        <v>0</v>
      </c>
    </row>
    <row r="2645" spans="3:15" hidden="1" x14ac:dyDescent="0.3">
      <c r="C2645" t="s">
        <v>2266</v>
      </c>
      <c r="D2645" t="s">
        <v>2267</v>
      </c>
      <c r="E2645" t="s">
        <v>7479</v>
      </c>
      <c r="F2645" t="s">
        <v>7480</v>
      </c>
      <c r="G2645" s="425">
        <v>0</v>
      </c>
      <c r="H2645" s="425">
        <v>0</v>
      </c>
      <c r="I2645" s="425">
        <v>0</v>
      </c>
      <c r="J2645" s="425">
        <v>0</v>
      </c>
      <c r="K2645" s="425">
        <v>0</v>
      </c>
      <c r="L2645" s="425">
        <v>0</v>
      </c>
      <c r="M2645" s="425">
        <v>0</v>
      </c>
      <c r="N2645" s="425">
        <v>0</v>
      </c>
      <c r="O2645" s="425">
        <v>0</v>
      </c>
    </row>
    <row r="2646" spans="3:15" hidden="1" x14ac:dyDescent="0.3">
      <c r="C2646" t="s">
        <v>2263</v>
      </c>
      <c r="D2646" t="s">
        <v>2237</v>
      </c>
      <c r="E2646" t="s">
        <v>7481</v>
      </c>
      <c r="F2646" t="s">
        <v>7482</v>
      </c>
      <c r="G2646" s="425">
        <v>54708737157</v>
      </c>
      <c r="H2646" s="425">
        <v>49418376107</v>
      </c>
      <c r="I2646" s="425">
        <v>799080586</v>
      </c>
      <c r="J2646" s="425">
        <v>0</v>
      </c>
      <c r="K2646" s="425">
        <v>680914581</v>
      </c>
      <c r="L2646" s="425">
        <v>1752886964</v>
      </c>
      <c r="M2646" s="425">
        <v>334966884</v>
      </c>
      <c r="N2646" s="425">
        <v>1722512035</v>
      </c>
      <c r="O2646" s="425">
        <v>0</v>
      </c>
    </row>
    <row r="2647" spans="3:15" hidden="1" x14ac:dyDescent="0.3">
      <c r="C2647" t="s">
        <v>2266</v>
      </c>
      <c r="D2647" t="s">
        <v>2267</v>
      </c>
      <c r="E2647" t="s">
        <v>7483</v>
      </c>
      <c r="F2647" t="s">
        <v>7484</v>
      </c>
      <c r="G2647" s="425">
        <v>0</v>
      </c>
      <c r="H2647" s="425">
        <v>0</v>
      </c>
      <c r="I2647" s="425">
        <v>0</v>
      </c>
      <c r="J2647" s="425">
        <v>0</v>
      </c>
      <c r="K2647" s="425">
        <v>0</v>
      </c>
      <c r="L2647" s="425">
        <v>0</v>
      </c>
      <c r="M2647" s="425">
        <v>0</v>
      </c>
      <c r="N2647" s="425">
        <v>0</v>
      </c>
      <c r="O2647" s="425">
        <v>0</v>
      </c>
    </row>
    <row r="2648" spans="3:15" hidden="1" x14ac:dyDescent="0.3">
      <c r="C2648" t="s">
        <v>2266</v>
      </c>
      <c r="D2648" t="s">
        <v>2267</v>
      </c>
      <c r="E2648" t="s">
        <v>7485</v>
      </c>
      <c r="F2648" t="s">
        <v>7486</v>
      </c>
      <c r="G2648" s="425">
        <v>1575681723</v>
      </c>
      <c r="H2648" s="425">
        <v>238228865</v>
      </c>
      <c r="I2648" s="425">
        <v>95554008</v>
      </c>
      <c r="J2648" s="425">
        <v>0</v>
      </c>
      <c r="K2648" s="425">
        <v>485138560</v>
      </c>
      <c r="L2648" s="425">
        <v>247689556</v>
      </c>
      <c r="M2648" s="425">
        <v>238287739</v>
      </c>
      <c r="N2648" s="425">
        <v>270782995</v>
      </c>
      <c r="O2648" s="425">
        <v>0</v>
      </c>
    </row>
    <row r="2649" spans="3:15" hidden="1" x14ac:dyDescent="0.3">
      <c r="C2649" t="s">
        <v>2266</v>
      </c>
      <c r="D2649" t="s">
        <v>2267</v>
      </c>
      <c r="E2649" t="s">
        <v>7487</v>
      </c>
      <c r="F2649" t="s">
        <v>7488</v>
      </c>
      <c r="G2649" s="425">
        <v>0</v>
      </c>
      <c r="H2649" s="425">
        <v>0</v>
      </c>
      <c r="I2649" s="425">
        <v>0</v>
      </c>
      <c r="J2649" s="425">
        <v>0</v>
      </c>
      <c r="K2649" s="425">
        <v>0</v>
      </c>
      <c r="L2649" s="425">
        <v>0</v>
      </c>
      <c r="M2649" s="425">
        <v>0</v>
      </c>
      <c r="N2649" s="425">
        <v>0</v>
      </c>
      <c r="O2649" s="425">
        <v>0</v>
      </c>
    </row>
    <row r="2650" spans="3:15" hidden="1" x14ac:dyDescent="0.3">
      <c r="C2650" t="s">
        <v>2266</v>
      </c>
      <c r="D2650" t="s">
        <v>2267</v>
      </c>
      <c r="E2650" t="s">
        <v>7489</v>
      </c>
      <c r="F2650" t="s">
        <v>7490</v>
      </c>
      <c r="G2650" s="425">
        <v>0</v>
      </c>
      <c r="H2650" s="425">
        <v>0</v>
      </c>
      <c r="I2650" s="425">
        <v>0</v>
      </c>
      <c r="J2650" s="425">
        <v>0</v>
      </c>
      <c r="K2650" s="425">
        <v>0</v>
      </c>
      <c r="L2650" s="425">
        <v>0</v>
      </c>
      <c r="M2650" s="425">
        <v>0</v>
      </c>
      <c r="N2650" s="425">
        <v>0</v>
      </c>
      <c r="O2650" s="425">
        <v>0</v>
      </c>
    </row>
    <row r="2651" spans="3:15" hidden="1" x14ac:dyDescent="0.3">
      <c r="C2651" t="s">
        <v>2266</v>
      </c>
      <c r="D2651" t="s">
        <v>2267</v>
      </c>
      <c r="E2651" t="s">
        <v>7491</v>
      </c>
      <c r="F2651" t="s">
        <v>7492</v>
      </c>
      <c r="G2651" s="425">
        <v>0</v>
      </c>
      <c r="H2651" s="425">
        <v>0</v>
      </c>
      <c r="I2651" s="425">
        <v>0</v>
      </c>
      <c r="J2651" s="425">
        <v>0</v>
      </c>
      <c r="K2651" s="425">
        <v>0</v>
      </c>
      <c r="L2651" s="425">
        <v>0</v>
      </c>
      <c r="M2651" s="425">
        <v>0</v>
      </c>
      <c r="N2651" s="425">
        <v>0</v>
      </c>
      <c r="O2651" s="425">
        <v>0</v>
      </c>
    </row>
    <row r="2652" spans="3:15" hidden="1" x14ac:dyDescent="0.3">
      <c r="C2652" t="s">
        <v>2266</v>
      </c>
      <c r="D2652" t="s">
        <v>2267</v>
      </c>
      <c r="E2652" t="s">
        <v>7493</v>
      </c>
      <c r="F2652" t="s">
        <v>7494</v>
      </c>
      <c r="G2652" s="425">
        <v>0</v>
      </c>
      <c r="H2652" s="425">
        <v>0</v>
      </c>
      <c r="I2652" s="425">
        <v>0</v>
      </c>
      <c r="J2652" s="425">
        <v>0</v>
      </c>
      <c r="K2652" s="425">
        <v>0</v>
      </c>
      <c r="L2652" s="425">
        <v>0</v>
      </c>
      <c r="M2652" s="425">
        <v>0</v>
      </c>
      <c r="N2652" s="425">
        <v>0</v>
      </c>
      <c r="O2652" s="425">
        <v>0</v>
      </c>
    </row>
    <row r="2653" spans="3:15" hidden="1" x14ac:dyDescent="0.3">
      <c r="C2653" t="s">
        <v>2266</v>
      </c>
      <c r="D2653" t="s">
        <v>2267</v>
      </c>
      <c r="E2653" t="s">
        <v>7495</v>
      </c>
      <c r="F2653" t="s">
        <v>7496</v>
      </c>
      <c r="G2653" s="425">
        <v>0</v>
      </c>
      <c r="H2653" s="425">
        <v>0</v>
      </c>
      <c r="I2653" s="425">
        <v>0</v>
      </c>
      <c r="J2653" s="425">
        <v>0</v>
      </c>
      <c r="K2653" s="425">
        <v>0</v>
      </c>
      <c r="L2653" s="425">
        <v>0</v>
      </c>
      <c r="M2653" s="425">
        <v>0</v>
      </c>
      <c r="N2653" s="425">
        <v>0</v>
      </c>
      <c r="O2653" s="425">
        <v>0</v>
      </c>
    </row>
    <row r="2654" spans="3:15" hidden="1" x14ac:dyDescent="0.3">
      <c r="C2654" t="s">
        <v>2266</v>
      </c>
      <c r="D2654" t="s">
        <v>2267</v>
      </c>
      <c r="E2654" t="s">
        <v>7497</v>
      </c>
      <c r="F2654" t="s">
        <v>7498</v>
      </c>
      <c r="G2654" s="425">
        <v>0</v>
      </c>
      <c r="H2654" s="425">
        <v>0</v>
      </c>
      <c r="I2654" s="425">
        <v>0</v>
      </c>
      <c r="J2654" s="425">
        <v>0</v>
      </c>
      <c r="K2654" s="425">
        <v>0</v>
      </c>
      <c r="L2654" s="425">
        <v>0</v>
      </c>
      <c r="M2654" s="425">
        <v>0</v>
      </c>
      <c r="N2654" s="425">
        <v>0</v>
      </c>
      <c r="O2654" s="425">
        <v>0</v>
      </c>
    </row>
    <row r="2655" spans="3:15" hidden="1" x14ac:dyDescent="0.3">
      <c r="C2655" t="s">
        <v>2266</v>
      </c>
      <c r="D2655" t="s">
        <v>2267</v>
      </c>
      <c r="E2655" t="s">
        <v>7499</v>
      </c>
      <c r="F2655" t="s">
        <v>7500</v>
      </c>
      <c r="G2655" s="425">
        <v>0</v>
      </c>
      <c r="H2655" s="425">
        <v>0</v>
      </c>
      <c r="I2655" s="425">
        <v>0</v>
      </c>
      <c r="J2655" s="425">
        <v>0</v>
      </c>
      <c r="K2655" s="425">
        <v>0</v>
      </c>
      <c r="L2655" s="425">
        <v>0</v>
      </c>
      <c r="M2655" s="425">
        <v>0</v>
      </c>
      <c r="N2655" s="425">
        <v>0</v>
      </c>
      <c r="O2655" s="425">
        <v>0</v>
      </c>
    </row>
    <row r="2656" spans="3:15" hidden="1" x14ac:dyDescent="0.3">
      <c r="C2656" t="s">
        <v>2266</v>
      </c>
      <c r="D2656" t="s">
        <v>2267</v>
      </c>
      <c r="E2656" t="s">
        <v>7501</v>
      </c>
      <c r="F2656" t="s">
        <v>7502</v>
      </c>
      <c r="G2656" s="425">
        <v>632651710</v>
      </c>
      <c r="H2656" s="425">
        <v>0</v>
      </c>
      <c r="I2656" s="425">
        <v>0</v>
      </c>
      <c r="J2656" s="425">
        <v>0</v>
      </c>
      <c r="K2656" s="425">
        <v>0</v>
      </c>
      <c r="L2656" s="425">
        <v>632651710</v>
      </c>
      <c r="M2656" s="425">
        <v>0</v>
      </c>
      <c r="N2656" s="425">
        <v>0</v>
      </c>
      <c r="O2656" s="425">
        <v>0</v>
      </c>
    </row>
    <row r="2657" spans="1:15" hidden="1" x14ac:dyDescent="0.3">
      <c r="C2657" t="s">
        <v>2266</v>
      </c>
      <c r="D2657" t="s">
        <v>2267</v>
      </c>
      <c r="E2657" t="s">
        <v>7503</v>
      </c>
      <c r="F2657" t="s">
        <v>7504</v>
      </c>
      <c r="G2657" s="425">
        <v>0</v>
      </c>
      <c r="H2657" s="425">
        <v>0</v>
      </c>
      <c r="I2657" s="425">
        <v>0</v>
      </c>
      <c r="J2657" s="425">
        <v>0</v>
      </c>
      <c r="K2657" s="425">
        <v>0</v>
      </c>
      <c r="L2657" s="425">
        <v>0</v>
      </c>
      <c r="M2657" s="425">
        <v>0</v>
      </c>
      <c r="N2657" s="425">
        <v>0</v>
      </c>
      <c r="O2657" s="425">
        <v>0</v>
      </c>
    </row>
    <row r="2658" spans="1:15" hidden="1" x14ac:dyDescent="0.3">
      <c r="C2658" t="s">
        <v>2266</v>
      </c>
      <c r="D2658" t="s">
        <v>2267</v>
      </c>
      <c r="E2658" t="s">
        <v>7505</v>
      </c>
      <c r="F2658" t="s">
        <v>7506</v>
      </c>
      <c r="G2658" s="425">
        <v>0</v>
      </c>
      <c r="H2658" s="425">
        <v>0</v>
      </c>
      <c r="I2658" s="425">
        <v>0</v>
      </c>
      <c r="J2658" s="425">
        <v>0</v>
      </c>
      <c r="K2658" s="425">
        <v>0</v>
      </c>
      <c r="L2658" s="425">
        <v>0</v>
      </c>
      <c r="M2658" s="425">
        <v>0</v>
      </c>
      <c r="N2658" s="425">
        <v>0</v>
      </c>
      <c r="O2658" s="425">
        <v>0</v>
      </c>
    </row>
    <row r="2659" spans="1:15" hidden="1" x14ac:dyDescent="0.3">
      <c r="C2659" t="s">
        <v>2266</v>
      </c>
      <c r="D2659" t="s">
        <v>2267</v>
      </c>
      <c r="E2659" t="s">
        <v>7507</v>
      </c>
      <c r="F2659" t="s">
        <v>7508</v>
      </c>
      <c r="G2659" s="425">
        <v>360244556</v>
      </c>
      <c r="H2659" s="425">
        <v>12743547</v>
      </c>
      <c r="I2659" s="425">
        <v>0</v>
      </c>
      <c r="J2659" s="425">
        <v>0</v>
      </c>
      <c r="K2659" s="425">
        <v>296900</v>
      </c>
      <c r="L2659" s="425">
        <v>347204109</v>
      </c>
      <c r="M2659" s="425">
        <v>0</v>
      </c>
      <c r="N2659" s="425">
        <v>0</v>
      </c>
      <c r="O2659" s="425">
        <v>0</v>
      </c>
    </row>
    <row r="2660" spans="1:15" hidden="1" x14ac:dyDescent="0.3">
      <c r="C2660" t="s">
        <v>2266</v>
      </c>
      <c r="D2660" t="s">
        <v>2267</v>
      </c>
      <c r="E2660" t="s">
        <v>7509</v>
      </c>
      <c r="F2660" t="s">
        <v>7510</v>
      </c>
      <c r="G2660" s="425">
        <v>52140159168</v>
      </c>
      <c r="H2660" s="425">
        <v>49167403695</v>
      </c>
      <c r="I2660" s="425">
        <v>703526578</v>
      </c>
      <c r="J2660" s="425">
        <v>0</v>
      </c>
      <c r="K2660" s="425">
        <v>195479121</v>
      </c>
      <c r="L2660" s="425">
        <v>525341589</v>
      </c>
      <c r="M2660" s="425">
        <v>96679145</v>
      </c>
      <c r="N2660" s="425">
        <v>1451729040</v>
      </c>
      <c r="O2660" s="425">
        <v>0</v>
      </c>
    </row>
    <row r="2661" spans="1:15" hidden="1" x14ac:dyDescent="0.3">
      <c r="C2661" t="s">
        <v>2263</v>
      </c>
      <c r="D2661" t="s">
        <v>2237</v>
      </c>
      <c r="E2661" t="s">
        <v>7511</v>
      </c>
      <c r="F2661" t="s">
        <v>7512</v>
      </c>
      <c r="G2661" s="425">
        <v>0</v>
      </c>
      <c r="H2661" s="425">
        <v>0</v>
      </c>
      <c r="I2661" s="425">
        <v>0</v>
      </c>
      <c r="J2661" s="425">
        <v>0</v>
      </c>
      <c r="K2661" s="425">
        <v>0</v>
      </c>
      <c r="L2661" s="425">
        <v>0</v>
      </c>
      <c r="M2661" s="425">
        <v>0</v>
      </c>
      <c r="N2661" s="425">
        <v>0</v>
      </c>
      <c r="O2661" s="425">
        <v>0</v>
      </c>
    </row>
    <row r="2662" spans="1:15" hidden="1" x14ac:dyDescent="0.3">
      <c r="C2662" t="s">
        <v>2266</v>
      </c>
      <c r="D2662" t="s">
        <v>2267</v>
      </c>
      <c r="E2662" t="s">
        <v>7513</v>
      </c>
      <c r="F2662" t="s">
        <v>7514</v>
      </c>
      <c r="G2662" s="425">
        <v>0</v>
      </c>
      <c r="H2662" s="425">
        <v>0</v>
      </c>
      <c r="I2662" s="425">
        <v>0</v>
      </c>
      <c r="J2662" s="425">
        <v>0</v>
      </c>
      <c r="K2662" s="425">
        <v>0</v>
      </c>
      <c r="L2662" s="425">
        <v>0</v>
      </c>
      <c r="M2662" s="425">
        <v>0</v>
      </c>
      <c r="N2662" s="425">
        <v>0</v>
      </c>
      <c r="O2662" s="425">
        <v>0</v>
      </c>
    </row>
    <row r="2663" spans="1:15" hidden="1" x14ac:dyDescent="0.3">
      <c r="C2663" t="s">
        <v>2266</v>
      </c>
      <c r="D2663" t="s">
        <v>2267</v>
      </c>
      <c r="E2663" t="s">
        <v>7515</v>
      </c>
      <c r="F2663" t="s">
        <v>7516</v>
      </c>
      <c r="G2663" s="425">
        <v>0</v>
      </c>
      <c r="H2663" s="425">
        <v>0</v>
      </c>
      <c r="I2663" s="425">
        <v>0</v>
      </c>
      <c r="J2663" s="425">
        <v>0</v>
      </c>
      <c r="K2663" s="425">
        <v>0</v>
      </c>
      <c r="L2663" s="425">
        <v>0</v>
      </c>
      <c r="M2663" s="425">
        <v>0</v>
      </c>
      <c r="N2663" s="425">
        <v>0</v>
      </c>
      <c r="O2663" s="425">
        <v>0</v>
      </c>
    </row>
    <row r="2664" spans="1:15" hidden="1" x14ac:dyDescent="0.3">
      <c r="C2664" t="s">
        <v>2263</v>
      </c>
      <c r="D2664" t="s">
        <v>2237</v>
      </c>
      <c r="E2664" t="s">
        <v>7517</v>
      </c>
      <c r="F2664" t="s">
        <v>7518</v>
      </c>
      <c r="G2664" s="425">
        <v>19744559151</v>
      </c>
      <c r="H2664" s="425">
        <v>18061176249</v>
      </c>
      <c r="I2664" s="425">
        <v>0</v>
      </c>
      <c r="J2664" s="425">
        <v>0</v>
      </c>
      <c r="K2664" s="425">
        <v>585366584</v>
      </c>
      <c r="L2664" s="425">
        <v>0</v>
      </c>
      <c r="M2664" s="425">
        <v>995992318</v>
      </c>
      <c r="N2664" s="425">
        <v>102024000</v>
      </c>
      <c r="O2664" s="425">
        <v>0</v>
      </c>
    </row>
    <row r="2665" spans="1:15" hidden="1" x14ac:dyDescent="0.3">
      <c r="C2665" t="s">
        <v>2266</v>
      </c>
      <c r="D2665" t="s">
        <v>2267</v>
      </c>
      <c r="E2665" t="s">
        <v>7519</v>
      </c>
      <c r="F2665" t="s">
        <v>7520</v>
      </c>
      <c r="G2665" s="425">
        <v>675672966</v>
      </c>
      <c r="H2665" s="425">
        <v>-11717618</v>
      </c>
      <c r="I2665" s="425">
        <v>0</v>
      </c>
      <c r="J2665" s="425">
        <v>0</v>
      </c>
      <c r="K2665" s="425">
        <v>585366584</v>
      </c>
      <c r="L2665" s="425">
        <v>0</v>
      </c>
      <c r="M2665" s="425">
        <v>0</v>
      </c>
      <c r="N2665" s="425">
        <v>102024000</v>
      </c>
      <c r="O2665" s="425">
        <v>0</v>
      </c>
    </row>
    <row r="2666" spans="1:15" hidden="1" x14ac:dyDescent="0.3">
      <c r="C2666" t="s">
        <v>2266</v>
      </c>
      <c r="D2666" t="s">
        <v>2267</v>
      </c>
      <c r="E2666" t="s">
        <v>7521</v>
      </c>
      <c r="F2666" t="s">
        <v>7522</v>
      </c>
      <c r="G2666" s="425">
        <v>297000</v>
      </c>
      <c r="H2666" s="425">
        <v>297000</v>
      </c>
      <c r="I2666" s="425">
        <v>0</v>
      </c>
      <c r="J2666" s="425">
        <v>0</v>
      </c>
      <c r="K2666" s="425">
        <v>0</v>
      </c>
      <c r="L2666" s="425">
        <v>0</v>
      </c>
      <c r="M2666" s="425">
        <v>0</v>
      </c>
      <c r="N2666" s="425">
        <v>0</v>
      </c>
      <c r="O2666" s="425">
        <v>0</v>
      </c>
    </row>
    <row r="2667" spans="1:15" hidden="1" x14ac:dyDescent="0.3">
      <c r="C2667" t="s">
        <v>2266</v>
      </c>
      <c r="D2667" t="s">
        <v>2267</v>
      </c>
      <c r="E2667" t="s">
        <v>7523</v>
      </c>
      <c r="F2667" t="s">
        <v>7524</v>
      </c>
      <c r="G2667" s="425">
        <v>18072596867</v>
      </c>
      <c r="H2667" s="425">
        <v>18072596867</v>
      </c>
      <c r="I2667" s="425">
        <v>0</v>
      </c>
      <c r="J2667" s="425">
        <v>0</v>
      </c>
      <c r="K2667" s="425">
        <v>0</v>
      </c>
      <c r="L2667" s="425">
        <v>0</v>
      </c>
      <c r="M2667" s="425">
        <v>0</v>
      </c>
      <c r="N2667" s="425">
        <v>0</v>
      </c>
      <c r="O2667" s="425">
        <v>0</v>
      </c>
    </row>
    <row r="2668" spans="1:15" hidden="1" x14ac:dyDescent="0.3">
      <c r="C2668" t="s">
        <v>2266</v>
      </c>
      <c r="D2668" t="s">
        <v>2267</v>
      </c>
      <c r="E2668" t="s">
        <v>7525</v>
      </c>
      <c r="F2668" t="s">
        <v>7526</v>
      </c>
      <c r="G2668" s="425">
        <v>0</v>
      </c>
      <c r="H2668" s="425">
        <v>0</v>
      </c>
      <c r="I2668" s="425">
        <v>0</v>
      </c>
      <c r="J2668" s="425">
        <v>0</v>
      </c>
      <c r="K2668" s="425">
        <v>0</v>
      </c>
      <c r="L2668" s="425">
        <v>0</v>
      </c>
      <c r="M2668" s="425">
        <v>0</v>
      </c>
      <c r="N2668" s="425">
        <v>0</v>
      </c>
      <c r="O2668" s="425">
        <v>0</v>
      </c>
    </row>
    <row r="2669" spans="1:15" hidden="1" x14ac:dyDescent="0.3">
      <c r="C2669" t="s">
        <v>2266</v>
      </c>
      <c r="D2669" t="s">
        <v>2267</v>
      </c>
      <c r="E2669" t="s">
        <v>7527</v>
      </c>
      <c r="F2669" t="s">
        <v>7528</v>
      </c>
      <c r="G2669" s="425">
        <v>27491204789</v>
      </c>
      <c r="H2669" s="425">
        <v>0</v>
      </c>
      <c r="I2669" s="425">
        <v>0</v>
      </c>
      <c r="J2669" s="425">
        <v>0</v>
      </c>
      <c r="K2669" s="425">
        <v>0</v>
      </c>
      <c r="L2669" s="425">
        <v>0</v>
      </c>
      <c r="M2669" s="425">
        <v>27491204789</v>
      </c>
      <c r="N2669" s="425">
        <v>0</v>
      </c>
      <c r="O2669" s="425">
        <v>0</v>
      </c>
    </row>
    <row r="2670" spans="1:15" hidden="1" x14ac:dyDescent="0.3">
      <c r="C2670" t="s">
        <v>2266</v>
      </c>
      <c r="D2670" t="s">
        <v>2267</v>
      </c>
      <c r="E2670" t="s">
        <v>7529</v>
      </c>
      <c r="F2670" t="s">
        <v>7530</v>
      </c>
      <c r="G2670" s="425">
        <v>-26495212471</v>
      </c>
      <c r="H2670" s="425">
        <v>0</v>
      </c>
      <c r="I2670" s="425">
        <v>0</v>
      </c>
      <c r="J2670" s="425">
        <v>0</v>
      </c>
      <c r="K2670" s="425">
        <v>0</v>
      </c>
      <c r="L2670" s="425">
        <v>0</v>
      </c>
      <c r="M2670" s="425">
        <v>-26495212471</v>
      </c>
      <c r="N2670" s="425">
        <v>0</v>
      </c>
      <c r="O2670" s="425">
        <v>0</v>
      </c>
    </row>
    <row r="2671" spans="1:15" hidden="1" x14ac:dyDescent="0.3">
      <c r="A2671" s="240"/>
      <c r="B2671" s="239" t="s">
        <v>108</v>
      </c>
      <c r="C2671" t="s">
        <v>2260</v>
      </c>
      <c r="D2671" t="s">
        <v>2237</v>
      </c>
      <c r="E2671" t="s">
        <v>7531</v>
      </c>
      <c r="F2671" t="s">
        <v>7532</v>
      </c>
      <c r="G2671" s="425">
        <v>0</v>
      </c>
      <c r="H2671" s="425">
        <v>733132473</v>
      </c>
      <c r="I2671" s="425">
        <v>419857900</v>
      </c>
      <c r="J2671" s="425">
        <v>0</v>
      </c>
      <c r="K2671" s="425">
        <v>100404390</v>
      </c>
      <c r="L2671" s="425">
        <v>55737380</v>
      </c>
      <c r="M2671" s="425">
        <v>1463362927</v>
      </c>
      <c r="N2671" s="425">
        <v>-2813085070</v>
      </c>
      <c r="O2671" s="425">
        <v>40590000</v>
      </c>
    </row>
    <row r="2672" spans="1:15" hidden="1" x14ac:dyDescent="0.3">
      <c r="C2672" t="s">
        <v>2263</v>
      </c>
      <c r="D2672" t="s">
        <v>2237</v>
      </c>
      <c r="E2672" t="s">
        <v>7533</v>
      </c>
      <c r="F2672" t="s">
        <v>7534</v>
      </c>
      <c r="G2672" s="425">
        <v>0</v>
      </c>
      <c r="H2672" s="425">
        <v>733132473</v>
      </c>
      <c r="I2672" s="425">
        <v>419857900</v>
      </c>
      <c r="J2672" s="425">
        <v>0</v>
      </c>
      <c r="K2672" s="425">
        <v>100404390</v>
      </c>
      <c r="L2672" s="425">
        <v>55737380</v>
      </c>
      <c r="M2672" s="425">
        <v>1463362927</v>
      </c>
      <c r="N2672" s="425">
        <v>-2813085070</v>
      </c>
      <c r="O2672" s="425">
        <v>40590000</v>
      </c>
    </row>
    <row r="2673" spans="1:15" hidden="1" x14ac:dyDescent="0.3">
      <c r="C2673" t="s">
        <v>2266</v>
      </c>
      <c r="D2673" t="s">
        <v>2267</v>
      </c>
      <c r="E2673" t="s">
        <v>7535</v>
      </c>
      <c r="F2673" t="s">
        <v>7536</v>
      </c>
      <c r="G2673" s="425">
        <v>0</v>
      </c>
      <c r="H2673" s="425">
        <v>707156374</v>
      </c>
      <c r="I2673" s="425">
        <v>381704920</v>
      </c>
      <c r="J2673" s="425">
        <v>0</v>
      </c>
      <c r="K2673" s="425">
        <v>91276850</v>
      </c>
      <c r="L2673" s="425">
        <v>50670780</v>
      </c>
      <c r="M2673" s="425">
        <v>1330330080</v>
      </c>
      <c r="N2673" s="425">
        <v>-2598039004</v>
      </c>
      <c r="O2673" s="425">
        <v>36900000</v>
      </c>
    </row>
    <row r="2674" spans="1:15" hidden="1" x14ac:dyDescent="0.3">
      <c r="C2674" t="s">
        <v>2266</v>
      </c>
      <c r="D2674" t="s">
        <v>2267</v>
      </c>
      <c r="E2674" t="s">
        <v>7537</v>
      </c>
      <c r="F2674" t="s">
        <v>7538</v>
      </c>
      <c r="G2674" s="425">
        <v>0</v>
      </c>
      <c r="H2674" s="425">
        <v>25976099</v>
      </c>
      <c r="I2674" s="425">
        <v>38152980</v>
      </c>
      <c r="J2674" s="425">
        <v>0</v>
      </c>
      <c r="K2674" s="425">
        <v>9127540</v>
      </c>
      <c r="L2674" s="425">
        <v>5066600</v>
      </c>
      <c r="M2674" s="425">
        <v>133032847</v>
      </c>
      <c r="N2674" s="425">
        <v>-215046066</v>
      </c>
      <c r="O2674" s="425">
        <v>3690000</v>
      </c>
    </row>
    <row r="2675" spans="1:15" hidden="1" x14ac:dyDescent="0.3">
      <c r="C2675" t="s">
        <v>2266</v>
      </c>
      <c r="D2675" t="s">
        <v>2267</v>
      </c>
      <c r="E2675" t="s">
        <v>7539</v>
      </c>
      <c r="F2675" t="s">
        <v>7540</v>
      </c>
      <c r="G2675" s="425">
        <v>0</v>
      </c>
      <c r="H2675" s="425">
        <v>0</v>
      </c>
      <c r="I2675" s="425">
        <v>0</v>
      </c>
      <c r="J2675" s="425">
        <v>0</v>
      </c>
      <c r="K2675" s="425">
        <v>0</v>
      </c>
      <c r="L2675" s="425">
        <v>0</v>
      </c>
      <c r="M2675" s="425">
        <v>0</v>
      </c>
      <c r="N2675" s="425">
        <v>0</v>
      </c>
      <c r="O2675" s="425">
        <v>0</v>
      </c>
    </row>
    <row r="2676" spans="1:15" hidden="1" x14ac:dyDescent="0.3">
      <c r="C2676" t="s">
        <v>2266</v>
      </c>
      <c r="D2676" t="s">
        <v>2267</v>
      </c>
      <c r="E2676" t="s">
        <v>7541</v>
      </c>
      <c r="F2676" t="s">
        <v>7542</v>
      </c>
      <c r="G2676" s="425">
        <v>0</v>
      </c>
      <c r="H2676" s="425">
        <v>0</v>
      </c>
      <c r="I2676" s="425">
        <v>0</v>
      </c>
      <c r="J2676" s="425">
        <v>0</v>
      </c>
      <c r="K2676" s="425">
        <v>0</v>
      </c>
      <c r="L2676" s="425">
        <v>0</v>
      </c>
      <c r="M2676" s="425">
        <v>0</v>
      </c>
      <c r="N2676" s="425">
        <v>0</v>
      </c>
      <c r="O2676" s="425">
        <v>0</v>
      </c>
    </row>
    <row r="2677" spans="1:15" hidden="1" x14ac:dyDescent="0.3">
      <c r="A2677" s="240"/>
      <c r="B2677" s="239" t="s">
        <v>109</v>
      </c>
      <c r="C2677" t="s">
        <v>2260</v>
      </c>
      <c r="D2677" t="s">
        <v>2237</v>
      </c>
      <c r="E2677" t="s">
        <v>7543</v>
      </c>
      <c r="F2677" t="s">
        <v>7544</v>
      </c>
      <c r="G2677" s="425">
        <v>329647586199</v>
      </c>
      <c r="H2677" s="425">
        <v>10066807317</v>
      </c>
      <c r="I2677" s="425">
        <v>19797820210</v>
      </c>
      <c r="J2677" s="425">
        <v>0</v>
      </c>
      <c r="K2677" s="425">
        <v>265991816968</v>
      </c>
      <c r="L2677" s="425">
        <v>33662679103</v>
      </c>
      <c r="M2677" s="425">
        <v>0</v>
      </c>
      <c r="N2677" s="425">
        <v>128462601</v>
      </c>
      <c r="O2677" s="425">
        <v>0</v>
      </c>
    </row>
    <row r="2678" spans="1:15" hidden="1" x14ac:dyDescent="0.3">
      <c r="C2678" t="s">
        <v>2263</v>
      </c>
      <c r="D2678" t="s">
        <v>2237</v>
      </c>
      <c r="E2678" t="s">
        <v>7545</v>
      </c>
      <c r="F2678" t="s">
        <v>7546</v>
      </c>
      <c r="G2678" s="425">
        <v>339169762047</v>
      </c>
      <c r="H2678" s="425">
        <v>10066807317</v>
      </c>
      <c r="I2678" s="425">
        <v>19869968316</v>
      </c>
      <c r="J2678" s="425">
        <v>0</v>
      </c>
      <c r="K2678" s="425">
        <v>268632985675</v>
      </c>
      <c r="L2678" s="425">
        <v>40471538138</v>
      </c>
      <c r="M2678" s="425">
        <v>0</v>
      </c>
      <c r="N2678" s="425">
        <v>128462601</v>
      </c>
      <c r="O2678" s="425">
        <v>0</v>
      </c>
    </row>
    <row r="2679" spans="1:15" hidden="1" x14ac:dyDescent="0.3">
      <c r="C2679" t="s">
        <v>2266</v>
      </c>
      <c r="D2679" t="s">
        <v>2267</v>
      </c>
      <c r="E2679" t="s">
        <v>7547</v>
      </c>
      <c r="F2679" t="s">
        <v>7548</v>
      </c>
      <c r="G2679" s="425">
        <v>357156365145</v>
      </c>
      <c r="H2679" s="425">
        <v>8532114908</v>
      </c>
      <c r="I2679" s="425">
        <v>23277325442</v>
      </c>
      <c r="J2679" s="425">
        <v>0</v>
      </c>
      <c r="K2679" s="425">
        <v>285088803488</v>
      </c>
      <c r="L2679" s="425">
        <v>40129658706</v>
      </c>
      <c r="M2679" s="425">
        <v>0</v>
      </c>
      <c r="N2679" s="425">
        <v>128462601</v>
      </c>
      <c r="O2679" s="425">
        <v>0</v>
      </c>
    </row>
    <row r="2680" spans="1:15" hidden="1" x14ac:dyDescent="0.3">
      <c r="C2680" t="s">
        <v>2266</v>
      </c>
      <c r="D2680" t="s">
        <v>2267</v>
      </c>
      <c r="E2680" t="s">
        <v>7549</v>
      </c>
      <c r="F2680" t="s">
        <v>7550</v>
      </c>
      <c r="G2680" s="425">
        <v>-8592038724</v>
      </c>
      <c r="H2680" s="425">
        <v>0</v>
      </c>
      <c r="I2680" s="425">
        <v>0</v>
      </c>
      <c r="J2680" s="425">
        <v>0</v>
      </c>
      <c r="K2680" s="425">
        <v>-8592038724</v>
      </c>
      <c r="L2680" s="425">
        <v>0</v>
      </c>
      <c r="M2680" s="425">
        <v>0</v>
      </c>
      <c r="N2680" s="425">
        <v>0</v>
      </c>
      <c r="O2680" s="425">
        <v>0</v>
      </c>
    </row>
    <row r="2681" spans="1:15" hidden="1" x14ac:dyDescent="0.3">
      <c r="C2681" t="s">
        <v>2266</v>
      </c>
      <c r="D2681" t="s">
        <v>2267</v>
      </c>
      <c r="E2681" t="s">
        <v>7551</v>
      </c>
      <c r="F2681" t="s">
        <v>7552</v>
      </c>
      <c r="G2681" s="425">
        <v>2057686380</v>
      </c>
      <c r="H2681" s="425">
        <v>1534692409</v>
      </c>
      <c r="I2681" s="425">
        <v>181114539</v>
      </c>
      <c r="J2681" s="425">
        <v>0</v>
      </c>
      <c r="K2681" s="425">
        <v>0</v>
      </c>
      <c r="L2681" s="425">
        <v>341879432</v>
      </c>
      <c r="M2681" s="425">
        <v>0</v>
      </c>
      <c r="N2681" s="425">
        <v>0</v>
      </c>
      <c r="O2681" s="425">
        <v>0</v>
      </c>
    </row>
    <row r="2682" spans="1:15" hidden="1" x14ac:dyDescent="0.3">
      <c r="C2682" t="s">
        <v>2266</v>
      </c>
      <c r="D2682" t="s">
        <v>2267</v>
      </c>
      <c r="E2682" t="s">
        <v>7553</v>
      </c>
      <c r="F2682" t="s">
        <v>7554</v>
      </c>
      <c r="G2682" s="425">
        <v>-11452250754</v>
      </c>
      <c r="H2682" s="425">
        <v>0</v>
      </c>
      <c r="I2682" s="425">
        <v>-3588471665</v>
      </c>
      <c r="J2682" s="425">
        <v>0</v>
      </c>
      <c r="K2682" s="425">
        <v>-7863779089</v>
      </c>
      <c r="L2682" s="425">
        <v>0</v>
      </c>
      <c r="M2682" s="425">
        <v>0</v>
      </c>
      <c r="N2682" s="425">
        <v>0</v>
      </c>
      <c r="O2682" s="425">
        <v>0</v>
      </c>
    </row>
    <row r="2683" spans="1:15" hidden="1" x14ac:dyDescent="0.3">
      <c r="C2683" t="s">
        <v>2263</v>
      </c>
      <c r="D2683" t="s">
        <v>2237</v>
      </c>
      <c r="E2683" t="s">
        <v>7555</v>
      </c>
      <c r="F2683" t="s">
        <v>7556</v>
      </c>
      <c r="G2683" s="425">
        <v>-10188544526</v>
      </c>
      <c r="H2683" s="425">
        <v>0</v>
      </c>
      <c r="I2683" s="425">
        <v>-596650106</v>
      </c>
      <c r="J2683" s="425">
        <v>0</v>
      </c>
      <c r="K2683" s="425">
        <v>-2641876707</v>
      </c>
      <c r="L2683" s="425">
        <v>-6950017713</v>
      </c>
      <c r="M2683" s="425">
        <v>0</v>
      </c>
      <c r="N2683" s="425">
        <v>0</v>
      </c>
      <c r="O2683" s="425">
        <v>0</v>
      </c>
    </row>
    <row r="2684" spans="1:15" hidden="1" x14ac:dyDescent="0.3">
      <c r="C2684" t="s">
        <v>2266</v>
      </c>
      <c r="D2684" t="s">
        <v>2267</v>
      </c>
      <c r="E2684" t="s">
        <v>7557</v>
      </c>
      <c r="F2684" t="s">
        <v>7558</v>
      </c>
      <c r="G2684" s="425">
        <v>-10188544526</v>
      </c>
      <c r="H2684" s="425">
        <v>0</v>
      </c>
      <c r="I2684" s="425">
        <v>-596650106</v>
      </c>
      <c r="J2684" s="425">
        <v>0</v>
      </c>
      <c r="K2684" s="425">
        <v>-2641876707</v>
      </c>
      <c r="L2684" s="425">
        <v>-6950017713</v>
      </c>
      <c r="M2684" s="425">
        <v>0</v>
      </c>
      <c r="N2684" s="425">
        <v>0</v>
      </c>
      <c r="O2684" s="425">
        <v>0</v>
      </c>
    </row>
    <row r="2685" spans="1:15" hidden="1" x14ac:dyDescent="0.3">
      <c r="C2685" t="s">
        <v>2263</v>
      </c>
      <c r="D2685" t="s">
        <v>2237</v>
      </c>
      <c r="E2685" t="s">
        <v>7559</v>
      </c>
      <c r="F2685" t="s">
        <v>7560</v>
      </c>
      <c r="G2685" s="425">
        <v>666368678</v>
      </c>
      <c r="H2685" s="425">
        <v>0</v>
      </c>
      <c r="I2685" s="425">
        <v>524502000</v>
      </c>
      <c r="J2685" s="425">
        <v>0</v>
      </c>
      <c r="K2685" s="425">
        <v>708000</v>
      </c>
      <c r="L2685" s="425">
        <v>141158678</v>
      </c>
      <c r="M2685" s="425">
        <v>0</v>
      </c>
      <c r="N2685" s="425">
        <v>0</v>
      </c>
      <c r="O2685" s="425">
        <v>0</v>
      </c>
    </row>
    <row r="2686" spans="1:15" hidden="1" x14ac:dyDescent="0.3">
      <c r="C2686" t="s">
        <v>2266</v>
      </c>
      <c r="D2686" t="s">
        <v>2267</v>
      </c>
      <c r="E2686" t="s">
        <v>7561</v>
      </c>
      <c r="F2686" t="s">
        <v>7562</v>
      </c>
      <c r="G2686" s="425">
        <v>118434580</v>
      </c>
      <c r="H2686" s="425">
        <v>0</v>
      </c>
      <c r="I2686" s="425">
        <v>0</v>
      </c>
      <c r="J2686" s="425">
        <v>0</v>
      </c>
      <c r="K2686" s="425">
        <v>0</v>
      </c>
      <c r="L2686" s="425">
        <v>118434580</v>
      </c>
      <c r="M2686" s="425">
        <v>0</v>
      </c>
      <c r="N2686" s="425">
        <v>0</v>
      </c>
      <c r="O2686" s="425">
        <v>0</v>
      </c>
    </row>
    <row r="2687" spans="1:15" hidden="1" x14ac:dyDescent="0.3">
      <c r="C2687" t="s">
        <v>2266</v>
      </c>
      <c r="D2687" t="s">
        <v>2267</v>
      </c>
      <c r="E2687" t="s">
        <v>7563</v>
      </c>
      <c r="F2687" t="s">
        <v>7564</v>
      </c>
      <c r="G2687" s="425">
        <v>22724098</v>
      </c>
      <c r="H2687" s="425">
        <v>0</v>
      </c>
      <c r="I2687" s="425">
        <v>0</v>
      </c>
      <c r="J2687" s="425">
        <v>0</v>
      </c>
      <c r="K2687" s="425">
        <v>0</v>
      </c>
      <c r="L2687" s="425">
        <v>22724098</v>
      </c>
      <c r="M2687" s="425">
        <v>0</v>
      </c>
      <c r="N2687" s="425">
        <v>0</v>
      </c>
      <c r="O2687" s="425">
        <v>0</v>
      </c>
    </row>
    <row r="2688" spans="1:15" hidden="1" x14ac:dyDescent="0.3">
      <c r="C2688" t="s">
        <v>2266</v>
      </c>
      <c r="D2688" t="s">
        <v>2267</v>
      </c>
      <c r="E2688" t="s">
        <v>7565</v>
      </c>
      <c r="F2688" t="s">
        <v>7566</v>
      </c>
      <c r="G2688" s="425">
        <v>525210000</v>
      </c>
      <c r="H2688" s="425">
        <v>0</v>
      </c>
      <c r="I2688" s="425">
        <v>524502000</v>
      </c>
      <c r="J2688" s="425">
        <v>0</v>
      </c>
      <c r="K2688" s="425">
        <v>708000</v>
      </c>
      <c r="L2688" s="425">
        <v>0</v>
      </c>
      <c r="M2688" s="425">
        <v>0</v>
      </c>
      <c r="N2688" s="425">
        <v>0</v>
      </c>
      <c r="O2688" s="425">
        <v>0</v>
      </c>
    </row>
    <row r="2689" spans="1:15" hidden="1" x14ac:dyDescent="0.3">
      <c r="C2689" t="s">
        <v>2263</v>
      </c>
      <c r="D2689" t="s">
        <v>2237</v>
      </c>
      <c r="E2689" t="s">
        <v>7567</v>
      </c>
      <c r="F2689" t="s">
        <v>7568</v>
      </c>
      <c r="G2689" s="425">
        <v>0</v>
      </c>
      <c r="H2689" s="425">
        <v>0</v>
      </c>
      <c r="I2689" s="425">
        <v>0</v>
      </c>
      <c r="J2689" s="425">
        <v>0</v>
      </c>
      <c r="K2689" s="425">
        <v>0</v>
      </c>
      <c r="L2689" s="425">
        <v>0</v>
      </c>
      <c r="M2689" s="425">
        <v>0</v>
      </c>
      <c r="N2689" s="425">
        <v>0</v>
      </c>
      <c r="O2689" s="425">
        <v>0</v>
      </c>
    </row>
    <row r="2690" spans="1:15" hidden="1" x14ac:dyDescent="0.3">
      <c r="C2690" t="s">
        <v>2266</v>
      </c>
      <c r="D2690" t="s">
        <v>2267</v>
      </c>
      <c r="E2690" t="s">
        <v>7569</v>
      </c>
      <c r="F2690" t="s">
        <v>7570</v>
      </c>
      <c r="G2690" s="425">
        <v>0</v>
      </c>
      <c r="H2690" s="425">
        <v>0</v>
      </c>
      <c r="I2690" s="425">
        <v>0</v>
      </c>
      <c r="J2690" s="425">
        <v>0</v>
      </c>
      <c r="K2690" s="425">
        <v>0</v>
      </c>
      <c r="L2690" s="425">
        <v>0</v>
      </c>
      <c r="M2690" s="425">
        <v>0</v>
      </c>
      <c r="N2690" s="425">
        <v>0</v>
      </c>
      <c r="O2690" s="425">
        <v>0</v>
      </c>
    </row>
    <row r="2691" spans="1:15" hidden="1" x14ac:dyDescent="0.3">
      <c r="C2691" t="s">
        <v>2266</v>
      </c>
      <c r="D2691" t="s">
        <v>2267</v>
      </c>
      <c r="E2691" t="s">
        <v>7571</v>
      </c>
      <c r="F2691" t="s">
        <v>7572</v>
      </c>
      <c r="G2691" s="425">
        <v>0</v>
      </c>
      <c r="H2691" s="425">
        <v>0</v>
      </c>
      <c r="I2691" s="425">
        <v>0</v>
      </c>
      <c r="J2691" s="425">
        <v>0</v>
      </c>
      <c r="K2691" s="425">
        <v>0</v>
      </c>
      <c r="L2691" s="425">
        <v>0</v>
      </c>
      <c r="M2691" s="425">
        <v>0</v>
      </c>
      <c r="N2691" s="425">
        <v>0</v>
      </c>
      <c r="O2691" s="425">
        <v>0</v>
      </c>
    </row>
    <row r="2692" spans="1:15" hidden="1" x14ac:dyDescent="0.3">
      <c r="A2692" s="240"/>
      <c r="B2692" s="239" t="s">
        <v>110</v>
      </c>
      <c r="C2692" t="s">
        <v>2260</v>
      </c>
      <c r="D2692" t="s">
        <v>2237</v>
      </c>
      <c r="E2692" t="s">
        <v>7573</v>
      </c>
      <c r="F2692" t="s">
        <v>7574</v>
      </c>
      <c r="G2692" s="425">
        <v>0</v>
      </c>
      <c r="H2692" s="425">
        <v>0</v>
      </c>
      <c r="I2692" s="425">
        <v>0</v>
      </c>
      <c r="J2692" s="425">
        <v>0</v>
      </c>
      <c r="K2692" s="425">
        <v>0</v>
      </c>
      <c r="L2692" s="425">
        <v>0</v>
      </c>
      <c r="M2692" s="425">
        <v>0</v>
      </c>
      <c r="N2692" s="425">
        <v>0</v>
      </c>
      <c r="O2692" s="425">
        <v>0</v>
      </c>
    </row>
    <row r="2693" spans="1:15" hidden="1" x14ac:dyDescent="0.3">
      <c r="C2693" t="s">
        <v>2263</v>
      </c>
      <c r="D2693" t="s">
        <v>2237</v>
      </c>
      <c r="E2693" t="s">
        <v>7575</v>
      </c>
      <c r="F2693" t="s">
        <v>7576</v>
      </c>
      <c r="G2693" s="425">
        <v>0</v>
      </c>
      <c r="H2693" s="425">
        <v>0</v>
      </c>
      <c r="I2693" s="425">
        <v>0</v>
      </c>
      <c r="J2693" s="425">
        <v>0</v>
      </c>
      <c r="K2693" s="425">
        <v>0</v>
      </c>
      <c r="L2693" s="425">
        <v>0</v>
      </c>
      <c r="M2693" s="425">
        <v>0</v>
      </c>
      <c r="N2693" s="425">
        <v>0</v>
      </c>
      <c r="O2693" s="425">
        <v>0</v>
      </c>
    </row>
    <row r="2694" spans="1:15" hidden="1" x14ac:dyDescent="0.3">
      <c r="C2694" t="s">
        <v>2266</v>
      </c>
      <c r="D2694" t="s">
        <v>2267</v>
      </c>
      <c r="E2694" t="s">
        <v>7577</v>
      </c>
      <c r="F2694" t="s">
        <v>7578</v>
      </c>
      <c r="G2694" s="425">
        <v>0</v>
      </c>
      <c r="H2694" s="425">
        <v>0</v>
      </c>
      <c r="I2694" s="425">
        <v>0</v>
      </c>
      <c r="J2694" s="425">
        <v>0</v>
      </c>
      <c r="K2694" s="425">
        <v>0</v>
      </c>
      <c r="L2694" s="425">
        <v>0</v>
      </c>
      <c r="M2694" s="425">
        <v>0</v>
      </c>
      <c r="N2694" s="425">
        <v>0</v>
      </c>
      <c r="O2694" s="425">
        <v>0</v>
      </c>
    </row>
    <row r="2695" spans="1:15" hidden="1" x14ac:dyDescent="0.3">
      <c r="C2695" t="s">
        <v>2260</v>
      </c>
      <c r="D2695" t="s">
        <v>2237</v>
      </c>
      <c r="E2695" t="s">
        <v>7579</v>
      </c>
      <c r="F2695" t="s">
        <v>7580</v>
      </c>
      <c r="G2695" s="425">
        <v>0</v>
      </c>
      <c r="H2695" s="425">
        <v>0</v>
      </c>
      <c r="I2695" s="425">
        <v>0</v>
      </c>
      <c r="J2695" s="425">
        <v>0</v>
      </c>
      <c r="K2695" s="425">
        <v>0</v>
      </c>
      <c r="L2695" s="425">
        <v>0</v>
      </c>
      <c r="M2695" s="425">
        <v>0</v>
      </c>
      <c r="N2695" s="425">
        <v>0</v>
      </c>
      <c r="O2695" s="425">
        <v>0</v>
      </c>
    </row>
    <row r="2696" spans="1:15" hidden="1" x14ac:dyDescent="0.3">
      <c r="C2696" t="s">
        <v>2263</v>
      </c>
      <c r="D2696" t="s">
        <v>2237</v>
      </c>
      <c r="E2696" t="s">
        <v>7581</v>
      </c>
      <c r="F2696" t="s">
        <v>7582</v>
      </c>
      <c r="G2696" s="425">
        <v>0</v>
      </c>
      <c r="H2696" s="425">
        <v>0</v>
      </c>
      <c r="I2696" s="425">
        <v>0</v>
      </c>
      <c r="J2696" s="425">
        <v>0</v>
      </c>
      <c r="K2696" s="425">
        <v>0</v>
      </c>
      <c r="L2696" s="425">
        <v>0</v>
      </c>
      <c r="M2696" s="425">
        <v>0</v>
      </c>
      <c r="N2696" s="425">
        <v>0</v>
      </c>
      <c r="O2696" s="425">
        <v>0</v>
      </c>
    </row>
    <row r="2697" spans="1:15" hidden="1" x14ac:dyDescent="0.3">
      <c r="A2697" s="233"/>
      <c r="B2697" s="234" t="s">
        <v>111</v>
      </c>
      <c r="C2697" t="s">
        <v>2266</v>
      </c>
      <c r="D2697" t="s">
        <v>2267</v>
      </c>
      <c r="E2697" t="s">
        <v>7583</v>
      </c>
      <c r="F2697" t="s">
        <v>7584</v>
      </c>
      <c r="G2697" s="425">
        <v>0</v>
      </c>
      <c r="H2697" s="425">
        <v>0</v>
      </c>
      <c r="I2697" s="425">
        <v>0</v>
      </c>
      <c r="J2697" s="425">
        <v>0</v>
      </c>
      <c r="K2697" s="425">
        <v>0</v>
      </c>
      <c r="L2697" s="425">
        <v>0</v>
      </c>
      <c r="M2697" s="425">
        <v>0</v>
      </c>
      <c r="N2697" s="425">
        <v>0</v>
      </c>
      <c r="O2697" s="425">
        <v>0</v>
      </c>
    </row>
    <row r="2698" spans="1:15" x14ac:dyDescent="0.3">
      <c r="A2698" s="153" t="s">
        <v>115</v>
      </c>
      <c r="B2698" s="153"/>
      <c r="C2698" t="s">
        <v>2257</v>
      </c>
      <c r="D2698" t="s">
        <v>2237</v>
      </c>
      <c r="E2698" t="s">
        <v>7585</v>
      </c>
      <c r="F2698" t="s">
        <v>7586</v>
      </c>
      <c r="G2698" s="425">
        <v>5451037880769</v>
      </c>
      <c r="H2698" s="425">
        <v>1698562077318</v>
      </c>
      <c r="I2698" s="425">
        <v>1073245938808</v>
      </c>
      <c r="J2698" s="425">
        <v>0</v>
      </c>
      <c r="K2698" s="425">
        <v>248920809294</v>
      </c>
      <c r="L2698" s="425">
        <v>459919497573</v>
      </c>
      <c r="M2698" s="425">
        <v>726391386537</v>
      </c>
      <c r="N2698" s="425">
        <v>1243998171239</v>
      </c>
      <c r="O2698" s="425">
        <v>0</v>
      </c>
    </row>
    <row r="2699" spans="1:15" hidden="1" x14ac:dyDescent="0.3">
      <c r="A2699" s="240"/>
      <c r="B2699" s="239" t="s">
        <v>116</v>
      </c>
      <c r="C2699" t="s">
        <v>2260</v>
      </c>
      <c r="D2699" t="s">
        <v>2237</v>
      </c>
      <c r="E2699" t="s">
        <v>7587</v>
      </c>
      <c r="F2699" t="s">
        <v>7588</v>
      </c>
      <c r="G2699" s="425">
        <v>1049177941817</v>
      </c>
      <c r="H2699" s="425">
        <v>287339811617</v>
      </c>
      <c r="I2699" s="425">
        <v>257214854413</v>
      </c>
      <c r="J2699" s="425">
        <v>0</v>
      </c>
      <c r="K2699" s="425">
        <v>38836727967</v>
      </c>
      <c r="L2699" s="425">
        <v>48269216047</v>
      </c>
      <c r="M2699" s="425">
        <v>388182872781</v>
      </c>
      <c r="N2699" s="425">
        <v>29334458992</v>
      </c>
      <c r="O2699" s="425">
        <v>0</v>
      </c>
    </row>
    <row r="2700" spans="1:15" hidden="1" x14ac:dyDescent="0.3">
      <c r="A2700" s="233"/>
      <c r="B2700" s="235" t="s">
        <v>117</v>
      </c>
      <c r="C2700" t="s">
        <v>2263</v>
      </c>
      <c r="D2700" t="s">
        <v>2237</v>
      </c>
      <c r="E2700" t="s">
        <v>7589</v>
      </c>
      <c r="F2700" t="s">
        <v>7590</v>
      </c>
      <c r="G2700" s="425">
        <v>2238036677</v>
      </c>
      <c r="H2700" s="425">
        <v>0</v>
      </c>
      <c r="I2700" s="425">
        <v>0</v>
      </c>
      <c r="J2700" s="425">
        <v>0</v>
      </c>
      <c r="K2700" s="425">
        <v>0</v>
      </c>
      <c r="L2700" s="425">
        <v>2238036677</v>
      </c>
      <c r="M2700" s="425">
        <v>0</v>
      </c>
      <c r="N2700" s="425">
        <v>0</v>
      </c>
      <c r="O2700" s="425">
        <v>0</v>
      </c>
    </row>
    <row r="2701" spans="1:15" hidden="1" x14ac:dyDescent="0.3">
      <c r="C2701" t="s">
        <v>2266</v>
      </c>
      <c r="D2701" t="s">
        <v>2237</v>
      </c>
      <c r="E2701" t="s">
        <v>7591</v>
      </c>
      <c r="F2701" t="s">
        <v>7592</v>
      </c>
      <c r="G2701" s="425">
        <v>3557538368</v>
      </c>
      <c r="H2701" s="425">
        <v>0</v>
      </c>
      <c r="I2701" s="425">
        <v>0</v>
      </c>
      <c r="J2701" s="425">
        <v>0</v>
      </c>
      <c r="K2701" s="425">
        <v>0</v>
      </c>
      <c r="L2701" s="425">
        <v>3557538368</v>
      </c>
      <c r="M2701" s="425">
        <v>0</v>
      </c>
      <c r="N2701" s="425">
        <v>0</v>
      </c>
      <c r="O2701" s="425">
        <v>0</v>
      </c>
    </row>
    <row r="2702" spans="1:15" hidden="1" x14ac:dyDescent="0.3">
      <c r="C2702" t="s">
        <v>2292</v>
      </c>
      <c r="D2702" t="s">
        <v>2267</v>
      </c>
      <c r="E2702" t="s">
        <v>7593</v>
      </c>
      <c r="F2702" t="s">
        <v>7594</v>
      </c>
      <c r="G2702" s="425">
        <v>278166601</v>
      </c>
      <c r="H2702" s="425">
        <v>0</v>
      </c>
      <c r="I2702" s="425">
        <v>0</v>
      </c>
      <c r="J2702" s="425">
        <v>0</v>
      </c>
      <c r="K2702" s="425">
        <v>0</v>
      </c>
      <c r="L2702" s="425">
        <v>278166601</v>
      </c>
      <c r="M2702" s="425">
        <v>0</v>
      </c>
      <c r="N2702" s="425">
        <v>0</v>
      </c>
      <c r="O2702" s="425">
        <v>0</v>
      </c>
    </row>
    <row r="2703" spans="1:15" hidden="1" x14ac:dyDescent="0.3">
      <c r="C2703" t="s">
        <v>2292</v>
      </c>
      <c r="D2703" t="s">
        <v>2267</v>
      </c>
      <c r="E2703" t="s">
        <v>7595</v>
      </c>
      <c r="F2703" t="s">
        <v>7596</v>
      </c>
      <c r="G2703" s="425">
        <v>1091284703</v>
      </c>
      <c r="H2703" s="425">
        <v>0</v>
      </c>
      <c r="I2703" s="425">
        <v>0</v>
      </c>
      <c r="J2703" s="425">
        <v>0</v>
      </c>
      <c r="K2703" s="425">
        <v>0</v>
      </c>
      <c r="L2703" s="425">
        <v>1091284703</v>
      </c>
      <c r="M2703" s="425">
        <v>0</v>
      </c>
      <c r="N2703" s="425">
        <v>0</v>
      </c>
      <c r="O2703" s="425">
        <v>0</v>
      </c>
    </row>
    <row r="2704" spans="1:15" hidden="1" x14ac:dyDescent="0.3">
      <c r="C2704" t="s">
        <v>2292</v>
      </c>
      <c r="D2704" t="s">
        <v>2267</v>
      </c>
      <c r="E2704" t="s">
        <v>7597</v>
      </c>
      <c r="F2704" t="s">
        <v>7598</v>
      </c>
      <c r="G2704" s="425">
        <v>2188087064</v>
      </c>
      <c r="H2704" s="425">
        <v>0</v>
      </c>
      <c r="I2704" s="425">
        <v>0</v>
      </c>
      <c r="J2704" s="425">
        <v>0</v>
      </c>
      <c r="K2704" s="425">
        <v>0</v>
      </c>
      <c r="L2704" s="425">
        <v>2188087064</v>
      </c>
      <c r="M2704" s="425">
        <v>0</v>
      </c>
      <c r="N2704" s="425">
        <v>0</v>
      </c>
      <c r="O2704" s="425">
        <v>0</v>
      </c>
    </row>
    <row r="2705" spans="1:15" hidden="1" x14ac:dyDescent="0.3">
      <c r="C2705" t="s">
        <v>2266</v>
      </c>
      <c r="D2705" t="s">
        <v>2237</v>
      </c>
      <c r="E2705" t="s">
        <v>7599</v>
      </c>
      <c r="F2705" t="s">
        <v>7600</v>
      </c>
      <c r="G2705" s="425">
        <v>-1319501691</v>
      </c>
      <c r="H2705" s="425">
        <v>0</v>
      </c>
      <c r="I2705" s="425">
        <v>0</v>
      </c>
      <c r="J2705" s="425">
        <v>0</v>
      </c>
      <c r="K2705" s="425">
        <v>0</v>
      </c>
      <c r="L2705" s="425">
        <v>-1319501691</v>
      </c>
      <c r="M2705" s="425">
        <v>0</v>
      </c>
      <c r="N2705" s="425">
        <v>0</v>
      </c>
      <c r="O2705" s="425">
        <v>0</v>
      </c>
    </row>
    <row r="2706" spans="1:15" hidden="1" x14ac:dyDescent="0.3">
      <c r="C2706" t="s">
        <v>2292</v>
      </c>
      <c r="D2706" t="s">
        <v>2267</v>
      </c>
      <c r="E2706" t="s">
        <v>7601</v>
      </c>
      <c r="F2706" t="s">
        <v>7602</v>
      </c>
      <c r="G2706" s="425">
        <v>-1319501691</v>
      </c>
      <c r="H2706" s="425">
        <v>0</v>
      </c>
      <c r="I2706" s="425">
        <v>0</v>
      </c>
      <c r="J2706" s="425">
        <v>0</v>
      </c>
      <c r="K2706" s="425">
        <v>0</v>
      </c>
      <c r="L2706" s="425">
        <v>-1319501691</v>
      </c>
      <c r="M2706" s="425">
        <v>0</v>
      </c>
      <c r="N2706" s="425">
        <v>0</v>
      </c>
      <c r="O2706" s="425">
        <v>0</v>
      </c>
    </row>
    <row r="2707" spans="1:15" hidden="1" x14ac:dyDescent="0.3">
      <c r="C2707" t="s">
        <v>2266</v>
      </c>
      <c r="D2707" t="s">
        <v>2237</v>
      </c>
      <c r="E2707" t="s">
        <v>7603</v>
      </c>
      <c r="F2707" t="s">
        <v>7604</v>
      </c>
      <c r="G2707" s="425">
        <v>0</v>
      </c>
      <c r="H2707" s="425">
        <v>0</v>
      </c>
      <c r="I2707" s="425">
        <v>0</v>
      </c>
      <c r="J2707" s="425">
        <v>0</v>
      </c>
      <c r="K2707" s="425">
        <v>0</v>
      </c>
      <c r="L2707" s="425">
        <v>0</v>
      </c>
      <c r="M2707" s="425">
        <v>0</v>
      </c>
      <c r="N2707" s="425">
        <v>0</v>
      </c>
      <c r="O2707" s="425">
        <v>0</v>
      </c>
    </row>
    <row r="2708" spans="1:15" hidden="1" x14ac:dyDescent="0.3">
      <c r="C2708" t="s">
        <v>2292</v>
      </c>
      <c r="D2708" t="s">
        <v>2267</v>
      </c>
      <c r="E2708" t="s">
        <v>7605</v>
      </c>
      <c r="F2708" t="s">
        <v>7606</v>
      </c>
      <c r="G2708" s="425">
        <v>0</v>
      </c>
      <c r="H2708" s="425">
        <v>0</v>
      </c>
      <c r="I2708" s="425">
        <v>0</v>
      </c>
      <c r="J2708" s="425">
        <v>0</v>
      </c>
      <c r="K2708" s="425">
        <v>0</v>
      </c>
      <c r="L2708" s="425">
        <v>0</v>
      </c>
      <c r="M2708" s="425">
        <v>0</v>
      </c>
      <c r="N2708" s="425">
        <v>0</v>
      </c>
      <c r="O2708" s="425">
        <v>0</v>
      </c>
    </row>
    <row r="2709" spans="1:15" hidden="1" x14ac:dyDescent="0.3">
      <c r="A2709" s="233"/>
      <c r="B2709" s="235" t="s">
        <v>118</v>
      </c>
      <c r="C2709" t="s">
        <v>2263</v>
      </c>
      <c r="D2709" t="s">
        <v>2237</v>
      </c>
      <c r="E2709" t="s">
        <v>7607</v>
      </c>
      <c r="F2709" t="s">
        <v>7608</v>
      </c>
      <c r="G2709" s="425">
        <v>12375258813</v>
      </c>
      <c r="H2709" s="425">
        <v>29700000</v>
      </c>
      <c r="I2709" s="425">
        <v>0</v>
      </c>
      <c r="J2709" s="425">
        <v>0</v>
      </c>
      <c r="K2709" s="425">
        <v>0</v>
      </c>
      <c r="L2709" s="425">
        <v>0</v>
      </c>
      <c r="M2709" s="425">
        <v>0</v>
      </c>
      <c r="N2709" s="425">
        <v>12345558813</v>
      </c>
      <c r="O2709" s="425">
        <v>0</v>
      </c>
    </row>
    <row r="2710" spans="1:15" hidden="1" x14ac:dyDescent="0.3">
      <c r="C2710" t="s">
        <v>2266</v>
      </c>
      <c r="D2710" t="s">
        <v>2237</v>
      </c>
      <c r="E2710" t="s">
        <v>7609</v>
      </c>
      <c r="F2710" t="s">
        <v>7610</v>
      </c>
      <c r="G2710" s="425">
        <v>15428798567</v>
      </c>
      <c r="H2710" s="425">
        <v>30000000</v>
      </c>
      <c r="I2710" s="425">
        <v>0</v>
      </c>
      <c r="J2710" s="425">
        <v>0</v>
      </c>
      <c r="K2710" s="425">
        <v>0</v>
      </c>
      <c r="L2710" s="425">
        <v>0</v>
      </c>
      <c r="M2710" s="425">
        <v>0</v>
      </c>
      <c r="N2710" s="425">
        <v>15398798567</v>
      </c>
      <c r="O2710" s="425">
        <v>0</v>
      </c>
    </row>
    <row r="2711" spans="1:15" hidden="1" x14ac:dyDescent="0.3">
      <c r="C2711" t="s">
        <v>2292</v>
      </c>
      <c r="D2711" t="s">
        <v>2267</v>
      </c>
      <c r="E2711" t="s">
        <v>7611</v>
      </c>
      <c r="F2711" t="s">
        <v>7612</v>
      </c>
      <c r="G2711" s="425">
        <v>0</v>
      </c>
      <c r="H2711" s="425">
        <v>0</v>
      </c>
      <c r="I2711" s="425">
        <v>0</v>
      </c>
      <c r="J2711" s="425">
        <v>0</v>
      </c>
      <c r="K2711" s="425">
        <v>0</v>
      </c>
      <c r="L2711" s="425">
        <v>0</v>
      </c>
      <c r="M2711" s="425">
        <v>0</v>
      </c>
      <c r="N2711" s="425">
        <v>0</v>
      </c>
      <c r="O2711" s="425">
        <v>0</v>
      </c>
    </row>
    <row r="2712" spans="1:15" hidden="1" x14ac:dyDescent="0.3">
      <c r="C2712" t="s">
        <v>2292</v>
      </c>
      <c r="D2712" t="s">
        <v>2267</v>
      </c>
      <c r="E2712" t="s">
        <v>7613</v>
      </c>
      <c r="F2712" t="s">
        <v>7614</v>
      </c>
      <c r="G2712" s="425">
        <v>15428798567</v>
      </c>
      <c r="H2712" s="425">
        <v>30000000</v>
      </c>
      <c r="I2712" s="425">
        <v>0</v>
      </c>
      <c r="J2712" s="425">
        <v>0</v>
      </c>
      <c r="K2712" s="425">
        <v>0</v>
      </c>
      <c r="L2712" s="425">
        <v>0</v>
      </c>
      <c r="M2712" s="425">
        <v>0</v>
      </c>
      <c r="N2712" s="425">
        <v>15398798567</v>
      </c>
      <c r="O2712" s="425">
        <v>0</v>
      </c>
    </row>
    <row r="2713" spans="1:15" hidden="1" x14ac:dyDescent="0.3">
      <c r="C2713" t="s">
        <v>2292</v>
      </c>
      <c r="D2713" t="s">
        <v>2267</v>
      </c>
      <c r="E2713" t="s">
        <v>7615</v>
      </c>
      <c r="F2713" t="s">
        <v>7616</v>
      </c>
      <c r="G2713" s="425">
        <v>0</v>
      </c>
      <c r="H2713" s="425">
        <v>0</v>
      </c>
      <c r="I2713" s="425">
        <v>0</v>
      </c>
      <c r="J2713" s="425">
        <v>0</v>
      </c>
      <c r="K2713" s="425">
        <v>0</v>
      </c>
      <c r="L2713" s="425">
        <v>0</v>
      </c>
      <c r="M2713" s="425">
        <v>0</v>
      </c>
      <c r="N2713" s="425">
        <v>0</v>
      </c>
      <c r="O2713" s="425">
        <v>0</v>
      </c>
    </row>
    <row r="2714" spans="1:15" hidden="1" x14ac:dyDescent="0.3">
      <c r="C2714" t="s">
        <v>2292</v>
      </c>
      <c r="D2714" t="s">
        <v>2267</v>
      </c>
      <c r="E2714" t="s">
        <v>7617</v>
      </c>
      <c r="F2714" t="s">
        <v>7618</v>
      </c>
      <c r="G2714" s="425">
        <v>0</v>
      </c>
      <c r="H2714" s="425">
        <v>0</v>
      </c>
      <c r="I2714" s="425">
        <v>0</v>
      </c>
      <c r="J2714" s="425">
        <v>0</v>
      </c>
      <c r="K2714" s="425">
        <v>0</v>
      </c>
      <c r="L2714" s="425">
        <v>0</v>
      </c>
      <c r="M2714" s="425">
        <v>0</v>
      </c>
      <c r="N2714" s="425">
        <v>0</v>
      </c>
      <c r="O2714" s="425">
        <v>0</v>
      </c>
    </row>
    <row r="2715" spans="1:15" hidden="1" x14ac:dyDescent="0.3">
      <c r="A2715" s="233"/>
      <c r="B2715" s="235" t="s">
        <v>119</v>
      </c>
      <c r="C2715" t="s">
        <v>2266</v>
      </c>
      <c r="D2715" t="s">
        <v>2237</v>
      </c>
      <c r="E2715" t="s">
        <v>7619</v>
      </c>
      <c r="F2715" t="s">
        <v>7620</v>
      </c>
      <c r="G2715" s="425">
        <v>-3053539754</v>
      </c>
      <c r="H2715" s="425">
        <v>-300000</v>
      </c>
      <c r="I2715" s="425">
        <v>0</v>
      </c>
      <c r="J2715" s="425">
        <v>0</v>
      </c>
      <c r="K2715" s="425">
        <v>0</v>
      </c>
      <c r="L2715" s="425">
        <v>0</v>
      </c>
      <c r="M2715" s="425">
        <v>0</v>
      </c>
      <c r="N2715" s="425">
        <v>-3053239754</v>
      </c>
      <c r="O2715" s="425">
        <v>0</v>
      </c>
    </row>
    <row r="2716" spans="1:15" hidden="1" x14ac:dyDescent="0.3">
      <c r="C2716" t="s">
        <v>2292</v>
      </c>
      <c r="D2716" t="s">
        <v>2267</v>
      </c>
      <c r="E2716" t="s">
        <v>119</v>
      </c>
      <c r="F2716" t="s">
        <v>7621</v>
      </c>
      <c r="G2716" s="425">
        <v>-3053539754</v>
      </c>
      <c r="H2716" s="425">
        <v>-300000</v>
      </c>
      <c r="I2716" s="425">
        <v>0</v>
      </c>
      <c r="J2716" s="425">
        <v>0</v>
      </c>
      <c r="K2716" s="425">
        <v>0</v>
      </c>
      <c r="L2716" s="425">
        <v>0</v>
      </c>
      <c r="M2716" s="425">
        <v>0</v>
      </c>
      <c r="N2716" s="425">
        <v>-3053239754</v>
      </c>
      <c r="O2716" s="425">
        <v>0</v>
      </c>
    </row>
    <row r="2717" spans="1:15" hidden="1" x14ac:dyDescent="0.3">
      <c r="C2717" t="s">
        <v>2266</v>
      </c>
      <c r="D2717" t="s">
        <v>2237</v>
      </c>
      <c r="E2717" t="s">
        <v>7622</v>
      </c>
      <c r="F2717" t="s">
        <v>7623</v>
      </c>
      <c r="G2717" s="425">
        <v>0</v>
      </c>
      <c r="H2717" s="425">
        <v>0</v>
      </c>
      <c r="I2717" s="425">
        <v>0</v>
      </c>
      <c r="J2717" s="425">
        <v>0</v>
      </c>
      <c r="K2717" s="425">
        <v>0</v>
      </c>
      <c r="L2717" s="425">
        <v>0</v>
      </c>
      <c r="M2717" s="425">
        <v>0</v>
      </c>
      <c r="N2717" s="425">
        <v>0</v>
      </c>
      <c r="O2717" s="425">
        <v>0</v>
      </c>
    </row>
    <row r="2718" spans="1:15" hidden="1" x14ac:dyDescent="0.3">
      <c r="C2718" t="s">
        <v>2292</v>
      </c>
      <c r="D2718" t="s">
        <v>2267</v>
      </c>
      <c r="E2718" t="s">
        <v>7624</v>
      </c>
      <c r="F2718" t="s">
        <v>7625</v>
      </c>
      <c r="G2718" s="425">
        <v>0</v>
      </c>
      <c r="H2718" s="425">
        <v>0</v>
      </c>
      <c r="I2718" s="425">
        <v>0</v>
      </c>
      <c r="J2718" s="425">
        <v>0</v>
      </c>
      <c r="K2718" s="425">
        <v>0</v>
      </c>
      <c r="L2718" s="425">
        <v>0</v>
      </c>
      <c r="M2718" s="425">
        <v>0</v>
      </c>
      <c r="N2718" s="425">
        <v>0</v>
      </c>
      <c r="O2718" s="425">
        <v>0</v>
      </c>
    </row>
    <row r="2719" spans="1:15" hidden="1" x14ac:dyDescent="0.3">
      <c r="A2719" s="233"/>
      <c r="B2719" s="235" t="s">
        <v>120</v>
      </c>
      <c r="C2719" t="s">
        <v>2263</v>
      </c>
      <c r="D2719" t="s">
        <v>2237</v>
      </c>
      <c r="E2719" t="s">
        <v>7626</v>
      </c>
      <c r="F2719" t="s">
        <v>7627</v>
      </c>
      <c r="G2719" s="425">
        <v>678741613856</v>
      </c>
      <c r="H2719" s="425">
        <v>274770021312</v>
      </c>
      <c r="I2719" s="425">
        <v>252929658652</v>
      </c>
      <c r="J2719" s="425">
        <v>0</v>
      </c>
      <c r="K2719" s="425">
        <v>12411161195</v>
      </c>
      <c r="L2719" s="425">
        <v>10726751</v>
      </c>
      <c r="M2719" s="425">
        <v>137563207344</v>
      </c>
      <c r="N2719" s="425">
        <v>1056838602</v>
      </c>
      <c r="O2719" s="425">
        <v>0</v>
      </c>
    </row>
    <row r="2720" spans="1:15" hidden="1" x14ac:dyDescent="0.3">
      <c r="C2720" t="s">
        <v>2266</v>
      </c>
      <c r="D2720" t="s">
        <v>2237</v>
      </c>
      <c r="E2720" t="s">
        <v>7628</v>
      </c>
      <c r="F2720" t="s">
        <v>7629</v>
      </c>
      <c r="G2720" s="425">
        <v>785937922593</v>
      </c>
      <c r="H2720" s="425">
        <v>302306763375</v>
      </c>
      <c r="I2720" s="425">
        <v>287430836329</v>
      </c>
      <c r="J2720" s="425">
        <v>0</v>
      </c>
      <c r="K2720" s="425">
        <v>15105250649</v>
      </c>
      <c r="L2720" s="425">
        <v>11080000</v>
      </c>
      <c r="M2720" s="425">
        <v>179938147240</v>
      </c>
      <c r="N2720" s="425">
        <v>1145845000</v>
      </c>
      <c r="O2720" s="425">
        <v>0</v>
      </c>
    </row>
    <row r="2721" spans="1:15" hidden="1" x14ac:dyDescent="0.3">
      <c r="C2721" t="s">
        <v>2292</v>
      </c>
      <c r="D2721" t="s">
        <v>2267</v>
      </c>
      <c r="E2721" t="s">
        <v>7630</v>
      </c>
      <c r="F2721" t="s">
        <v>7631</v>
      </c>
      <c r="G2721" s="425">
        <v>340264266</v>
      </c>
      <c r="H2721" s="425">
        <v>73080937</v>
      </c>
      <c r="I2721" s="425">
        <v>265603329</v>
      </c>
      <c r="J2721" s="425">
        <v>0</v>
      </c>
      <c r="K2721" s="425">
        <v>500000</v>
      </c>
      <c r="L2721" s="425">
        <v>1080000</v>
      </c>
      <c r="M2721" s="425">
        <v>0</v>
      </c>
      <c r="N2721" s="425">
        <v>0</v>
      </c>
      <c r="O2721" s="425">
        <v>0</v>
      </c>
    </row>
    <row r="2722" spans="1:15" hidden="1" x14ac:dyDescent="0.3">
      <c r="C2722" t="s">
        <v>2292</v>
      </c>
      <c r="D2722" t="s">
        <v>2267</v>
      </c>
      <c r="E2722" t="s">
        <v>7632</v>
      </c>
      <c r="F2722" t="s">
        <v>7633</v>
      </c>
      <c r="G2722" s="425">
        <v>772993948139</v>
      </c>
      <c r="H2722" s="425">
        <v>299766542250</v>
      </c>
      <c r="I2722" s="425">
        <v>286251333000</v>
      </c>
      <c r="J2722" s="425">
        <v>0</v>
      </c>
      <c r="K2722" s="425">
        <v>14882080649</v>
      </c>
      <c r="L2722" s="425">
        <v>10000000</v>
      </c>
      <c r="M2722" s="425">
        <v>170938147240</v>
      </c>
      <c r="N2722" s="425">
        <v>1145845000</v>
      </c>
      <c r="O2722" s="425">
        <v>0</v>
      </c>
    </row>
    <row r="2723" spans="1:15" hidden="1" x14ac:dyDescent="0.3">
      <c r="C2723" t="s">
        <v>2292</v>
      </c>
      <c r="D2723" t="s">
        <v>2267</v>
      </c>
      <c r="E2723" t="s">
        <v>7634</v>
      </c>
      <c r="F2723" t="s">
        <v>7635</v>
      </c>
      <c r="G2723" s="425">
        <v>12380460188</v>
      </c>
      <c r="H2723" s="425">
        <v>2226790188</v>
      </c>
      <c r="I2723" s="425">
        <v>931000000</v>
      </c>
      <c r="J2723" s="425">
        <v>0</v>
      </c>
      <c r="K2723" s="425">
        <v>222670000</v>
      </c>
      <c r="L2723" s="425">
        <v>0</v>
      </c>
      <c r="M2723" s="425">
        <v>9000000000</v>
      </c>
      <c r="N2723" s="425">
        <v>0</v>
      </c>
      <c r="O2723" s="425">
        <v>0</v>
      </c>
    </row>
    <row r="2724" spans="1:15" hidden="1" x14ac:dyDescent="0.3">
      <c r="C2724" t="s">
        <v>2292</v>
      </c>
      <c r="D2724" t="s">
        <v>2267</v>
      </c>
      <c r="E2724" t="s">
        <v>7636</v>
      </c>
      <c r="F2724" t="s">
        <v>7637</v>
      </c>
      <c r="G2724" s="425">
        <v>240350000</v>
      </c>
      <c r="H2724" s="425">
        <v>240350000</v>
      </c>
      <c r="I2724" s="425">
        <v>0</v>
      </c>
      <c r="J2724" s="425">
        <v>0</v>
      </c>
      <c r="K2724" s="425">
        <v>0</v>
      </c>
      <c r="L2724" s="425">
        <v>0</v>
      </c>
      <c r="M2724" s="425">
        <v>0</v>
      </c>
      <c r="N2724" s="425">
        <v>0</v>
      </c>
      <c r="O2724" s="425">
        <v>0</v>
      </c>
    </row>
    <row r="2725" spans="1:15" hidden="1" x14ac:dyDescent="0.3">
      <c r="C2725" t="s">
        <v>2292</v>
      </c>
      <c r="D2725" t="s">
        <v>2267</v>
      </c>
      <c r="E2725" t="s">
        <v>7638</v>
      </c>
      <c r="F2725" t="s">
        <v>7639</v>
      </c>
      <c r="G2725" s="425">
        <v>-17100000</v>
      </c>
      <c r="H2725" s="425">
        <v>0</v>
      </c>
      <c r="I2725" s="425">
        <v>-17100000</v>
      </c>
      <c r="J2725" s="425">
        <v>0</v>
      </c>
      <c r="K2725" s="425">
        <v>0</v>
      </c>
      <c r="L2725" s="425">
        <v>0</v>
      </c>
      <c r="M2725" s="425">
        <v>0</v>
      </c>
      <c r="N2725" s="425">
        <v>0</v>
      </c>
      <c r="O2725" s="425">
        <v>0</v>
      </c>
    </row>
    <row r="2726" spans="1:15" hidden="1" x14ac:dyDescent="0.3">
      <c r="C2726" t="s">
        <v>2266</v>
      </c>
      <c r="D2726" t="s">
        <v>2237</v>
      </c>
      <c r="E2726" t="s">
        <v>7640</v>
      </c>
      <c r="F2726" t="s">
        <v>7641</v>
      </c>
      <c r="G2726" s="425">
        <v>-107196308737</v>
      </c>
      <c r="H2726" s="425">
        <v>-27536742063</v>
      </c>
      <c r="I2726" s="425">
        <v>-34501177677</v>
      </c>
      <c r="J2726" s="425">
        <v>0</v>
      </c>
      <c r="K2726" s="425">
        <v>-2694089454</v>
      </c>
      <c r="L2726" s="425">
        <v>-353249</v>
      </c>
      <c r="M2726" s="425">
        <v>-42374939896</v>
      </c>
      <c r="N2726" s="425">
        <v>-89006398</v>
      </c>
      <c r="O2726" s="425">
        <v>0</v>
      </c>
    </row>
    <row r="2727" spans="1:15" hidden="1" x14ac:dyDescent="0.3">
      <c r="C2727" t="s">
        <v>2292</v>
      </c>
      <c r="D2727" t="s">
        <v>2267</v>
      </c>
      <c r="E2727" t="s">
        <v>7642</v>
      </c>
      <c r="F2727" t="s">
        <v>7643</v>
      </c>
      <c r="G2727" s="425">
        <v>-107196308737</v>
      </c>
      <c r="H2727" s="425">
        <v>-27536742063</v>
      </c>
      <c r="I2727" s="425">
        <v>-34501177677</v>
      </c>
      <c r="J2727" s="425">
        <v>0</v>
      </c>
      <c r="K2727" s="425">
        <v>-2694089454</v>
      </c>
      <c r="L2727" s="425">
        <v>-353249</v>
      </c>
      <c r="M2727" s="425">
        <v>-42374939896</v>
      </c>
      <c r="N2727" s="425">
        <v>-89006398</v>
      </c>
      <c r="O2727" s="425">
        <v>0</v>
      </c>
    </row>
    <row r="2728" spans="1:15" hidden="1" x14ac:dyDescent="0.3">
      <c r="A2728" s="233"/>
      <c r="B2728" s="235" t="s">
        <v>121</v>
      </c>
      <c r="C2728" t="s">
        <v>2263</v>
      </c>
      <c r="D2728" t="s">
        <v>2237</v>
      </c>
      <c r="E2728" t="s">
        <v>7644</v>
      </c>
      <c r="F2728" t="s">
        <v>7645</v>
      </c>
      <c r="G2728" s="425">
        <v>63111807844</v>
      </c>
      <c r="H2728" s="425">
        <v>0</v>
      </c>
      <c r="I2728" s="425">
        <v>4000000000</v>
      </c>
      <c r="J2728" s="425">
        <v>0</v>
      </c>
      <c r="K2728" s="425">
        <v>0</v>
      </c>
      <c r="L2728" s="425">
        <v>46000000000</v>
      </c>
      <c r="M2728" s="425">
        <v>544600400</v>
      </c>
      <c r="N2728" s="425">
        <v>12567207444</v>
      </c>
      <c r="O2728" s="425">
        <v>0</v>
      </c>
    </row>
    <row r="2729" spans="1:15" hidden="1" x14ac:dyDescent="0.3">
      <c r="C2729" t="s">
        <v>2266</v>
      </c>
      <c r="D2729" t="s">
        <v>2267</v>
      </c>
      <c r="E2729" t="s">
        <v>7646</v>
      </c>
      <c r="F2729" t="s">
        <v>7647</v>
      </c>
      <c r="G2729" s="425">
        <v>0</v>
      </c>
      <c r="H2729" s="425">
        <v>0</v>
      </c>
      <c r="I2729" s="425">
        <v>0</v>
      </c>
      <c r="J2729" s="425">
        <v>0</v>
      </c>
      <c r="K2729" s="425">
        <v>0</v>
      </c>
      <c r="L2729" s="425">
        <v>0</v>
      </c>
      <c r="M2729" s="425">
        <v>0</v>
      </c>
      <c r="N2729" s="425">
        <v>0</v>
      </c>
      <c r="O2729" s="425">
        <v>0</v>
      </c>
    </row>
    <row r="2730" spans="1:15" hidden="1" x14ac:dyDescent="0.3">
      <c r="C2730" t="s">
        <v>2266</v>
      </c>
      <c r="D2730" t="s">
        <v>2267</v>
      </c>
      <c r="E2730" t="s">
        <v>7648</v>
      </c>
      <c r="F2730" t="s">
        <v>7649</v>
      </c>
      <c r="G2730" s="425">
        <v>63111807844</v>
      </c>
      <c r="H2730" s="425">
        <v>0</v>
      </c>
      <c r="I2730" s="425">
        <v>4000000000</v>
      </c>
      <c r="J2730" s="425">
        <v>0</v>
      </c>
      <c r="K2730" s="425">
        <v>0</v>
      </c>
      <c r="L2730" s="425">
        <v>46000000000</v>
      </c>
      <c r="M2730" s="425">
        <v>544600400</v>
      </c>
      <c r="N2730" s="425">
        <v>12567207444</v>
      </c>
      <c r="O2730" s="425">
        <v>0</v>
      </c>
    </row>
    <row r="2731" spans="1:15" hidden="1" x14ac:dyDescent="0.3">
      <c r="C2731" t="s">
        <v>2266</v>
      </c>
      <c r="D2731" t="s">
        <v>2267</v>
      </c>
      <c r="E2731" t="s">
        <v>7650</v>
      </c>
      <c r="F2731" t="s">
        <v>7651</v>
      </c>
      <c r="G2731" s="425">
        <v>0</v>
      </c>
      <c r="H2731" s="425">
        <v>0</v>
      </c>
      <c r="I2731" s="425">
        <v>0</v>
      </c>
      <c r="J2731" s="425">
        <v>0</v>
      </c>
      <c r="K2731" s="425">
        <v>0</v>
      </c>
      <c r="L2731" s="425">
        <v>0</v>
      </c>
      <c r="M2731" s="425">
        <v>0</v>
      </c>
      <c r="N2731" s="425">
        <v>0</v>
      </c>
      <c r="O2731" s="425">
        <v>0</v>
      </c>
    </row>
    <row r="2732" spans="1:15" hidden="1" x14ac:dyDescent="0.3">
      <c r="A2732" s="233"/>
      <c r="B2732" s="235" t="s">
        <v>122</v>
      </c>
      <c r="C2732" t="s">
        <v>2263</v>
      </c>
      <c r="D2732" t="s">
        <v>2237</v>
      </c>
      <c r="E2732" t="s">
        <v>7652</v>
      </c>
      <c r="F2732" t="s">
        <v>7653</v>
      </c>
      <c r="G2732" s="425">
        <v>292626791980</v>
      </c>
      <c r="H2732" s="425">
        <v>12540090305</v>
      </c>
      <c r="I2732" s="425">
        <v>285195761</v>
      </c>
      <c r="J2732" s="425">
        <v>0</v>
      </c>
      <c r="K2732" s="425">
        <v>26425566772</v>
      </c>
      <c r="L2732" s="425">
        <v>0</v>
      </c>
      <c r="M2732" s="425">
        <v>250075065037</v>
      </c>
      <c r="N2732" s="425">
        <v>3300874105</v>
      </c>
      <c r="O2732" s="425">
        <v>0</v>
      </c>
    </row>
    <row r="2733" spans="1:15" hidden="1" x14ac:dyDescent="0.3">
      <c r="C2733" t="s">
        <v>2266</v>
      </c>
      <c r="D2733" t="s">
        <v>2267</v>
      </c>
      <c r="E2733" t="s">
        <v>7654</v>
      </c>
      <c r="F2733" t="s">
        <v>7655</v>
      </c>
      <c r="G2733" s="425">
        <v>287521731897</v>
      </c>
      <c r="H2733" s="425">
        <v>10735904332</v>
      </c>
      <c r="I2733" s="425">
        <v>285195761</v>
      </c>
      <c r="J2733" s="425">
        <v>0</v>
      </c>
      <c r="K2733" s="425">
        <v>26425566772</v>
      </c>
      <c r="L2733" s="425">
        <v>0</v>
      </c>
      <c r="M2733" s="425">
        <v>250075065037</v>
      </c>
      <c r="N2733" s="425">
        <v>-5</v>
      </c>
      <c r="O2733" s="425">
        <v>0</v>
      </c>
    </row>
    <row r="2734" spans="1:15" hidden="1" x14ac:dyDescent="0.3">
      <c r="C2734" t="s">
        <v>2266</v>
      </c>
      <c r="D2734" t="s">
        <v>2267</v>
      </c>
      <c r="E2734" t="s">
        <v>7656</v>
      </c>
      <c r="F2734" t="s">
        <v>7657</v>
      </c>
      <c r="G2734" s="425">
        <v>5105060083</v>
      </c>
      <c r="H2734" s="425">
        <v>1804185973</v>
      </c>
      <c r="I2734" s="425">
        <v>0</v>
      </c>
      <c r="J2734" s="425">
        <v>0</v>
      </c>
      <c r="K2734" s="425">
        <v>0</v>
      </c>
      <c r="L2734" s="425">
        <v>0</v>
      </c>
      <c r="M2734" s="425">
        <v>0</v>
      </c>
      <c r="N2734" s="425">
        <v>3300874110</v>
      </c>
      <c r="O2734" s="425">
        <v>0</v>
      </c>
    </row>
    <row r="2735" spans="1:15" hidden="1" x14ac:dyDescent="0.3">
      <c r="A2735" s="233"/>
      <c r="B2735" s="235" t="s">
        <v>123</v>
      </c>
      <c r="C2735" t="s">
        <v>2263</v>
      </c>
      <c r="D2735" t="s">
        <v>2237</v>
      </c>
      <c r="E2735" t="s">
        <v>7658</v>
      </c>
      <c r="F2735" t="s">
        <v>7659</v>
      </c>
      <c r="G2735" s="425">
        <v>20452619</v>
      </c>
      <c r="H2735" s="425">
        <v>0</v>
      </c>
      <c r="I2735" s="425">
        <v>0</v>
      </c>
      <c r="J2735" s="425">
        <v>0</v>
      </c>
      <c r="K2735" s="425">
        <v>0</v>
      </c>
      <c r="L2735" s="425">
        <v>20452619</v>
      </c>
      <c r="M2735" s="425">
        <v>0</v>
      </c>
      <c r="N2735" s="425">
        <v>0</v>
      </c>
      <c r="O2735" s="425">
        <v>0</v>
      </c>
    </row>
    <row r="2736" spans="1:15" hidden="1" x14ac:dyDescent="0.3">
      <c r="C2736" t="s">
        <v>2266</v>
      </c>
      <c r="D2736" t="s">
        <v>2267</v>
      </c>
      <c r="E2736" t="s">
        <v>7660</v>
      </c>
      <c r="F2736" t="s">
        <v>7661</v>
      </c>
      <c r="G2736" s="425">
        <v>25917770</v>
      </c>
      <c r="H2736" s="425">
        <v>0</v>
      </c>
      <c r="I2736" s="425">
        <v>0</v>
      </c>
      <c r="J2736" s="425">
        <v>0</v>
      </c>
      <c r="K2736" s="425">
        <v>0</v>
      </c>
      <c r="L2736" s="425">
        <v>25917770</v>
      </c>
      <c r="M2736" s="425">
        <v>0</v>
      </c>
      <c r="N2736" s="425">
        <v>0</v>
      </c>
      <c r="O2736" s="425">
        <v>0</v>
      </c>
    </row>
    <row r="2737" spans="1:15" hidden="1" x14ac:dyDescent="0.3">
      <c r="C2737" t="s">
        <v>2266</v>
      </c>
      <c r="D2737" t="s">
        <v>2267</v>
      </c>
      <c r="E2737" t="s">
        <v>7662</v>
      </c>
      <c r="F2737" t="s">
        <v>7663</v>
      </c>
      <c r="G2737" s="425">
        <v>-5465151</v>
      </c>
      <c r="H2737" s="425">
        <v>0</v>
      </c>
      <c r="I2737" s="425">
        <v>0</v>
      </c>
      <c r="J2737" s="425">
        <v>0</v>
      </c>
      <c r="K2737" s="425">
        <v>0</v>
      </c>
      <c r="L2737" s="425">
        <v>-5465151</v>
      </c>
      <c r="M2737" s="425">
        <v>0</v>
      </c>
      <c r="N2737" s="425">
        <v>0</v>
      </c>
      <c r="O2737" s="425">
        <v>0</v>
      </c>
    </row>
    <row r="2738" spans="1:15" hidden="1" x14ac:dyDescent="0.3">
      <c r="A2738" s="233"/>
      <c r="B2738" s="235" t="s">
        <v>123</v>
      </c>
      <c r="C2738" t="s">
        <v>2263</v>
      </c>
      <c r="D2738" t="s">
        <v>2237</v>
      </c>
      <c r="E2738" t="s">
        <v>7664</v>
      </c>
      <c r="F2738" t="s">
        <v>7665</v>
      </c>
      <c r="G2738" s="425">
        <v>63980028</v>
      </c>
      <c r="H2738" s="425">
        <v>0</v>
      </c>
      <c r="I2738" s="425">
        <v>0</v>
      </c>
      <c r="J2738" s="425">
        <v>0</v>
      </c>
      <c r="K2738" s="425">
        <v>0</v>
      </c>
      <c r="L2738" s="425">
        <v>0</v>
      </c>
      <c r="M2738" s="425">
        <v>0</v>
      </c>
      <c r="N2738" s="425">
        <v>63980028</v>
      </c>
      <c r="O2738" s="425">
        <v>0</v>
      </c>
    </row>
    <row r="2739" spans="1:15" hidden="1" x14ac:dyDescent="0.3">
      <c r="C2739" t="s">
        <v>2266</v>
      </c>
      <c r="D2739" t="s">
        <v>2267</v>
      </c>
      <c r="E2739" t="s">
        <v>7666</v>
      </c>
      <c r="F2739" t="s">
        <v>7667</v>
      </c>
      <c r="G2739" s="425">
        <v>63980028</v>
      </c>
      <c r="H2739" s="425">
        <v>0</v>
      </c>
      <c r="I2739" s="425">
        <v>0</v>
      </c>
      <c r="J2739" s="425">
        <v>0</v>
      </c>
      <c r="K2739" s="425">
        <v>0</v>
      </c>
      <c r="L2739" s="425">
        <v>0</v>
      </c>
      <c r="M2739" s="425">
        <v>0</v>
      </c>
      <c r="N2739" s="425">
        <v>63980028</v>
      </c>
      <c r="O2739" s="425">
        <v>0</v>
      </c>
    </row>
    <row r="2740" spans="1:15" hidden="1" x14ac:dyDescent="0.3">
      <c r="A2740" s="240"/>
      <c r="B2740" s="239" t="s">
        <v>124</v>
      </c>
      <c r="C2740" t="s">
        <v>2260</v>
      </c>
      <c r="D2740" t="s">
        <v>2237</v>
      </c>
      <c r="E2740" t="s">
        <v>7668</v>
      </c>
      <c r="F2740" t="s">
        <v>7669</v>
      </c>
      <c r="G2740" s="425">
        <v>652639953206</v>
      </c>
      <c r="H2740" s="425">
        <v>0</v>
      </c>
      <c r="I2740" s="425">
        <v>0</v>
      </c>
      <c r="J2740" s="425">
        <v>0</v>
      </c>
      <c r="K2740" s="425">
        <v>1591660255</v>
      </c>
      <c r="L2740" s="425">
        <v>10000000</v>
      </c>
      <c r="M2740" s="425">
        <v>25382174799</v>
      </c>
      <c r="N2740" s="425">
        <v>625656118152</v>
      </c>
      <c r="O2740" s="425">
        <v>0</v>
      </c>
    </row>
    <row r="2741" spans="1:15" hidden="1" x14ac:dyDescent="0.3">
      <c r="A2741" s="233"/>
      <c r="B2741" s="235" t="s">
        <v>128</v>
      </c>
      <c r="C2741" t="s">
        <v>2263</v>
      </c>
      <c r="D2741" t="s">
        <v>2237</v>
      </c>
      <c r="E2741" t="s">
        <v>7670</v>
      </c>
      <c r="F2741" t="s">
        <v>7671</v>
      </c>
      <c r="G2741" s="425">
        <v>7333335635</v>
      </c>
      <c r="H2741" s="425">
        <v>0</v>
      </c>
      <c r="I2741" s="425">
        <v>0</v>
      </c>
      <c r="J2741" s="425">
        <v>0</v>
      </c>
      <c r="K2741" s="425">
        <v>0</v>
      </c>
      <c r="L2741" s="425">
        <v>0</v>
      </c>
      <c r="M2741" s="425">
        <v>0</v>
      </c>
      <c r="N2741" s="425">
        <v>7333335635</v>
      </c>
      <c r="O2741" s="425">
        <v>0</v>
      </c>
    </row>
    <row r="2742" spans="1:15" hidden="1" x14ac:dyDescent="0.3">
      <c r="C2742" t="s">
        <v>2266</v>
      </c>
      <c r="D2742" t="s">
        <v>2267</v>
      </c>
      <c r="E2742" t="s">
        <v>7672</v>
      </c>
      <c r="F2742" t="s">
        <v>7673</v>
      </c>
      <c r="G2742" s="425">
        <v>7333335635</v>
      </c>
      <c r="H2742" s="425">
        <v>0</v>
      </c>
      <c r="I2742" s="425">
        <v>0</v>
      </c>
      <c r="J2742" s="425">
        <v>0</v>
      </c>
      <c r="K2742" s="425">
        <v>0</v>
      </c>
      <c r="L2742" s="425">
        <v>0</v>
      </c>
      <c r="M2742" s="425">
        <v>0</v>
      </c>
      <c r="N2742" s="425">
        <v>7333335635</v>
      </c>
      <c r="O2742" s="425">
        <v>0</v>
      </c>
    </row>
    <row r="2743" spans="1:15" hidden="1" x14ac:dyDescent="0.3">
      <c r="A2743" s="233"/>
      <c r="B2743" s="235" t="s">
        <v>129</v>
      </c>
      <c r="C2743" t="s">
        <v>2263</v>
      </c>
      <c r="D2743" t="s">
        <v>2237</v>
      </c>
      <c r="E2743" t="s">
        <v>7674</v>
      </c>
      <c r="F2743" t="s">
        <v>7675</v>
      </c>
      <c r="G2743" s="425">
        <v>645306617571</v>
      </c>
      <c r="H2743" s="425">
        <v>0</v>
      </c>
      <c r="I2743" s="425">
        <v>0</v>
      </c>
      <c r="J2743" s="425">
        <v>0</v>
      </c>
      <c r="K2743" s="425">
        <v>1591660255</v>
      </c>
      <c r="L2743" s="425">
        <v>10000000</v>
      </c>
      <c r="M2743" s="425">
        <v>25382174799</v>
      </c>
      <c r="N2743" s="425">
        <v>618322782517</v>
      </c>
      <c r="O2743" s="425">
        <v>0</v>
      </c>
    </row>
    <row r="2744" spans="1:15" hidden="1" x14ac:dyDescent="0.3">
      <c r="C2744" t="s">
        <v>2266</v>
      </c>
      <c r="D2744" t="s">
        <v>2267</v>
      </c>
      <c r="E2744" t="s">
        <v>7676</v>
      </c>
      <c r="F2744" t="s">
        <v>7677</v>
      </c>
      <c r="G2744" s="425">
        <v>375769022496</v>
      </c>
      <c r="H2744" s="425">
        <v>0</v>
      </c>
      <c r="I2744" s="425">
        <v>0</v>
      </c>
      <c r="J2744" s="425">
        <v>0</v>
      </c>
      <c r="K2744" s="425">
        <v>0</v>
      </c>
      <c r="L2744" s="425">
        <v>10000000</v>
      </c>
      <c r="M2744" s="425">
        <v>0</v>
      </c>
      <c r="N2744" s="425">
        <v>375759022496</v>
      </c>
      <c r="O2744" s="425">
        <v>0</v>
      </c>
    </row>
    <row r="2745" spans="1:15" hidden="1" x14ac:dyDescent="0.3">
      <c r="C2745" t="s">
        <v>2266</v>
      </c>
      <c r="D2745" t="s">
        <v>2267</v>
      </c>
      <c r="E2745" t="s">
        <v>7678</v>
      </c>
      <c r="F2745" t="s">
        <v>7679</v>
      </c>
      <c r="G2745" s="425">
        <v>48245503160</v>
      </c>
      <c r="H2745" s="425">
        <v>0</v>
      </c>
      <c r="I2745" s="425">
        <v>0</v>
      </c>
      <c r="J2745" s="425">
        <v>0</v>
      </c>
      <c r="K2745" s="425">
        <v>0</v>
      </c>
      <c r="L2745" s="425">
        <v>0</v>
      </c>
      <c r="M2745" s="425">
        <v>399892790</v>
      </c>
      <c r="N2745" s="425">
        <v>47845610370</v>
      </c>
      <c r="O2745" s="425">
        <v>0</v>
      </c>
    </row>
    <row r="2746" spans="1:15" hidden="1" x14ac:dyDescent="0.3">
      <c r="C2746" t="s">
        <v>2266</v>
      </c>
      <c r="D2746" t="s">
        <v>2267</v>
      </c>
      <c r="E2746" t="s">
        <v>7680</v>
      </c>
      <c r="F2746" t="s">
        <v>7681</v>
      </c>
      <c r="G2746" s="425">
        <v>102175789144</v>
      </c>
      <c r="H2746" s="425">
        <v>0</v>
      </c>
      <c r="I2746" s="425">
        <v>0</v>
      </c>
      <c r="J2746" s="425">
        <v>0</v>
      </c>
      <c r="K2746" s="425">
        <v>622495925</v>
      </c>
      <c r="L2746" s="425">
        <v>0</v>
      </c>
      <c r="M2746" s="425">
        <v>8536689350</v>
      </c>
      <c r="N2746" s="425">
        <v>93016603869</v>
      </c>
      <c r="O2746" s="425">
        <v>0</v>
      </c>
    </row>
    <row r="2747" spans="1:15" hidden="1" x14ac:dyDescent="0.3">
      <c r="C2747" t="s">
        <v>2266</v>
      </c>
      <c r="D2747" t="s">
        <v>2267</v>
      </c>
      <c r="E2747" t="s">
        <v>7682</v>
      </c>
      <c r="F2747" t="s">
        <v>7683</v>
      </c>
      <c r="G2747" s="425">
        <v>119116302771</v>
      </c>
      <c r="H2747" s="425">
        <v>0</v>
      </c>
      <c r="I2747" s="425">
        <v>0</v>
      </c>
      <c r="J2747" s="425">
        <v>0</v>
      </c>
      <c r="K2747" s="425">
        <v>969164330</v>
      </c>
      <c r="L2747" s="425">
        <v>0</v>
      </c>
      <c r="M2747" s="425">
        <v>16445592659</v>
      </c>
      <c r="N2747" s="425">
        <v>101701545782</v>
      </c>
      <c r="O2747" s="425">
        <v>0</v>
      </c>
    </row>
    <row r="2748" spans="1:15" hidden="1" x14ac:dyDescent="0.3">
      <c r="C2748" t="s">
        <v>2266</v>
      </c>
      <c r="D2748" t="s">
        <v>2267</v>
      </c>
      <c r="E2748" t="s">
        <v>7684</v>
      </c>
      <c r="F2748" t="s">
        <v>7685</v>
      </c>
      <c r="G2748" s="425">
        <v>0</v>
      </c>
      <c r="H2748" s="425">
        <v>0</v>
      </c>
      <c r="I2748" s="425">
        <v>0</v>
      </c>
      <c r="J2748" s="425">
        <v>0</v>
      </c>
      <c r="K2748" s="425">
        <v>0</v>
      </c>
      <c r="L2748" s="425">
        <v>0</v>
      </c>
      <c r="M2748" s="425">
        <v>0</v>
      </c>
      <c r="N2748" s="425">
        <v>0</v>
      </c>
      <c r="O2748" s="425">
        <v>0</v>
      </c>
    </row>
    <row r="2749" spans="1:15" hidden="1" x14ac:dyDescent="0.3">
      <c r="A2749" s="240"/>
      <c r="B2749" s="239" t="s">
        <v>131</v>
      </c>
      <c r="C2749" t="s">
        <v>2260</v>
      </c>
      <c r="D2749" t="s">
        <v>2237</v>
      </c>
      <c r="E2749" t="s">
        <v>7686</v>
      </c>
      <c r="F2749" t="s">
        <v>7687</v>
      </c>
      <c r="G2749" s="425">
        <v>504255645209</v>
      </c>
      <c r="H2749" s="425">
        <v>0</v>
      </c>
      <c r="I2749" s="425">
        <v>0</v>
      </c>
      <c r="J2749" s="425">
        <v>0</v>
      </c>
      <c r="K2749" s="425">
        <v>0</v>
      </c>
      <c r="L2749" s="425">
        <v>0</v>
      </c>
      <c r="M2749" s="425">
        <v>11845908075</v>
      </c>
      <c r="N2749" s="425">
        <v>492409737134</v>
      </c>
      <c r="O2749" s="425">
        <v>0</v>
      </c>
    </row>
    <row r="2750" spans="1:15" hidden="1" x14ac:dyDescent="0.3">
      <c r="C2750" t="s">
        <v>2263</v>
      </c>
      <c r="D2750" t="s">
        <v>2237</v>
      </c>
      <c r="E2750" t="s">
        <v>7688</v>
      </c>
      <c r="F2750" t="s">
        <v>7689</v>
      </c>
      <c r="G2750" s="425">
        <v>186614562713</v>
      </c>
      <c r="H2750" s="425">
        <v>0</v>
      </c>
      <c r="I2750" s="425">
        <v>0</v>
      </c>
      <c r="J2750" s="425">
        <v>0</v>
      </c>
      <c r="K2750" s="425">
        <v>0</v>
      </c>
      <c r="L2750" s="425">
        <v>0</v>
      </c>
      <c r="M2750" s="425">
        <v>11345908075</v>
      </c>
      <c r="N2750" s="425">
        <v>175268654638</v>
      </c>
      <c r="O2750" s="425">
        <v>0</v>
      </c>
    </row>
    <row r="2751" spans="1:15" hidden="1" x14ac:dyDescent="0.3">
      <c r="C2751" t="s">
        <v>2266</v>
      </c>
      <c r="D2751" t="s">
        <v>2267</v>
      </c>
      <c r="E2751" t="s">
        <v>7690</v>
      </c>
      <c r="F2751" t="s">
        <v>7691</v>
      </c>
      <c r="G2751" s="425">
        <v>186614562713</v>
      </c>
      <c r="H2751" s="425">
        <v>0</v>
      </c>
      <c r="I2751" s="425">
        <v>0</v>
      </c>
      <c r="J2751" s="425">
        <v>0</v>
      </c>
      <c r="K2751" s="425">
        <v>0</v>
      </c>
      <c r="L2751" s="425">
        <v>0</v>
      </c>
      <c r="M2751" s="425">
        <v>11345908075</v>
      </c>
      <c r="N2751" s="425">
        <v>175268654638</v>
      </c>
      <c r="O2751" s="425">
        <v>0</v>
      </c>
    </row>
    <row r="2752" spans="1:15" hidden="1" x14ac:dyDescent="0.3">
      <c r="C2752" t="s">
        <v>2263</v>
      </c>
      <c r="D2752" t="s">
        <v>2237</v>
      </c>
      <c r="E2752" t="s">
        <v>7692</v>
      </c>
      <c r="F2752" t="s">
        <v>7693</v>
      </c>
      <c r="G2752" s="425">
        <v>241421339356</v>
      </c>
      <c r="H2752" s="425">
        <v>0</v>
      </c>
      <c r="I2752" s="425">
        <v>0</v>
      </c>
      <c r="J2752" s="425">
        <v>0</v>
      </c>
      <c r="K2752" s="425">
        <v>0</v>
      </c>
      <c r="L2752" s="425">
        <v>0</v>
      </c>
      <c r="M2752" s="425">
        <v>500000000</v>
      </c>
      <c r="N2752" s="425">
        <v>240921339356</v>
      </c>
      <c r="O2752" s="425">
        <v>0</v>
      </c>
    </row>
    <row r="2753" spans="1:15" hidden="1" x14ac:dyDescent="0.3">
      <c r="C2753" t="s">
        <v>2266</v>
      </c>
      <c r="D2753" t="s">
        <v>2267</v>
      </c>
      <c r="E2753" t="s">
        <v>7694</v>
      </c>
      <c r="F2753" t="s">
        <v>7695</v>
      </c>
      <c r="G2753" s="425">
        <v>241421339356</v>
      </c>
      <c r="H2753" s="425">
        <v>0</v>
      </c>
      <c r="I2753" s="425">
        <v>0</v>
      </c>
      <c r="J2753" s="425">
        <v>0</v>
      </c>
      <c r="K2753" s="425">
        <v>0</v>
      </c>
      <c r="L2753" s="425">
        <v>0</v>
      </c>
      <c r="M2753" s="425">
        <v>500000000</v>
      </c>
      <c r="N2753" s="425">
        <v>240921339356</v>
      </c>
      <c r="O2753" s="425">
        <v>0</v>
      </c>
    </row>
    <row r="2754" spans="1:15" hidden="1" x14ac:dyDescent="0.3">
      <c r="C2754" t="s">
        <v>2263</v>
      </c>
      <c r="D2754" t="s">
        <v>2237</v>
      </c>
      <c r="E2754" t="s">
        <v>7696</v>
      </c>
      <c r="F2754" t="s">
        <v>7697</v>
      </c>
      <c r="G2754" s="425">
        <v>76219743140</v>
      </c>
      <c r="H2754" s="425">
        <v>0</v>
      </c>
      <c r="I2754" s="425">
        <v>0</v>
      </c>
      <c r="J2754" s="425">
        <v>0</v>
      </c>
      <c r="K2754" s="425">
        <v>0</v>
      </c>
      <c r="L2754" s="425">
        <v>0</v>
      </c>
      <c r="M2754" s="425">
        <v>0</v>
      </c>
      <c r="N2754" s="425">
        <v>76219743140</v>
      </c>
      <c r="O2754" s="425">
        <v>0</v>
      </c>
    </row>
    <row r="2755" spans="1:15" hidden="1" x14ac:dyDescent="0.3">
      <c r="C2755" t="s">
        <v>2266</v>
      </c>
      <c r="D2755" t="s">
        <v>2267</v>
      </c>
      <c r="E2755" t="s">
        <v>7698</v>
      </c>
      <c r="F2755" t="s">
        <v>7699</v>
      </c>
      <c r="G2755" s="425">
        <v>76219743140</v>
      </c>
      <c r="H2755" s="425">
        <v>0</v>
      </c>
      <c r="I2755" s="425">
        <v>0</v>
      </c>
      <c r="J2755" s="425">
        <v>0</v>
      </c>
      <c r="K2755" s="425">
        <v>0</v>
      </c>
      <c r="L2755" s="425">
        <v>0</v>
      </c>
      <c r="M2755" s="425">
        <v>0</v>
      </c>
      <c r="N2755" s="425">
        <v>76219743140</v>
      </c>
      <c r="O2755" s="425">
        <v>0</v>
      </c>
    </row>
    <row r="2756" spans="1:15" hidden="1" x14ac:dyDescent="0.3">
      <c r="A2756" s="233"/>
      <c r="B2756" s="235" t="s">
        <v>766</v>
      </c>
      <c r="C2756" t="s">
        <v>2260</v>
      </c>
      <c r="D2756" t="s">
        <v>2237</v>
      </c>
      <c r="E2756" t="s">
        <v>7700</v>
      </c>
      <c r="F2756" t="s">
        <v>7701</v>
      </c>
      <c r="G2756" s="425">
        <v>29654484121</v>
      </c>
      <c r="H2756" s="425">
        <v>12640459793</v>
      </c>
      <c r="I2756" s="425">
        <v>6789910657</v>
      </c>
      <c r="J2756" s="425">
        <v>0</v>
      </c>
      <c r="K2756" s="425">
        <v>2322084931</v>
      </c>
      <c r="L2756" s="425">
        <v>4264594750</v>
      </c>
      <c r="M2756" s="425">
        <v>364683309</v>
      </c>
      <c r="N2756" s="425">
        <v>3272750681</v>
      </c>
      <c r="O2756" s="425">
        <v>0</v>
      </c>
    </row>
    <row r="2757" spans="1:15" hidden="1" x14ac:dyDescent="0.3">
      <c r="C2757" t="s">
        <v>2263</v>
      </c>
      <c r="D2757" t="s">
        <v>2237</v>
      </c>
      <c r="E2757" t="s">
        <v>7702</v>
      </c>
      <c r="F2757" t="s">
        <v>7703</v>
      </c>
      <c r="G2757" s="425">
        <v>-269314734219</v>
      </c>
      <c r="H2757" s="425">
        <v>-112489972799</v>
      </c>
      <c r="I2757" s="425">
        <v>-60218903397</v>
      </c>
      <c r="J2757" s="425">
        <v>0</v>
      </c>
      <c r="K2757" s="425">
        <v>-20743038672</v>
      </c>
      <c r="L2757" s="425">
        <v>-43449741129</v>
      </c>
      <c r="M2757" s="425">
        <v>-3251278216</v>
      </c>
      <c r="N2757" s="425">
        <v>-29161800006</v>
      </c>
      <c r="O2757" s="425">
        <v>0</v>
      </c>
    </row>
    <row r="2758" spans="1:15" hidden="1" x14ac:dyDescent="0.3">
      <c r="C2758" t="s">
        <v>2266</v>
      </c>
      <c r="D2758" t="s">
        <v>2267</v>
      </c>
      <c r="E2758" t="s">
        <v>7704</v>
      </c>
      <c r="F2758" t="s">
        <v>7705</v>
      </c>
      <c r="G2758" s="425">
        <v>-269314734219</v>
      </c>
      <c r="H2758" s="425">
        <v>-112489972799</v>
      </c>
      <c r="I2758" s="425">
        <v>-60218903397</v>
      </c>
      <c r="J2758" s="425">
        <v>0</v>
      </c>
      <c r="K2758" s="425">
        <v>-20743038672</v>
      </c>
      <c r="L2758" s="425">
        <v>-43449741129</v>
      </c>
      <c r="M2758" s="425">
        <v>-3251278216</v>
      </c>
      <c r="N2758" s="425">
        <v>-29161800006</v>
      </c>
      <c r="O2758" s="425">
        <v>0</v>
      </c>
    </row>
    <row r="2759" spans="1:15" hidden="1" x14ac:dyDescent="0.3">
      <c r="C2759" t="s">
        <v>2263</v>
      </c>
      <c r="D2759" t="s">
        <v>2237</v>
      </c>
      <c r="E2759" t="s">
        <v>7706</v>
      </c>
      <c r="F2759" t="s">
        <v>7707</v>
      </c>
      <c r="G2759" s="425">
        <v>298969218340</v>
      </c>
      <c r="H2759" s="425">
        <v>125130432592</v>
      </c>
      <c r="I2759" s="425">
        <v>67008814054</v>
      </c>
      <c r="J2759" s="425">
        <v>0</v>
      </c>
      <c r="K2759" s="425">
        <v>23065123603</v>
      </c>
      <c r="L2759" s="425">
        <v>47714335879</v>
      </c>
      <c r="M2759" s="425">
        <v>3615961525</v>
      </c>
      <c r="N2759" s="425">
        <v>32434550687</v>
      </c>
      <c r="O2759" s="425">
        <v>0</v>
      </c>
    </row>
    <row r="2760" spans="1:15" hidden="1" x14ac:dyDescent="0.3">
      <c r="C2760" t="s">
        <v>2266</v>
      </c>
      <c r="D2760" t="s">
        <v>2267</v>
      </c>
      <c r="E2760" t="s">
        <v>7708</v>
      </c>
      <c r="F2760" t="s">
        <v>7709</v>
      </c>
      <c r="G2760" s="425">
        <v>298969218340</v>
      </c>
      <c r="H2760" s="425">
        <v>125130432592</v>
      </c>
      <c r="I2760" s="425">
        <v>67008814054</v>
      </c>
      <c r="J2760" s="425">
        <v>0</v>
      </c>
      <c r="K2760" s="425">
        <v>23065123603</v>
      </c>
      <c r="L2760" s="425">
        <v>47714335879</v>
      </c>
      <c r="M2760" s="425">
        <v>3615961525</v>
      </c>
      <c r="N2760" s="425">
        <v>32434550687</v>
      </c>
      <c r="O2760" s="425">
        <v>0</v>
      </c>
    </row>
    <row r="2761" spans="1:15" hidden="1" x14ac:dyDescent="0.3">
      <c r="A2761" s="240"/>
      <c r="B2761" s="239" t="s">
        <v>132</v>
      </c>
      <c r="C2761" t="s">
        <v>2260</v>
      </c>
      <c r="D2761" t="s">
        <v>2237</v>
      </c>
      <c r="E2761" t="s">
        <v>7710</v>
      </c>
      <c r="F2761" t="s">
        <v>7711</v>
      </c>
      <c r="G2761" s="425">
        <v>1282564136286</v>
      </c>
      <c r="H2761" s="425">
        <v>494135019605</v>
      </c>
      <c r="I2761" s="425">
        <v>412927564080</v>
      </c>
      <c r="J2761" s="425">
        <v>0</v>
      </c>
      <c r="K2761" s="425">
        <v>31188016159</v>
      </c>
      <c r="L2761" s="425">
        <v>338045245119</v>
      </c>
      <c r="M2761" s="425">
        <v>420216464</v>
      </c>
      <c r="N2761" s="425">
        <v>5848074859</v>
      </c>
      <c r="O2761" s="425">
        <v>0</v>
      </c>
    </row>
    <row r="2762" spans="1:15" hidden="1" x14ac:dyDescent="0.3">
      <c r="C2762" t="s">
        <v>2263</v>
      </c>
      <c r="D2762" t="s">
        <v>2237</v>
      </c>
      <c r="E2762" t="s">
        <v>7712</v>
      </c>
      <c r="F2762" t="s">
        <v>7713</v>
      </c>
      <c r="G2762" s="425">
        <v>479815685756</v>
      </c>
      <c r="H2762" s="425">
        <v>4257250936</v>
      </c>
      <c r="I2762" s="425">
        <v>258638157552</v>
      </c>
      <c r="J2762" s="425">
        <v>0</v>
      </c>
      <c r="K2762" s="425">
        <v>0</v>
      </c>
      <c r="L2762" s="425">
        <v>215795527878</v>
      </c>
      <c r="M2762" s="425">
        <v>0</v>
      </c>
      <c r="N2762" s="425">
        <v>1124749390</v>
      </c>
      <c r="O2762" s="425">
        <v>0</v>
      </c>
    </row>
    <row r="2763" spans="1:15" hidden="1" x14ac:dyDescent="0.3">
      <c r="C2763" t="s">
        <v>2266</v>
      </c>
      <c r="D2763" t="s">
        <v>2267</v>
      </c>
      <c r="E2763" t="s">
        <v>7714</v>
      </c>
      <c r="F2763" t="s">
        <v>7715</v>
      </c>
      <c r="G2763" s="425">
        <v>517645766378</v>
      </c>
      <c r="H2763" s="425">
        <v>4257250936</v>
      </c>
      <c r="I2763" s="425">
        <v>258638157552</v>
      </c>
      <c r="J2763" s="425">
        <v>0</v>
      </c>
      <c r="K2763" s="425">
        <v>0</v>
      </c>
      <c r="L2763" s="425">
        <v>253625608500</v>
      </c>
      <c r="M2763" s="425">
        <v>0</v>
      </c>
      <c r="N2763" s="425">
        <v>1124749390</v>
      </c>
      <c r="O2763" s="425">
        <v>0</v>
      </c>
    </row>
    <row r="2764" spans="1:15" hidden="1" x14ac:dyDescent="0.3">
      <c r="C2764" t="s">
        <v>2266</v>
      </c>
      <c r="D2764" t="s">
        <v>2267</v>
      </c>
      <c r="E2764" t="s">
        <v>7716</v>
      </c>
      <c r="F2764" t="s">
        <v>7717</v>
      </c>
      <c r="G2764" s="425">
        <v>-37830080622</v>
      </c>
      <c r="H2764" s="425">
        <v>0</v>
      </c>
      <c r="I2764" s="425">
        <v>0</v>
      </c>
      <c r="J2764" s="425">
        <v>0</v>
      </c>
      <c r="K2764" s="425">
        <v>0</v>
      </c>
      <c r="L2764" s="425">
        <v>-37830080622</v>
      </c>
      <c r="M2764" s="425">
        <v>0</v>
      </c>
      <c r="N2764" s="425">
        <v>0</v>
      </c>
      <c r="O2764" s="425">
        <v>0</v>
      </c>
    </row>
    <row r="2765" spans="1:15" hidden="1" x14ac:dyDescent="0.3">
      <c r="C2765" t="s">
        <v>2263</v>
      </c>
      <c r="D2765" t="s">
        <v>2237</v>
      </c>
      <c r="E2765" t="s">
        <v>7718</v>
      </c>
      <c r="F2765" t="s">
        <v>7719</v>
      </c>
      <c r="G2765" s="425">
        <v>-831121621</v>
      </c>
      <c r="H2765" s="425">
        <v>-41180752</v>
      </c>
      <c r="I2765" s="425">
        <v>-789940869</v>
      </c>
      <c r="J2765" s="425">
        <v>0</v>
      </c>
      <c r="K2765" s="425">
        <v>0</v>
      </c>
      <c r="L2765" s="425">
        <v>0</v>
      </c>
      <c r="M2765" s="425">
        <v>0</v>
      </c>
      <c r="N2765" s="425">
        <v>0</v>
      </c>
      <c r="O2765" s="425">
        <v>0</v>
      </c>
    </row>
    <row r="2766" spans="1:15" hidden="1" x14ac:dyDescent="0.3">
      <c r="C2766" t="s">
        <v>2266</v>
      </c>
      <c r="D2766" t="s">
        <v>2267</v>
      </c>
      <c r="E2766" t="s">
        <v>7720</v>
      </c>
      <c r="F2766" t="s">
        <v>7721</v>
      </c>
      <c r="G2766" s="425">
        <v>-831121621</v>
      </c>
      <c r="H2766" s="425">
        <v>-41180752</v>
      </c>
      <c r="I2766" s="425">
        <v>-789940869</v>
      </c>
      <c r="J2766" s="425">
        <v>0</v>
      </c>
      <c r="K2766" s="425">
        <v>0</v>
      </c>
      <c r="L2766" s="425">
        <v>0</v>
      </c>
      <c r="M2766" s="425">
        <v>0</v>
      </c>
      <c r="N2766" s="425">
        <v>0</v>
      </c>
      <c r="O2766" s="425">
        <v>0</v>
      </c>
    </row>
    <row r="2767" spans="1:15" hidden="1" x14ac:dyDescent="0.3">
      <c r="C2767" t="s">
        <v>2263</v>
      </c>
      <c r="D2767" t="s">
        <v>2237</v>
      </c>
      <c r="E2767" t="s">
        <v>7722</v>
      </c>
      <c r="F2767" t="s">
        <v>7723</v>
      </c>
      <c r="G2767" s="425">
        <v>277602254529</v>
      </c>
      <c r="H2767" s="425">
        <v>8678926232</v>
      </c>
      <c r="I2767" s="425">
        <v>164257382781</v>
      </c>
      <c r="J2767" s="425">
        <v>0</v>
      </c>
      <c r="K2767" s="425">
        <v>0</v>
      </c>
      <c r="L2767" s="425">
        <v>104070501899</v>
      </c>
      <c r="M2767" s="425">
        <v>0</v>
      </c>
      <c r="N2767" s="425">
        <v>595443617</v>
      </c>
      <c r="O2767" s="425">
        <v>0</v>
      </c>
    </row>
    <row r="2768" spans="1:15" hidden="1" x14ac:dyDescent="0.3">
      <c r="C2768" t="s">
        <v>2266</v>
      </c>
      <c r="D2768" t="s">
        <v>2267</v>
      </c>
      <c r="E2768" t="s">
        <v>7724</v>
      </c>
      <c r="F2768" t="s">
        <v>7725</v>
      </c>
      <c r="G2768" s="425">
        <v>293574526402</v>
      </c>
      <c r="H2768" s="425">
        <v>8678926232</v>
      </c>
      <c r="I2768" s="425">
        <v>164257382781</v>
      </c>
      <c r="J2768" s="425">
        <v>0</v>
      </c>
      <c r="K2768" s="425">
        <v>0</v>
      </c>
      <c r="L2768" s="425">
        <v>120042773772</v>
      </c>
      <c r="M2768" s="425">
        <v>0</v>
      </c>
      <c r="N2768" s="425">
        <v>595443617</v>
      </c>
      <c r="O2768" s="425">
        <v>0</v>
      </c>
    </row>
    <row r="2769" spans="3:15" hidden="1" x14ac:dyDescent="0.3">
      <c r="C2769" t="s">
        <v>2266</v>
      </c>
      <c r="D2769" t="s">
        <v>2267</v>
      </c>
      <c r="E2769" t="s">
        <v>7726</v>
      </c>
      <c r="F2769" t="s">
        <v>7727</v>
      </c>
      <c r="G2769" s="425">
        <v>-15972271873</v>
      </c>
      <c r="H2769" s="425">
        <v>0</v>
      </c>
      <c r="I2769" s="425">
        <v>0</v>
      </c>
      <c r="J2769" s="425">
        <v>0</v>
      </c>
      <c r="K2769" s="425">
        <v>0</v>
      </c>
      <c r="L2769" s="425">
        <v>-15972271873</v>
      </c>
      <c r="M2769" s="425">
        <v>0</v>
      </c>
      <c r="N2769" s="425">
        <v>0</v>
      </c>
      <c r="O2769" s="425">
        <v>0</v>
      </c>
    </row>
    <row r="2770" spans="3:15" hidden="1" x14ac:dyDescent="0.3">
      <c r="C2770" t="s">
        <v>2263</v>
      </c>
      <c r="D2770" t="s">
        <v>2237</v>
      </c>
      <c r="E2770" t="s">
        <v>7728</v>
      </c>
      <c r="F2770" t="s">
        <v>7729</v>
      </c>
      <c r="G2770" s="425">
        <v>-115719314519</v>
      </c>
      <c r="H2770" s="425">
        <v>-3591523256</v>
      </c>
      <c r="I2770" s="425">
        <v>-99226072115</v>
      </c>
      <c r="J2770" s="425">
        <v>0</v>
      </c>
      <c r="K2770" s="425">
        <v>0</v>
      </c>
      <c r="L2770" s="425">
        <v>-12733158082</v>
      </c>
      <c r="M2770" s="425">
        <v>0</v>
      </c>
      <c r="N2770" s="425">
        <v>-168561066</v>
      </c>
      <c r="O2770" s="425">
        <v>0</v>
      </c>
    </row>
    <row r="2771" spans="3:15" hidden="1" x14ac:dyDescent="0.3">
      <c r="C2771" t="s">
        <v>2266</v>
      </c>
      <c r="D2771" t="s">
        <v>2267</v>
      </c>
      <c r="E2771" t="s">
        <v>7730</v>
      </c>
      <c r="F2771" t="s">
        <v>7731</v>
      </c>
      <c r="G2771" s="425">
        <v>-117810506243</v>
      </c>
      <c r="H2771" s="425">
        <v>-3591523256</v>
      </c>
      <c r="I2771" s="425">
        <v>-99226072115</v>
      </c>
      <c r="J2771" s="425">
        <v>0</v>
      </c>
      <c r="K2771" s="425">
        <v>0</v>
      </c>
      <c r="L2771" s="425">
        <v>-14824349806</v>
      </c>
      <c r="M2771" s="425">
        <v>0</v>
      </c>
      <c r="N2771" s="425">
        <v>-168561066</v>
      </c>
      <c r="O2771" s="425">
        <v>0</v>
      </c>
    </row>
    <row r="2772" spans="3:15" hidden="1" x14ac:dyDescent="0.3">
      <c r="C2772" t="s">
        <v>2266</v>
      </c>
      <c r="D2772" t="s">
        <v>2267</v>
      </c>
      <c r="E2772" t="s">
        <v>7732</v>
      </c>
      <c r="F2772" t="s">
        <v>7733</v>
      </c>
      <c r="G2772" s="425">
        <v>2091191724</v>
      </c>
      <c r="H2772" s="425">
        <v>0</v>
      </c>
      <c r="I2772" s="425">
        <v>0</v>
      </c>
      <c r="J2772" s="425">
        <v>0</v>
      </c>
      <c r="K2772" s="425">
        <v>0</v>
      </c>
      <c r="L2772" s="425">
        <v>2091191724</v>
      </c>
      <c r="M2772" s="425">
        <v>0</v>
      </c>
      <c r="N2772" s="425">
        <v>0</v>
      </c>
      <c r="O2772" s="425">
        <v>0</v>
      </c>
    </row>
    <row r="2773" spans="3:15" hidden="1" x14ac:dyDescent="0.3">
      <c r="C2773" t="s">
        <v>2263</v>
      </c>
      <c r="D2773" t="s">
        <v>2237</v>
      </c>
      <c r="E2773" t="s">
        <v>7734</v>
      </c>
      <c r="F2773" t="s">
        <v>7735</v>
      </c>
      <c r="G2773" s="425">
        <v>-4278974532</v>
      </c>
      <c r="H2773" s="425">
        <v>-38070262</v>
      </c>
      <c r="I2773" s="425">
        <v>-4240904270</v>
      </c>
      <c r="J2773" s="425">
        <v>0</v>
      </c>
      <c r="K2773" s="425">
        <v>0</v>
      </c>
      <c r="L2773" s="425">
        <v>0</v>
      </c>
      <c r="M2773" s="425">
        <v>0</v>
      </c>
      <c r="N2773" s="425">
        <v>0</v>
      </c>
      <c r="O2773" s="425">
        <v>0</v>
      </c>
    </row>
    <row r="2774" spans="3:15" hidden="1" x14ac:dyDescent="0.3">
      <c r="C2774" t="s">
        <v>2266</v>
      </c>
      <c r="D2774" t="s">
        <v>2267</v>
      </c>
      <c r="E2774" t="s">
        <v>7736</v>
      </c>
      <c r="F2774" t="s">
        <v>7737</v>
      </c>
      <c r="G2774" s="425">
        <v>-4278974532</v>
      </c>
      <c r="H2774" s="425">
        <v>-38070262</v>
      </c>
      <c r="I2774" s="425">
        <v>-4240904270</v>
      </c>
      <c r="J2774" s="425">
        <v>0</v>
      </c>
      <c r="K2774" s="425">
        <v>0</v>
      </c>
      <c r="L2774" s="425">
        <v>0</v>
      </c>
      <c r="M2774" s="425">
        <v>0</v>
      </c>
      <c r="N2774" s="425">
        <v>0</v>
      </c>
      <c r="O2774" s="425">
        <v>0</v>
      </c>
    </row>
    <row r="2775" spans="3:15" hidden="1" x14ac:dyDescent="0.3">
      <c r="C2775" t="s">
        <v>2263</v>
      </c>
      <c r="D2775" t="s">
        <v>2237</v>
      </c>
      <c r="E2775" t="s">
        <v>7738</v>
      </c>
      <c r="F2775" t="s">
        <v>7739</v>
      </c>
      <c r="G2775" s="425">
        <v>73779619814</v>
      </c>
      <c r="H2775" s="425">
        <v>7286264341</v>
      </c>
      <c r="I2775" s="425">
        <v>34176070121</v>
      </c>
      <c r="J2775" s="425">
        <v>0</v>
      </c>
      <c r="K2775" s="425">
        <v>0</v>
      </c>
      <c r="L2775" s="425">
        <v>32317285352</v>
      </c>
      <c r="M2775" s="425">
        <v>0</v>
      </c>
      <c r="N2775" s="425">
        <v>0</v>
      </c>
      <c r="O2775" s="425">
        <v>0</v>
      </c>
    </row>
    <row r="2776" spans="3:15" hidden="1" x14ac:dyDescent="0.3">
      <c r="C2776" t="s">
        <v>2266</v>
      </c>
      <c r="D2776" t="s">
        <v>2267</v>
      </c>
      <c r="E2776" t="s">
        <v>7740</v>
      </c>
      <c r="F2776" t="s">
        <v>7741</v>
      </c>
      <c r="G2776" s="425">
        <v>73779619814</v>
      </c>
      <c r="H2776" s="425">
        <v>7286264341</v>
      </c>
      <c r="I2776" s="425">
        <v>34176070121</v>
      </c>
      <c r="J2776" s="425">
        <v>0</v>
      </c>
      <c r="K2776" s="425">
        <v>0</v>
      </c>
      <c r="L2776" s="425">
        <v>32317285352</v>
      </c>
      <c r="M2776" s="425">
        <v>0</v>
      </c>
      <c r="N2776" s="425">
        <v>0</v>
      </c>
      <c r="O2776" s="425">
        <v>0</v>
      </c>
    </row>
    <row r="2777" spans="3:15" hidden="1" x14ac:dyDescent="0.3">
      <c r="C2777" t="s">
        <v>2263</v>
      </c>
      <c r="D2777" t="s">
        <v>2237</v>
      </c>
      <c r="E2777" t="s">
        <v>7742</v>
      </c>
      <c r="F2777" t="s">
        <v>7743</v>
      </c>
      <c r="G2777" s="425">
        <v>-36732461648</v>
      </c>
      <c r="H2777" s="425">
        <v>-2619613658</v>
      </c>
      <c r="I2777" s="425">
        <v>-20387196434</v>
      </c>
      <c r="J2777" s="425">
        <v>0</v>
      </c>
      <c r="K2777" s="425">
        <v>0</v>
      </c>
      <c r="L2777" s="425">
        <v>-13725651556</v>
      </c>
      <c r="M2777" s="425">
        <v>0</v>
      </c>
      <c r="N2777" s="425">
        <v>0</v>
      </c>
      <c r="O2777" s="425">
        <v>0</v>
      </c>
    </row>
    <row r="2778" spans="3:15" hidden="1" x14ac:dyDescent="0.3">
      <c r="C2778" t="s">
        <v>2266</v>
      </c>
      <c r="D2778" t="s">
        <v>2267</v>
      </c>
      <c r="E2778" t="s">
        <v>7744</v>
      </c>
      <c r="F2778" t="s">
        <v>7745</v>
      </c>
      <c r="G2778" s="425">
        <v>-36732461648</v>
      </c>
      <c r="H2778" s="425">
        <v>-2619613658</v>
      </c>
      <c r="I2778" s="425">
        <v>-20387196434</v>
      </c>
      <c r="J2778" s="425">
        <v>0</v>
      </c>
      <c r="K2778" s="425">
        <v>0</v>
      </c>
      <c r="L2778" s="425">
        <v>-13725651556</v>
      </c>
      <c r="M2778" s="425">
        <v>0</v>
      </c>
      <c r="N2778" s="425">
        <v>0</v>
      </c>
      <c r="O2778" s="425">
        <v>0</v>
      </c>
    </row>
    <row r="2779" spans="3:15" hidden="1" x14ac:dyDescent="0.3">
      <c r="C2779" t="s">
        <v>2263</v>
      </c>
      <c r="D2779" t="s">
        <v>2237</v>
      </c>
      <c r="E2779" t="s">
        <v>7746</v>
      </c>
      <c r="F2779" t="s">
        <v>7747</v>
      </c>
      <c r="G2779" s="425">
        <v>-3130172843</v>
      </c>
      <c r="H2779" s="425">
        <v>0</v>
      </c>
      <c r="I2779" s="425">
        <v>-3130172843</v>
      </c>
      <c r="J2779" s="425">
        <v>0</v>
      </c>
      <c r="K2779" s="425">
        <v>0</v>
      </c>
      <c r="L2779" s="425">
        <v>0</v>
      </c>
      <c r="M2779" s="425">
        <v>0</v>
      </c>
      <c r="N2779" s="425">
        <v>0</v>
      </c>
      <c r="O2779" s="425">
        <v>0</v>
      </c>
    </row>
    <row r="2780" spans="3:15" hidden="1" x14ac:dyDescent="0.3">
      <c r="C2780" t="s">
        <v>2266</v>
      </c>
      <c r="D2780" t="s">
        <v>2267</v>
      </c>
      <c r="E2780" t="s">
        <v>7748</v>
      </c>
      <c r="F2780" t="s">
        <v>7749</v>
      </c>
      <c r="G2780" s="425">
        <v>-3130172843</v>
      </c>
      <c r="H2780" s="425">
        <v>0</v>
      </c>
      <c r="I2780" s="425">
        <v>-3130172843</v>
      </c>
      <c r="J2780" s="425">
        <v>0</v>
      </c>
      <c r="K2780" s="425">
        <v>0</v>
      </c>
      <c r="L2780" s="425">
        <v>0</v>
      </c>
      <c r="M2780" s="425">
        <v>0</v>
      </c>
      <c r="N2780" s="425">
        <v>0</v>
      </c>
      <c r="O2780" s="425">
        <v>0</v>
      </c>
    </row>
    <row r="2781" spans="3:15" hidden="1" x14ac:dyDescent="0.3">
      <c r="C2781" t="s">
        <v>2263</v>
      </c>
      <c r="D2781" t="s">
        <v>2237</v>
      </c>
      <c r="E2781" t="s">
        <v>7750</v>
      </c>
      <c r="F2781" t="s">
        <v>7751</v>
      </c>
      <c r="G2781" s="425">
        <v>5693436058</v>
      </c>
      <c r="H2781" s="425">
        <v>0</v>
      </c>
      <c r="I2781" s="425">
        <v>3837325264</v>
      </c>
      <c r="J2781" s="425">
        <v>0</v>
      </c>
      <c r="K2781" s="425">
        <v>352130820</v>
      </c>
      <c r="L2781" s="425">
        <v>1503979974</v>
      </c>
      <c r="M2781" s="425">
        <v>0</v>
      </c>
      <c r="N2781" s="425">
        <v>0</v>
      </c>
      <c r="O2781" s="425">
        <v>0</v>
      </c>
    </row>
    <row r="2782" spans="3:15" hidden="1" x14ac:dyDescent="0.3">
      <c r="C2782" t="s">
        <v>2266</v>
      </c>
      <c r="D2782" t="s">
        <v>2267</v>
      </c>
      <c r="E2782" t="s">
        <v>7752</v>
      </c>
      <c r="F2782" t="s">
        <v>7753</v>
      </c>
      <c r="G2782" s="425">
        <v>5693436058</v>
      </c>
      <c r="H2782" s="425">
        <v>0</v>
      </c>
      <c r="I2782" s="425">
        <v>3837325264</v>
      </c>
      <c r="J2782" s="425">
        <v>0</v>
      </c>
      <c r="K2782" s="425">
        <v>352130820</v>
      </c>
      <c r="L2782" s="425">
        <v>1503979974</v>
      </c>
      <c r="M2782" s="425">
        <v>0</v>
      </c>
      <c r="N2782" s="425">
        <v>0</v>
      </c>
      <c r="O2782" s="425">
        <v>0</v>
      </c>
    </row>
    <row r="2783" spans="3:15" hidden="1" x14ac:dyDescent="0.3">
      <c r="C2783" t="s">
        <v>2263</v>
      </c>
      <c r="D2783" t="s">
        <v>2237</v>
      </c>
      <c r="E2783" t="s">
        <v>7754</v>
      </c>
      <c r="F2783" t="s">
        <v>7755</v>
      </c>
      <c r="G2783" s="425">
        <v>-4256490227</v>
      </c>
      <c r="H2783" s="425">
        <v>0</v>
      </c>
      <c r="I2783" s="425">
        <v>-3748270813</v>
      </c>
      <c r="J2783" s="425">
        <v>0</v>
      </c>
      <c r="K2783" s="425">
        <v>-352130820</v>
      </c>
      <c r="L2783" s="425">
        <v>-156088594</v>
      </c>
      <c r="M2783" s="425">
        <v>0</v>
      </c>
      <c r="N2783" s="425">
        <v>0</v>
      </c>
      <c r="O2783" s="425">
        <v>0</v>
      </c>
    </row>
    <row r="2784" spans="3:15" hidden="1" x14ac:dyDescent="0.3">
      <c r="C2784" t="s">
        <v>2266</v>
      </c>
      <c r="D2784" t="s">
        <v>2267</v>
      </c>
      <c r="E2784" t="s">
        <v>7756</v>
      </c>
      <c r="F2784" t="s">
        <v>7757</v>
      </c>
      <c r="G2784" s="425">
        <v>-4256490227</v>
      </c>
      <c r="H2784" s="425">
        <v>0</v>
      </c>
      <c r="I2784" s="425">
        <v>-3748270813</v>
      </c>
      <c r="J2784" s="425">
        <v>0</v>
      </c>
      <c r="K2784" s="425">
        <v>-352130820</v>
      </c>
      <c r="L2784" s="425">
        <v>-156088594</v>
      </c>
      <c r="M2784" s="425">
        <v>0</v>
      </c>
      <c r="N2784" s="425">
        <v>0</v>
      </c>
      <c r="O2784" s="425">
        <v>0</v>
      </c>
    </row>
    <row r="2785" spans="3:15" hidden="1" x14ac:dyDescent="0.3">
      <c r="C2785" t="s">
        <v>2263</v>
      </c>
      <c r="D2785" t="s">
        <v>2237</v>
      </c>
      <c r="E2785" t="s">
        <v>7758</v>
      </c>
      <c r="F2785" t="s">
        <v>7759</v>
      </c>
      <c r="G2785" s="425">
        <v>-5385679</v>
      </c>
      <c r="H2785" s="425">
        <v>0</v>
      </c>
      <c r="I2785" s="425">
        <v>-5385679</v>
      </c>
      <c r="J2785" s="425">
        <v>0</v>
      </c>
      <c r="K2785" s="425">
        <v>0</v>
      </c>
      <c r="L2785" s="425">
        <v>0</v>
      </c>
      <c r="M2785" s="425">
        <v>0</v>
      </c>
      <c r="N2785" s="425">
        <v>0</v>
      </c>
      <c r="O2785" s="425">
        <v>0</v>
      </c>
    </row>
    <row r="2786" spans="3:15" hidden="1" x14ac:dyDescent="0.3">
      <c r="C2786" t="s">
        <v>2266</v>
      </c>
      <c r="D2786" t="s">
        <v>2267</v>
      </c>
      <c r="E2786" t="s">
        <v>7760</v>
      </c>
      <c r="F2786" t="s">
        <v>7761</v>
      </c>
      <c r="G2786" s="425">
        <v>-5385679</v>
      </c>
      <c r="H2786" s="425">
        <v>0</v>
      </c>
      <c r="I2786" s="425">
        <v>-5385679</v>
      </c>
      <c r="J2786" s="425">
        <v>0</v>
      </c>
      <c r="K2786" s="425">
        <v>0</v>
      </c>
      <c r="L2786" s="425">
        <v>0</v>
      </c>
      <c r="M2786" s="425">
        <v>0</v>
      </c>
      <c r="N2786" s="425">
        <v>0</v>
      </c>
      <c r="O2786" s="425">
        <v>0</v>
      </c>
    </row>
    <row r="2787" spans="3:15" hidden="1" x14ac:dyDescent="0.3">
      <c r="C2787" t="s">
        <v>2263</v>
      </c>
      <c r="D2787" t="s">
        <v>2237</v>
      </c>
      <c r="E2787" t="s">
        <v>7762</v>
      </c>
      <c r="F2787" t="s">
        <v>7763</v>
      </c>
      <c r="G2787" s="425">
        <v>583128171397</v>
      </c>
      <c r="H2787" s="425">
        <v>479561663587</v>
      </c>
      <c r="I2787" s="425">
        <v>85868923680</v>
      </c>
      <c r="J2787" s="425">
        <v>0</v>
      </c>
      <c r="K2787" s="425">
        <v>14493659888</v>
      </c>
      <c r="L2787" s="425">
        <v>0</v>
      </c>
      <c r="M2787" s="425">
        <v>546533690</v>
      </c>
      <c r="N2787" s="425">
        <v>2657390552</v>
      </c>
      <c r="O2787" s="425">
        <v>0</v>
      </c>
    </row>
    <row r="2788" spans="3:15" hidden="1" x14ac:dyDescent="0.3">
      <c r="C2788" t="s">
        <v>2266</v>
      </c>
      <c r="D2788" t="s">
        <v>2267</v>
      </c>
      <c r="E2788" t="s">
        <v>7764</v>
      </c>
      <c r="F2788" t="s">
        <v>7765</v>
      </c>
      <c r="G2788" s="425">
        <v>583128171397</v>
      </c>
      <c r="H2788" s="425">
        <v>479561663587</v>
      </c>
      <c r="I2788" s="425">
        <v>85868923680</v>
      </c>
      <c r="J2788" s="425">
        <v>0</v>
      </c>
      <c r="K2788" s="425">
        <v>14493659888</v>
      </c>
      <c r="L2788" s="425">
        <v>0</v>
      </c>
      <c r="M2788" s="425">
        <v>546533690</v>
      </c>
      <c r="N2788" s="425">
        <v>2657390552</v>
      </c>
      <c r="O2788" s="425">
        <v>0</v>
      </c>
    </row>
    <row r="2789" spans="3:15" hidden="1" x14ac:dyDescent="0.3">
      <c r="C2789" t="s">
        <v>2266</v>
      </c>
      <c r="D2789" t="s">
        <v>2267</v>
      </c>
      <c r="E2789" t="s">
        <v>7766</v>
      </c>
      <c r="F2789" t="s">
        <v>7767</v>
      </c>
      <c r="G2789" s="425">
        <v>0</v>
      </c>
      <c r="H2789" s="425">
        <v>0</v>
      </c>
      <c r="I2789" s="425">
        <v>0</v>
      </c>
      <c r="J2789" s="425">
        <v>0</v>
      </c>
      <c r="K2789" s="425">
        <v>0</v>
      </c>
      <c r="L2789" s="425">
        <v>0</v>
      </c>
      <c r="M2789" s="425">
        <v>0</v>
      </c>
      <c r="N2789" s="425">
        <v>0</v>
      </c>
      <c r="O2789" s="425">
        <v>0</v>
      </c>
    </row>
    <row r="2790" spans="3:15" hidden="1" x14ac:dyDescent="0.3">
      <c r="C2790" t="s">
        <v>2266</v>
      </c>
      <c r="D2790" t="s">
        <v>2267</v>
      </c>
      <c r="E2790" t="s">
        <v>7768</v>
      </c>
      <c r="F2790" t="s">
        <v>7769</v>
      </c>
      <c r="G2790" s="425">
        <v>0</v>
      </c>
      <c r="H2790" s="425">
        <v>0</v>
      </c>
      <c r="I2790" s="425">
        <v>0</v>
      </c>
      <c r="J2790" s="425">
        <v>0</v>
      </c>
      <c r="K2790" s="425">
        <v>0</v>
      </c>
      <c r="L2790" s="425">
        <v>0</v>
      </c>
      <c r="M2790" s="425">
        <v>0</v>
      </c>
      <c r="N2790" s="425">
        <v>0</v>
      </c>
      <c r="O2790" s="425">
        <v>0</v>
      </c>
    </row>
    <row r="2791" spans="3:15" hidden="1" x14ac:dyDescent="0.3">
      <c r="C2791" t="s">
        <v>2263</v>
      </c>
      <c r="D2791" t="s">
        <v>2237</v>
      </c>
      <c r="E2791" t="s">
        <v>7770</v>
      </c>
      <c r="F2791" t="s">
        <v>7771</v>
      </c>
      <c r="G2791" s="425">
        <v>-382320315531</v>
      </c>
      <c r="H2791" s="425">
        <v>-330262896928</v>
      </c>
      <c r="I2791" s="425">
        <v>-47327864864</v>
      </c>
      <c r="J2791" s="425">
        <v>0</v>
      </c>
      <c r="K2791" s="425">
        <v>-2566271199</v>
      </c>
      <c r="L2791" s="425">
        <v>0</v>
      </c>
      <c r="M2791" s="425">
        <v>-182228787</v>
      </c>
      <c r="N2791" s="425">
        <v>-1981053753</v>
      </c>
      <c r="O2791" s="425">
        <v>0</v>
      </c>
    </row>
    <row r="2792" spans="3:15" hidden="1" x14ac:dyDescent="0.3">
      <c r="C2792" t="s">
        <v>2266</v>
      </c>
      <c r="D2792" t="s">
        <v>2267</v>
      </c>
      <c r="E2792" t="s">
        <v>7772</v>
      </c>
      <c r="F2792" t="s">
        <v>7773</v>
      </c>
      <c r="G2792" s="425">
        <v>0</v>
      </c>
      <c r="H2792" s="425">
        <v>0</v>
      </c>
      <c r="I2792" s="425">
        <v>0</v>
      </c>
      <c r="J2792" s="425">
        <v>0</v>
      </c>
      <c r="K2792" s="425">
        <v>0</v>
      </c>
      <c r="L2792" s="425">
        <v>0</v>
      </c>
      <c r="M2792" s="425">
        <v>0</v>
      </c>
      <c r="N2792" s="425">
        <v>0</v>
      </c>
      <c r="O2792" s="425">
        <v>0</v>
      </c>
    </row>
    <row r="2793" spans="3:15" hidden="1" x14ac:dyDescent="0.3">
      <c r="C2793" t="s">
        <v>2266</v>
      </c>
      <c r="D2793" t="s">
        <v>2267</v>
      </c>
      <c r="E2793" t="s">
        <v>7774</v>
      </c>
      <c r="F2793" t="s">
        <v>7775</v>
      </c>
      <c r="G2793" s="425">
        <v>-382320315531</v>
      </c>
      <c r="H2793" s="425">
        <v>-330262896928</v>
      </c>
      <c r="I2793" s="425">
        <v>-47327864864</v>
      </c>
      <c r="J2793" s="425">
        <v>0</v>
      </c>
      <c r="K2793" s="425">
        <v>-2566271199</v>
      </c>
      <c r="L2793" s="425">
        <v>0</v>
      </c>
      <c r="M2793" s="425">
        <v>-182228787</v>
      </c>
      <c r="N2793" s="425">
        <v>-1981053753</v>
      </c>
      <c r="O2793" s="425">
        <v>0</v>
      </c>
    </row>
    <row r="2794" spans="3:15" hidden="1" x14ac:dyDescent="0.3">
      <c r="C2794" t="s">
        <v>2266</v>
      </c>
      <c r="D2794" t="s">
        <v>2267</v>
      </c>
      <c r="E2794" t="s">
        <v>7776</v>
      </c>
      <c r="F2794" t="s">
        <v>7777</v>
      </c>
      <c r="G2794" s="425">
        <v>0</v>
      </c>
      <c r="H2794" s="425">
        <v>0</v>
      </c>
      <c r="I2794" s="425">
        <v>0</v>
      </c>
      <c r="J2794" s="425">
        <v>0</v>
      </c>
      <c r="K2794" s="425">
        <v>0</v>
      </c>
      <c r="L2794" s="425">
        <v>0</v>
      </c>
      <c r="M2794" s="425">
        <v>0</v>
      </c>
      <c r="N2794" s="425">
        <v>0</v>
      </c>
      <c r="O2794" s="425">
        <v>0</v>
      </c>
    </row>
    <row r="2795" spans="3:15" hidden="1" x14ac:dyDescent="0.3">
      <c r="C2795" t="s">
        <v>2263</v>
      </c>
      <c r="D2795" t="s">
        <v>2237</v>
      </c>
      <c r="E2795" t="s">
        <v>7778</v>
      </c>
      <c r="F2795" t="s">
        <v>7779</v>
      </c>
      <c r="G2795" s="425">
        <v>-15381763335</v>
      </c>
      <c r="H2795" s="425">
        <v>-6973610930</v>
      </c>
      <c r="I2795" s="425">
        <v>-7879959346</v>
      </c>
      <c r="J2795" s="425">
        <v>0</v>
      </c>
      <c r="K2795" s="425">
        <v>-372629553</v>
      </c>
      <c r="L2795" s="425">
        <v>0</v>
      </c>
      <c r="M2795" s="425">
        <v>-4967831</v>
      </c>
      <c r="N2795" s="425">
        <v>-150595675</v>
      </c>
      <c r="O2795" s="425">
        <v>0</v>
      </c>
    </row>
    <row r="2796" spans="3:15" hidden="1" x14ac:dyDescent="0.3">
      <c r="C2796" t="s">
        <v>2266</v>
      </c>
      <c r="D2796" t="s">
        <v>2267</v>
      </c>
      <c r="E2796" t="s">
        <v>7780</v>
      </c>
      <c r="F2796" t="s">
        <v>7781</v>
      </c>
      <c r="G2796" s="425">
        <v>-15381763335</v>
      </c>
      <c r="H2796" s="425">
        <v>-6973610930</v>
      </c>
      <c r="I2796" s="425">
        <v>-7879959346</v>
      </c>
      <c r="J2796" s="425">
        <v>0</v>
      </c>
      <c r="K2796" s="425">
        <v>-372629553</v>
      </c>
      <c r="L2796" s="425">
        <v>0</v>
      </c>
      <c r="M2796" s="425">
        <v>-4967831</v>
      </c>
      <c r="N2796" s="425">
        <v>-150595675</v>
      </c>
      <c r="O2796" s="425">
        <v>0</v>
      </c>
    </row>
    <row r="2797" spans="3:15" hidden="1" x14ac:dyDescent="0.3">
      <c r="C2797" t="s">
        <v>2266</v>
      </c>
      <c r="D2797" t="s">
        <v>2267</v>
      </c>
      <c r="E2797" t="s">
        <v>7782</v>
      </c>
      <c r="F2797" t="s">
        <v>7783</v>
      </c>
      <c r="G2797" s="425">
        <v>0</v>
      </c>
      <c r="H2797" s="425">
        <v>0</v>
      </c>
      <c r="I2797" s="425">
        <v>0</v>
      </c>
      <c r="J2797" s="425">
        <v>0</v>
      </c>
      <c r="K2797" s="425">
        <v>0</v>
      </c>
      <c r="L2797" s="425">
        <v>0</v>
      </c>
      <c r="M2797" s="425">
        <v>0</v>
      </c>
      <c r="N2797" s="425">
        <v>0</v>
      </c>
      <c r="O2797" s="425">
        <v>0</v>
      </c>
    </row>
    <row r="2798" spans="3:15" hidden="1" x14ac:dyDescent="0.3">
      <c r="C2798" t="s">
        <v>2263</v>
      </c>
      <c r="D2798" t="s">
        <v>2237</v>
      </c>
      <c r="E2798" t="s">
        <v>7784</v>
      </c>
      <c r="F2798" t="s">
        <v>7785</v>
      </c>
      <c r="G2798" s="425">
        <v>31286650480</v>
      </c>
      <c r="H2798" s="425">
        <v>4330563614</v>
      </c>
      <c r="I2798" s="425">
        <v>41851035</v>
      </c>
      <c r="J2798" s="425">
        <v>0</v>
      </c>
      <c r="K2798" s="425">
        <v>18640788770</v>
      </c>
      <c r="L2798" s="425">
        <v>8273447061</v>
      </c>
      <c r="M2798" s="425">
        <v>0</v>
      </c>
      <c r="N2798" s="425">
        <v>0</v>
      </c>
      <c r="O2798" s="425">
        <v>0</v>
      </c>
    </row>
    <row r="2799" spans="3:15" hidden="1" x14ac:dyDescent="0.3">
      <c r="C2799" t="s">
        <v>2266</v>
      </c>
      <c r="D2799" t="s">
        <v>2267</v>
      </c>
      <c r="E2799" t="s">
        <v>7786</v>
      </c>
      <c r="F2799" t="s">
        <v>7787</v>
      </c>
      <c r="G2799" s="425">
        <v>31286650480</v>
      </c>
      <c r="H2799" s="425">
        <v>4330563614</v>
      </c>
      <c r="I2799" s="425">
        <v>41851035</v>
      </c>
      <c r="J2799" s="425">
        <v>0</v>
      </c>
      <c r="K2799" s="425">
        <v>18640788770</v>
      </c>
      <c r="L2799" s="425">
        <v>8273447061</v>
      </c>
      <c r="M2799" s="425">
        <v>0</v>
      </c>
      <c r="N2799" s="425">
        <v>0</v>
      </c>
      <c r="O2799" s="425">
        <v>0</v>
      </c>
    </row>
    <row r="2800" spans="3:15" hidden="1" x14ac:dyDescent="0.3">
      <c r="C2800" t="s">
        <v>2263</v>
      </c>
      <c r="D2800" t="s">
        <v>2237</v>
      </c>
      <c r="E2800" t="s">
        <v>7788</v>
      </c>
      <c r="F2800" t="s">
        <v>7789</v>
      </c>
      <c r="G2800" s="425">
        <v>-20307991433</v>
      </c>
      <c r="H2800" s="425">
        <v>-3630329946</v>
      </c>
      <c r="I2800" s="425">
        <v>-41848035</v>
      </c>
      <c r="J2800" s="425">
        <v>0</v>
      </c>
      <c r="K2800" s="425">
        <v>-8420396440</v>
      </c>
      <c r="L2800" s="425">
        <v>-8215417012</v>
      </c>
      <c r="M2800" s="425">
        <v>0</v>
      </c>
      <c r="N2800" s="425">
        <v>0</v>
      </c>
      <c r="O2800" s="425">
        <v>0</v>
      </c>
    </row>
    <row r="2801" spans="3:15" hidden="1" x14ac:dyDescent="0.3">
      <c r="C2801" t="s">
        <v>2266</v>
      </c>
      <c r="D2801" t="s">
        <v>2267</v>
      </c>
      <c r="E2801" t="s">
        <v>7790</v>
      </c>
      <c r="F2801" t="s">
        <v>7791</v>
      </c>
      <c r="G2801" s="425">
        <v>-20307991433</v>
      </c>
      <c r="H2801" s="425">
        <v>-3630329946</v>
      </c>
      <c r="I2801" s="425">
        <v>-41848035</v>
      </c>
      <c r="J2801" s="425">
        <v>0</v>
      </c>
      <c r="K2801" s="425">
        <v>-8420396440</v>
      </c>
      <c r="L2801" s="425">
        <v>-8215417012</v>
      </c>
      <c r="M2801" s="425">
        <v>0</v>
      </c>
      <c r="N2801" s="425">
        <v>0</v>
      </c>
      <c r="O2801" s="425">
        <v>0</v>
      </c>
    </row>
    <row r="2802" spans="3:15" hidden="1" x14ac:dyDescent="0.3">
      <c r="C2802" t="s">
        <v>2263</v>
      </c>
      <c r="D2802" t="s">
        <v>2237</v>
      </c>
      <c r="E2802" t="s">
        <v>7792</v>
      </c>
      <c r="F2802" t="s">
        <v>7793</v>
      </c>
      <c r="G2802" s="425">
        <v>-35379444</v>
      </c>
      <c r="H2802" s="425">
        <v>0</v>
      </c>
      <c r="I2802" s="425">
        <v>0</v>
      </c>
      <c r="J2802" s="425">
        <v>0</v>
      </c>
      <c r="K2802" s="425">
        <v>-35379444</v>
      </c>
      <c r="L2802" s="425">
        <v>0</v>
      </c>
      <c r="M2802" s="425">
        <v>0</v>
      </c>
      <c r="N2802" s="425">
        <v>0</v>
      </c>
      <c r="O2802" s="425">
        <v>0</v>
      </c>
    </row>
    <row r="2803" spans="3:15" hidden="1" x14ac:dyDescent="0.3">
      <c r="C2803" t="s">
        <v>2266</v>
      </c>
      <c r="D2803" t="s">
        <v>2267</v>
      </c>
      <c r="E2803" t="s">
        <v>7794</v>
      </c>
      <c r="F2803" t="s">
        <v>7795</v>
      </c>
      <c r="G2803" s="425">
        <v>-35379444</v>
      </c>
      <c r="H2803" s="425">
        <v>0</v>
      </c>
      <c r="I2803" s="425">
        <v>0</v>
      </c>
      <c r="J2803" s="425">
        <v>0</v>
      </c>
      <c r="K2803" s="425">
        <v>-35379444</v>
      </c>
      <c r="L2803" s="425">
        <v>0</v>
      </c>
      <c r="M2803" s="425">
        <v>0</v>
      </c>
      <c r="N2803" s="425">
        <v>0</v>
      </c>
      <c r="O2803" s="425">
        <v>0</v>
      </c>
    </row>
    <row r="2804" spans="3:15" hidden="1" x14ac:dyDescent="0.3">
      <c r="C2804" t="s">
        <v>2263</v>
      </c>
      <c r="D2804" t="s">
        <v>2237</v>
      </c>
      <c r="E2804" t="s">
        <v>7796</v>
      </c>
      <c r="F2804" t="s">
        <v>7797</v>
      </c>
      <c r="G2804" s="425">
        <v>930337320</v>
      </c>
      <c r="H2804" s="425">
        <v>330270663</v>
      </c>
      <c r="I2804" s="425">
        <v>490593953</v>
      </c>
      <c r="J2804" s="425">
        <v>0</v>
      </c>
      <c r="K2804" s="425">
        <v>107410533</v>
      </c>
      <c r="L2804" s="425">
        <v>2062171</v>
      </c>
      <c r="M2804" s="425">
        <v>0</v>
      </c>
      <c r="N2804" s="425">
        <v>0</v>
      </c>
      <c r="O2804" s="425">
        <v>0</v>
      </c>
    </row>
    <row r="2805" spans="3:15" hidden="1" x14ac:dyDescent="0.3">
      <c r="C2805" t="s">
        <v>2266</v>
      </c>
      <c r="D2805" t="s">
        <v>2267</v>
      </c>
      <c r="E2805" t="s">
        <v>7798</v>
      </c>
      <c r="F2805" t="s">
        <v>7799</v>
      </c>
      <c r="G2805" s="425">
        <v>930337320</v>
      </c>
      <c r="H2805" s="425">
        <v>330270663</v>
      </c>
      <c r="I2805" s="425">
        <v>490593953</v>
      </c>
      <c r="J2805" s="425">
        <v>0</v>
      </c>
      <c r="K2805" s="425">
        <v>107410533</v>
      </c>
      <c r="L2805" s="425">
        <v>2062171</v>
      </c>
      <c r="M2805" s="425">
        <v>0</v>
      </c>
      <c r="N2805" s="425">
        <v>0</v>
      </c>
      <c r="O2805" s="425">
        <v>0</v>
      </c>
    </row>
    <row r="2806" spans="3:15" hidden="1" x14ac:dyDescent="0.3">
      <c r="C2806" t="s">
        <v>2263</v>
      </c>
      <c r="D2806" t="s">
        <v>2237</v>
      </c>
      <c r="E2806" t="s">
        <v>7800</v>
      </c>
      <c r="F2806" t="s">
        <v>7801</v>
      </c>
      <c r="G2806" s="425">
        <v>-764424498</v>
      </c>
      <c r="H2806" s="425">
        <v>-325807905</v>
      </c>
      <c r="I2806" s="425">
        <v>-334351050</v>
      </c>
      <c r="J2806" s="425">
        <v>0</v>
      </c>
      <c r="K2806" s="425">
        <v>-102205372</v>
      </c>
      <c r="L2806" s="425">
        <v>-2060171</v>
      </c>
      <c r="M2806" s="425">
        <v>0</v>
      </c>
      <c r="N2806" s="425">
        <v>0</v>
      </c>
      <c r="O2806" s="425">
        <v>0</v>
      </c>
    </row>
    <row r="2807" spans="3:15" hidden="1" x14ac:dyDescent="0.3">
      <c r="C2807" t="s">
        <v>2266</v>
      </c>
      <c r="D2807" t="s">
        <v>2267</v>
      </c>
      <c r="E2807" t="s">
        <v>7802</v>
      </c>
      <c r="F2807" t="s">
        <v>7803</v>
      </c>
      <c r="G2807" s="425">
        <v>-764424498</v>
      </c>
      <c r="H2807" s="425">
        <v>-325807905</v>
      </c>
      <c r="I2807" s="425">
        <v>-334351050</v>
      </c>
      <c r="J2807" s="425">
        <v>0</v>
      </c>
      <c r="K2807" s="425">
        <v>-102205372</v>
      </c>
      <c r="L2807" s="425">
        <v>-2060171</v>
      </c>
      <c r="M2807" s="425">
        <v>0</v>
      </c>
      <c r="N2807" s="425">
        <v>0</v>
      </c>
      <c r="O2807" s="425">
        <v>0</v>
      </c>
    </row>
    <row r="2808" spans="3:15" hidden="1" x14ac:dyDescent="0.3">
      <c r="C2808" t="s">
        <v>2263</v>
      </c>
      <c r="D2808" t="s">
        <v>2237</v>
      </c>
      <c r="E2808" t="s">
        <v>7804</v>
      </c>
      <c r="F2808" t="s">
        <v>7805</v>
      </c>
      <c r="G2808" s="425">
        <v>-54978955</v>
      </c>
      <c r="H2808" s="425">
        <v>0</v>
      </c>
      <c r="I2808" s="425">
        <v>-49779794</v>
      </c>
      <c r="J2808" s="425">
        <v>0</v>
      </c>
      <c r="K2808" s="425">
        <v>-5199161</v>
      </c>
      <c r="L2808" s="425">
        <v>0</v>
      </c>
      <c r="M2808" s="425">
        <v>0</v>
      </c>
      <c r="N2808" s="425">
        <v>0</v>
      </c>
      <c r="O2808" s="425">
        <v>0</v>
      </c>
    </row>
    <row r="2809" spans="3:15" hidden="1" x14ac:dyDescent="0.3">
      <c r="C2809" t="s">
        <v>2266</v>
      </c>
      <c r="D2809" t="s">
        <v>2267</v>
      </c>
      <c r="E2809" t="s">
        <v>7806</v>
      </c>
      <c r="F2809" t="s">
        <v>7807</v>
      </c>
      <c r="G2809" s="425">
        <v>-54978955</v>
      </c>
      <c r="H2809" s="425">
        <v>0</v>
      </c>
      <c r="I2809" s="425">
        <v>-49779794</v>
      </c>
      <c r="J2809" s="425">
        <v>0</v>
      </c>
      <c r="K2809" s="425">
        <v>-5199161</v>
      </c>
      <c r="L2809" s="425">
        <v>0</v>
      </c>
      <c r="M2809" s="425">
        <v>0</v>
      </c>
      <c r="N2809" s="425">
        <v>0</v>
      </c>
      <c r="O2809" s="425">
        <v>0</v>
      </c>
    </row>
    <row r="2810" spans="3:15" hidden="1" x14ac:dyDescent="0.3">
      <c r="C2810" t="s">
        <v>2263</v>
      </c>
      <c r="D2810" t="s">
        <v>2237</v>
      </c>
      <c r="E2810" t="s">
        <v>7808</v>
      </c>
      <c r="F2810" t="s">
        <v>7809</v>
      </c>
      <c r="G2810" s="425">
        <v>3812026</v>
      </c>
      <c r="H2810" s="425">
        <v>263800</v>
      </c>
      <c r="I2810" s="425">
        <v>121060</v>
      </c>
      <c r="J2810" s="425">
        <v>0</v>
      </c>
      <c r="K2810" s="425">
        <v>3427166</v>
      </c>
      <c r="L2810" s="425">
        <v>0</v>
      </c>
      <c r="M2810" s="425">
        <v>0</v>
      </c>
      <c r="N2810" s="425">
        <v>0</v>
      </c>
      <c r="O2810" s="425">
        <v>0</v>
      </c>
    </row>
    <row r="2811" spans="3:15" hidden="1" x14ac:dyDescent="0.3">
      <c r="C2811" t="s">
        <v>2266</v>
      </c>
      <c r="D2811" t="s">
        <v>2267</v>
      </c>
      <c r="E2811" t="s">
        <v>7810</v>
      </c>
      <c r="F2811" t="s">
        <v>7811</v>
      </c>
      <c r="G2811" s="425">
        <v>3812026</v>
      </c>
      <c r="H2811" s="425">
        <v>263800</v>
      </c>
      <c r="I2811" s="425">
        <v>121060</v>
      </c>
      <c r="J2811" s="425">
        <v>0</v>
      </c>
      <c r="K2811" s="425">
        <v>3427166</v>
      </c>
      <c r="L2811" s="425">
        <v>0</v>
      </c>
      <c r="M2811" s="425">
        <v>0</v>
      </c>
      <c r="N2811" s="425">
        <v>0</v>
      </c>
      <c r="O2811" s="425">
        <v>0</v>
      </c>
    </row>
    <row r="2812" spans="3:15" hidden="1" x14ac:dyDescent="0.3">
      <c r="C2812" t="s">
        <v>2263</v>
      </c>
      <c r="D2812" t="s">
        <v>2237</v>
      </c>
      <c r="E2812" t="s">
        <v>7812</v>
      </c>
      <c r="F2812" t="s">
        <v>7813</v>
      </c>
      <c r="G2812" s="425">
        <v>-3809026</v>
      </c>
      <c r="H2812" s="425">
        <v>-262800</v>
      </c>
      <c r="I2812" s="425">
        <v>-120060</v>
      </c>
      <c r="J2812" s="425">
        <v>0</v>
      </c>
      <c r="K2812" s="425">
        <v>-3426166</v>
      </c>
      <c r="L2812" s="425">
        <v>0</v>
      </c>
      <c r="M2812" s="425">
        <v>0</v>
      </c>
      <c r="N2812" s="425">
        <v>0</v>
      </c>
      <c r="O2812" s="425">
        <v>0</v>
      </c>
    </row>
    <row r="2813" spans="3:15" hidden="1" x14ac:dyDescent="0.3">
      <c r="C2813" t="s">
        <v>2266</v>
      </c>
      <c r="D2813" t="s">
        <v>2267</v>
      </c>
      <c r="E2813" t="s">
        <v>7814</v>
      </c>
      <c r="F2813" t="s">
        <v>7815</v>
      </c>
      <c r="G2813" s="425">
        <v>-3809026</v>
      </c>
      <c r="H2813" s="425">
        <v>-262800</v>
      </c>
      <c r="I2813" s="425">
        <v>-120060</v>
      </c>
      <c r="J2813" s="425">
        <v>0</v>
      </c>
      <c r="K2813" s="425">
        <v>-3426166</v>
      </c>
      <c r="L2813" s="425">
        <v>0</v>
      </c>
      <c r="M2813" s="425">
        <v>0</v>
      </c>
      <c r="N2813" s="425">
        <v>0</v>
      </c>
      <c r="O2813" s="425">
        <v>0</v>
      </c>
    </row>
    <row r="2814" spans="3:15" hidden="1" x14ac:dyDescent="0.3">
      <c r="C2814" t="s">
        <v>2263</v>
      </c>
      <c r="D2814" t="s">
        <v>2237</v>
      </c>
      <c r="E2814" t="s">
        <v>7816</v>
      </c>
      <c r="F2814" t="s">
        <v>7817</v>
      </c>
      <c r="G2814" s="425">
        <v>0</v>
      </c>
      <c r="H2814" s="425">
        <v>0</v>
      </c>
      <c r="I2814" s="425">
        <v>0</v>
      </c>
      <c r="J2814" s="425">
        <v>0</v>
      </c>
      <c r="K2814" s="425">
        <v>0</v>
      </c>
      <c r="L2814" s="425">
        <v>0</v>
      </c>
      <c r="M2814" s="425">
        <v>0</v>
      </c>
      <c r="N2814" s="425">
        <v>0</v>
      </c>
      <c r="O2814" s="425">
        <v>0</v>
      </c>
    </row>
    <row r="2815" spans="3:15" hidden="1" x14ac:dyDescent="0.3">
      <c r="C2815" t="s">
        <v>2266</v>
      </c>
      <c r="D2815" t="s">
        <v>2267</v>
      </c>
      <c r="E2815" t="s">
        <v>7818</v>
      </c>
      <c r="F2815" t="s">
        <v>7819</v>
      </c>
      <c r="G2815" s="425">
        <v>0</v>
      </c>
      <c r="H2815" s="425">
        <v>0</v>
      </c>
      <c r="I2815" s="425">
        <v>0</v>
      </c>
      <c r="J2815" s="425">
        <v>0</v>
      </c>
      <c r="K2815" s="425">
        <v>0</v>
      </c>
      <c r="L2815" s="425">
        <v>0</v>
      </c>
      <c r="M2815" s="425">
        <v>0</v>
      </c>
      <c r="N2815" s="425">
        <v>0</v>
      </c>
      <c r="O2815" s="425">
        <v>0</v>
      </c>
    </row>
    <row r="2816" spans="3:15" hidden="1" x14ac:dyDescent="0.3">
      <c r="C2816" t="s">
        <v>2263</v>
      </c>
      <c r="D2816" t="s">
        <v>2237</v>
      </c>
      <c r="E2816" t="s">
        <v>7820</v>
      </c>
      <c r="F2816" t="s">
        <v>7821</v>
      </c>
      <c r="G2816" s="425">
        <v>1160582716178</v>
      </c>
      <c r="H2816" s="425">
        <v>977168526300</v>
      </c>
      <c r="I2816" s="425">
        <v>158692135163</v>
      </c>
      <c r="J2816" s="425">
        <v>0</v>
      </c>
      <c r="K2816" s="425">
        <v>17649816921</v>
      </c>
      <c r="L2816" s="425">
        <v>3343835082</v>
      </c>
      <c r="M2816" s="425">
        <v>287376436</v>
      </c>
      <c r="N2816" s="425">
        <v>3441026276</v>
      </c>
      <c r="O2816" s="425">
        <v>0</v>
      </c>
    </row>
    <row r="2817" spans="3:15" hidden="1" x14ac:dyDescent="0.3">
      <c r="C2817" t="s">
        <v>2266</v>
      </c>
      <c r="D2817" t="s">
        <v>2267</v>
      </c>
      <c r="E2817" t="s">
        <v>7822</v>
      </c>
      <c r="F2817" t="s">
        <v>7823</v>
      </c>
      <c r="G2817" s="425">
        <v>1160582716178</v>
      </c>
      <c r="H2817" s="425">
        <v>977168526300</v>
      </c>
      <c r="I2817" s="425">
        <v>158692135163</v>
      </c>
      <c r="J2817" s="425">
        <v>0</v>
      </c>
      <c r="K2817" s="425">
        <v>17649816921</v>
      </c>
      <c r="L2817" s="425">
        <v>3343835082</v>
      </c>
      <c r="M2817" s="425">
        <v>287376436</v>
      </c>
      <c r="N2817" s="425">
        <v>3441026276</v>
      </c>
      <c r="O2817" s="425">
        <v>0</v>
      </c>
    </row>
    <row r="2818" spans="3:15" hidden="1" x14ac:dyDescent="0.3">
      <c r="C2818" t="s">
        <v>2263</v>
      </c>
      <c r="D2818" t="s">
        <v>2237</v>
      </c>
      <c r="E2818" t="s">
        <v>7824</v>
      </c>
      <c r="F2818" t="s">
        <v>7825</v>
      </c>
      <c r="G2818" s="425">
        <v>-794224079406</v>
      </c>
      <c r="H2818" s="425">
        <v>-677502455099</v>
      </c>
      <c r="I2818" s="425">
        <v>-103477832451</v>
      </c>
      <c r="J2818" s="425">
        <v>0</v>
      </c>
      <c r="K2818" s="425">
        <v>-7417885137</v>
      </c>
      <c r="L2818" s="425">
        <v>-2687281922</v>
      </c>
      <c r="M2818" s="425">
        <v>-270866693</v>
      </c>
      <c r="N2818" s="425">
        <v>-2867758104</v>
      </c>
      <c r="O2818" s="425">
        <v>0</v>
      </c>
    </row>
    <row r="2819" spans="3:15" hidden="1" x14ac:dyDescent="0.3">
      <c r="C2819" t="s">
        <v>2266</v>
      </c>
      <c r="D2819" t="s">
        <v>2267</v>
      </c>
      <c r="E2819" t="s">
        <v>7826</v>
      </c>
      <c r="F2819" t="s">
        <v>7827</v>
      </c>
      <c r="G2819" s="425">
        <v>-794224079406</v>
      </c>
      <c r="H2819" s="425">
        <v>-677502455099</v>
      </c>
      <c r="I2819" s="425">
        <v>-103477832451</v>
      </c>
      <c r="J2819" s="425">
        <v>0</v>
      </c>
      <c r="K2819" s="425">
        <v>-7417885137</v>
      </c>
      <c r="L2819" s="425">
        <v>-2687281922</v>
      </c>
      <c r="M2819" s="425">
        <v>-270866693</v>
      </c>
      <c r="N2819" s="425">
        <v>-2867758104</v>
      </c>
      <c r="O2819" s="425">
        <v>0</v>
      </c>
    </row>
    <row r="2820" spans="3:15" hidden="1" x14ac:dyDescent="0.3">
      <c r="C2820" t="s">
        <v>2263</v>
      </c>
      <c r="D2820" t="s">
        <v>2237</v>
      </c>
      <c r="E2820" t="s">
        <v>7828</v>
      </c>
      <c r="F2820" t="s">
        <v>7829</v>
      </c>
      <c r="G2820" s="425">
        <v>-25369566054</v>
      </c>
      <c r="H2820" s="425">
        <v>-13707111726</v>
      </c>
      <c r="I2820" s="425">
        <v>-10009412093</v>
      </c>
      <c r="J2820" s="425">
        <v>0</v>
      </c>
      <c r="K2820" s="425">
        <v>-1525803536</v>
      </c>
      <c r="L2820" s="425">
        <v>0</v>
      </c>
      <c r="M2820" s="425">
        <v>0</v>
      </c>
      <c r="N2820" s="425">
        <v>-127238699</v>
      </c>
      <c r="O2820" s="425">
        <v>0</v>
      </c>
    </row>
    <row r="2821" spans="3:15" hidden="1" x14ac:dyDescent="0.3">
      <c r="C2821" t="s">
        <v>2266</v>
      </c>
      <c r="D2821" t="s">
        <v>2267</v>
      </c>
      <c r="E2821" t="s">
        <v>7830</v>
      </c>
      <c r="F2821" t="s">
        <v>7831</v>
      </c>
      <c r="G2821" s="425">
        <v>-25369566054</v>
      </c>
      <c r="H2821" s="425">
        <v>-13707111726</v>
      </c>
      <c r="I2821" s="425">
        <v>-10009412093</v>
      </c>
      <c r="J2821" s="425">
        <v>0</v>
      </c>
      <c r="K2821" s="425">
        <v>-1525803536</v>
      </c>
      <c r="L2821" s="425">
        <v>0</v>
      </c>
      <c r="M2821" s="425">
        <v>0</v>
      </c>
      <c r="N2821" s="425">
        <v>-127238699</v>
      </c>
      <c r="O2821" s="425">
        <v>0</v>
      </c>
    </row>
    <row r="2822" spans="3:15" hidden="1" x14ac:dyDescent="0.3">
      <c r="C2822" t="s">
        <v>2263</v>
      </c>
      <c r="D2822" t="s">
        <v>2237</v>
      </c>
      <c r="E2822" t="s">
        <v>7832</v>
      </c>
      <c r="F2822" t="s">
        <v>7833</v>
      </c>
      <c r="G2822" s="425">
        <v>267835294717</v>
      </c>
      <c r="H2822" s="425">
        <v>224508824359</v>
      </c>
      <c r="I2822" s="425">
        <v>20951514758</v>
      </c>
      <c r="J2822" s="425">
        <v>0</v>
      </c>
      <c r="K2822" s="425">
        <v>2969036317</v>
      </c>
      <c r="L2822" s="425">
        <v>5411991128</v>
      </c>
      <c r="M2822" s="425">
        <v>152548141</v>
      </c>
      <c r="N2822" s="425">
        <v>13841380014</v>
      </c>
      <c r="O2822" s="425">
        <v>0</v>
      </c>
    </row>
    <row r="2823" spans="3:15" hidden="1" x14ac:dyDescent="0.3">
      <c r="C2823" t="s">
        <v>2266</v>
      </c>
      <c r="D2823" t="s">
        <v>2267</v>
      </c>
      <c r="E2823" t="s">
        <v>7834</v>
      </c>
      <c r="F2823" t="s">
        <v>7835</v>
      </c>
      <c r="G2823" s="425">
        <v>267835294717</v>
      </c>
      <c r="H2823" s="425">
        <v>224508824359</v>
      </c>
      <c r="I2823" s="425">
        <v>20951514758</v>
      </c>
      <c r="J2823" s="425">
        <v>0</v>
      </c>
      <c r="K2823" s="425">
        <v>2969036317</v>
      </c>
      <c r="L2823" s="425">
        <v>5411991128</v>
      </c>
      <c r="M2823" s="425">
        <v>152548141</v>
      </c>
      <c r="N2823" s="425">
        <v>13841380014</v>
      </c>
      <c r="O2823" s="425">
        <v>0</v>
      </c>
    </row>
    <row r="2824" spans="3:15" hidden="1" x14ac:dyDescent="0.3">
      <c r="C2824" t="s">
        <v>2263</v>
      </c>
      <c r="D2824" t="s">
        <v>2237</v>
      </c>
      <c r="E2824" t="s">
        <v>7836</v>
      </c>
      <c r="F2824" t="s">
        <v>7837</v>
      </c>
      <c r="G2824" s="425">
        <v>-201031549088</v>
      </c>
      <c r="H2824" s="425">
        <v>-173161662678</v>
      </c>
      <c r="I2824" s="425">
        <v>-13366855813</v>
      </c>
      <c r="J2824" s="425">
        <v>0</v>
      </c>
      <c r="K2824" s="425">
        <v>-2099684469</v>
      </c>
      <c r="L2824" s="425">
        <v>-2250119671</v>
      </c>
      <c r="M2824" s="425">
        <v>-107777767</v>
      </c>
      <c r="N2824" s="425">
        <v>-10045448690</v>
      </c>
      <c r="O2824" s="425">
        <v>0</v>
      </c>
    </row>
    <row r="2825" spans="3:15" hidden="1" x14ac:dyDescent="0.3">
      <c r="C2825" t="s">
        <v>2266</v>
      </c>
      <c r="D2825" t="s">
        <v>2267</v>
      </c>
      <c r="E2825" t="s">
        <v>7838</v>
      </c>
      <c r="F2825" t="s">
        <v>7839</v>
      </c>
      <c r="G2825" s="425">
        <v>-201031549088</v>
      </c>
      <c r="H2825" s="425">
        <v>-173161662678</v>
      </c>
      <c r="I2825" s="425">
        <v>-13366855813</v>
      </c>
      <c r="J2825" s="425">
        <v>0</v>
      </c>
      <c r="K2825" s="425">
        <v>-2099684469</v>
      </c>
      <c r="L2825" s="425">
        <v>-2250119671</v>
      </c>
      <c r="M2825" s="425">
        <v>-107777767</v>
      </c>
      <c r="N2825" s="425">
        <v>-10045448690</v>
      </c>
      <c r="O2825" s="425">
        <v>0</v>
      </c>
    </row>
    <row r="2826" spans="3:15" hidden="1" x14ac:dyDescent="0.3">
      <c r="C2826" t="s">
        <v>2263</v>
      </c>
      <c r="D2826" t="s">
        <v>2237</v>
      </c>
      <c r="E2826" t="s">
        <v>7840</v>
      </c>
      <c r="F2826" t="s">
        <v>7841</v>
      </c>
      <c r="G2826" s="425">
        <v>-3392314452</v>
      </c>
      <c r="H2826" s="425">
        <v>-989823523</v>
      </c>
      <c r="I2826" s="425">
        <v>-1665002147</v>
      </c>
      <c r="J2826" s="425">
        <v>0</v>
      </c>
      <c r="K2826" s="425">
        <v>-139744671</v>
      </c>
      <c r="L2826" s="425">
        <v>-3580380</v>
      </c>
      <c r="M2826" s="425">
        <v>-400725</v>
      </c>
      <c r="N2826" s="425">
        <v>-593763006</v>
      </c>
      <c r="O2826" s="425">
        <v>0</v>
      </c>
    </row>
    <row r="2827" spans="3:15" hidden="1" x14ac:dyDescent="0.3">
      <c r="C2827" t="s">
        <v>2266</v>
      </c>
      <c r="D2827" t="s">
        <v>2267</v>
      </c>
      <c r="E2827" t="s">
        <v>7842</v>
      </c>
      <c r="F2827" t="s">
        <v>7843</v>
      </c>
      <c r="G2827" s="425">
        <v>-3392314452</v>
      </c>
      <c r="H2827" s="425">
        <v>-989823523</v>
      </c>
      <c r="I2827" s="425">
        <v>-1665002147</v>
      </c>
      <c r="J2827" s="425">
        <v>0</v>
      </c>
      <c r="K2827" s="425">
        <v>-139744671</v>
      </c>
      <c r="L2827" s="425">
        <v>-3580380</v>
      </c>
      <c r="M2827" s="425">
        <v>-400725</v>
      </c>
      <c r="N2827" s="425">
        <v>-593763006</v>
      </c>
      <c r="O2827" s="425">
        <v>0</v>
      </c>
    </row>
    <row r="2828" spans="3:15" hidden="1" x14ac:dyDescent="0.3">
      <c r="C2828" t="s">
        <v>2263</v>
      </c>
      <c r="D2828" t="s">
        <v>2237</v>
      </c>
      <c r="E2828" t="s">
        <v>7844</v>
      </c>
      <c r="F2828" t="s">
        <v>7845</v>
      </c>
      <c r="G2828" s="425">
        <v>5541881692</v>
      </c>
      <c r="H2828" s="425">
        <v>1735840597</v>
      </c>
      <c r="I2828" s="425">
        <v>1679139950</v>
      </c>
      <c r="J2828" s="425">
        <v>0</v>
      </c>
      <c r="K2828" s="425">
        <v>12869924</v>
      </c>
      <c r="L2828" s="425">
        <v>1987917780</v>
      </c>
      <c r="M2828" s="425">
        <v>0</v>
      </c>
      <c r="N2828" s="425">
        <v>126113441</v>
      </c>
      <c r="O2828" s="425">
        <v>0</v>
      </c>
    </row>
    <row r="2829" spans="3:15" hidden="1" x14ac:dyDescent="0.3">
      <c r="C2829" t="s">
        <v>2266</v>
      </c>
      <c r="D2829" t="s">
        <v>2267</v>
      </c>
      <c r="E2829" t="s">
        <v>7846</v>
      </c>
      <c r="F2829" t="s">
        <v>7847</v>
      </c>
      <c r="G2829" s="425">
        <v>5541881692</v>
      </c>
      <c r="H2829" s="425">
        <v>1735840597</v>
      </c>
      <c r="I2829" s="425">
        <v>1679139950</v>
      </c>
      <c r="J2829" s="425">
        <v>0</v>
      </c>
      <c r="K2829" s="425">
        <v>12869924</v>
      </c>
      <c r="L2829" s="425">
        <v>1987917780</v>
      </c>
      <c r="M2829" s="425">
        <v>0</v>
      </c>
      <c r="N2829" s="425">
        <v>126113441</v>
      </c>
      <c r="O2829" s="425">
        <v>0</v>
      </c>
    </row>
    <row r="2830" spans="3:15" hidden="1" x14ac:dyDescent="0.3">
      <c r="C2830" t="s">
        <v>2263</v>
      </c>
      <c r="D2830" t="s">
        <v>2237</v>
      </c>
      <c r="E2830" t="s">
        <v>7848</v>
      </c>
      <c r="F2830" t="s">
        <v>7849</v>
      </c>
      <c r="G2830" s="425">
        <v>-907685572</v>
      </c>
      <c r="H2830" s="425">
        <v>-879025361</v>
      </c>
      <c r="I2830" s="425">
        <v>-24682561</v>
      </c>
      <c r="J2830" s="425">
        <v>0</v>
      </c>
      <c r="K2830" s="425">
        <v>-368212</v>
      </c>
      <c r="L2830" s="425">
        <v>0</v>
      </c>
      <c r="M2830" s="425">
        <v>0</v>
      </c>
      <c r="N2830" s="425">
        <v>-3609438</v>
      </c>
      <c r="O2830" s="425">
        <v>0</v>
      </c>
    </row>
    <row r="2831" spans="3:15" hidden="1" x14ac:dyDescent="0.3">
      <c r="C2831" t="s">
        <v>2266</v>
      </c>
      <c r="D2831" t="s">
        <v>2267</v>
      </c>
      <c r="E2831" t="s">
        <v>7850</v>
      </c>
      <c r="F2831" t="s">
        <v>7851</v>
      </c>
      <c r="G2831" s="425">
        <v>-907685572</v>
      </c>
      <c r="H2831" s="425">
        <v>-879025361</v>
      </c>
      <c r="I2831" s="425">
        <v>-24682561</v>
      </c>
      <c r="J2831" s="425">
        <v>0</v>
      </c>
      <c r="K2831" s="425">
        <v>-368212</v>
      </c>
      <c r="L2831" s="425">
        <v>0</v>
      </c>
      <c r="M2831" s="425">
        <v>0</v>
      </c>
      <c r="N2831" s="425">
        <v>-3609438</v>
      </c>
      <c r="O2831" s="425">
        <v>0</v>
      </c>
    </row>
    <row r="2832" spans="3:15" hidden="1" x14ac:dyDescent="0.3">
      <c r="C2832" t="s">
        <v>2263</v>
      </c>
      <c r="D2832" t="s">
        <v>2237</v>
      </c>
      <c r="E2832" t="s">
        <v>7852</v>
      </c>
      <c r="F2832" t="s">
        <v>7853</v>
      </c>
      <c r="G2832" s="425">
        <v>5816204822</v>
      </c>
      <c r="H2832" s="425">
        <v>0</v>
      </c>
      <c r="I2832" s="425">
        <v>0</v>
      </c>
      <c r="J2832" s="425">
        <v>0</v>
      </c>
      <c r="K2832" s="425">
        <v>0</v>
      </c>
      <c r="L2832" s="425">
        <v>5816204822</v>
      </c>
      <c r="M2832" s="425">
        <v>0</v>
      </c>
      <c r="N2832" s="425">
        <v>0</v>
      </c>
      <c r="O2832" s="425">
        <v>0</v>
      </c>
    </row>
    <row r="2833" spans="1:15" hidden="1" x14ac:dyDescent="0.3">
      <c r="C2833" t="s">
        <v>2266</v>
      </c>
      <c r="D2833" t="s">
        <v>2267</v>
      </c>
      <c r="E2833" t="s">
        <v>7854</v>
      </c>
      <c r="F2833" t="s">
        <v>7855</v>
      </c>
      <c r="G2833" s="425">
        <v>5816204822</v>
      </c>
      <c r="H2833" s="425">
        <v>0</v>
      </c>
      <c r="I2833" s="425">
        <v>0</v>
      </c>
      <c r="J2833" s="425">
        <v>0</v>
      </c>
      <c r="K2833" s="425">
        <v>0</v>
      </c>
      <c r="L2833" s="425">
        <v>5816204822</v>
      </c>
      <c r="M2833" s="425">
        <v>0</v>
      </c>
      <c r="N2833" s="425">
        <v>0</v>
      </c>
      <c r="O2833" s="425">
        <v>0</v>
      </c>
    </row>
    <row r="2834" spans="1:15" hidden="1" x14ac:dyDescent="0.3">
      <c r="C2834" t="s">
        <v>2263</v>
      </c>
      <c r="D2834" t="s">
        <v>2237</v>
      </c>
      <c r="E2834" t="s">
        <v>7856</v>
      </c>
      <c r="F2834" t="s">
        <v>7857</v>
      </c>
      <c r="G2834" s="425">
        <v>-3586471583</v>
      </c>
      <c r="H2834" s="425">
        <v>0</v>
      </c>
      <c r="I2834" s="425">
        <v>0</v>
      </c>
      <c r="J2834" s="425">
        <v>0</v>
      </c>
      <c r="K2834" s="425">
        <v>0</v>
      </c>
      <c r="L2834" s="425">
        <v>-3586471583</v>
      </c>
      <c r="M2834" s="425">
        <v>0</v>
      </c>
      <c r="N2834" s="425">
        <v>0</v>
      </c>
      <c r="O2834" s="425">
        <v>0</v>
      </c>
    </row>
    <row r="2835" spans="1:15" hidden="1" x14ac:dyDescent="0.3">
      <c r="C2835" t="s">
        <v>2266</v>
      </c>
      <c r="D2835" t="s">
        <v>2267</v>
      </c>
      <c r="E2835" t="s">
        <v>7858</v>
      </c>
      <c r="F2835" t="s">
        <v>7859</v>
      </c>
      <c r="G2835" s="425">
        <v>-3586471583</v>
      </c>
      <c r="H2835" s="425">
        <v>0</v>
      </c>
      <c r="I2835" s="425">
        <v>0</v>
      </c>
      <c r="J2835" s="425">
        <v>0</v>
      </c>
      <c r="K2835" s="425">
        <v>0</v>
      </c>
      <c r="L2835" s="425">
        <v>-3586471583</v>
      </c>
      <c r="M2835" s="425">
        <v>0</v>
      </c>
      <c r="N2835" s="425">
        <v>0</v>
      </c>
      <c r="O2835" s="425">
        <v>0</v>
      </c>
    </row>
    <row r="2836" spans="1:15" hidden="1" x14ac:dyDescent="0.3">
      <c r="C2836" t="s">
        <v>2263</v>
      </c>
      <c r="D2836" t="s">
        <v>2237</v>
      </c>
      <c r="E2836" t="s">
        <v>7860</v>
      </c>
      <c r="F2836" t="s">
        <v>7861</v>
      </c>
      <c r="G2836" s="425">
        <v>0</v>
      </c>
      <c r="H2836" s="425">
        <v>0</v>
      </c>
      <c r="I2836" s="425">
        <v>0</v>
      </c>
      <c r="J2836" s="425">
        <v>0</v>
      </c>
      <c r="K2836" s="425">
        <v>0</v>
      </c>
      <c r="L2836" s="425">
        <v>0</v>
      </c>
      <c r="M2836" s="425">
        <v>0</v>
      </c>
      <c r="N2836" s="425">
        <v>0</v>
      </c>
      <c r="O2836" s="425">
        <v>0</v>
      </c>
    </row>
    <row r="2837" spans="1:15" hidden="1" x14ac:dyDescent="0.3">
      <c r="C2837" t="s">
        <v>2266</v>
      </c>
      <c r="D2837" t="s">
        <v>2267</v>
      </c>
      <c r="E2837" t="s">
        <v>7862</v>
      </c>
      <c r="F2837" t="s">
        <v>7863</v>
      </c>
      <c r="G2837" s="425">
        <v>0</v>
      </c>
      <c r="H2837" s="425">
        <v>0</v>
      </c>
      <c r="I2837" s="425">
        <v>0</v>
      </c>
      <c r="J2837" s="425">
        <v>0</v>
      </c>
      <c r="K2837" s="425">
        <v>0</v>
      </c>
      <c r="L2837" s="425">
        <v>0</v>
      </c>
      <c r="M2837" s="425">
        <v>0</v>
      </c>
      <c r="N2837" s="425">
        <v>0</v>
      </c>
      <c r="O2837" s="425">
        <v>0</v>
      </c>
    </row>
    <row r="2838" spans="1:15" hidden="1" x14ac:dyDescent="0.3">
      <c r="C2838" t="s">
        <v>2263</v>
      </c>
      <c r="D2838" t="s">
        <v>2237</v>
      </c>
      <c r="E2838" t="s">
        <v>7864</v>
      </c>
      <c r="F2838" t="s">
        <v>7865</v>
      </c>
      <c r="G2838" s="425">
        <v>7913181792</v>
      </c>
      <c r="H2838" s="425">
        <v>0</v>
      </c>
      <c r="I2838" s="425">
        <v>0</v>
      </c>
      <c r="J2838" s="425">
        <v>0</v>
      </c>
      <c r="K2838" s="425">
        <v>0</v>
      </c>
      <c r="L2838" s="425">
        <v>7913181792</v>
      </c>
      <c r="M2838" s="425">
        <v>0</v>
      </c>
      <c r="N2838" s="425">
        <v>0</v>
      </c>
      <c r="O2838" s="425">
        <v>0</v>
      </c>
    </row>
    <row r="2839" spans="1:15" hidden="1" x14ac:dyDescent="0.3">
      <c r="C2839" t="s">
        <v>2266</v>
      </c>
      <c r="D2839" t="s">
        <v>2267</v>
      </c>
      <c r="E2839" t="s">
        <v>7866</v>
      </c>
      <c r="F2839" t="s">
        <v>7867</v>
      </c>
      <c r="G2839" s="425">
        <v>7913181792</v>
      </c>
      <c r="H2839" s="425">
        <v>0</v>
      </c>
      <c r="I2839" s="425">
        <v>0</v>
      </c>
      <c r="J2839" s="425">
        <v>0</v>
      </c>
      <c r="K2839" s="425">
        <v>0</v>
      </c>
      <c r="L2839" s="425">
        <v>7913181792</v>
      </c>
      <c r="M2839" s="425">
        <v>0</v>
      </c>
      <c r="N2839" s="425">
        <v>0</v>
      </c>
      <c r="O2839" s="425">
        <v>0</v>
      </c>
    </row>
    <row r="2840" spans="1:15" hidden="1" x14ac:dyDescent="0.3">
      <c r="C2840" t="s">
        <v>2263</v>
      </c>
      <c r="D2840" t="s">
        <v>2237</v>
      </c>
      <c r="E2840" t="s">
        <v>7868</v>
      </c>
      <c r="F2840" t="s">
        <v>7869</v>
      </c>
      <c r="G2840" s="425">
        <v>-5030860849</v>
      </c>
      <c r="H2840" s="425">
        <v>0</v>
      </c>
      <c r="I2840" s="425">
        <v>0</v>
      </c>
      <c r="J2840" s="425">
        <v>0</v>
      </c>
      <c r="K2840" s="425">
        <v>0</v>
      </c>
      <c r="L2840" s="425">
        <v>-5030860849</v>
      </c>
      <c r="M2840" s="425">
        <v>0</v>
      </c>
      <c r="N2840" s="425">
        <v>0</v>
      </c>
      <c r="O2840" s="425">
        <v>0</v>
      </c>
    </row>
    <row r="2841" spans="1:15" hidden="1" x14ac:dyDescent="0.3">
      <c r="C2841" t="s">
        <v>2266</v>
      </c>
      <c r="D2841" t="s">
        <v>2267</v>
      </c>
      <c r="E2841" t="s">
        <v>7870</v>
      </c>
      <c r="F2841" t="s">
        <v>7871</v>
      </c>
      <c r="G2841" s="425">
        <v>-5030860849</v>
      </c>
      <c r="H2841" s="425">
        <v>0</v>
      </c>
      <c r="I2841" s="425">
        <v>0</v>
      </c>
      <c r="J2841" s="425">
        <v>0</v>
      </c>
      <c r="K2841" s="425">
        <v>0</v>
      </c>
      <c r="L2841" s="425">
        <v>-5030860849</v>
      </c>
      <c r="M2841" s="425">
        <v>0</v>
      </c>
      <c r="N2841" s="425">
        <v>0</v>
      </c>
      <c r="O2841" s="425">
        <v>0</v>
      </c>
    </row>
    <row r="2842" spans="1:15" hidden="1" x14ac:dyDescent="0.3">
      <c r="C2842" t="s">
        <v>2263</v>
      </c>
      <c r="D2842" t="s">
        <v>2237</v>
      </c>
      <c r="E2842" t="s">
        <v>7872</v>
      </c>
      <c r="F2842" t="s">
        <v>7873</v>
      </c>
      <c r="G2842" s="425">
        <v>0</v>
      </c>
      <c r="H2842" s="425">
        <v>0</v>
      </c>
      <c r="I2842" s="425">
        <v>0</v>
      </c>
      <c r="J2842" s="425">
        <v>0</v>
      </c>
      <c r="K2842" s="425">
        <v>0</v>
      </c>
      <c r="L2842" s="425">
        <v>0</v>
      </c>
      <c r="M2842" s="425">
        <v>0</v>
      </c>
      <c r="N2842" s="425">
        <v>0</v>
      </c>
      <c r="O2842" s="425">
        <v>0</v>
      </c>
    </row>
    <row r="2843" spans="1:15" hidden="1" x14ac:dyDescent="0.3">
      <c r="C2843" t="s">
        <v>2266</v>
      </c>
      <c r="D2843" t="s">
        <v>2267</v>
      </c>
      <c r="E2843" t="s">
        <v>7874</v>
      </c>
      <c r="F2843" t="s">
        <v>7875</v>
      </c>
      <c r="G2843" s="425">
        <v>0</v>
      </c>
      <c r="H2843" s="425">
        <v>0</v>
      </c>
      <c r="I2843" s="425">
        <v>0</v>
      </c>
      <c r="J2843" s="425">
        <v>0</v>
      </c>
      <c r="K2843" s="425">
        <v>0</v>
      </c>
      <c r="L2843" s="425">
        <v>0</v>
      </c>
      <c r="M2843" s="425">
        <v>0</v>
      </c>
      <c r="N2843" s="425">
        <v>0</v>
      </c>
      <c r="O2843" s="425">
        <v>0</v>
      </c>
    </row>
    <row r="2844" spans="1:15" hidden="1" x14ac:dyDescent="0.3">
      <c r="A2844" s="240"/>
      <c r="B2844" s="239" t="s">
        <v>133</v>
      </c>
      <c r="C2844" t="s">
        <v>2260</v>
      </c>
      <c r="D2844" t="s">
        <v>2237</v>
      </c>
      <c r="E2844" t="s">
        <v>7876</v>
      </c>
      <c r="F2844" t="s">
        <v>7877</v>
      </c>
      <c r="G2844" s="425">
        <v>154373571706</v>
      </c>
      <c r="H2844" s="425">
        <v>33014301244</v>
      </c>
      <c r="I2844" s="425">
        <v>10679135775</v>
      </c>
      <c r="J2844" s="425">
        <v>0</v>
      </c>
      <c r="K2844" s="425">
        <v>18738689657</v>
      </c>
      <c r="L2844" s="425">
        <v>16735940152</v>
      </c>
      <c r="M2844" s="425">
        <v>89510399</v>
      </c>
      <c r="N2844" s="425">
        <v>75115994479</v>
      </c>
      <c r="O2844" s="425">
        <v>0</v>
      </c>
    </row>
    <row r="2845" spans="1:15" hidden="1" x14ac:dyDescent="0.3">
      <c r="C2845" t="s">
        <v>2263</v>
      </c>
      <c r="D2845" t="s">
        <v>2237</v>
      </c>
      <c r="E2845" t="s">
        <v>7878</v>
      </c>
      <c r="F2845" t="s">
        <v>7879</v>
      </c>
      <c r="G2845" s="425">
        <v>317456645317</v>
      </c>
      <c r="H2845" s="425">
        <v>124293341056</v>
      </c>
      <c r="I2845" s="425">
        <v>67028792640</v>
      </c>
      <c r="J2845" s="425">
        <v>0</v>
      </c>
      <c r="K2845" s="425">
        <v>37838030567</v>
      </c>
      <c r="L2845" s="425">
        <v>30037842908</v>
      </c>
      <c r="M2845" s="425">
        <v>264961869</v>
      </c>
      <c r="N2845" s="425">
        <v>57993676277</v>
      </c>
      <c r="O2845" s="425">
        <v>0</v>
      </c>
    </row>
    <row r="2846" spans="1:15" hidden="1" x14ac:dyDescent="0.3">
      <c r="C2846" t="s">
        <v>2266</v>
      </c>
      <c r="D2846" t="s">
        <v>2267</v>
      </c>
      <c r="E2846" t="s">
        <v>7880</v>
      </c>
      <c r="F2846" t="s">
        <v>7881</v>
      </c>
      <c r="G2846" s="425">
        <v>317456645317</v>
      </c>
      <c r="H2846" s="425">
        <v>124293341056</v>
      </c>
      <c r="I2846" s="425">
        <v>67028792640</v>
      </c>
      <c r="J2846" s="425">
        <v>0</v>
      </c>
      <c r="K2846" s="425">
        <v>37838030567</v>
      </c>
      <c r="L2846" s="425">
        <v>30037842908</v>
      </c>
      <c r="M2846" s="425">
        <v>264961869</v>
      </c>
      <c r="N2846" s="425">
        <v>57993676277</v>
      </c>
      <c r="O2846" s="425">
        <v>0</v>
      </c>
    </row>
    <row r="2847" spans="1:15" hidden="1" x14ac:dyDescent="0.3">
      <c r="C2847" t="s">
        <v>2263</v>
      </c>
      <c r="D2847" t="s">
        <v>2237</v>
      </c>
      <c r="E2847" t="s">
        <v>7882</v>
      </c>
      <c r="F2847" t="s">
        <v>7883</v>
      </c>
      <c r="G2847" s="425">
        <v>-223775197772</v>
      </c>
      <c r="H2847" s="425">
        <v>-95138814555</v>
      </c>
      <c r="I2847" s="425">
        <v>-48004726021</v>
      </c>
      <c r="J2847" s="425">
        <v>0</v>
      </c>
      <c r="K2847" s="425">
        <v>-18952255459</v>
      </c>
      <c r="L2847" s="425">
        <v>-18126777030</v>
      </c>
      <c r="M2847" s="425">
        <v>-175741504</v>
      </c>
      <c r="N2847" s="425">
        <v>-43376883203</v>
      </c>
      <c r="O2847" s="425">
        <v>0</v>
      </c>
    </row>
    <row r="2848" spans="1:15" hidden="1" x14ac:dyDescent="0.3">
      <c r="C2848" t="s">
        <v>2266</v>
      </c>
      <c r="D2848" t="s">
        <v>2267</v>
      </c>
      <c r="E2848" t="s">
        <v>7884</v>
      </c>
      <c r="F2848" t="s">
        <v>7885</v>
      </c>
      <c r="G2848" s="425">
        <v>-223775197772</v>
      </c>
      <c r="H2848" s="425">
        <v>-95138814555</v>
      </c>
      <c r="I2848" s="425">
        <v>-48004726021</v>
      </c>
      <c r="J2848" s="425">
        <v>0</v>
      </c>
      <c r="K2848" s="425">
        <v>-18952255459</v>
      </c>
      <c r="L2848" s="425">
        <v>-18126777030</v>
      </c>
      <c r="M2848" s="425">
        <v>-175741504</v>
      </c>
      <c r="N2848" s="425">
        <v>-43376883203</v>
      </c>
      <c r="O2848" s="425">
        <v>0</v>
      </c>
    </row>
    <row r="2849" spans="3:15" hidden="1" x14ac:dyDescent="0.3">
      <c r="C2849" t="s">
        <v>2263</v>
      </c>
      <c r="D2849" t="s">
        <v>2237</v>
      </c>
      <c r="E2849" t="s">
        <v>7886</v>
      </c>
      <c r="F2849" t="s">
        <v>7887</v>
      </c>
      <c r="G2849" s="425">
        <v>-9927159592</v>
      </c>
      <c r="H2849" s="425">
        <v>-166405419</v>
      </c>
      <c r="I2849" s="425">
        <v>-8446889555</v>
      </c>
      <c r="J2849" s="425">
        <v>0</v>
      </c>
      <c r="K2849" s="425">
        <v>-541208592</v>
      </c>
      <c r="L2849" s="425">
        <v>-3708166</v>
      </c>
      <c r="M2849" s="425">
        <v>-54541</v>
      </c>
      <c r="N2849" s="425">
        <v>-768893319</v>
      </c>
      <c r="O2849" s="425">
        <v>0</v>
      </c>
    </row>
    <row r="2850" spans="3:15" hidden="1" x14ac:dyDescent="0.3">
      <c r="C2850" t="s">
        <v>2266</v>
      </c>
      <c r="D2850" t="s">
        <v>2267</v>
      </c>
      <c r="E2850" t="s">
        <v>7888</v>
      </c>
      <c r="F2850" t="s">
        <v>7889</v>
      </c>
      <c r="G2850" s="425">
        <v>-9927159592</v>
      </c>
      <c r="H2850" s="425">
        <v>-166405419</v>
      </c>
      <c r="I2850" s="425">
        <v>-8446889555</v>
      </c>
      <c r="J2850" s="425">
        <v>0</v>
      </c>
      <c r="K2850" s="425">
        <v>-541208592</v>
      </c>
      <c r="L2850" s="425">
        <v>-3708166</v>
      </c>
      <c r="M2850" s="425">
        <v>-54541</v>
      </c>
      <c r="N2850" s="425">
        <v>-768893319</v>
      </c>
      <c r="O2850" s="425">
        <v>0</v>
      </c>
    </row>
    <row r="2851" spans="3:15" hidden="1" x14ac:dyDescent="0.3">
      <c r="C2851" t="s">
        <v>2263</v>
      </c>
      <c r="D2851" t="s">
        <v>2237</v>
      </c>
      <c r="E2851" t="s">
        <v>7890</v>
      </c>
      <c r="F2851" t="s">
        <v>7891</v>
      </c>
      <c r="G2851" s="425">
        <v>231757554178</v>
      </c>
      <c r="H2851" s="425">
        <v>196424074212</v>
      </c>
      <c r="I2851" s="425">
        <v>35333479966</v>
      </c>
      <c r="J2851" s="425">
        <v>0</v>
      </c>
      <c r="K2851" s="425">
        <v>0</v>
      </c>
      <c r="L2851" s="425">
        <v>0</v>
      </c>
      <c r="M2851" s="425">
        <v>0</v>
      </c>
      <c r="N2851" s="425">
        <v>0</v>
      </c>
      <c r="O2851" s="425">
        <v>0</v>
      </c>
    </row>
    <row r="2852" spans="3:15" hidden="1" x14ac:dyDescent="0.3">
      <c r="C2852" t="s">
        <v>2266</v>
      </c>
      <c r="D2852" t="s">
        <v>2267</v>
      </c>
      <c r="E2852" t="s">
        <v>7892</v>
      </c>
      <c r="F2852" t="s">
        <v>7893</v>
      </c>
      <c r="G2852" s="425">
        <v>400176836667</v>
      </c>
      <c r="H2852" s="425">
        <v>339023371510</v>
      </c>
      <c r="I2852" s="425">
        <v>61153465157</v>
      </c>
      <c r="J2852" s="425">
        <v>0</v>
      </c>
      <c r="K2852" s="425">
        <v>0</v>
      </c>
      <c r="L2852" s="425">
        <v>0</v>
      </c>
      <c r="M2852" s="425">
        <v>0</v>
      </c>
      <c r="N2852" s="425">
        <v>0</v>
      </c>
      <c r="O2852" s="425">
        <v>0</v>
      </c>
    </row>
    <row r="2853" spans="3:15" hidden="1" x14ac:dyDescent="0.3">
      <c r="C2853" t="s">
        <v>2266</v>
      </c>
      <c r="D2853" t="s">
        <v>2267</v>
      </c>
      <c r="E2853" t="s">
        <v>7894</v>
      </c>
      <c r="F2853" t="s">
        <v>7895</v>
      </c>
      <c r="G2853" s="425">
        <v>-168419282489</v>
      </c>
      <c r="H2853" s="425">
        <v>-142599297298</v>
      </c>
      <c r="I2853" s="425">
        <v>-25819985191</v>
      </c>
      <c r="J2853" s="425">
        <v>0</v>
      </c>
      <c r="K2853" s="425">
        <v>0</v>
      </c>
      <c r="L2853" s="425">
        <v>0</v>
      </c>
      <c r="M2853" s="425">
        <v>0</v>
      </c>
      <c r="N2853" s="425">
        <v>0</v>
      </c>
      <c r="O2853" s="425">
        <v>0</v>
      </c>
    </row>
    <row r="2854" spans="3:15" hidden="1" x14ac:dyDescent="0.3">
      <c r="C2854" t="s">
        <v>2263</v>
      </c>
      <c r="D2854" t="s">
        <v>2237</v>
      </c>
      <c r="E2854" t="s">
        <v>7896</v>
      </c>
      <c r="F2854" t="s">
        <v>7897</v>
      </c>
      <c r="G2854" s="425">
        <v>-229029179164</v>
      </c>
      <c r="H2854" s="425">
        <v>-195226055511</v>
      </c>
      <c r="I2854" s="425">
        <v>-33803123653</v>
      </c>
      <c r="J2854" s="425">
        <v>0</v>
      </c>
      <c r="K2854" s="425">
        <v>0</v>
      </c>
      <c r="L2854" s="425">
        <v>0</v>
      </c>
      <c r="M2854" s="425">
        <v>0</v>
      </c>
      <c r="N2854" s="425">
        <v>0</v>
      </c>
      <c r="O2854" s="425">
        <v>0</v>
      </c>
    </row>
    <row r="2855" spans="3:15" hidden="1" x14ac:dyDescent="0.3">
      <c r="C2855" t="s">
        <v>2266</v>
      </c>
      <c r="D2855" t="s">
        <v>2267</v>
      </c>
      <c r="E2855" t="s">
        <v>7898</v>
      </c>
      <c r="F2855" t="s">
        <v>7899</v>
      </c>
      <c r="G2855" s="425">
        <v>-291845649797</v>
      </c>
      <c r="H2855" s="425">
        <v>-249171848983</v>
      </c>
      <c r="I2855" s="425">
        <v>-42673800814</v>
      </c>
      <c r="J2855" s="425">
        <v>0</v>
      </c>
      <c r="K2855" s="425">
        <v>0</v>
      </c>
      <c r="L2855" s="425">
        <v>0</v>
      </c>
      <c r="M2855" s="425">
        <v>0</v>
      </c>
      <c r="N2855" s="425">
        <v>0</v>
      </c>
      <c r="O2855" s="425">
        <v>0</v>
      </c>
    </row>
    <row r="2856" spans="3:15" hidden="1" x14ac:dyDescent="0.3">
      <c r="C2856" t="s">
        <v>2266</v>
      </c>
      <c r="D2856" t="s">
        <v>2267</v>
      </c>
      <c r="E2856" t="s">
        <v>7900</v>
      </c>
      <c r="F2856" t="s">
        <v>7901</v>
      </c>
      <c r="G2856" s="425">
        <v>62816470633</v>
      </c>
      <c r="H2856" s="425">
        <v>53945793472</v>
      </c>
      <c r="I2856" s="425">
        <v>8870677161</v>
      </c>
      <c r="J2856" s="425">
        <v>0</v>
      </c>
      <c r="K2856" s="425">
        <v>0</v>
      </c>
      <c r="L2856" s="425">
        <v>0</v>
      </c>
      <c r="M2856" s="425">
        <v>0</v>
      </c>
      <c r="N2856" s="425">
        <v>0</v>
      </c>
      <c r="O2856" s="425">
        <v>0</v>
      </c>
    </row>
    <row r="2857" spans="3:15" hidden="1" x14ac:dyDescent="0.3">
      <c r="C2857" t="s">
        <v>2263</v>
      </c>
      <c r="D2857" t="s">
        <v>2237</v>
      </c>
      <c r="E2857" t="s">
        <v>7902</v>
      </c>
      <c r="F2857" t="s">
        <v>7903</v>
      </c>
      <c r="G2857" s="425">
        <v>-1429738668</v>
      </c>
      <c r="H2857" s="425">
        <v>0</v>
      </c>
      <c r="I2857" s="425">
        <v>-1429738668</v>
      </c>
      <c r="J2857" s="425">
        <v>0</v>
      </c>
      <c r="K2857" s="425">
        <v>0</v>
      </c>
      <c r="L2857" s="425">
        <v>0</v>
      </c>
      <c r="M2857" s="425">
        <v>0</v>
      </c>
      <c r="N2857" s="425">
        <v>0</v>
      </c>
      <c r="O2857" s="425">
        <v>0</v>
      </c>
    </row>
    <row r="2858" spans="3:15" hidden="1" x14ac:dyDescent="0.3">
      <c r="C2858" t="s">
        <v>2266</v>
      </c>
      <c r="D2858" t="s">
        <v>2267</v>
      </c>
      <c r="E2858" t="s">
        <v>7904</v>
      </c>
      <c r="F2858" t="s">
        <v>7905</v>
      </c>
      <c r="G2858" s="425">
        <v>-1429738668</v>
      </c>
      <c r="H2858" s="425">
        <v>0</v>
      </c>
      <c r="I2858" s="425">
        <v>-1429738668</v>
      </c>
      <c r="J2858" s="425">
        <v>0</v>
      </c>
      <c r="K2858" s="425">
        <v>0</v>
      </c>
      <c r="L2858" s="425">
        <v>0</v>
      </c>
      <c r="M2858" s="425">
        <v>0</v>
      </c>
      <c r="N2858" s="425">
        <v>0</v>
      </c>
      <c r="O2858" s="425">
        <v>0</v>
      </c>
    </row>
    <row r="2859" spans="3:15" hidden="1" x14ac:dyDescent="0.3">
      <c r="C2859" t="s">
        <v>2263</v>
      </c>
      <c r="D2859" t="s">
        <v>2237</v>
      </c>
      <c r="E2859" t="s">
        <v>7906</v>
      </c>
      <c r="F2859" t="s">
        <v>7907</v>
      </c>
      <c r="G2859" s="425">
        <v>130019645</v>
      </c>
      <c r="H2859" s="425">
        <v>20802040</v>
      </c>
      <c r="I2859" s="425">
        <v>0</v>
      </c>
      <c r="J2859" s="425">
        <v>0</v>
      </c>
      <c r="K2859" s="425">
        <v>80622370</v>
      </c>
      <c r="L2859" s="425">
        <v>4383224</v>
      </c>
      <c r="M2859" s="425">
        <v>7212182</v>
      </c>
      <c r="N2859" s="425">
        <v>16999829</v>
      </c>
      <c r="O2859" s="425">
        <v>0</v>
      </c>
    </row>
    <row r="2860" spans="3:15" hidden="1" x14ac:dyDescent="0.3">
      <c r="C2860" t="s">
        <v>2266</v>
      </c>
      <c r="D2860" t="s">
        <v>2267</v>
      </c>
      <c r="E2860" t="s">
        <v>7908</v>
      </c>
      <c r="F2860" t="s">
        <v>7909</v>
      </c>
      <c r="G2860" s="425">
        <v>130019645</v>
      </c>
      <c r="H2860" s="425">
        <v>20802040</v>
      </c>
      <c r="I2860" s="425">
        <v>0</v>
      </c>
      <c r="J2860" s="425">
        <v>0</v>
      </c>
      <c r="K2860" s="425">
        <v>80622370</v>
      </c>
      <c r="L2860" s="425">
        <v>4383224</v>
      </c>
      <c r="M2860" s="425">
        <v>7212182</v>
      </c>
      <c r="N2860" s="425">
        <v>16999829</v>
      </c>
      <c r="O2860" s="425">
        <v>0</v>
      </c>
    </row>
    <row r="2861" spans="3:15" hidden="1" x14ac:dyDescent="0.3">
      <c r="C2861" t="s">
        <v>2263</v>
      </c>
      <c r="D2861" t="s">
        <v>2237</v>
      </c>
      <c r="E2861" t="s">
        <v>7910</v>
      </c>
      <c r="F2861" t="s">
        <v>7911</v>
      </c>
      <c r="G2861" s="425">
        <v>-69088538</v>
      </c>
      <c r="H2861" s="425">
        <v>-17662873</v>
      </c>
      <c r="I2861" s="425">
        <v>0</v>
      </c>
      <c r="J2861" s="425">
        <v>0</v>
      </c>
      <c r="K2861" s="425">
        <v>-27877936</v>
      </c>
      <c r="L2861" s="425">
        <v>0</v>
      </c>
      <c r="M2861" s="425">
        <v>-6867607</v>
      </c>
      <c r="N2861" s="425">
        <v>-16680122</v>
      </c>
      <c r="O2861" s="425">
        <v>0</v>
      </c>
    </row>
    <row r="2862" spans="3:15" hidden="1" x14ac:dyDescent="0.3">
      <c r="C2862" t="s">
        <v>2266</v>
      </c>
      <c r="D2862" t="s">
        <v>2267</v>
      </c>
      <c r="E2862" t="s">
        <v>7912</v>
      </c>
      <c r="F2862" t="s">
        <v>7913</v>
      </c>
      <c r="G2862" s="425">
        <v>-69088538</v>
      </c>
      <c r="H2862" s="425">
        <v>-17662873</v>
      </c>
      <c r="I2862" s="425">
        <v>0</v>
      </c>
      <c r="J2862" s="425">
        <v>0</v>
      </c>
      <c r="K2862" s="425">
        <v>-27877936</v>
      </c>
      <c r="L2862" s="425">
        <v>0</v>
      </c>
      <c r="M2862" s="425">
        <v>-6867607</v>
      </c>
      <c r="N2862" s="425">
        <v>-16680122</v>
      </c>
      <c r="O2862" s="425">
        <v>0</v>
      </c>
    </row>
    <row r="2863" spans="3:15" hidden="1" x14ac:dyDescent="0.3">
      <c r="C2863" t="s">
        <v>2263</v>
      </c>
      <c r="D2863" t="s">
        <v>2237</v>
      </c>
      <c r="E2863" t="s">
        <v>7914</v>
      </c>
      <c r="F2863" t="s">
        <v>7915</v>
      </c>
      <c r="G2863" s="425">
        <v>-17576973</v>
      </c>
      <c r="H2863" s="425">
        <v>-1909337</v>
      </c>
      <c r="I2863" s="425">
        <v>0</v>
      </c>
      <c r="J2863" s="425">
        <v>0</v>
      </c>
      <c r="K2863" s="425">
        <v>-11213627</v>
      </c>
      <c r="L2863" s="425">
        <v>-4383224</v>
      </c>
      <c r="M2863" s="425">
        <v>0</v>
      </c>
      <c r="N2863" s="425">
        <v>-70785</v>
      </c>
      <c r="O2863" s="425">
        <v>0</v>
      </c>
    </row>
    <row r="2864" spans="3:15" hidden="1" x14ac:dyDescent="0.3">
      <c r="C2864" t="s">
        <v>2266</v>
      </c>
      <c r="D2864" t="s">
        <v>2267</v>
      </c>
      <c r="E2864" t="s">
        <v>7916</v>
      </c>
      <c r="F2864" t="s">
        <v>7917</v>
      </c>
      <c r="G2864" s="425">
        <v>-17576973</v>
      </c>
      <c r="H2864" s="425">
        <v>-1909337</v>
      </c>
      <c r="I2864" s="425">
        <v>0</v>
      </c>
      <c r="J2864" s="425">
        <v>0</v>
      </c>
      <c r="K2864" s="425">
        <v>-11213627</v>
      </c>
      <c r="L2864" s="425">
        <v>-4383224</v>
      </c>
      <c r="M2864" s="425">
        <v>0</v>
      </c>
      <c r="N2864" s="425">
        <v>-70785</v>
      </c>
      <c r="O2864" s="425">
        <v>0</v>
      </c>
    </row>
    <row r="2865" spans="3:15" hidden="1" x14ac:dyDescent="0.3">
      <c r="C2865" t="s">
        <v>2263</v>
      </c>
      <c r="D2865" t="s">
        <v>2237</v>
      </c>
      <c r="E2865" t="s">
        <v>7918</v>
      </c>
      <c r="F2865" t="s">
        <v>7919</v>
      </c>
      <c r="G2865" s="425">
        <v>976179362</v>
      </c>
      <c r="H2865" s="425">
        <v>263137029</v>
      </c>
      <c r="I2865" s="425">
        <v>160702104</v>
      </c>
      <c r="J2865" s="425">
        <v>0</v>
      </c>
      <c r="K2865" s="425">
        <v>218413767</v>
      </c>
      <c r="L2865" s="425">
        <v>20663671</v>
      </c>
      <c r="M2865" s="425">
        <v>1358560</v>
      </c>
      <c r="N2865" s="425">
        <v>311904231</v>
      </c>
      <c r="O2865" s="425">
        <v>0</v>
      </c>
    </row>
    <row r="2866" spans="3:15" hidden="1" x14ac:dyDescent="0.3">
      <c r="C2866" t="s">
        <v>2266</v>
      </c>
      <c r="D2866" t="s">
        <v>2267</v>
      </c>
      <c r="E2866" t="s">
        <v>7920</v>
      </c>
      <c r="F2866" t="s">
        <v>7921</v>
      </c>
      <c r="G2866" s="425">
        <v>976179362</v>
      </c>
      <c r="H2866" s="425">
        <v>263137029</v>
      </c>
      <c r="I2866" s="425">
        <v>160702104</v>
      </c>
      <c r="J2866" s="425">
        <v>0</v>
      </c>
      <c r="K2866" s="425">
        <v>218413767</v>
      </c>
      <c r="L2866" s="425">
        <v>20663671</v>
      </c>
      <c r="M2866" s="425">
        <v>1358560</v>
      </c>
      <c r="N2866" s="425">
        <v>311904231</v>
      </c>
      <c r="O2866" s="425">
        <v>0</v>
      </c>
    </row>
    <row r="2867" spans="3:15" hidden="1" x14ac:dyDescent="0.3">
      <c r="C2867" t="s">
        <v>2263</v>
      </c>
      <c r="D2867" t="s">
        <v>2237</v>
      </c>
      <c r="E2867" t="s">
        <v>7922</v>
      </c>
      <c r="F2867" t="s">
        <v>7923</v>
      </c>
      <c r="G2867" s="425">
        <v>-900254300</v>
      </c>
      <c r="H2867" s="425">
        <v>-260781995</v>
      </c>
      <c r="I2867" s="425">
        <v>-155323074</v>
      </c>
      <c r="J2867" s="425">
        <v>0</v>
      </c>
      <c r="K2867" s="425">
        <v>-171126484</v>
      </c>
      <c r="L2867" s="425">
        <v>0</v>
      </c>
      <c r="M2867" s="425">
        <v>-1358560</v>
      </c>
      <c r="N2867" s="425">
        <v>-311664187</v>
      </c>
      <c r="O2867" s="425">
        <v>0</v>
      </c>
    </row>
    <row r="2868" spans="3:15" hidden="1" x14ac:dyDescent="0.3">
      <c r="C2868" t="s">
        <v>2266</v>
      </c>
      <c r="D2868" t="s">
        <v>2267</v>
      </c>
      <c r="E2868" t="s">
        <v>7924</v>
      </c>
      <c r="F2868" t="s">
        <v>7925</v>
      </c>
      <c r="G2868" s="425">
        <v>-900254300</v>
      </c>
      <c r="H2868" s="425">
        <v>-260781995</v>
      </c>
      <c r="I2868" s="425">
        <v>-155323074</v>
      </c>
      <c r="J2868" s="425">
        <v>0</v>
      </c>
      <c r="K2868" s="425">
        <v>-171126484</v>
      </c>
      <c r="L2868" s="425">
        <v>0</v>
      </c>
      <c r="M2868" s="425">
        <v>-1358560</v>
      </c>
      <c r="N2868" s="425">
        <v>-311664187</v>
      </c>
      <c r="O2868" s="425">
        <v>0</v>
      </c>
    </row>
    <row r="2869" spans="3:15" hidden="1" x14ac:dyDescent="0.3">
      <c r="C2869" t="s">
        <v>2263</v>
      </c>
      <c r="D2869" t="s">
        <v>2237</v>
      </c>
      <c r="E2869" t="s">
        <v>7926</v>
      </c>
      <c r="F2869" t="s">
        <v>7927</v>
      </c>
      <c r="G2869" s="425">
        <v>-26968038</v>
      </c>
      <c r="H2869" s="425">
        <v>-907183</v>
      </c>
      <c r="I2869" s="425">
        <v>-4037964</v>
      </c>
      <c r="J2869" s="425">
        <v>0</v>
      </c>
      <c r="K2869" s="425">
        <v>-1352369</v>
      </c>
      <c r="L2869" s="425">
        <v>-20663671</v>
      </c>
      <c r="M2869" s="425">
        <v>0</v>
      </c>
      <c r="N2869" s="425">
        <v>-6851</v>
      </c>
      <c r="O2869" s="425">
        <v>0</v>
      </c>
    </row>
    <row r="2870" spans="3:15" hidden="1" x14ac:dyDescent="0.3">
      <c r="C2870" t="s">
        <v>2266</v>
      </c>
      <c r="D2870" t="s">
        <v>2267</v>
      </c>
      <c r="E2870" t="s">
        <v>7928</v>
      </c>
      <c r="F2870" t="s">
        <v>7929</v>
      </c>
      <c r="G2870" s="425">
        <v>-26968038</v>
      </c>
      <c r="H2870" s="425">
        <v>-907183</v>
      </c>
      <c r="I2870" s="425">
        <v>-4037964</v>
      </c>
      <c r="J2870" s="425">
        <v>0</v>
      </c>
      <c r="K2870" s="425">
        <v>-1352369</v>
      </c>
      <c r="L2870" s="425">
        <v>-20663671</v>
      </c>
      <c r="M2870" s="425">
        <v>0</v>
      </c>
      <c r="N2870" s="425">
        <v>-6851</v>
      </c>
      <c r="O2870" s="425">
        <v>0</v>
      </c>
    </row>
    <row r="2871" spans="3:15" hidden="1" x14ac:dyDescent="0.3">
      <c r="C2871" t="s">
        <v>2263</v>
      </c>
      <c r="D2871" t="s">
        <v>2237</v>
      </c>
      <c r="E2871" t="s">
        <v>7930</v>
      </c>
      <c r="F2871" t="s">
        <v>7931</v>
      </c>
      <c r="G2871" s="425">
        <v>0</v>
      </c>
      <c r="H2871" s="425">
        <v>0</v>
      </c>
      <c r="I2871" s="425">
        <v>0</v>
      </c>
      <c r="J2871" s="425">
        <v>0</v>
      </c>
      <c r="K2871" s="425">
        <v>0</v>
      </c>
      <c r="L2871" s="425">
        <v>0</v>
      </c>
      <c r="M2871" s="425">
        <v>0</v>
      </c>
      <c r="N2871" s="425">
        <v>0</v>
      </c>
      <c r="O2871" s="425">
        <v>0</v>
      </c>
    </row>
    <row r="2872" spans="3:15" hidden="1" x14ac:dyDescent="0.3">
      <c r="C2872" t="s">
        <v>2266</v>
      </c>
      <c r="D2872" t="s">
        <v>2267</v>
      </c>
      <c r="E2872" t="s">
        <v>7932</v>
      </c>
      <c r="F2872" t="s">
        <v>7933</v>
      </c>
      <c r="G2872" s="425">
        <v>0</v>
      </c>
      <c r="H2872" s="425">
        <v>0</v>
      </c>
      <c r="I2872" s="425">
        <v>0</v>
      </c>
      <c r="J2872" s="425">
        <v>0</v>
      </c>
      <c r="K2872" s="425">
        <v>0</v>
      </c>
      <c r="L2872" s="425">
        <v>0</v>
      </c>
      <c r="M2872" s="425">
        <v>0</v>
      </c>
      <c r="N2872" s="425">
        <v>0</v>
      </c>
      <c r="O2872" s="425">
        <v>0</v>
      </c>
    </row>
    <row r="2873" spans="3:15" hidden="1" x14ac:dyDescent="0.3">
      <c r="C2873" t="s">
        <v>2263</v>
      </c>
      <c r="D2873" t="s">
        <v>2237</v>
      </c>
      <c r="E2873" t="s">
        <v>7934</v>
      </c>
      <c r="F2873" t="s">
        <v>7935</v>
      </c>
      <c r="G2873" s="425">
        <v>0</v>
      </c>
      <c r="H2873" s="425">
        <v>0</v>
      </c>
      <c r="I2873" s="425">
        <v>0</v>
      </c>
      <c r="J2873" s="425">
        <v>0</v>
      </c>
      <c r="K2873" s="425">
        <v>0</v>
      </c>
      <c r="L2873" s="425">
        <v>0</v>
      </c>
      <c r="M2873" s="425">
        <v>0</v>
      </c>
      <c r="N2873" s="425">
        <v>0</v>
      </c>
      <c r="O2873" s="425">
        <v>0</v>
      </c>
    </row>
    <row r="2874" spans="3:15" hidden="1" x14ac:dyDescent="0.3">
      <c r="C2874" t="s">
        <v>2266</v>
      </c>
      <c r="D2874" t="s">
        <v>2267</v>
      </c>
      <c r="E2874" t="s">
        <v>7936</v>
      </c>
      <c r="F2874" t="s">
        <v>7937</v>
      </c>
      <c r="G2874" s="425">
        <v>0</v>
      </c>
      <c r="H2874" s="425">
        <v>0</v>
      </c>
      <c r="I2874" s="425">
        <v>0</v>
      </c>
      <c r="J2874" s="425">
        <v>0</v>
      </c>
      <c r="K2874" s="425">
        <v>0</v>
      </c>
      <c r="L2874" s="425">
        <v>0</v>
      </c>
      <c r="M2874" s="425">
        <v>0</v>
      </c>
      <c r="N2874" s="425">
        <v>0</v>
      </c>
      <c r="O2874" s="425">
        <v>0</v>
      </c>
    </row>
    <row r="2875" spans="3:15" hidden="1" x14ac:dyDescent="0.3">
      <c r="C2875" t="s">
        <v>2263</v>
      </c>
      <c r="D2875" t="s">
        <v>2237</v>
      </c>
      <c r="E2875" t="s">
        <v>7938</v>
      </c>
      <c r="F2875" t="s">
        <v>7939</v>
      </c>
      <c r="G2875" s="425">
        <v>0</v>
      </c>
      <c r="H2875" s="425">
        <v>0</v>
      </c>
      <c r="I2875" s="425">
        <v>0</v>
      </c>
      <c r="J2875" s="425">
        <v>0</v>
      </c>
      <c r="K2875" s="425">
        <v>0</v>
      </c>
      <c r="L2875" s="425">
        <v>0</v>
      </c>
      <c r="M2875" s="425">
        <v>0</v>
      </c>
      <c r="N2875" s="425">
        <v>0</v>
      </c>
      <c r="O2875" s="425">
        <v>0</v>
      </c>
    </row>
    <row r="2876" spans="3:15" hidden="1" x14ac:dyDescent="0.3">
      <c r="C2876" t="s">
        <v>2263</v>
      </c>
      <c r="D2876" t="s">
        <v>2237</v>
      </c>
      <c r="E2876" t="s">
        <v>7940</v>
      </c>
      <c r="F2876" t="s">
        <v>7941</v>
      </c>
      <c r="G2876" s="425">
        <v>0</v>
      </c>
      <c r="H2876" s="425">
        <v>0</v>
      </c>
      <c r="I2876" s="425">
        <v>0</v>
      </c>
      <c r="J2876" s="425">
        <v>0</v>
      </c>
      <c r="K2876" s="425">
        <v>0</v>
      </c>
      <c r="L2876" s="425">
        <v>0</v>
      </c>
      <c r="M2876" s="425">
        <v>0</v>
      </c>
      <c r="N2876" s="425">
        <v>0</v>
      </c>
      <c r="O2876" s="425">
        <v>0</v>
      </c>
    </row>
    <row r="2877" spans="3:15" hidden="1" x14ac:dyDescent="0.3">
      <c r="C2877" t="s">
        <v>2266</v>
      </c>
      <c r="D2877" t="s">
        <v>2267</v>
      </c>
      <c r="E2877" t="s">
        <v>7942</v>
      </c>
      <c r="F2877" t="s">
        <v>7943</v>
      </c>
      <c r="G2877" s="425">
        <v>0</v>
      </c>
      <c r="H2877" s="425">
        <v>0</v>
      </c>
      <c r="I2877" s="425">
        <v>0</v>
      </c>
      <c r="J2877" s="425">
        <v>0</v>
      </c>
      <c r="K2877" s="425">
        <v>0</v>
      </c>
      <c r="L2877" s="425">
        <v>0</v>
      </c>
      <c r="M2877" s="425">
        <v>0</v>
      </c>
      <c r="N2877" s="425">
        <v>0</v>
      </c>
      <c r="O2877" s="425">
        <v>0</v>
      </c>
    </row>
    <row r="2878" spans="3:15" hidden="1" x14ac:dyDescent="0.3">
      <c r="C2878" t="s">
        <v>2263</v>
      </c>
      <c r="D2878" t="s">
        <v>2237</v>
      </c>
      <c r="E2878" t="s">
        <v>7944</v>
      </c>
      <c r="F2878" t="s">
        <v>7945</v>
      </c>
      <c r="G2878" s="425">
        <v>0</v>
      </c>
      <c r="H2878" s="425">
        <v>0</v>
      </c>
      <c r="I2878" s="425">
        <v>0</v>
      </c>
      <c r="J2878" s="425">
        <v>0</v>
      </c>
      <c r="K2878" s="425">
        <v>0</v>
      </c>
      <c r="L2878" s="425">
        <v>0</v>
      </c>
      <c r="M2878" s="425">
        <v>0</v>
      </c>
      <c r="N2878" s="425">
        <v>0</v>
      </c>
      <c r="O2878" s="425">
        <v>0</v>
      </c>
    </row>
    <row r="2879" spans="3:15" hidden="1" x14ac:dyDescent="0.3">
      <c r="C2879" t="s">
        <v>2266</v>
      </c>
      <c r="D2879" t="s">
        <v>2267</v>
      </c>
      <c r="E2879" t="s">
        <v>7946</v>
      </c>
      <c r="F2879" t="s">
        <v>7947</v>
      </c>
      <c r="G2879" s="425">
        <v>0</v>
      </c>
      <c r="H2879" s="425">
        <v>0</v>
      </c>
      <c r="I2879" s="425">
        <v>0</v>
      </c>
      <c r="J2879" s="425">
        <v>0</v>
      </c>
      <c r="K2879" s="425">
        <v>0</v>
      </c>
      <c r="L2879" s="425">
        <v>0</v>
      </c>
      <c r="M2879" s="425">
        <v>0</v>
      </c>
      <c r="N2879" s="425">
        <v>0</v>
      </c>
      <c r="O2879" s="425">
        <v>0</v>
      </c>
    </row>
    <row r="2880" spans="3:15" hidden="1" x14ac:dyDescent="0.3">
      <c r="C2880" t="s">
        <v>2263</v>
      </c>
      <c r="D2880" t="s">
        <v>2237</v>
      </c>
      <c r="E2880" t="s">
        <v>7948</v>
      </c>
      <c r="F2880" t="s">
        <v>7949</v>
      </c>
      <c r="G2880" s="425">
        <v>0</v>
      </c>
      <c r="H2880" s="425">
        <v>0</v>
      </c>
      <c r="I2880" s="425">
        <v>0</v>
      </c>
      <c r="J2880" s="425">
        <v>0</v>
      </c>
      <c r="K2880" s="425">
        <v>0</v>
      </c>
      <c r="L2880" s="425">
        <v>0</v>
      </c>
      <c r="M2880" s="425">
        <v>0</v>
      </c>
      <c r="N2880" s="425">
        <v>0</v>
      </c>
      <c r="O2880" s="425">
        <v>0</v>
      </c>
    </row>
    <row r="2881" spans="3:15" hidden="1" x14ac:dyDescent="0.3">
      <c r="C2881" t="s">
        <v>2266</v>
      </c>
      <c r="D2881" t="s">
        <v>2267</v>
      </c>
      <c r="E2881" t="s">
        <v>7950</v>
      </c>
      <c r="F2881" t="s">
        <v>7951</v>
      </c>
      <c r="G2881" s="425">
        <v>0</v>
      </c>
      <c r="H2881" s="425">
        <v>0</v>
      </c>
      <c r="I2881" s="425">
        <v>0</v>
      </c>
      <c r="J2881" s="425">
        <v>0</v>
      </c>
      <c r="K2881" s="425">
        <v>0</v>
      </c>
      <c r="L2881" s="425">
        <v>0</v>
      </c>
      <c r="M2881" s="425">
        <v>0</v>
      </c>
      <c r="N2881" s="425">
        <v>0</v>
      </c>
      <c r="O2881" s="425">
        <v>0</v>
      </c>
    </row>
    <row r="2882" spans="3:15" hidden="1" x14ac:dyDescent="0.3">
      <c r="C2882" t="s">
        <v>2263</v>
      </c>
      <c r="D2882" t="s">
        <v>2237</v>
      </c>
      <c r="E2882" t="s">
        <v>7952</v>
      </c>
      <c r="F2882" t="s">
        <v>7953</v>
      </c>
      <c r="G2882" s="425">
        <v>0</v>
      </c>
      <c r="H2882" s="425">
        <v>0</v>
      </c>
      <c r="I2882" s="425">
        <v>0</v>
      </c>
      <c r="J2882" s="425">
        <v>0</v>
      </c>
      <c r="K2882" s="425">
        <v>0</v>
      </c>
      <c r="L2882" s="425">
        <v>0</v>
      </c>
      <c r="M2882" s="425">
        <v>0</v>
      </c>
      <c r="N2882" s="425">
        <v>0</v>
      </c>
      <c r="O2882" s="425">
        <v>0</v>
      </c>
    </row>
    <row r="2883" spans="3:15" hidden="1" x14ac:dyDescent="0.3">
      <c r="C2883" t="s">
        <v>2266</v>
      </c>
      <c r="D2883" t="s">
        <v>2267</v>
      </c>
      <c r="E2883" t="s">
        <v>7954</v>
      </c>
      <c r="F2883" t="s">
        <v>7955</v>
      </c>
      <c r="G2883" s="425">
        <v>0</v>
      </c>
      <c r="H2883" s="425">
        <v>0</v>
      </c>
      <c r="I2883" s="425">
        <v>0</v>
      </c>
      <c r="J2883" s="425">
        <v>0</v>
      </c>
      <c r="K2883" s="425">
        <v>0</v>
      </c>
      <c r="L2883" s="425">
        <v>0</v>
      </c>
      <c r="M2883" s="425">
        <v>0</v>
      </c>
      <c r="N2883" s="425">
        <v>0</v>
      </c>
      <c r="O2883" s="425">
        <v>0</v>
      </c>
    </row>
    <row r="2884" spans="3:15" hidden="1" x14ac:dyDescent="0.3">
      <c r="C2884" t="s">
        <v>2263</v>
      </c>
      <c r="D2884" t="s">
        <v>2237</v>
      </c>
      <c r="E2884" t="s">
        <v>7956</v>
      </c>
      <c r="F2884" t="s">
        <v>7957</v>
      </c>
      <c r="G2884" s="425">
        <v>49247076429</v>
      </c>
      <c r="H2884" s="425">
        <v>0</v>
      </c>
      <c r="I2884" s="425">
        <v>0</v>
      </c>
      <c r="J2884" s="425">
        <v>0</v>
      </c>
      <c r="K2884" s="425">
        <v>0</v>
      </c>
      <c r="L2884" s="425">
        <v>0</v>
      </c>
      <c r="M2884" s="425">
        <v>0</v>
      </c>
      <c r="N2884" s="425">
        <v>49247076429</v>
      </c>
      <c r="O2884" s="425">
        <v>0</v>
      </c>
    </row>
    <row r="2885" spans="3:15" hidden="1" x14ac:dyDescent="0.3">
      <c r="C2885" t="s">
        <v>2266</v>
      </c>
      <c r="D2885" t="s">
        <v>2267</v>
      </c>
      <c r="E2885" t="s">
        <v>7958</v>
      </c>
      <c r="F2885" t="s">
        <v>7959</v>
      </c>
      <c r="G2885" s="425">
        <v>49247076429</v>
      </c>
      <c r="H2885" s="425">
        <v>0</v>
      </c>
      <c r="I2885" s="425">
        <v>0</v>
      </c>
      <c r="J2885" s="425">
        <v>0</v>
      </c>
      <c r="K2885" s="425">
        <v>0</v>
      </c>
      <c r="L2885" s="425">
        <v>0</v>
      </c>
      <c r="M2885" s="425">
        <v>0</v>
      </c>
      <c r="N2885" s="425">
        <v>49247076429</v>
      </c>
      <c r="O2885" s="425">
        <v>0</v>
      </c>
    </row>
    <row r="2886" spans="3:15" hidden="1" x14ac:dyDescent="0.3">
      <c r="C2886" t="s">
        <v>2263</v>
      </c>
      <c r="D2886" t="s">
        <v>2237</v>
      </c>
      <c r="E2886" t="s">
        <v>7960</v>
      </c>
      <c r="F2886" t="s">
        <v>7961</v>
      </c>
      <c r="G2886" s="425">
        <v>-26071981639</v>
      </c>
      <c r="H2886" s="425">
        <v>0</v>
      </c>
      <c r="I2886" s="425">
        <v>0</v>
      </c>
      <c r="J2886" s="425">
        <v>0</v>
      </c>
      <c r="K2886" s="425">
        <v>0</v>
      </c>
      <c r="L2886" s="425">
        <v>0</v>
      </c>
      <c r="M2886" s="425">
        <v>0</v>
      </c>
      <c r="N2886" s="425">
        <v>-26071981639</v>
      </c>
      <c r="O2886" s="425">
        <v>0</v>
      </c>
    </row>
    <row r="2887" spans="3:15" hidden="1" x14ac:dyDescent="0.3">
      <c r="C2887" t="s">
        <v>2266</v>
      </c>
      <c r="D2887" t="s">
        <v>2267</v>
      </c>
      <c r="E2887" t="s">
        <v>7962</v>
      </c>
      <c r="F2887" t="s">
        <v>7963</v>
      </c>
      <c r="G2887" s="425">
        <v>-26071981639</v>
      </c>
      <c r="H2887" s="425">
        <v>0</v>
      </c>
      <c r="I2887" s="425">
        <v>0</v>
      </c>
      <c r="J2887" s="425">
        <v>0</v>
      </c>
      <c r="K2887" s="425">
        <v>0</v>
      </c>
      <c r="L2887" s="425">
        <v>0</v>
      </c>
      <c r="M2887" s="425">
        <v>0</v>
      </c>
      <c r="N2887" s="425">
        <v>-26071981639</v>
      </c>
      <c r="O2887" s="425">
        <v>0</v>
      </c>
    </row>
    <row r="2888" spans="3:15" hidden="1" x14ac:dyDescent="0.3">
      <c r="C2888" t="s">
        <v>2263</v>
      </c>
      <c r="D2888" t="s">
        <v>2237</v>
      </c>
      <c r="E2888" t="s">
        <v>7964</v>
      </c>
      <c r="F2888" t="s">
        <v>7965</v>
      </c>
      <c r="G2888" s="425">
        <v>0</v>
      </c>
      <c r="H2888" s="425">
        <v>0</v>
      </c>
      <c r="I2888" s="425">
        <v>0</v>
      </c>
      <c r="J2888" s="425">
        <v>0</v>
      </c>
      <c r="K2888" s="425">
        <v>0</v>
      </c>
      <c r="L2888" s="425">
        <v>0</v>
      </c>
      <c r="M2888" s="425">
        <v>0</v>
      </c>
      <c r="N2888" s="425">
        <v>0</v>
      </c>
      <c r="O2888" s="425">
        <v>0</v>
      </c>
    </row>
    <row r="2889" spans="3:15" hidden="1" x14ac:dyDescent="0.3">
      <c r="C2889" t="s">
        <v>2266</v>
      </c>
      <c r="D2889" t="s">
        <v>2267</v>
      </c>
      <c r="E2889" t="s">
        <v>7966</v>
      </c>
      <c r="F2889" t="s">
        <v>7967</v>
      </c>
      <c r="G2889" s="425">
        <v>0</v>
      </c>
      <c r="H2889" s="425">
        <v>0</v>
      </c>
      <c r="I2889" s="425">
        <v>0</v>
      </c>
      <c r="J2889" s="425">
        <v>0</v>
      </c>
      <c r="K2889" s="425">
        <v>0</v>
      </c>
      <c r="L2889" s="425">
        <v>0</v>
      </c>
      <c r="M2889" s="425">
        <v>0</v>
      </c>
      <c r="N2889" s="425">
        <v>0</v>
      </c>
      <c r="O2889" s="425">
        <v>0</v>
      </c>
    </row>
    <row r="2890" spans="3:15" hidden="1" x14ac:dyDescent="0.3">
      <c r="C2890" t="s">
        <v>2263</v>
      </c>
      <c r="D2890" t="s">
        <v>2237</v>
      </c>
      <c r="E2890" t="s">
        <v>7968</v>
      </c>
      <c r="F2890" t="s">
        <v>7969</v>
      </c>
      <c r="G2890" s="425">
        <v>13986921608</v>
      </c>
      <c r="H2890" s="425">
        <v>0</v>
      </c>
      <c r="I2890" s="425">
        <v>0</v>
      </c>
      <c r="J2890" s="425">
        <v>0</v>
      </c>
      <c r="K2890" s="425">
        <v>0</v>
      </c>
      <c r="L2890" s="425">
        <v>0</v>
      </c>
      <c r="M2890" s="425">
        <v>0</v>
      </c>
      <c r="N2890" s="425">
        <v>13986921608</v>
      </c>
      <c r="O2890" s="425">
        <v>0</v>
      </c>
    </row>
    <row r="2891" spans="3:15" hidden="1" x14ac:dyDescent="0.3">
      <c r="C2891" t="s">
        <v>2266</v>
      </c>
      <c r="D2891" t="s">
        <v>2267</v>
      </c>
      <c r="E2891" t="s">
        <v>7970</v>
      </c>
      <c r="F2891" t="s">
        <v>7971</v>
      </c>
      <c r="G2891" s="425">
        <v>13986921608</v>
      </c>
      <c r="H2891" s="425">
        <v>0</v>
      </c>
      <c r="I2891" s="425">
        <v>0</v>
      </c>
      <c r="J2891" s="425">
        <v>0</v>
      </c>
      <c r="K2891" s="425">
        <v>0</v>
      </c>
      <c r="L2891" s="425">
        <v>0</v>
      </c>
      <c r="M2891" s="425">
        <v>0</v>
      </c>
      <c r="N2891" s="425">
        <v>13986921608</v>
      </c>
      <c r="O2891" s="425">
        <v>0</v>
      </c>
    </row>
    <row r="2892" spans="3:15" hidden="1" x14ac:dyDescent="0.3">
      <c r="C2892" t="s">
        <v>2263</v>
      </c>
      <c r="D2892" t="s">
        <v>2237</v>
      </c>
      <c r="E2892" t="s">
        <v>7972</v>
      </c>
      <c r="F2892" t="s">
        <v>7973</v>
      </c>
      <c r="G2892" s="425">
        <v>0</v>
      </c>
      <c r="H2892" s="425">
        <v>0</v>
      </c>
      <c r="I2892" s="425">
        <v>0</v>
      </c>
      <c r="J2892" s="425">
        <v>0</v>
      </c>
      <c r="K2892" s="425">
        <v>0</v>
      </c>
      <c r="L2892" s="425">
        <v>0</v>
      </c>
      <c r="M2892" s="425">
        <v>0</v>
      </c>
      <c r="N2892" s="425">
        <v>0</v>
      </c>
      <c r="O2892" s="425">
        <v>0</v>
      </c>
    </row>
    <row r="2893" spans="3:15" hidden="1" x14ac:dyDescent="0.3">
      <c r="C2893" t="s">
        <v>2266</v>
      </c>
      <c r="D2893" t="s">
        <v>2267</v>
      </c>
      <c r="E2893" t="s">
        <v>7974</v>
      </c>
      <c r="F2893" t="s">
        <v>7975</v>
      </c>
      <c r="G2893" s="425">
        <v>0</v>
      </c>
      <c r="H2893" s="425">
        <v>0</v>
      </c>
      <c r="I2893" s="425">
        <v>0</v>
      </c>
      <c r="J2893" s="425">
        <v>0</v>
      </c>
      <c r="K2893" s="425">
        <v>0</v>
      </c>
      <c r="L2893" s="425">
        <v>0</v>
      </c>
      <c r="M2893" s="425">
        <v>0</v>
      </c>
      <c r="N2893" s="425">
        <v>0</v>
      </c>
      <c r="O2893" s="425">
        <v>0</v>
      </c>
    </row>
    <row r="2894" spans="3:15" hidden="1" x14ac:dyDescent="0.3">
      <c r="C2894" t="s">
        <v>2263</v>
      </c>
      <c r="D2894" t="s">
        <v>2237</v>
      </c>
      <c r="E2894" t="s">
        <v>7976</v>
      </c>
      <c r="F2894" t="s">
        <v>7977</v>
      </c>
      <c r="G2894" s="425">
        <v>0</v>
      </c>
      <c r="H2894" s="425">
        <v>0</v>
      </c>
      <c r="I2894" s="425">
        <v>0</v>
      </c>
      <c r="J2894" s="425">
        <v>0</v>
      </c>
      <c r="K2894" s="425">
        <v>0</v>
      </c>
      <c r="L2894" s="425">
        <v>0</v>
      </c>
      <c r="M2894" s="425">
        <v>0</v>
      </c>
      <c r="N2894" s="425">
        <v>0</v>
      </c>
      <c r="O2894" s="425">
        <v>0</v>
      </c>
    </row>
    <row r="2895" spans="3:15" hidden="1" x14ac:dyDescent="0.3">
      <c r="C2895" t="s">
        <v>2266</v>
      </c>
      <c r="D2895" t="s">
        <v>2267</v>
      </c>
      <c r="E2895" t="s">
        <v>7978</v>
      </c>
      <c r="F2895" t="s">
        <v>7979</v>
      </c>
      <c r="G2895" s="425">
        <v>0</v>
      </c>
      <c r="H2895" s="425">
        <v>0</v>
      </c>
      <c r="I2895" s="425">
        <v>0</v>
      </c>
      <c r="J2895" s="425">
        <v>0</v>
      </c>
      <c r="K2895" s="425">
        <v>0</v>
      </c>
      <c r="L2895" s="425">
        <v>0</v>
      </c>
      <c r="M2895" s="425">
        <v>0</v>
      </c>
      <c r="N2895" s="425">
        <v>0</v>
      </c>
      <c r="O2895" s="425">
        <v>0</v>
      </c>
    </row>
    <row r="2896" spans="3:15" hidden="1" x14ac:dyDescent="0.3">
      <c r="C2896" t="s">
        <v>2263</v>
      </c>
      <c r="D2896" t="s">
        <v>2237</v>
      </c>
      <c r="E2896" t="s">
        <v>7980</v>
      </c>
      <c r="F2896" t="s">
        <v>7981</v>
      </c>
      <c r="G2896" s="425">
        <v>19518806986</v>
      </c>
      <c r="H2896" s="425">
        <v>609992180</v>
      </c>
      <c r="I2896" s="425">
        <v>0</v>
      </c>
      <c r="J2896" s="425">
        <v>0</v>
      </c>
      <c r="K2896" s="425">
        <v>306657420</v>
      </c>
      <c r="L2896" s="425">
        <v>2597781660</v>
      </c>
      <c r="M2896" s="425">
        <v>0</v>
      </c>
      <c r="N2896" s="425">
        <v>16004375726</v>
      </c>
      <c r="O2896" s="425">
        <v>0</v>
      </c>
    </row>
    <row r="2897" spans="1:15" hidden="1" x14ac:dyDescent="0.3">
      <c r="C2897" t="s">
        <v>2266</v>
      </c>
      <c r="D2897" t="s">
        <v>2267</v>
      </c>
      <c r="E2897" t="s">
        <v>7982</v>
      </c>
      <c r="F2897" t="s">
        <v>7983</v>
      </c>
      <c r="G2897" s="425">
        <v>19518806986</v>
      </c>
      <c r="H2897" s="425">
        <v>609992180</v>
      </c>
      <c r="I2897" s="425">
        <v>0</v>
      </c>
      <c r="J2897" s="425">
        <v>0</v>
      </c>
      <c r="K2897" s="425">
        <v>306657420</v>
      </c>
      <c r="L2897" s="425">
        <v>2597781660</v>
      </c>
      <c r="M2897" s="425">
        <v>0</v>
      </c>
      <c r="N2897" s="425">
        <v>16004375726</v>
      </c>
      <c r="O2897" s="425">
        <v>0</v>
      </c>
    </row>
    <row r="2898" spans="1:15" hidden="1" x14ac:dyDescent="0.3">
      <c r="C2898" t="s">
        <v>2263</v>
      </c>
      <c r="D2898" t="s">
        <v>2237</v>
      </c>
      <c r="E2898" t="s">
        <v>7984</v>
      </c>
      <c r="F2898" t="s">
        <v>7985</v>
      </c>
      <c r="G2898" s="425">
        <v>0</v>
      </c>
      <c r="H2898" s="425">
        <v>0</v>
      </c>
      <c r="I2898" s="425">
        <v>0</v>
      </c>
      <c r="J2898" s="425">
        <v>0</v>
      </c>
      <c r="K2898" s="425">
        <v>0</v>
      </c>
      <c r="L2898" s="425">
        <v>0</v>
      </c>
      <c r="M2898" s="425">
        <v>0</v>
      </c>
      <c r="N2898" s="425">
        <v>0</v>
      </c>
      <c r="O2898" s="425">
        <v>0</v>
      </c>
    </row>
    <row r="2899" spans="1:15" hidden="1" x14ac:dyDescent="0.3">
      <c r="C2899" t="s">
        <v>2266</v>
      </c>
      <c r="D2899" t="s">
        <v>2267</v>
      </c>
      <c r="E2899" t="s">
        <v>7986</v>
      </c>
      <c r="F2899" t="s">
        <v>7987</v>
      </c>
      <c r="G2899" s="425">
        <v>0</v>
      </c>
      <c r="H2899" s="425">
        <v>0</v>
      </c>
      <c r="I2899" s="425">
        <v>0</v>
      </c>
      <c r="J2899" s="425">
        <v>0</v>
      </c>
      <c r="K2899" s="425">
        <v>0</v>
      </c>
      <c r="L2899" s="425">
        <v>0</v>
      </c>
      <c r="M2899" s="425">
        <v>0</v>
      </c>
      <c r="N2899" s="425">
        <v>0</v>
      </c>
      <c r="O2899" s="425">
        <v>0</v>
      </c>
    </row>
    <row r="2900" spans="1:15" hidden="1" x14ac:dyDescent="0.3">
      <c r="C2900" t="s">
        <v>2263</v>
      </c>
      <c r="D2900" t="s">
        <v>2237</v>
      </c>
      <c r="E2900" t="s">
        <v>7988</v>
      </c>
      <c r="F2900" t="s">
        <v>7989</v>
      </c>
      <c r="G2900" s="425">
        <v>12637582665</v>
      </c>
      <c r="H2900" s="425">
        <v>2215491600</v>
      </c>
      <c r="I2900" s="425">
        <v>0</v>
      </c>
      <c r="J2900" s="425">
        <v>0</v>
      </c>
      <c r="K2900" s="425">
        <v>0</v>
      </c>
      <c r="L2900" s="425">
        <v>2320870580</v>
      </c>
      <c r="M2900" s="425">
        <v>0</v>
      </c>
      <c r="N2900" s="425">
        <v>8101220485</v>
      </c>
      <c r="O2900" s="425">
        <v>0</v>
      </c>
    </row>
    <row r="2901" spans="1:15" hidden="1" x14ac:dyDescent="0.3">
      <c r="C2901" t="s">
        <v>2266</v>
      </c>
      <c r="D2901" t="s">
        <v>2267</v>
      </c>
      <c r="E2901" t="s">
        <v>7990</v>
      </c>
      <c r="F2901" t="s">
        <v>7991</v>
      </c>
      <c r="G2901" s="425">
        <v>12637582665</v>
      </c>
      <c r="H2901" s="425">
        <v>2215491600</v>
      </c>
      <c r="I2901" s="425">
        <v>0</v>
      </c>
      <c r="J2901" s="425">
        <v>0</v>
      </c>
      <c r="K2901" s="425">
        <v>0</v>
      </c>
      <c r="L2901" s="425">
        <v>2320870580</v>
      </c>
      <c r="M2901" s="425">
        <v>0</v>
      </c>
      <c r="N2901" s="425">
        <v>8101220485</v>
      </c>
      <c r="O2901" s="425">
        <v>0</v>
      </c>
    </row>
    <row r="2902" spans="1:15" hidden="1" x14ac:dyDescent="0.3">
      <c r="C2902" t="s">
        <v>2263</v>
      </c>
      <c r="D2902" t="s">
        <v>2237</v>
      </c>
      <c r="E2902" t="s">
        <v>7992</v>
      </c>
      <c r="F2902" t="s">
        <v>7993</v>
      </c>
      <c r="G2902" s="425">
        <v>-90069800</v>
      </c>
      <c r="H2902" s="425">
        <v>0</v>
      </c>
      <c r="I2902" s="425">
        <v>0</v>
      </c>
      <c r="J2902" s="425">
        <v>0</v>
      </c>
      <c r="K2902" s="425">
        <v>0</v>
      </c>
      <c r="L2902" s="425">
        <v>-90069800</v>
      </c>
      <c r="M2902" s="425">
        <v>0</v>
      </c>
      <c r="N2902" s="425">
        <v>0</v>
      </c>
      <c r="O2902" s="425">
        <v>0</v>
      </c>
    </row>
    <row r="2903" spans="1:15" hidden="1" x14ac:dyDescent="0.3">
      <c r="C2903" t="s">
        <v>2266</v>
      </c>
      <c r="D2903" t="s">
        <v>2267</v>
      </c>
      <c r="E2903" t="s">
        <v>7994</v>
      </c>
      <c r="F2903" t="s">
        <v>7995</v>
      </c>
      <c r="G2903" s="425">
        <v>-90069800</v>
      </c>
      <c r="H2903" s="425">
        <v>0</v>
      </c>
      <c r="I2903" s="425">
        <v>0</v>
      </c>
      <c r="J2903" s="425">
        <v>0</v>
      </c>
      <c r="K2903" s="425">
        <v>0</v>
      </c>
      <c r="L2903" s="425">
        <v>-90069800</v>
      </c>
      <c r="M2903" s="425">
        <v>0</v>
      </c>
      <c r="N2903" s="425">
        <v>0</v>
      </c>
      <c r="O2903" s="425">
        <v>0</v>
      </c>
    </row>
    <row r="2904" spans="1:15" hidden="1" x14ac:dyDescent="0.3">
      <c r="A2904" s="240"/>
      <c r="B2904" s="239" t="s">
        <v>134</v>
      </c>
      <c r="C2904" t="s">
        <v>2260</v>
      </c>
      <c r="D2904" t="s">
        <v>2237</v>
      </c>
      <c r="E2904" t="s">
        <v>7996</v>
      </c>
      <c r="F2904" t="s">
        <v>7997</v>
      </c>
      <c r="G2904" s="425">
        <v>346646953054</v>
      </c>
      <c r="H2904" s="425">
        <v>0</v>
      </c>
      <c r="I2904" s="425">
        <v>2947220128</v>
      </c>
      <c r="J2904" s="425">
        <v>0</v>
      </c>
      <c r="K2904" s="425">
        <v>0</v>
      </c>
      <c r="L2904" s="425">
        <v>51711160771</v>
      </c>
      <c r="M2904" s="425">
        <v>291988572155</v>
      </c>
      <c r="N2904" s="425">
        <v>0</v>
      </c>
      <c r="O2904" s="425">
        <v>0</v>
      </c>
    </row>
    <row r="2905" spans="1:15" hidden="1" x14ac:dyDescent="0.3">
      <c r="C2905" t="s">
        <v>2263</v>
      </c>
      <c r="D2905" t="s">
        <v>2237</v>
      </c>
      <c r="E2905" t="s">
        <v>7998</v>
      </c>
      <c r="F2905" t="s">
        <v>7999</v>
      </c>
      <c r="G2905" s="425">
        <v>37830080622</v>
      </c>
      <c r="H2905" s="425">
        <v>0</v>
      </c>
      <c r="I2905" s="425">
        <v>0</v>
      </c>
      <c r="J2905" s="425">
        <v>0</v>
      </c>
      <c r="K2905" s="425">
        <v>0</v>
      </c>
      <c r="L2905" s="425">
        <v>37830080622</v>
      </c>
      <c r="M2905" s="425">
        <v>0</v>
      </c>
      <c r="N2905" s="425">
        <v>0</v>
      </c>
      <c r="O2905" s="425">
        <v>0</v>
      </c>
    </row>
    <row r="2906" spans="1:15" hidden="1" x14ac:dyDescent="0.3">
      <c r="C2906" t="s">
        <v>2266</v>
      </c>
      <c r="D2906" t="s">
        <v>2267</v>
      </c>
      <c r="E2906" t="s">
        <v>8000</v>
      </c>
      <c r="F2906" t="s">
        <v>8001</v>
      </c>
      <c r="G2906" s="425">
        <v>0</v>
      </c>
      <c r="H2906" s="425">
        <v>0</v>
      </c>
      <c r="I2906" s="425">
        <v>0</v>
      </c>
      <c r="J2906" s="425">
        <v>0</v>
      </c>
      <c r="K2906" s="425">
        <v>0</v>
      </c>
      <c r="L2906" s="425">
        <v>0</v>
      </c>
      <c r="M2906" s="425">
        <v>0</v>
      </c>
      <c r="N2906" s="425">
        <v>0</v>
      </c>
      <c r="O2906" s="425">
        <v>0</v>
      </c>
    </row>
    <row r="2907" spans="1:15" hidden="1" x14ac:dyDescent="0.3">
      <c r="C2907" t="s">
        <v>2266</v>
      </c>
      <c r="D2907" t="s">
        <v>2267</v>
      </c>
      <c r="E2907" t="s">
        <v>8002</v>
      </c>
      <c r="F2907" t="s">
        <v>8003</v>
      </c>
      <c r="G2907" s="425">
        <v>37830080622</v>
      </c>
      <c r="H2907" s="425">
        <v>0</v>
      </c>
      <c r="I2907" s="425">
        <v>0</v>
      </c>
      <c r="J2907" s="425">
        <v>0</v>
      </c>
      <c r="K2907" s="425">
        <v>0</v>
      </c>
      <c r="L2907" s="425">
        <v>37830080622</v>
      </c>
      <c r="M2907" s="425">
        <v>0</v>
      </c>
      <c r="N2907" s="425">
        <v>0</v>
      </c>
      <c r="O2907" s="425">
        <v>0</v>
      </c>
    </row>
    <row r="2908" spans="1:15" hidden="1" x14ac:dyDescent="0.3">
      <c r="C2908" t="s">
        <v>2263</v>
      </c>
      <c r="D2908" t="s">
        <v>2237</v>
      </c>
      <c r="E2908" t="s">
        <v>8004</v>
      </c>
      <c r="F2908" t="s">
        <v>8005</v>
      </c>
      <c r="G2908" s="425">
        <v>0</v>
      </c>
      <c r="H2908" s="425">
        <v>0</v>
      </c>
      <c r="I2908" s="425">
        <v>0</v>
      </c>
      <c r="J2908" s="425">
        <v>0</v>
      </c>
      <c r="K2908" s="425">
        <v>0</v>
      </c>
      <c r="L2908" s="425">
        <v>0</v>
      </c>
      <c r="M2908" s="425">
        <v>0</v>
      </c>
      <c r="N2908" s="425">
        <v>0</v>
      </c>
      <c r="O2908" s="425">
        <v>0</v>
      </c>
    </row>
    <row r="2909" spans="1:15" hidden="1" x14ac:dyDescent="0.3">
      <c r="C2909" t="s">
        <v>2266</v>
      </c>
      <c r="D2909" t="s">
        <v>2267</v>
      </c>
      <c r="E2909" t="s">
        <v>8006</v>
      </c>
      <c r="F2909" t="s">
        <v>8007</v>
      </c>
      <c r="G2909" s="425">
        <v>0</v>
      </c>
      <c r="H2909" s="425">
        <v>0</v>
      </c>
      <c r="I2909" s="425">
        <v>0</v>
      </c>
      <c r="J2909" s="425">
        <v>0</v>
      </c>
      <c r="K2909" s="425">
        <v>0</v>
      </c>
      <c r="L2909" s="425">
        <v>0</v>
      </c>
      <c r="M2909" s="425">
        <v>0</v>
      </c>
      <c r="N2909" s="425">
        <v>0</v>
      </c>
      <c r="O2909" s="425">
        <v>0</v>
      </c>
    </row>
    <row r="2910" spans="1:15" hidden="1" x14ac:dyDescent="0.3">
      <c r="C2910" t="s">
        <v>2263</v>
      </c>
      <c r="D2910" t="s">
        <v>2237</v>
      </c>
      <c r="E2910" t="s">
        <v>8008</v>
      </c>
      <c r="F2910" t="s">
        <v>8009</v>
      </c>
      <c r="G2910" s="425">
        <v>27132396830</v>
      </c>
      <c r="H2910" s="425">
        <v>0</v>
      </c>
      <c r="I2910" s="425">
        <v>0</v>
      </c>
      <c r="J2910" s="425">
        <v>0</v>
      </c>
      <c r="K2910" s="425">
        <v>0</v>
      </c>
      <c r="L2910" s="425">
        <v>15972271873</v>
      </c>
      <c r="M2910" s="425">
        <v>11160124957</v>
      </c>
      <c r="N2910" s="425">
        <v>0</v>
      </c>
      <c r="O2910" s="425">
        <v>0</v>
      </c>
    </row>
    <row r="2911" spans="1:15" hidden="1" x14ac:dyDescent="0.3">
      <c r="C2911" t="s">
        <v>2266</v>
      </c>
      <c r="D2911" t="s">
        <v>2267</v>
      </c>
      <c r="E2911" t="s">
        <v>8010</v>
      </c>
      <c r="F2911" t="s">
        <v>8011</v>
      </c>
      <c r="G2911" s="425">
        <v>10261516860</v>
      </c>
      <c r="H2911" s="425">
        <v>0</v>
      </c>
      <c r="I2911" s="425">
        <v>0</v>
      </c>
      <c r="J2911" s="425">
        <v>0</v>
      </c>
      <c r="K2911" s="425">
        <v>0</v>
      </c>
      <c r="L2911" s="425">
        <v>0</v>
      </c>
      <c r="M2911" s="425">
        <v>10261516860</v>
      </c>
      <c r="N2911" s="425">
        <v>0</v>
      </c>
      <c r="O2911" s="425">
        <v>0</v>
      </c>
    </row>
    <row r="2912" spans="1:15" hidden="1" x14ac:dyDescent="0.3">
      <c r="C2912" t="s">
        <v>2266</v>
      </c>
      <c r="D2912" t="s">
        <v>2267</v>
      </c>
      <c r="E2912" t="s">
        <v>8012</v>
      </c>
      <c r="F2912" t="s">
        <v>8013</v>
      </c>
      <c r="G2912" s="425">
        <v>16870879970</v>
      </c>
      <c r="H2912" s="425">
        <v>0</v>
      </c>
      <c r="I2912" s="425">
        <v>0</v>
      </c>
      <c r="J2912" s="425">
        <v>0</v>
      </c>
      <c r="K2912" s="425">
        <v>0</v>
      </c>
      <c r="L2912" s="425">
        <v>15972271873</v>
      </c>
      <c r="M2912" s="425">
        <v>898608097</v>
      </c>
      <c r="N2912" s="425">
        <v>0</v>
      </c>
      <c r="O2912" s="425">
        <v>0</v>
      </c>
    </row>
    <row r="2913" spans="3:15" hidden="1" x14ac:dyDescent="0.3">
      <c r="C2913" t="s">
        <v>2263</v>
      </c>
      <c r="D2913" t="s">
        <v>2237</v>
      </c>
      <c r="E2913" t="s">
        <v>8014</v>
      </c>
      <c r="F2913" t="s">
        <v>8015</v>
      </c>
      <c r="G2913" s="425">
        <v>-2442528960</v>
      </c>
      <c r="H2913" s="425">
        <v>0</v>
      </c>
      <c r="I2913" s="425">
        <v>0</v>
      </c>
      <c r="J2913" s="425">
        <v>0</v>
      </c>
      <c r="K2913" s="425">
        <v>0</v>
      </c>
      <c r="L2913" s="425">
        <v>-2091191724</v>
      </c>
      <c r="M2913" s="425">
        <v>-351337236</v>
      </c>
      <c r="N2913" s="425">
        <v>0</v>
      </c>
      <c r="O2913" s="425">
        <v>0</v>
      </c>
    </row>
    <row r="2914" spans="3:15" hidden="1" x14ac:dyDescent="0.3">
      <c r="C2914" t="s">
        <v>2266</v>
      </c>
      <c r="D2914" t="s">
        <v>2267</v>
      </c>
      <c r="E2914" t="s">
        <v>8016</v>
      </c>
      <c r="F2914" t="s">
        <v>8017</v>
      </c>
      <c r="G2914" s="425">
        <v>0</v>
      </c>
      <c r="H2914" s="425">
        <v>0</v>
      </c>
      <c r="I2914" s="425">
        <v>0</v>
      </c>
      <c r="J2914" s="425">
        <v>0</v>
      </c>
      <c r="K2914" s="425">
        <v>0</v>
      </c>
      <c r="L2914" s="425">
        <v>0</v>
      </c>
      <c r="M2914" s="425">
        <v>0</v>
      </c>
      <c r="N2914" s="425">
        <v>0</v>
      </c>
      <c r="O2914" s="425">
        <v>0</v>
      </c>
    </row>
    <row r="2915" spans="3:15" hidden="1" x14ac:dyDescent="0.3">
      <c r="C2915" t="s">
        <v>2266</v>
      </c>
      <c r="D2915" t="s">
        <v>2267</v>
      </c>
      <c r="E2915" t="s">
        <v>8018</v>
      </c>
      <c r="F2915" t="s">
        <v>8019</v>
      </c>
      <c r="G2915" s="425">
        <v>-2442528960</v>
      </c>
      <c r="H2915" s="425">
        <v>0</v>
      </c>
      <c r="I2915" s="425">
        <v>0</v>
      </c>
      <c r="J2915" s="425">
        <v>0</v>
      </c>
      <c r="K2915" s="425">
        <v>0</v>
      </c>
      <c r="L2915" s="425">
        <v>-2091191724</v>
      </c>
      <c r="M2915" s="425">
        <v>-351337236</v>
      </c>
      <c r="N2915" s="425">
        <v>0</v>
      </c>
      <c r="O2915" s="425">
        <v>0</v>
      </c>
    </row>
    <row r="2916" spans="3:15" hidden="1" x14ac:dyDescent="0.3">
      <c r="C2916" t="s">
        <v>2263</v>
      </c>
      <c r="D2916" t="s">
        <v>2237</v>
      </c>
      <c r="E2916" t="s">
        <v>8020</v>
      </c>
      <c r="F2916" t="s">
        <v>8021</v>
      </c>
      <c r="G2916" s="425">
        <v>0</v>
      </c>
      <c r="H2916" s="425">
        <v>0</v>
      </c>
      <c r="I2916" s="425">
        <v>0</v>
      </c>
      <c r="J2916" s="425">
        <v>0</v>
      </c>
      <c r="K2916" s="425">
        <v>0</v>
      </c>
      <c r="L2916" s="425">
        <v>0</v>
      </c>
      <c r="M2916" s="425">
        <v>0</v>
      </c>
      <c r="N2916" s="425">
        <v>0</v>
      </c>
      <c r="O2916" s="425">
        <v>0</v>
      </c>
    </row>
    <row r="2917" spans="3:15" hidden="1" x14ac:dyDescent="0.3">
      <c r="C2917" t="s">
        <v>2266</v>
      </c>
      <c r="D2917" t="s">
        <v>2267</v>
      </c>
      <c r="E2917" t="s">
        <v>8022</v>
      </c>
      <c r="F2917" t="s">
        <v>8023</v>
      </c>
      <c r="G2917" s="425">
        <v>0</v>
      </c>
      <c r="H2917" s="425">
        <v>0</v>
      </c>
      <c r="I2917" s="425">
        <v>0</v>
      </c>
      <c r="J2917" s="425">
        <v>0</v>
      </c>
      <c r="K2917" s="425">
        <v>0</v>
      </c>
      <c r="L2917" s="425">
        <v>0</v>
      </c>
      <c r="M2917" s="425">
        <v>0</v>
      </c>
      <c r="N2917" s="425">
        <v>0</v>
      </c>
      <c r="O2917" s="425">
        <v>0</v>
      </c>
    </row>
    <row r="2918" spans="3:15" hidden="1" x14ac:dyDescent="0.3">
      <c r="C2918" t="s">
        <v>2263</v>
      </c>
      <c r="D2918" t="s">
        <v>2237</v>
      </c>
      <c r="E2918" t="s">
        <v>8024</v>
      </c>
      <c r="F2918" t="s">
        <v>8025</v>
      </c>
      <c r="G2918" s="425">
        <v>9173648174</v>
      </c>
      <c r="H2918" s="425">
        <v>0</v>
      </c>
      <c r="I2918" s="425">
        <v>0</v>
      </c>
      <c r="J2918" s="425">
        <v>0</v>
      </c>
      <c r="K2918" s="425">
        <v>0</v>
      </c>
      <c r="L2918" s="425">
        <v>0</v>
      </c>
      <c r="M2918" s="425">
        <v>9173648174</v>
      </c>
      <c r="N2918" s="425">
        <v>0</v>
      </c>
      <c r="O2918" s="425">
        <v>0</v>
      </c>
    </row>
    <row r="2919" spans="3:15" hidden="1" x14ac:dyDescent="0.3">
      <c r="C2919" t="s">
        <v>2266</v>
      </c>
      <c r="D2919" t="s">
        <v>2267</v>
      </c>
      <c r="E2919" t="s">
        <v>8026</v>
      </c>
      <c r="F2919" t="s">
        <v>8027</v>
      </c>
      <c r="G2919" s="425">
        <v>9173648174</v>
      </c>
      <c r="H2919" s="425">
        <v>0</v>
      </c>
      <c r="I2919" s="425">
        <v>0</v>
      </c>
      <c r="J2919" s="425">
        <v>0</v>
      </c>
      <c r="K2919" s="425">
        <v>0</v>
      </c>
      <c r="L2919" s="425">
        <v>0</v>
      </c>
      <c r="M2919" s="425">
        <v>9173648174</v>
      </c>
      <c r="N2919" s="425">
        <v>0</v>
      </c>
      <c r="O2919" s="425">
        <v>0</v>
      </c>
    </row>
    <row r="2920" spans="3:15" hidden="1" x14ac:dyDescent="0.3">
      <c r="C2920" t="s">
        <v>2263</v>
      </c>
      <c r="D2920" t="s">
        <v>2237</v>
      </c>
      <c r="E2920" t="s">
        <v>8028</v>
      </c>
      <c r="F2920" t="s">
        <v>8029</v>
      </c>
      <c r="G2920" s="425">
        <v>-8894261158</v>
      </c>
      <c r="H2920" s="425">
        <v>0</v>
      </c>
      <c r="I2920" s="425">
        <v>0</v>
      </c>
      <c r="J2920" s="425">
        <v>0</v>
      </c>
      <c r="K2920" s="425">
        <v>0</v>
      </c>
      <c r="L2920" s="425">
        <v>0</v>
      </c>
      <c r="M2920" s="425">
        <v>-8894261158</v>
      </c>
      <c r="N2920" s="425">
        <v>0</v>
      </c>
      <c r="O2920" s="425">
        <v>0</v>
      </c>
    </row>
    <row r="2921" spans="3:15" hidden="1" x14ac:dyDescent="0.3">
      <c r="C2921" t="s">
        <v>2266</v>
      </c>
      <c r="D2921" t="s">
        <v>2267</v>
      </c>
      <c r="E2921" t="s">
        <v>8030</v>
      </c>
      <c r="F2921" t="s">
        <v>8031</v>
      </c>
      <c r="G2921" s="425">
        <v>-8894261158</v>
      </c>
      <c r="H2921" s="425">
        <v>0</v>
      </c>
      <c r="I2921" s="425">
        <v>0</v>
      </c>
      <c r="J2921" s="425">
        <v>0</v>
      </c>
      <c r="K2921" s="425">
        <v>0</v>
      </c>
      <c r="L2921" s="425">
        <v>0</v>
      </c>
      <c r="M2921" s="425">
        <v>-8894261158</v>
      </c>
      <c r="N2921" s="425">
        <v>0</v>
      </c>
      <c r="O2921" s="425">
        <v>0</v>
      </c>
    </row>
    <row r="2922" spans="3:15" hidden="1" x14ac:dyDescent="0.3">
      <c r="C2922" t="s">
        <v>2263</v>
      </c>
      <c r="D2922" t="s">
        <v>2237</v>
      </c>
      <c r="E2922" t="s">
        <v>8032</v>
      </c>
      <c r="F2922" t="s">
        <v>8033</v>
      </c>
      <c r="G2922" s="425">
        <v>-4040885</v>
      </c>
      <c r="H2922" s="425">
        <v>0</v>
      </c>
      <c r="I2922" s="425">
        <v>0</v>
      </c>
      <c r="J2922" s="425">
        <v>0</v>
      </c>
      <c r="K2922" s="425">
        <v>0</v>
      </c>
      <c r="L2922" s="425">
        <v>0</v>
      </c>
      <c r="M2922" s="425">
        <v>-4040885</v>
      </c>
      <c r="N2922" s="425">
        <v>0</v>
      </c>
      <c r="O2922" s="425">
        <v>0</v>
      </c>
    </row>
    <row r="2923" spans="3:15" hidden="1" x14ac:dyDescent="0.3">
      <c r="C2923" t="s">
        <v>2266</v>
      </c>
      <c r="D2923" t="s">
        <v>2267</v>
      </c>
      <c r="E2923" t="s">
        <v>8034</v>
      </c>
      <c r="F2923" t="s">
        <v>8035</v>
      </c>
      <c r="G2923" s="425">
        <v>-4040885</v>
      </c>
      <c r="H2923" s="425">
        <v>0</v>
      </c>
      <c r="I2923" s="425">
        <v>0</v>
      </c>
      <c r="J2923" s="425">
        <v>0</v>
      </c>
      <c r="K2923" s="425">
        <v>0</v>
      </c>
      <c r="L2923" s="425">
        <v>0</v>
      </c>
      <c r="M2923" s="425">
        <v>-4040885</v>
      </c>
      <c r="N2923" s="425">
        <v>0</v>
      </c>
      <c r="O2923" s="425">
        <v>0</v>
      </c>
    </row>
    <row r="2924" spans="3:15" hidden="1" x14ac:dyDescent="0.3">
      <c r="C2924" t="s">
        <v>2263</v>
      </c>
      <c r="D2924" t="s">
        <v>2237</v>
      </c>
      <c r="E2924" t="s">
        <v>8036</v>
      </c>
      <c r="F2924" t="s">
        <v>8037</v>
      </c>
      <c r="G2924" s="425">
        <v>433541535456</v>
      </c>
      <c r="H2924" s="425">
        <v>0</v>
      </c>
      <c r="I2924" s="425">
        <v>7037676831</v>
      </c>
      <c r="J2924" s="425">
        <v>0</v>
      </c>
      <c r="K2924" s="425">
        <v>0</v>
      </c>
      <c r="L2924" s="425">
        <v>0</v>
      </c>
      <c r="M2924" s="425">
        <v>426503858625</v>
      </c>
      <c r="N2924" s="425">
        <v>0</v>
      </c>
      <c r="O2924" s="425">
        <v>0</v>
      </c>
    </row>
    <row r="2925" spans="3:15" hidden="1" x14ac:dyDescent="0.3">
      <c r="C2925" t="s">
        <v>2266</v>
      </c>
      <c r="D2925" t="s">
        <v>2267</v>
      </c>
      <c r="E2925" t="s">
        <v>8038</v>
      </c>
      <c r="F2925" t="s">
        <v>8039</v>
      </c>
      <c r="G2925" s="425">
        <v>411368812016</v>
      </c>
      <c r="H2925" s="425">
        <v>0</v>
      </c>
      <c r="I2925" s="425">
        <v>7037676831</v>
      </c>
      <c r="J2925" s="425">
        <v>0</v>
      </c>
      <c r="K2925" s="425">
        <v>0</v>
      </c>
      <c r="L2925" s="425">
        <v>0</v>
      </c>
      <c r="M2925" s="425">
        <v>404331135185</v>
      </c>
      <c r="N2925" s="425">
        <v>0</v>
      </c>
      <c r="O2925" s="425">
        <v>0</v>
      </c>
    </row>
    <row r="2926" spans="3:15" hidden="1" x14ac:dyDescent="0.3">
      <c r="C2926" t="s">
        <v>2266</v>
      </c>
      <c r="D2926" t="s">
        <v>2267</v>
      </c>
      <c r="E2926" t="s">
        <v>8040</v>
      </c>
      <c r="F2926" t="s">
        <v>8041</v>
      </c>
      <c r="G2926" s="425">
        <v>22172723440</v>
      </c>
      <c r="H2926" s="425">
        <v>0</v>
      </c>
      <c r="I2926" s="425">
        <v>0</v>
      </c>
      <c r="J2926" s="425">
        <v>0</v>
      </c>
      <c r="K2926" s="425">
        <v>0</v>
      </c>
      <c r="L2926" s="425">
        <v>0</v>
      </c>
      <c r="M2926" s="425">
        <v>22172723440</v>
      </c>
      <c r="N2926" s="425">
        <v>0</v>
      </c>
      <c r="O2926" s="425">
        <v>0</v>
      </c>
    </row>
    <row r="2927" spans="3:15" hidden="1" x14ac:dyDescent="0.3">
      <c r="C2927" t="s">
        <v>2263</v>
      </c>
      <c r="D2927" t="s">
        <v>2237</v>
      </c>
      <c r="E2927" t="s">
        <v>8042</v>
      </c>
      <c r="F2927" t="s">
        <v>8043</v>
      </c>
      <c r="G2927" s="425">
        <v>-119557233972</v>
      </c>
      <c r="H2927" s="425">
        <v>0</v>
      </c>
      <c r="I2927" s="425">
        <v>-4085484116</v>
      </c>
      <c r="J2927" s="425">
        <v>0</v>
      </c>
      <c r="K2927" s="425">
        <v>0</v>
      </c>
      <c r="L2927" s="425">
        <v>0</v>
      </c>
      <c r="M2927" s="425">
        <v>-115471749856</v>
      </c>
      <c r="N2927" s="425">
        <v>0</v>
      </c>
      <c r="O2927" s="425">
        <v>0</v>
      </c>
    </row>
    <row r="2928" spans="3:15" hidden="1" x14ac:dyDescent="0.3">
      <c r="C2928" t="s">
        <v>2266</v>
      </c>
      <c r="D2928" t="s">
        <v>2267</v>
      </c>
      <c r="E2928" t="s">
        <v>8044</v>
      </c>
      <c r="F2928" t="s">
        <v>8045</v>
      </c>
      <c r="G2928" s="425">
        <v>-117096804839</v>
      </c>
      <c r="H2928" s="425">
        <v>0</v>
      </c>
      <c r="I2928" s="425">
        <v>-4085484116</v>
      </c>
      <c r="J2928" s="425">
        <v>0</v>
      </c>
      <c r="K2928" s="425">
        <v>0</v>
      </c>
      <c r="L2928" s="425">
        <v>0</v>
      </c>
      <c r="M2928" s="425">
        <v>-113011320723</v>
      </c>
      <c r="N2928" s="425">
        <v>0</v>
      </c>
      <c r="O2928" s="425">
        <v>0</v>
      </c>
    </row>
    <row r="2929" spans="1:15" hidden="1" x14ac:dyDescent="0.3">
      <c r="C2929" t="s">
        <v>2266</v>
      </c>
      <c r="D2929" t="s">
        <v>2267</v>
      </c>
      <c r="E2929" t="s">
        <v>8046</v>
      </c>
      <c r="F2929" t="s">
        <v>8047</v>
      </c>
      <c r="G2929" s="425">
        <v>-2460429133</v>
      </c>
      <c r="H2929" s="425">
        <v>0</v>
      </c>
      <c r="I2929" s="425">
        <v>0</v>
      </c>
      <c r="J2929" s="425">
        <v>0</v>
      </c>
      <c r="K2929" s="425">
        <v>0</v>
      </c>
      <c r="L2929" s="425">
        <v>0</v>
      </c>
      <c r="M2929" s="425">
        <v>-2460429133</v>
      </c>
      <c r="N2929" s="425">
        <v>0</v>
      </c>
      <c r="O2929" s="425">
        <v>0</v>
      </c>
    </row>
    <row r="2930" spans="1:15" hidden="1" x14ac:dyDescent="0.3">
      <c r="C2930" t="s">
        <v>2263</v>
      </c>
      <c r="D2930" t="s">
        <v>2237</v>
      </c>
      <c r="E2930" t="s">
        <v>8048</v>
      </c>
      <c r="F2930" t="s">
        <v>8049</v>
      </c>
      <c r="G2930" s="425">
        <v>-30132643053</v>
      </c>
      <c r="H2930" s="425">
        <v>0</v>
      </c>
      <c r="I2930" s="425">
        <v>-4972587</v>
      </c>
      <c r="J2930" s="425">
        <v>0</v>
      </c>
      <c r="K2930" s="425">
        <v>0</v>
      </c>
      <c r="L2930" s="425">
        <v>0</v>
      </c>
      <c r="M2930" s="425">
        <v>-30127670466</v>
      </c>
      <c r="N2930" s="425">
        <v>0</v>
      </c>
      <c r="O2930" s="425">
        <v>0</v>
      </c>
    </row>
    <row r="2931" spans="1:15" hidden="1" x14ac:dyDescent="0.3">
      <c r="C2931" t="s">
        <v>2266</v>
      </c>
      <c r="D2931" t="s">
        <v>2267</v>
      </c>
      <c r="E2931" t="s">
        <v>8050</v>
      </c>
      <c r="F2931" t="s">
        <v>8051</v>
      </c>
      <c r="G2931" s="425">
        <v>-30132643053</v>
      </c>
      <c r="H2931" s="425">
        <v>0</v>
      </c>
      <c r="I2931" s="425">
        <v>-4972587</v>
      </c>
      <c r="J2931" s="425">
        <v>0</v>
      </c>
      <c r="K2931" s="425">
        <v>0</v>
      </c>
      <c r="L2931" s="425">
        <v>0</v>
      </c>
      <c r="M2931" s="425">
        <v>-30127670466</v>
      </c>
      <c r="N2931" s="425">
        <v>0</v>
      </c>
      <c r="O2931" s="425">
        <v>0</v>
      </c>
    </row>
    <row r="2932" spans="1:15" hidden="1" x14ac:dyDescent="0.3">
      <c r="C2932" t="s">
        <v>2266</v>
      </c>
      <c r="D2932" t="s">
        <v>2267</v>
      </c>
      <c r="E2932" t="s">
        <v>8052</v>
      </c>
      <c r="F2932" t="s">
        <v>8053</v>
      </c>
      <c r="G2932" s="425">
        <v>0</v>
      </c>
      <c r="H2932" s="425">
        <v>0</v>
      </c>
      <c r="I2932" s="425">
        <v>0</v>
      </c>
      <c r="J2932" s="425">
        <v>0</v>
      </c>
      <c r="K2932" s="425">
        <v>0</v>
      </c>
      <c r="L2932" s="425">
        <v>0</v>
      </c>
      <c r="M2932" s="425">
        <v>0</v>
      </c>
      <c r="N2932" s="425">
        <v>0</v>
      </c>
      <c r="O2932" s="425">
        <v>0</v>
      </c>
    </row>
    <row r="2933" spans="1:15" hidden="1" x14ac:dyDescent="0.3">
      <c r="A2933" s="240"/>
      <c r="B2933" s="239" t="s">
        <v>135</v>
      </c>
      <c r="C2933" t="s">
        <v>2260</v>
      </c>
      <c r="D2933" t="s">
        <v>2237</v>
      </c>
      <c r="E2933" t="s">
        <v>8054</v>
      </c>
      <c r="F2933" t="s">
        <v>8055</v>
      </c>
      <c r="G2933" s="425">
        <v>91404877408</v>
      </c>
      <c r="H2933" s="425">
        <v>87918552197</v>
      </c>
      <c r="I2933" s="425">
        <v>1319000022</v>
      </c>
      <c r="J2933" s="425">
        <v>0</v>
      </c>
      <c r="K2933" s="425">
        <v>0</v>
      </c>
      <c r="L2933" s="425">
        <v>33118816</v>
      </c>
      <c r="M2933" s="425">
        <v>2050765232</v>
      </c>
      <c r="N2933" s="425">
        <v>83441141</v>
      </c>
      <c r="O2933" s="425">
        <v>0</v>
      </c>
    </row>
    <row r="2934" spans="1:15" hidden="1" x14ac:dyDescent="0.3">
      <c r="C2934" t="s">
        <v>2263</v>
      </c>
      <c r="D2934" t="s">
        <v>2237</v>
      </c>
      <c r="E2934" t="s">
        <v>8056</v>
      </c>
      <c r="F2934" t="s">
        <v>8057</v>
      </c>
      <c r="G2934" s="425">
        <v>91376672280</v>
      </c>
      <c r="H2934" s="425">
        <v>87918552197</v>
      </c>
      <c r="I2934" s="425">
        <v>1319000022</v>
      </c>
      <c r="J2934" s="425">
        <v>0</v>
      </c>
      <c r="K2934" s="425">
        <v>0</v>
      </c>
      <c r="L2934" s="425">
        <v>33118816</v>
      </c>
      <c r="M2934" s="425">
        <v>2022560104</v>
      </c>
      <c r="N2934" s="425">
        <v>83441141</v>
      </c>
      <c r="O2934" s="425">
        <v>0</v>
      </c>
    </row>
    <row r="2935" spans="1:15" hidden="1" x14ac:dyDescent="0.3">
      <c r="C2935" t="s">
        <v>2266</v>
      </c>
      <c r="D2935" t="s">
        <v>2267</v>
      </c>
      <c r="E2935" t="s">
        <v>8058</v>
      </c>
      <c r="F2935" t="s">
        <v>8059</v>
      </c>
      <c r="G2935" s="425">
        <v>0</v>
      </c>
      <c r="H2935" s="425">
        <v>0</v>
      </c>
      <c r="I2935" s="425">
        <v>0</v>
      </c>
      <c r="J2935" s="425">
        <v>0</v>
      </c>
      <c r="K2935" s="425">
        <v>0</v>
      </c>
      <c r="L2935" s="425">
        <v>0</v>
      </c>
      <c r="M2935" s="425">
        <v>0</v>
      </c>
      <c r="N2935" s="425">
        <v>0</v>
      </c>
      <c r="O2935" s="425">
        <v>0</v>
      </c>
    </row>
    <row r="2936" spans="1:15" hidden="1" x14ac:dyDescent="0.3">
      <c r="C2936" t="s">
        <v>2266</v>
      </c>
      <c r="D2936" t="s">
        <v>2267</v>
      </c>
      <c r="E2936" t="s">
        <v>8060</v>
      </c>
      <c r="F2936" t="s">
        <v>8061</v>
      </c>
      <c r="G2936" s="425">
        <v>1913436433</v>
      </c>
      <c r="H2936" s="425">
        <v>14778581</v>
      </c>
      <c r="I2936" s="425">
        <v>0</v>
      </c>
      <c r="J2936" s="425">
        <v>0</v>
      </c>
      <c r="K2936" s="425">
        <v>0</v>
      </c>
      <c r="L2936" s="425">
        <v>0</v>
      </c>
      <c r="M2936" s="425">
        <v>1898657852</v>
      </c>
      <c r="N2936" s="425">
        <v>0</v>
      </c>
      <c r="O2936" s="425">
        <v>0</v>
      </c>
    </row>
    <row r="2937" spans="1:15" hidden="1" x14ac:dyDescent="0.3">
      <c r="C2937" t="s">
        <v>2266</v>
      </c>
      <c r="D2937" t="s">
        <v>2267</v>
      </c>
      <c r="E2937" t="s">
        <v>8062</v>
      </c>
      <c r="F2937" t="s">
        <v>8063</v>
      </c>
      <c r="G2937" s="425">
        <v>0</v>
      </c>
      <c r="H2937" s="425">
        <v>0</v>
      </c>
      <c r="I2937" s="425">
        <v>0</v>
      </c>
      <c r="J2937" s="425">
        <v>0</v>
      </c>
      <c r="K2937" s="425">
        <v>0</v>
      </c>
      <c r="L2937" s="425">
        <v>0</v>
      </c>
      <c r="M2937" s="425">
        <v>0</v>
      </c>
      <c r="N2937" s="425">
        <v>0</v>
      </c>
      <c r="O2937" s="425">
        <v>0</v>
      </c>
    </row>
    <row r="2938" spans="1:15" hidden="1" x14ac:dyDescent="0.3">
      <c r="C2938" t="s">
        <v>2266</v>
      </c>
      <c r="D2938" t="s">
        <v>2267</v>
      </c>
      <c r="E2938" t="s">
        <v>8064</v>
      </c>
      <c r="F2938" t="s">
        <v>8065</v>
      </c>
      <c r="G2938" s="425">
        <v>0</v>
      </c>
      <c r="H2938" s="425">
        <v>0</v>
      </c>
      <c r="I2938" s="425">
        <v>0</v>
      </c>
      <c r="J2938" s="425">
        <v>0</v>
      </c>
      <c r="K2938" s="425">
        <v>0</v>
      </c>
      <c r="L2938" s="425">
        <v>0</v>
      </c>
      <c r="M2938" s="425">
        <v>0</v>
      </c>
      <c r="N2938" s="425">
        <v>0</v>
      </c>
      <c r="O2938" s="425">
        <v>0</v>
      </c>
    </row>
    <row r="2939" spans="1:15" hidden="1" x14ac:dyDescent="0.3">
      <c r="C2939" t="s">
        <v>2266</v>
      </c>
      <c r="D2939" t="s">
        <v>2267</v>
      </c>
      <c r="E2939" t="s">
        <v>8066</v>
      </c>
      <c r="F2939" t="s">
        <v>8067</v>
      </c>
      <c r="G2939" s="425">
        <v>33118816</v>
      </c>
      <c r="H2939" s="425">
        <v>0</v>
      </c>
      <c r="I2939" s="425">
        <v>0</v>
      </c>
      <c r="J2939" s="425">
        <v>0</v>
      </c>
      <c r="K2939" s="425">
        <v>0</v>
      </c>
      <c r="L2939" s="425">
        <v>33118816</v>
      </c>
      <c r="M2939" s="425">
        <v>0</v>
      </c>
      <c r="N2939" s="425">
        <v>0</v>
      </c>
      <c r="O2939" s="425">
        <v>0</v>
      </c>
    </row>
    <row r="2940" spans="1:15" hidden="1" x14ac:dyDescent="0.3">
      <c r="C2940" t="s">
        <v>2266</v>
      </c>
      <c r="D2940" t="s">
        <v>2267</v>
      </c>
      <c r="E2940" t="s">
        <v>8068</v>
      </c>
      <c r="F2940" t="s">
        <v>8069</v>
      </c>
      <c r="G2940" s="425">
        <v>-27381735</v>
      </c>
      <c r="H2940" s="425">
        <v>-67756706</v>
      </c>
      <c r="I2940" s="425">
        <v>40374971</v>
      </c>
      <c r="J2940" s="425">
        <v>0</v>
      </c>
      <c r="K2940" s="425">
        <v>0</v>
      </c>
      <c r="L2940" s="425">
        <v>0</v>
      </c>
      <c r="M2940" s="425">
        <v>0</v>
      </c>
      <c r="N2940" s="425">
        <v>0</v>
      </c>
      <c r="O2940" s="425">
        <v>0</v>
      </c>
    </row>
    <row r="2941" spans="1:15" hidden="1" x14ac:dyDescent="0.3">
      <c r="C2941" t="s">
        <v>2266</v>
      </c>
      <c r="D2941" t="s">
        <v>2267</v>
      </c>
      <c r="E2941" t="s">
        <v>8070</v>
      </c>
      <c r="F2941" t="s">
        <v>8071</v>
      </c>
      <c r="G2941" s="425">
        <v>89457498766</v>
      </c>
      <c r="H2941" s="425">
        <v>87971530322</v>
      </c>
      <c r="I2941" s="425">
        <v>1278625051</v>
      </c>
      <c r="J2941" s="425">
        <v>0</v>
      </c>
      <c r="K2941" s="425">
        <v>0</v>
      </c>
      <c r="L2941" s="425">
        <v>0</v>
      </c>
      <c r="M2941" s="425">
        <v>123902252</v>
      </c>
      <c r="N2941" s="425">
        <v>83441141</v>
      </c>
      <c r="O2941" s="425">
        <v>0</v>
      </c>
    </row>
    <row r="2942" spans="1:15" hidden="1" x14ac:dyDescent="0.3">
      <c r="C2942" t="s">
        <v>2263</v>
      </c>
      <c r="D2942" t="s">
        <v>2237</v>
      </c>
      <c r="E2942" t="s">
        <v>8072</v>
      </c>
      <c r="F2942" t="s">
        <v>8073</v>
      </c>
      <c r="G2942" s="425">
        <v>28205128</v>
      </c>
      <c r="H2942" s="425">
        <v>0</v>
      </c>
      <c r="I2942" s="425">
        <v>0</v>
      </c>
      <c r="J2942" s="425">
        <v>0</v>
      </c>
      <c r="K2942" s="425">
        <v>0</v>
      </c>
      <c r="L2942" s="425">
        <v>0</v>
      </c>
      <c r="M2942" s="425">
        <v>28205128</v>
      </c>
      <c r="N2942" s="425">
        <v>0</v>
      </c>
      <c r="O2942" s="425">
        <v>0</v>
      </c>
    </row>
    <row r="2943" spans="1:15" hidden="1" x14ac:dyDescent="0.3">
      <c r="C2943" t="s">
        <v>2266</v>
      </c>
      <c r="D2943" t="s">
        <v>2267</v>
      </c>
      <c r="E2943" t="s">
        <v>8074</v>
      </c>
      <c r="F2943" t="s">
        <v>8075</v>
      </c>
      <c r="G2943" s="425">
        <v>0</v>
      </c>
      <c r="H2943" s="425">
        <v>0</v>
      </c>
      <c r="I2943" s="425">
        <v>0</v>
      </c>
      <c r="J2943" s="425">
        <v>0</v>
      </c>
      <c r="K2943" s="425">
        <v>0</v>
      </c>
      <c r="L2943" s="425">
        <v>0</v>
      </c>
      <c r="M2943" s="425">
        <v>0</v>
      </c>
      <c r="N2943" s="425">
        <v>0</v>
      </c>
      <c r="O2943" s="425">
        <v>0</v>
      </c>
    </row>
    <row r="2944" spans="1:15" hidden="1" x14ac:dyDescent="0.3">
      <c r="C2944" t="s">
        <v>2266</v>
      </c>
      <c r="D2944" t="s">
        <v>2267</v>
      </c>
      <c r="E2944" t="s">
        <v>8076</v>
      </c>
      <c r="F2944" t="s">
        <v>8077</v>
      </c>
      <c r="G2944" s="425">
        <v>28205128</v>
      </c>
      <c r="H2944" s="425">
        <v>0</v>
      </c>
      <c r="I2944" s="425">
        <v>0</v>
      </c>
      <c r="J2944" s="425">
        <v>0</v>
      </c>
      <c r="K2944" s="425">
        <v>0</v>
      </c>
      <c r="L2944" s="425">
        <v>0</v>
      </c>
      <c r="M2944" s="425">
        <v>28205128</v>
      </c>
      <c r="N2944" s="425">
        <v>0</v>
      </c>
      <c r="O2944" s="425">
        <v>0</v>
      </c>
    </row>
    <row r="2945" spans="1:15" hidden="1" x14ac:dyDescent="0.3">
      <c r="C2945" t="s">
        <v>2266</v>
      </c>
      <c r="D2945" t="s">
        <v>2267</v>
      </c>
      <c r="E2945" t="s">
        <v>8078</v>
      </c>
      <c r="F2945" t="s">
        <v>8079</v>
      </c>
      <c r="G2945" s="425">
        <v>0</v>
      </c>
      <c r="H2945" s="425">
        <v>0</v>
      </c>
      <c r="I2945" s="425">
        <v>0</v>
      </c>
      <c r="J2945" s="425">
        <v>0</v>
      </c>
      <c r="K2945" s="425">
        <v>0</v>
      </c>
      <c r="L2945" s="425">
        <v>0</v>
      </c>
      <c r="M2945" s="425">
        <v>0</v>
      </c>
      <c r="N2945" s="425">
        <v>0</v>
      </c>
      <c r="O2945" s="425">
        <v>0</v>
      </c>
    </row>
    <row r="2946" spans="1:15" hidden="1" x14ac:dyDescent="0.3">
      <c r="C2946" t="s">
        <v>2266</v>
      </c>
      <c r="D2946" t="s">
        <v>2267</v>
      </c>
      <c r="E2946" t="s">
        <v>8080</v>
      </c>
      <c r="F2946" t="s">
        <v>8081</v>
      </c>
      <c r="G2946" s="425">
        <v>0</v>
      </c>
      <c r="H2946" s="425">
        <v>0</v>
      </c>
      <c r="I2946" s="425">
        <v>0</v>
      </c>
      <c r="J2946" s="425">
        <v>0</v>
      </c>
      <c r="K2946" s="425">
        <v>0</v>
      </c>
      <c r="L2946" s="425">
        <v>0</v>
      </c>
      <c r="M2946" s="425">
        <v>0</v>
      </c>
      <c r="N2946" s="425">
        <v>0</v>
      </c>
      <c r="O2946" s="425">
        <v>0</v>
      </c>
    </row>
    <row r="2947" spans="1:15" hidden="1" x14ac:dyDescent="0.3">
      <c r="A2947" s="240"/>
      <c r="B2947" s="239" t="s">
        <v>136</v>
      </c>
      <c r="C2947" t="s">
        <v>2260</v>
      </c>
      <c r="D2947" t="s">
        <v>2237</v>
      </c>
      <c r="E2947" t="s">
        <v>8082</v>
      </c>
      <c r="F2947" t="s">
        <v>8083</v>
      </c>
      <c r="G2947" s="425">
        <v>0</v>
      </c>
      <c r="H2947" s="425">
        <v>0</v>
      </c>
      <c r="I2947" s="425">
        <v>0</v>
      </c>
      <c r="J2947" s="425">
        <v>0</v>
      </c>
      <c r="K2947" s="425">
        <v>0</v>
      </c>
      <c r="L2947" s="425">
        <v>0</v>
      </c>
      <c r="M2947" s="425">
        <v>0</v>
      </c>
      <c r="N2947" s="425">
        <v>0</v>
      </c>
      <c r="O2947" s="425">
        <v>0</v>
      </c>
    </row>
    <row r="2948" spans="1:15" hidden="1" x14ac:dyDescent="0.3">
      <c r="C2948" t="s">
        <v>2263</v>
      </c>
      <c r="D2948" t="s">
        <v>2237</v>
      </c>
      <c r="E2948" t="s">
        <v>8084</v>
      </c>
      <c r="F2948" t="s">
        <v>8085</v>
      </c>
      <c r="G2948" s="425">
        <v>0</v>
      </c>
      <c r="H2948" s="425">
        <v>0</v>
      </c>
      <c r="I2948" s="425">
        <v>0</v>
      </c>
      <c r="J2948" s="425">
        <v>0</v>
      </c>
      <c r="K2948" s="425">
        <v>0</v>
      </c>
      <c r="L2948" s="425">
        <v>0</v>
      </c>
      <c r="M2948" s="425">
        <v>0</v>
      </c>
      <c r="N2948" s="425">
        <v>0</v>
      </c>
      <c r="O2948" s="425">
        <v>0</v>
      </c>
    </row>
    <row r="2949" spans="1:15" hidden="1" x14ac:dyDescent="0.3">
      <c r="C2949" t="s">
        <v>2266</v>
      </c>
      <c r="D2949" t="s">
        <v>2267</v>
      </c>
      <c r="E2949" t="s">
        <v>8086</v>
      </c>
      <c r="F2949" t="s">
        <v>8087</v>
      </c>
      <c r="G2949" s="425">
        <v>0</v>
      </c>
      <c r="H2949" s="425">
        <v>0</v>
      </c>
      <c r="I2949" s="425">
        <v>0</v>
      </c>
      <c r="J2949" s="425">
        <v>0</v>
      </c>
      <c r="K2949" s="425">
        <v>0</v>
      </c>
      <c r="L2949" s="425">
        <v>0</v>
      </c>
      <c r="M2949" s="425">
        <v>0</v>
      </c>
      <c r="N2949" s="425">
        <v>0</v>
      </c>
      <c r="O2949" s="425">
        <v>0</v>
      </c>
    </row>
    <row r="2950" spans="1:15" hidden="1" x14ac:dyDescent="0.3">
      <c r="A2950" s="240"/>
      <c r="B2950" s="239" t="s">
        <v>138</v>
      </c>
      <c r="C2950" t="s">
        <v>2260</v>
      </c>
      <c r="D2950" t="s">
        <v>2237</v>
      </c>
      <c r="E2950" t="s">
        <v>8088</v>
      </c>
      <c r="F2950" t="s">
        <v>8089</v>
      </c>
      <c r="G2950" s="425">
        <v>1340320317962</v>
      </c>
      <c r="H2950" s="425">
        <v>783513932862</v>
      </c>
      <c r="I2950" s="425">
        <v>381368253733</v>
      </c>
      <c r="J2950" s="425">
        <v>0</v>
      </c>
      <c r="K2950" s="425">
        <v>156243630325</v>
      </c>
      <c r="L2950" s="425">
        <v>850221918</v>
      </c>
      <c r="M2950" s="425">
        <v>6066683323</v>
      </c>
      <c r="N2950" s="425">
        <v>12277595801</v>
      </c>
      <c r="O2950" s="425">
        <v>0</v>
      </c>
    </row>
    <row r="2951" spans="1:15" hidden="1" x14ac:dyDescent="0.3">
      <c r="C2951" t="s">
        <v>2263</v>
      </c>
      <c r="D2951" t="s">
        <v>2237</v>
      </c>
      <c r="E2951" t="s">
        <v>8090</v>
      </c>
      <c r="F2951" t="s">
        <v>8091</v>
      </c>
      <c r="G2951" s="425">
        <v>3187205844521</v>
      </c>
      <c r="H2951" s="425">
        <v>2159556513435</v>
      </c>
      <c r="I2951" s="425">
        <v>753187551518</v>
      </c>
      <c r="J2951" s="425">
        <v>0</v>
      </c>
      <c r="K2951" s="425">
        <v>201563766950</v>
      </c>
      <c r="L2951" s="425">
        <v>2235670942</v>
      </c>
      <c r="M2951" s="425">
        <v>12778934329</v>
      </c>
      <c r="N2951" s="425">
        <v>57883407347</v>
      </c>
      <c r="O2951" s="425">
        <v>0</v>
      </c>
    </row>
    <row r="2952" spans="1:15" hidden="1" x14ac:dyDescent="0.3">
      <c r="C2952" t="s">
        <v>2266</v>
      </c>
      <c r="D2952" t="s">
        <v>2267</v>
      </c>
      <c r="E2952" t="s">
        <v>8092</v>
      </c>
      <c r="F2952" t="s">
        <v>8093</v>
      </c>
      <c r="G2952" s="425">
        <v>0</v>
      </c>
      <c r="H2952" s="425">
        <v>0</v>
      </c>
      <c r="I2952" s="425">
        <v>0</v>
      </c>
      <c r="J2952" s="425">
        <v>0</v>
      </c>
      <c r="K2952" s="425">
        <v>0</v>
      </c>
      <c r="L2952" s="425">
        <v>0</v>
      </c>
      <c r="M2952" s="425">
        <v>0</v>
      </c>
      <c r="N2952" s="425">
        <v>0</v>
      </c>
      <c r="O2952" s="425">
        <v>0</v>
      </c>
    </row>
    <row r="2953" spans="1:15" hidden="1" x14ac:dyDescent="0.3">
      <c r="C2953" t="s">
        <v>2266</v>
      </c>
      <c r="D2953" t="s">
        <v>2267</v>
      </c>
      <c r="E2953" t="s">
        <v>8094</v>
      </c>
      <c r="F2953" t="s">
        <v>8095</v>
      </c>
      <c r="G2953" s="425">
        <v>299910860248</v>
      </c>
      <c r="H2953" s="425">
        <v>205602784770</v>
      </c>
      <c r="I2953" s="425">
        <v>90523045930</v>
      </c>
      <c r="J2953" s="425">
        <v>0</v>
      </c>
      <c r="K2953" s="425">
        <v>1869585027</v>
      </c>
      <c r="L2953" s="425">
        <v>4220070</v>
      </c>
      <c r="M2953" s="425">
        <v>0</v>
      </c>
      <c r="N2953" s="425">
        <v>1911224451</v>
      </c>
      <c r="O2953" s="425">
        <v>0</v>
      </c>
    </row>
    <row r="2954" spans="1:15" hidden="1" x14ac:dyDescent="0.3">
      <c r="C2954" t="s">
        <v>2266</v>
      </c>
      <c r="D2954" t="s">
        <v>2267</v>
      </c>
      <c r="E2954" t="s">
        <v>8096</v>
      </c>
      <c r="F2954" t="s">
        <v>8097</v>
      </c>
      <c r="G2954" s="425">
        <v>2877683576775</v>
      </c>
      <c r="H2954" s="425">
        <v>1949387210590</v>
      </c>
      <c r="I2954" s="425">
        <v>662472955908</v>
      </c>
      <c r="J2954" s="425">
        <v>0</v>
      </c>
      <c r="K2954" s="425">
        <v>199694181923</v>
      </c>
      <c r="L2954" s="425">
        <v>89938279</v>
      </c>
      <c r="M2954" s="425">
        <v>12778934329</v>
      </c>
      <c r="N2954" s="425">
        <v>53260355746</v>
      </c>
      <c r="O2954" s="425">
        <v>0</v>
      </c>
    </row>
    <row r="2955" spans="1:15" hidden="1" x14ac:dyDescent="0.3">
      <c r="C2955" t="s">
        <v>2266</v>
      </c>
      <c r="D2955" t="s">
        <v>2267</v>
      </c>
      <c r="E2955" t="s">
        <v>8098</v>
      </c>
      <c r="F2955" t="s">
        <v>8099</v>
      </c>
      <c r="G2955" s="425">
        <v>9611407498</v>
      </c>
      <c r="H2955" s="425">
        <v>4566518075</v>
      </c>
      <c r="I2955" s="425">
        <v>191549680</v>
      </c>
      <c r="J2955" s="425">
        <v>0</v>
      </c>
      <c r="K2955" s="425">
        <v>0</v>
      </c>
      <c r="L2955" s="425">
        <v>2141512593</v>
      </c>
      <c r="M2955" s="425">
        <v>0</v>
      </c>
      <c r="N2955" s="425">
        <v>2711827150</v>
      </c>
      <c r="O2955" s="425">
        <v>0</v>
      </c>
    </row>
    <row r="2956" spans="1:15" hidden="1" x14ac:dyDescent="0.3">
      <c r="C2956" t="s">
        <v>2266</v>
      </c>
      <c r="D2956" t="s">
        <v>2267</v>
      </c>
      <c r="E2956" t="s">
        <v>8100</v>
      </c>
      <c r="F2956" t="s">
        <v>8101</v>
      </c>
      <c r="G2956" s="425">
        <v>0</v>
      </c>
      <c r="H2956" s="425">
        <v>0</v>
      </c>
      <c r="I2956" s="425">
        <v>0</v>
      </c>
      <c r="J2956" s="425">
        <v>0</v>
      </c>
      <c r="K2956" s="425">
        <v>0</v>
      </c>
      <c r="L2956" s="425">
        <v>0</v>
      </c>
      <c r="M2956" s="425">
        <v>0</v>
      </c>
      <c r="N2956" s="425">
        <v>0</v>
      </c>
      <c r="O2956" s="425">
        <v>0</v>
      </c>
    </row>
    <row r="2957" spans="1:15" hidden="1" x14ac:dyDescent="0.3">
      <c r="C2957" t="s">
        <v>2263</v>
      </c>
      <c r="D2957" t="s">
        <v>2237</v>
      </c>
      <c r="E2957" t="s">
        <v>8102</v>
      </c>
      <c r="F2957" t="s">
        <v>8103</v>
      </c>
      <c r="G2957" s="425">
        <v>-1826069970452</v>
      </c>
      <c r="H2957" s="425">
        <v>-1372000407106</v>
      </c>
      <c r="I2957" s="425">
        <v>-356494182553</v>
      </c>
      <c r="J2957" s="425">
        <v>0</v>
      </c>
      <c r="K2957" s="425">
        <v>-45320136625</v>
      </c>
      <c r="L2957" s="425">
        <v>-1385449024</v>
      </c>
      <c r="M2957" s="425">
        <v>-5263983598</v>
      </c>
      <c r="N2957" s="425">
        <v>-45605811546</v>
      </c>
      <c r="O2957" s="425">
        <v>0</v>
      </c>
    </row>
    <row r="2958" spans="1:15" hidden="1" x14ac:dyDescent="0.3">
      <c r="C2958" t="s">
        <v>2266</v>
      </c>
      <c r="D2958" t="s">
        <v>2267</v>
      </c>
      <c r="E2958" t="s">
        <v>8104</v>
      </c>
      <c r="F2958" t="s">
        <v>8105</v>
      </c>
      <c r="G2958" s="425">
        <v>-135494354033</v>
      </c>
      <c r="H2958" s="425">
        <v>-98392936318</v>
      </c>
      <c r="I2958" s="425">
        <v>-34724444776</v>
      </c>
      <c r="J2958" s="425">
        <v>0</v>
      </c>
      <c r="K2958" s="425">
        <v>-904199363</v>
      </c>
      <c r="L2958" s="425">
        <v>-3868569</v>
      </c>
      <c r="M2958" s="425">
        <v>0</v>
      </c>
      <c r="N2958" s="425">
        <v>-1468905007</v>
      </c>
      <c r="O2958" s="425">
        <v>0</v>
      </c>
    </row>
    <row r="2959" spans="1:15" hidden="1" x14ac:dyDescent="0.3">
      <c r="C2959" t="s">
        <v>2266</v>
      </c>
      <c r="D2959" t="s">
        <v>2267</v>
      </c>
      <c r="E2959" t="s">
        <v>8106</v>
      </c>
      <c r="F2959" t="s">
        <v>8107</v>
      </c>
      <c r="G2959" s="425">
        <v>-1685628806269</v>
      </c>
      <c r="H2959" s="425">
        <v>-1271417026482</v>
      </c>
      <c r="I2959" s="425">
        <v>-321728982497</v>
      </c>
      <c r="J2959" s="425">
        <v>0</v>
      </c>
      <c r="K2959" s="425">
        <v>-44415937262</v>
      </c>
      <c r="L2959" s="425">
        <v>-71826248</v>
      </c>
      <c r="M2959" s="425">
        <v>-5263983598</v>
      </c>
      <c r="N2959" s="425">
        <v>-42731050182</v>
      </c>
      <c r="O2959" s="425">
        <v>0</v>
      </c>
    </row>
    <row r="2960" spans="1:15" hidden="1" x14ac:dyDescent="0.3">
      <c r="C2960" t="s">
        <v>2266</v>
      </c>
      <c r="D2960" t="s">
        <v>2267</v>
      </c>
      <c r="E2960" t="s">
        <v>8108</v>
      </c>
      <c r="F2960" t="s">
        <v>8109</v>
      </c>
      <c r="G2960" s="425">
        <v>-4946810150</v>
      </c>
      <c r="H2960" s="425">
        <v>-2190444306</v>
      </c>
      <c r="I2960" s="425">
        <v>-40755280</v>
      </c>
      <c r="J2960" s="425">
        <v>0</v>
      </c>
      <c r="K2960" s="425">
        <v>0</v>
      </c>
      <c r="L2960" s="425">
        <v>-1309754207</v>
      </c>
      <c r="M2960" s="425">
        <v>0</v>
      </c>
      <c r="N2960" s="425">
        <v>-1405856357</v>
      </c>
      <c r="O2960" s="425">
        <v>0</v>
      </c>
    </row>
    <row r="2961" spans="1:15" hidden="1" x14ac:dyDescent="0.3">
      <c r="C2961" t="s">
        <v>2266</v>
      </c>
      <c r="D2961" t="s">
        <v>2267</v>
      </c>
      <c r="E2961" t="s">
        <v>8110</v>
      </c>
      <c r="F2961" t="s">
        <v>8111</v>
      </c>
      <c r="G2961" s="425">
        <v>0</v>
      </c>
      <c r="H2961" s="425">
        <v>0</v>
      </c>
      <c r="I2961" s="425">
        <v>0</v>
      </c>
      <c r="J2961" s="425">
        <v>0</v>
      </c>
      <c r="K2961" s="425">
        <v>0</v>
      </c>
      <c r="L2961" s="425">
        <v>0</v>
      </c>
      <c r="M2961" s="425">
        <v>0</v>
      </c>
      <c r="N2961" s="425">
        <v>0</v>
      </c>
      <c r="O2961" s="425">
        <v>0</v>
      </c>
    </row>
    <row r="2962" spans="1:15" hidden="1" x14ac:dyDescent="0.3">
      <c r="C2962" t="s">
        <v>2263</v>
      </c>
      <c r="D2962" t="s">
        <v>2237</v>
      </c>
      <c r="E2962" t="s">
        <v>8112</v>
      </c>
      <c r="F2962" t="s">
        <v>8113</v>
      </c>
      <c r="G2962" s="425">
        <v>-20815556107</v>
      </c>
      <c r="H2962" s="425">
        <v>-4042173467</v>
      </c>
      <c r="I2962" s="425">
        <v>-15325115232</v>
      </c>
      <c r="J2962" s="425">
        <v>0</v>
      </c>
      <c r="K2962" s="425">
        <v>0</v>
      </c>
      <c r="L2962" s="425">
        <v>0</v>
      </c>
      <c r="M2962" s="425">
        <v>-1448267408</v>
      </c>
      <c r="N2962" s="425">
        <v>0</v>
      </c>
      <c r="O2962" s="425">
        <v>0</v>
      </c>
    </row>
    <row r="2963" spans="1:15" hidden="1" x14ac:dyDescent="0.3">
      <c r="C2963" t="s">
        <v>2266</v>
      </c>
      <c r="D2963" t="s">
        <v>2267</v>
      </c>
      <c r="E2963" t="s">
        <v>8114</v>
      </c>
      <c r="F2963" t="s">
        <v>8115</v>
      </c>
      <c r="G2963" s="425">
        <v>-20815556107</v>
      </c>
      <c r="H2963" s="425">
        <v>-4042173467</v>
      </c>
      <c r="I2963" s="425">
        <v>-15325115232</v>
      </c>
      <c r="J2963" s="425">
        <v>0</v>
      </c>
      <c r="K2963" s="425">
        <v>0</v>
      </c>
      <c r="L2963" s="425">
        <v>0</v>
      </c>
      <c r="M2963" s="425">
        <v>-1448267408</v>
      </c>
      <c r="N2963" s="425">
        <v>0</v>
      </c>
      <c r="O2963" s="425">
        <v>0</v>
      </c>
    </row>
    <row r="2964" spans="1:15" x14ac:dyDescent="0.3">
      <c r="A2964" s="153" t="s">
        <v>142</v>
      </c>
      <c r="B2964" s="153"/>
      <c r="C2964" t="s">
        <v>2254</v>
      </c>
      <c r="D2964" t="s">
        <v>2237</v>
      </c>
      <c r="E2964" t="s">
        <v>8116</v>
      </c>
      <c r="F2964" t="s">
        <v>8117</v>
      </c>
      <c r="G2964" s="425">
        <v>3796297134919</v>
      </c>
      <c r="H2964" s="425">
        <v>432248923203</v>
      </c>
      <c r="I2964" s="425">
        <v>960191149552</v>
      </c>
      <c r="J2964" s="425">
        <v>-19817287679</v>
      </c>
      <c r="K2964" s="425">
        <v>544572899706</v>
      </c>
      <c r="L2964" s="425">
        <v>-1183180175577</v>
      </c>
      <c r="M2964" s="425">
        <v>662743575475</v>
      </c>
      <c r="N2964" s="425">
        <v>2402681762653</v>
      </c>
      <c r="O2964" s="425">
        <v>-3143712414</v>
      </c>
    </row>
    <row r="2965" spans="1:15" x14ac:dyDescent="0.3">
      <c r="A2965" s="153" t="s">
        <v>143</v>
      </c>
      <c r="B2965" s="153"/>
      <c r="C2965" t="s">
        <v>2257</v>
      </c>
      <c r="D2965" t="s">
        <v>2237</v>
      </c>
      <c r="E2965" t="s">
        <v>8118</v>
      </c>
      <c r="F2965" t="s">
        <v>8119</v>
      </c>
      <c r="G2965" s="425">
        <v>1726694869549</v>
      </c>
      <c r="H2965" s="425">
        <v>1044083973176</v>
      </c>
      <c r="I2965" s="425">
        <v>166826885401</v>
      </c>
      <c r="J2965" s="425">
        <v>12939</v>
      </c>
      <c r="K2965" s="425">
        <v>40148840197</v>
      </c>
      <c r="L2965" s="425">
        <v>305645546952</v>
      </c>
      <c r="M2965" s="425">
        <v>67071736801</v>
      </c>
      <c r="N2965" s="425">
        <v>105728807512</v>
      </c>
      <c r="O2965" s="425">
        <v>-2810933429</v>
      </c>
    </row>
    <row r="2966" spans="1:15" hidden="1" x14ac:dyDescent="0.3">
      <c r="A2966" s="240"/>
      <c r="B2966" s="239" t="s">
        <v>144</v>
      </c>
      <c r="C2966" t="s">
        <v>2260</v>
      </c>
      <c r="D2966" t="s">
        <v>2237</v>
      </c>
      <c r="E2966" t="s">
        <v>8120</v>
      </c>
      <c r="F2966" t="s">
        <v>8121</v>
      </c>
      <c r="G2966" s="425">
        <v>911852690860</v>
      </c>
      <c r="H2966" s="425">
        <v>594618735144</v>
      </c>
      <c r="I2966" s="425">
        <v>84395303862</v>
      </c>
      <c r="J2966" s="425">
        <v>12939</v>
      </c>
      <c r="K2966" s="425">
        <v>30793053121</v>
      </c>
      <c r="L2966" s="425">
        <v>161884387605</v>
      </c>
      <c r="M2966" s="425">
        <v>18816080181</v>
      </c>
      <c r="N2966" s="425">
        <v>21345118008</v>
      </c>
      <c r="O2966" s="425">
        <v>0</v>
      </c>
    </row>
    <row r="2967" spans="1:15" hidden="1" x14ac:dyDescent="0.3">
      <c r="A2967" s="233"/>
      <c r="B2967" s="235" t="s">
        <v>145</v>
      </c>
      <c r="C2967" t="s">
        <v>2263</v>
      </c>
      <c r="D2967" t="s">
        <v>2237</v>
      </c>
      <c r="E2967" t="s">
        <v>8122</v>
      </c>
      <c r="F2967" t="s">
        <v>8123</v>
      </c>
      <c r="G2967" s="425">
        <v>476130082135</v>
      </c>
      <c r="H2967" s="425">
        <v>375570071023</v>
      </c>
      <c r="I2967" s="425">
        <v>53881342755</v>
      </c>
      <c r="J2967" s="425">
        <v>0</v>
      </c>
      <c r="K2967" s="425">
        <v>0</v>
      </c>
      <c r="L2967" s="425">
        <v>45724453833</v>
      </c>
      <c r="M2967" s="425">
        <v>0</v>
      </c>
      <c r="N2967" s="425">
        <v>954214524</v>
      </c>
      <c r="O2967" s="425">
        <v>0</v>
      </c>
    </row>
    <row r="2968" spans="1:15" hidden="1" x14ac:dyDescent="0.3">
      <c r="C2968" t="s">
        <v>2266</v>
      </c>
      <c r="D2968" t="s">
        <v>2237</v>
      </c>
      <c r="E2968" t="s">
        <v>8124</v>
      </c>
      <c r="F2968" t="s">
        <v>8125</v>
      </c>
      <c r="G2968" s="425">
        <v>476130082135</v>
      </c>
      <c r="H2968" s="425">
        <v>375570071023</v>
      </c>
      <c r="I2968" s="425">
        <v>53881342755</v>
      </c>
      <c r="J2968" s="425">
        <v>0</v>
      </c>
      <c r="K2968" s="425">
        <v>0</v>
      </c>
      <c r="L2968" s="425">
        <v>45724453833</v>
      </c>
      <c r="M2968" s="425">
        <v>0</v>
      </c>
      <c r="N2968" s="425">
        <v>954214524</v>
      </c>
      <c r="O2968" s="425">
        <v>0</v>
      </c>
    </row>
    <row r="2969" spans="1:15" hidden="1" x14ac:dyDescent="0.3">
      <c r="C2969" t="s">
        <v>2292</v>
      </c>
      <c r="D2969" t="s">
        <v>2267</v>
      </c>
      <c r="E2969" t="s">
        <v>8126</v>
      </c>
      <c r="F2969" t="s">
        <v>8127</v>
      </c>
      <c r="G2969" s="425">
        <v>430329519598</v>
      </c>
      <c r="H2969" s="425">
        <v>375474367081</v>
      </c>
      <c r="I2969" s="425">
        <v>53900937993</v>
      </c>
      <c r="J2969" s="425">
        <v>0</v>
      </c>
      <c r="K2969" s="425">
        <v>0</v>
      </c>
      <c r="L2969" s="425">
        <v>0</v>
      </c>
      <c r="M2969" s="425">
        <v>0</v>
      </c>
      <c r="N2969" s="425">
        <v>954214524</v>
      </c>
      <c r="O2969" s="425">
        <v>0</v>
      </c>
    </row>
    <row r="2970" spans="1:15" hidden="1" x14ac:dyDescent="0.3">
      <c r="C2970" t="s">
        <v>2292</v>
      </c>
      <c r="D2970" t="s">
        <v>2267</v>
      </c>
      <c r="E2970" t="s">
        <v>8128</v>
      </c>
      <c r="F2970" t="s">
        <v>8129</v>
      </c>
      <c r="G2970" s="425">
        <v>0</v>
      </c>
      <c r="H2970" s="425">
        <v>0</v>
      </c>
      <c r="I2970" s="425">
        <v>0</v>
      </c>
      <c r="J2970" s="425">
        <v>0</v>
      </c>
      <c r="K2970" s="425">
        <v>0</v>
      </c>
      <c r="L2970" s="425">
        <v>0</v>
      </c>
      <c r="M2970" s="425">
        <v>0</v>
      </c>
      <c r="N2970" s="425">
        <v>0</v>
      </c>
      <c r="O2970" s="425">
        <v>0</v>
      </c>
    </row>
    <row r="2971" spans="1:15" hidden="1" x14ac:dyDescent="0.3">
      <c r="C2971" t="s">
        <v>2292</v>
      </c>
      <c r="D2971" t="s">
        <v>2267</v>
      </c>
      <c r="E2971" t="s">
        <v>8130</v>
      </c>
      <c r="F2971" t="s">
        <v>8131</v>
      </c>
      <c r="G2971" s="425">
        <v>0</v>
      </c>
      <c r="H2971" s="425">
        <v>0</v>
      </c>
      <c r="I2971" s="425">
        <v>0</v>
      </c>
      <c r="J2971" s="425">
        <v>0</v>
      </c>
      <c r="K2971" s="425">
        <v>0</v>
      </c>
      <c r="L2971" s="425">
        <v>0</v>
      </c>
      <c r="M2971" s="425">
        <v>0</v>
      </c>
      <c r="N2971" s="425">
        <v>0</v>
      </c>
      <c r="O2971" s="425">
        <v>0</v>
      </c>
    </row>
    <row r="2972" spans="1:15" hidden="1" x14ac:dyDescent="0.3">
      <c r="C2972" t="s">
        <v>2292</v>
      </c>
      <c r="D2972" t="s">
        <v>2267</v>
      </c>
      <c r="E2972" t="s">
        <v>8132</v>
      </c>
      <c r="F2972" t="s">
        <v>8133</v>
      </c>
      <c r="G2972" s="425">
        <v>0</v>
      </c>
      <c r="H2972" s="425">
        <v>0</v>
      </c>
      <c r="I2972" s="425">
        <v>0</v>
      </c>
      <c r="J2972" s="425">
        <v>0</v>
      </c>
      <c r="K2972" s="425">
        <v>0</v>
      </c>
      <c r="L2972" s="425">
        <v>0</v>
      </c>
      <c r="M2972" s="425">
        <v>0</v>
      </c>
      <c r="N2972" s="425">
        <v>0</v>
      </c>
      <c r="O2972" s="425">
        <v>0</v>
      </c>
    </row>
    <row r="2973" spans="1:15" hidden="1" x14ac:dyDescent="0.3">
      <c r="C2973" t="s">
        <v>2292</v>
      </c>
      <c r="D2973" t="s">
        <v>2267</v>
      </c>
      <c r="E2973" t="s">
        <v>8134</v>
      </c>
      <c r="F2973" t="s">
        <v>8135</v>
      </c>
      <c r="G2973" s="425">
        <v>45724453833</v>
      </c>
      <c r="H2973" s="425">
        <v>0</v>
      </c>
      <c r="I2973" s="425">
        <v>0</v>
      </c>
      <c r="J2973" s="425">
        <v>0</v>
      </c>
      <c r="K2973" s="425">
        <v>0</v>
      </c>
      <c r="L2973" s="425">
        <v>45724453833</v>
      </c>
      <c r="M2973" s="425">
        <v>0</v>
      </c>
      <c r="N2973" s="425">
        <v>0</v>
      </c>
      <c r="O2973" s="425">
        <v>0</v>
      </c>
    </row>
    <row r="2974" spans="1:15" hidden="1" x14ac:dyDescent="0.3">
      <c r="C2974" t="s">
        <v>2292</v>
      </c>
      <c r="D2974" t="s">
        <v>2267</v>
      </c>
      <c r="E2974" t="s">
        <v>8136</v>
      </c>
      <c r="F2974" t="s">
        <v>8137</v>
      </c>
      <c r="G2974" s="425">
        <v>0</v>
      </c>
      <c r="H2974" s="425">
        <v>0</v>
      </c>
      <c r="I2974" s="425">
        <v>0</v>
      </c>
      <c r="J2974" s="425">
        <v>0</v>
      </c>
      <c r="K2974" s="425">
        <v>0</v>
      </c>
      <c r="L2974" s="425">
        <v>0</v>
      </c>
      <c r="M2974" s="425">
        <v>0</v>
      </c>
      <c r="N2974" s="425">
        <v>0</v>
      </c>
      <c r="O2974" s="425">
        <v>0</v>
      </c>
    </row>
    <row r="2975" spans="1:15" hidden="1" x14ac:dyDescent="0.3">
      <c r="C2975" t="s">
        <v>2292</v>
      </c>
      <c r="D2975" t="s">
        <v>2267</v>
      </c>
      <c r="E2975" t="s">
        <v>8138</v>
      </c>
      <c r="F2975" t="s">
        <v>8139</v>
      </c>
      <c r="G2975" s="425">
        <v>0</v>
      </c>
      <c r="H2975" s="425">
        <v>0</v>
      </c>
      <c r="I2975" s="425">
        <v>0</v>
      </c>
      <c r="J2975" s="425">
        <v>0</v>
      </c>
      <c r="K2975" s="425">
        <v>0</v>
      </c>
      <c r="L2975" s="425">
        <v>0</v>
      </c>
      <c r="M2975" s="425">
        <v>0</v>
      </c>
      <c r="N2975" s="425">
        <v>0</v>
      </c>
      <c r="O2975" s="425">
        <v>0</v>
      </c>
    </row>
    <row r="2976" spans="1:15" hidden="1" x14ac:dyDescent="0.3">
      <c r="C2976" t="s">
        <v>2292</v>
      </c>
      <c r="D2976" t="s">
        <v>2267</v>
      </c>
      <c r="E2976" t="s">
        <v>8140</v>
      </c>
      <c r="F2976" t="s">
        <v>8141</v>
      </c>
      <c r="G2976" s="425">
        <v>0</v>
      </c>
      <c r="H2976" s="425">
        <v>0</v>
      </c>
      <c r="I2976" s="425">
        <v>0</v>
      </c>
      <c r="J2976" s="425">
        <v>0</v>
      </c>
      <c r="K2976" s="425">
        <v>0</v>
      </c>
      <c r="L2976" s="425">
        <v>0</v>
      </c>
      <c r="M2976" s="425">
        <v>0</v>
      </c>
      <c r="N2976" s="425">
        <v>0</v>
      </c>
      <c r="O2976" s="425">
        <v>0</v>
      </c>
    </row>
    <row r="2977" spans="1:15" hidden="1" x14ac:dyDescent="0.3">
      <c r="C2977" t="s">
        <v>2292</v>
      </c>
      <c r="D2977" t="s">
        <v>2267</v>
      </c>
      <c r="E2977" t="s">
        <v>8142</v>
      </c>
      <c r="F2977" t="s">
        <v>8143</v>
      </c>
      <c r="G2977" s="425">
        <v>76108704</v>
      </c>
      <c r="H2977" s="425">
        <v>95703942</v>
      </c>
      <c r="I2977" s="425">
        <v>-19595238</v>
      </c>
      <c r="J2977" s="425">
        <v>0</v>
      </c>
      <c r="K2977" s="425">
        <v>0</v>
      </c>
      <c r="L2977" s="425">
        <v>0</v>
      </c>
      <c r="M2977" s="425">
        <v>0</v>
      </c>
      <c r="N2977" s="425">
        <v>0</v>
      </c>
      <c r="O2977" s="425">
        <v>0</v>
      </c>
    </row>
    <row r="2978" spans="1:15" hidden="1" x14ac:dyDescent="0.3">
      <c r="A2978" s="233"/>
      <c r="B2978" s="235" t="s">
        <v>147</v>
      </c>
      <c r="C2978" t="s">
        <v>2263</v>
      </c>
      <c r="D2978" t="s">
        <v>2237</v>
      </c>
      <c r="E2978" t="s">
        <v>8144</v>
      </c>
      <c r="F2978" t="s">
        <v>8145</v>
      </c>
      <c r="G2978" s="425">
        <v>212167226644</v>
      </c>
      <c r="H2978" s="425">
        <v>67490843010</v>
      </c>
      <c r="I2978" s="425">
        <v>15264905154</v>
      </c>
      <c r="J2978" s="425">
        <v>12939</v>
      </c>
      <c r="K2978" s="425">
        <v>26169741624</v>
      </c>
      <c r="L2978" s="425">
        <v>88546630906</v>
      </c>
      <c r="M2978" s="425">
        <v>10314978739</v>
      </c>
      <c r="N2978" s="425">
        <v>4380114272</v>
      </c>
      <c r="O2978" s="425">
        <v>0</v>
      </c>
    </row>
    <row r="2979" spans="1:15" hidden="1" x14ac:dyDescent="0.3">
      <c r="C2979" t="s">
        <v>2266</v>
      </c>
      <c r="D2979" t="s">
        <v>2267</v>
      </c>
      <c r="E2979" t="s">
        <v>8146</v>
      </c>
      <c r="F2979" t="s">
        <v>8147</v>
      </c>
      <c r="G2979" s="425">
        <v>21347049</v>
      </c>
      <c r="H2979" s="425">
        <v>0</v>
      </c>
      <c r="I2979" s="425">
        <v>0</v>
      </c>
      <c r="J2979" s="425">
        <v>0</v>
      </c>
      <c r="K2979" s="425">
        <v>0</v>
      </c>
      <c r="L2979" s="425">
        <v>21347049</v>
      </c>
      <c r="M2979" s="425">
        <v>0</v>
      </c>
      <c r="N2979" s="425">
        <v>0</v>
      </c>
      <c r="O2979" s="425">
        <v>0</v>
      </c>
    </row>
    <row r="2980" spans="1:15" hidden="1" x14ac:dyDescent="0.3">
      <c r="C2980" t="s">
        <v>2266</v>
      </c>
      <c r="D2980" t="s">
        <v>2267</v>
      </c>
      <c r="E2980" t="s">
        <v>8148</v>
      </c>
      <c r="F2980" t="s">
        <v>8149</v>
      </c>
      <c r="G2980" s="425">
        <v>162974080686</v>
      </c>
      <c r="H2980" s="425">
        <v>56904240159</v>
      </c>
      <c r="I2980" s="425">
        <v>13829796332</v>
      </c>
      <c r="J2980" s="425">
        <v>0</v>
      </c>
      <c r="K2980" s="425">
        <v>25901226689</v>
      </c>
      <c r="L2980" s="425">
        <v>32032357889</v>
      </c>
      <c r="M2980" s="425">
        <v>9448591000</v>
      </c>
      <c r="N2980" s="425">
        <v>24857868617</v>
      </c>
      <c r="O2980" s="425">
        <v>0</v>
      </c>
    </row>
    <row r="2981" spans="1:15" hidden="1" x14ac:dyDescent="0.3">
      <c r="C2981" t="s">
        <v>2266</v>
      </c>
      <c r="D2981" t="s">
        <v>2267</v>
      </c>
      <c r="E2981" t="s">
        <v>8150</v>
      </c>
      <c r="F2981" t="s">
        <v>8151</v>
      </c>
      <c r="G2981" s="425">
        <v>0</v>
      </c>
      <c r="H2981" s="425">
        <v>0</v>
      </c>
      <c r="I2981" s="425">
        <v>0</v>
      </c>
      <c r="J2981" s="425">
        <v>0</v>
      </c>
      <c r="K2981" s="425">
        <v>0</v>
      </c>
      <c r="L2981" s="425">
        <v>0</v>
      </c>
      <c r="M2981" s="425">
        <v>0</v>
      </c>
      <c r="N2981" s="425">
        <v>0</v>
      </c>
      <c r="O2981" s="425">
        <v>0</v>
      </c>
    </row>
    <row r="2982" spans="1:15" hidden="1" x14ac:dyDescent="0.3">
      <c r="C2982" t="s">
        <v>2266</v>
      </c>
      <c r="D2982" t="s">
        <v>2267</v>
      </c>
      <c r="E2982" t="s">
        <v>8152</v>
      </c>
      <c r="F2982" t="s">
        <v>8153</v>
      </c>
      <c r="G2982" s="425">
        <v>4004353313</v>
      </c>
      <c r="H2982" s="425">
        <v>3220190469</v>
      </c>
      <c r="I2982" s="425">
        <v>784162844</v>
      </c>
      <c r="J2982" s="425">
        <v>0</v>
      </c>
      <c r="K2982" s="425">
        <v>0</v>
      </c>
      <c r="L2982" s="425">
        <v>0</v>
      </c>
      <c r="M2982" s="425">
        <v>0</v>
      </c>
      <c r="N2982" s="425">
        <v>0</v>
      </c>
      <c r="O2982" s="425">
        <v>0</v>
      </c>
    </row>
    <row r="2983" spans="1:15" hidden="1" x14ac:dyDescent="0.3">
      <c r="C2983" t="s">
        <v>2266</v>
      </c>
      <c r="D2983" t="s">
        <v>2267</v>
      </c>
      <c r="E2983" t="s">
        <v>8154</v>
      </c>
      <c r="F2983" t="s">
        <v>8155</v>
      </c>
      <c r="G2983" s="425">
        <v>6300501561</v>
      </c>
      <c r="H2983" s="425">
        <v>5952988681</v>
      </c>
      <c r="I2983" s="425">
        <v>347512880</v>
      </c>
      <c r="J2983" s="425">
        <v>0</v>
      </c>
      <c r="K2983" s="425">
        <v>0</v>
      </c>
      <c r="L2983" s="425">
        <v>0</v>
      </c>
      <c r="M2983" s="425">
        <v>0</v>
      </c>
      <c r="N2983" s="425">
        <v>0</v>
      </c>
      <c r="O2983" s="425">
        <v>0</v>
      </c>
    </row>
    <row r="2984" spans="1:15" hidden="1" x14ac:dyDescent="0.3">
      <c r="C2984" t="s">
        <v>2266</v>
      </c>
      <c r="D2984" t="s">
        <v>2267</v>
      </c>
      <c r="E2984" t="s">
        <v>8156</v>
      </c>
      <c r="F2984" t="s">
        <v>8157</v>
      </c>
      <c r="G2984" s="425">
        <v>217858580</v>
      </c>
      <c r="H2984" s="425">
        <v>20253766</v>
      </c>
      <c r="I2984" s="425">
        <v>20622262</v>
      </c>
      <c r="J2984" s="425">
        <v>-121660</v>
      </c>
      <c r="K2984" s="425">
        <v>27186207</v>
      </c>
      <c r="L2984" s="425">
        <v>21354870</v>
      </c>
      <c r="M2984" s="425">
        <v>2109086</v>
      </c>
      <c r="N2984" s="425">
        <v>126454049</v>
      </c>
      <c r="O2984" s="425">
        <v>0</v>
      </c>
    </row>
    <row r="2985" spans="1:15" hidden="1" x14ac:dyDescent="0.3">
      <c r="C2985" t="s">
        <v>2266</v>
      </c>
      <c r="D2985" t="s">
        <v>2267</v>
      </c>
      <c r="E2985" t="s">
        <v>8158</v>
      </c>
      <c r="F2985" t="s">
        <v>8159</v>
      </c>
      <c r="G2985" s="425">
        <v>348447426</v>
      </c>
      <c r="H2985" s="425">
        <v>288225620</v>
      </c>
      <c r="I2985" s="425">
        <v>58928046</v>
      </c>
      <c r="J2985" s="425">
        <v>0</v>
      </c>
      <c r="K2985" s="425">
        <v>0</v>
      </c>
      <c r="L2985" s="425">
        <v>0</v>
      </c>
      <c r="M2985" s="425">
        <v>0</v>
      </c>
      <c r="N2985" s="425">
        <v>1293760</v>
      </c>
      <c r="O2985" s="425">
        <v>0</v>
      </c>
    </row>
    <row r="2986" spans="1:15" hidden="1" x14ac:dyDescent="0.3">
      <c r="C2986" t="s">
        <v>2266</v>
      </c>
      <c r="D2986" t="s">
        <v>2267</v>
      </c>
      <c r="E2986" t="s">
        <v>8160</v>
      </c>
      <c r="F2986" t="s">
        <v>8161</v>
      </c>
      <c r="G2986" s="425">
        <v>2424750205</v>
      </c>
      <c r="H2986" s="425">
        <v>1104944315</v>
      </c>
      <c r="I2986" s="425">
        <v>223882790</v>
      </c>
      <c r="J2986" s="425">
        <v>134599</v>
      </c>
      <c r="K2986" s="425">
        <v>241328728</v>
      </c>
      <c r="L2986" s="425">
        <v>431509202</v>
      </c>
      <c r="M2986" s="425">
        <v>28146976</v>
      </c>
      <c r="N2986" s="425">
        <v>394803595</v>
      </c>
      <c r="O2986" s="425">
        <v>0</v>
      </c>
    </row>
    <row r="2987" spans="1:15" hidden="1" x14ac:dyDescent="0.3">
      <c r="C2987" t="s">
        <v>2266</v>
      </c>
      <c r="D2987" t="s">
        <v>2267</v>
      </c>
      <c r="E2987" t="s">
        <v>8162</v>
      </c>
      <c r="F2987" t="s">
        <v>8163</v>
      </c>
      <c r="G2987" s="425">
        <v>0</v>
      </c>
      <c r="H2987" s="425">
        <v>0</v>
      </c>
      <c r="I2987" s="425">
        <v>0</v>
      </c>
      <c r="J2987" s="425">
        <v>0</v>
      </c>
      <c r="K2987" s="425">
        <v>0</v>
      </c>
      <c r="L2987" s="425">
        <v>0</v>
      </c>
      <c r="M2987" s="425">
        <v>0</v>
      </c>
      <c r="N2987" s="425">
        <v>0</v>
      </c>
      <c r="O2987" s="425">
        <v>0</v>
      </c>
    </row>
    <row r="2988" spans="1:15" hidden="1" x14ac:dyDescent="0.3">
      <c r="C2988" t="s">
        <v>2266</v>
      </c>
      <c r="D2988" t="s">
        <v>2267</v>
      </c>
      <c r="E2988" t="s">
        <v>8164</v>
      </c>
      <c r="F2988" t="s">
        <v>8165</v>
      </c>
      <c r="G2988" s="425">
        <v>0</v>
      </c>
      <c r="H2988" s="425">
        <v>0</v>
      </c>
      <c r="I2988" s="425">
        <v>0</v>
      </c>
      <c r="J2988" s="425">
        <v>0</v>
      </c>
      <c r="K2988" s="425">
        <v>0</v>
      </c>
      <c r="L2988" s="425">
        <v>0</v>
      </c>
      <c r="M2988" s="425">
        <v>0</v>
      </c>
      <c r="N2988" s="425">
        <v>0</v>
      </c>
      <c r="O2988" s="425">
        <v>0</v>
      </c>
    </row>
    <row r="2989" spans="1:15" hidden="1" x14ac:dyDescent="0.3">
      <c r="C2989" t="s">
        <v>2266</v>
      </c>
      <c r="D2989" t="s">
        <v>2267</v>
      </c>
      <c r="E2989" t="s">
        <v>8166</v>
      </c>
      <c r="F2989" t="s">
        <v>8167</v>
      </c>
      <c r="G2989" s="425">
        <v>0</v>
      </c>
      <c r="H2989" s="425">
        <v>0</v>
      </c>
      <c r="I2989" s="425">
        <v>0</v>
      </c>
      <c r="J2989" s="425">
        <v>0</v>
      </c>
      <c r="K2989" s="425">
        <v>0</v>
      </c>
      <c r="L2989" s="425">
        <v>0</v>
      </c>
      <c r="M2989" s="425">
        <v>0</v>
      </c>
      <c r="N2989" s="425">
        <v>0</v>
      </c>
      <c r="O2989" s="425">
        <v>0</v>
      </c>
    </row>
    <row r="2990" spans="1:15" hidden="1" x14ac:dyDescent="0.3">
      <c r="C2990" t="s">
        <v>2266</v>
      </c>
      <c r="D2990" t="s">
        <v>2267</v>
      </c>
      <c r="E2990" t="s">
        <v>8168</v>
      </c>
      <c r="F2990" t="s">
        <v>8169</v>
      </c>
      <c r="G2990" s="425">
        <v>47410595</v>
      </c>
      <c r="H2990" s="425">
        <v>0</v>
      </c>
      <c r="I2990" s="425">
        <v>0</v>
      </c>
      <c r="J2990" s="425">
        <v>0</v>
      </c>
      <c r="K2990" s="425">
        <v>0</v>
      </c>
      <c r="L2990" s="425">
        <v>47410595</v>
      </c>
      <c r="M2990" s="425">
        <v>0</v>
      </c>
      <c r="N2990" s="425">
        <v>0</v>
      </c>
      <c r="O2990" s="425">
        <v>0</v>
      </c>
    </row>
    <row r="2991" spans="1:15" hidden="1" x14ac:dyDescent="0.3">
      <c r="C2991" t="s">
        <v>2266</v>
      </c>
      <c r="D2991" t="s">
        <v>2267</v>
      </c>
      <c r="E2991" t="s">
        <v>8170</v>
      </c>
      <c r="F2991" t="s">
        <v>8171</v>
      </c>
      <c r="G2991" s="425">
        <v>121509010</v>
      </c>
      <c r="H2991" s="425">
        <v>0</v>
      </c>
      <c r="I2991" s="425">
        <v>0</v>
      </c>
      <c r="J2991" s="425">
        <v>0</v>
      </c>
      <c r="K2991" s="425">
        <v>0</v>
      </c>
      <c r="L2991" s="425">
        <v>121509010</v>
      </c>
      <c r="M2991" s="425">
        <v>0</v>
      </c>
      <c r="N2991" s="425">
        <v>0</v>
      </c>
      <c r="O2991" s="425">
        <v>0</v>
      </c>
    </row>
    <row r="2992" spans="1:15" hidden="1" x14ac:dyDescent="0.3">
      <c r="C2992" t="s">
        <v>2266</v>
      </c>
      <c r="D2992" t="s">
        <v>2267</v>
      </c>
      <c r="E2992" t="s">
        <v>8172</v>
      </c>
      <c r="F2992" t="s">
        <v>8173</v>
      </c>
      <c r="G2992" s="425">
        <v>42500</v>
      </c>
      <c r="H2992" s="425">
        <v>0</v>
      </c>
      <c r="I2992" s="425">
        <v>0</v>
      </c>
      <c r="J2992" s="425">
        <v>0</v>
      </c>
      <c r="K2992" s="425">
        <v>0</v>
      </c>
      <c r="L2992" s="425">
        <v>42500</v>
      </c>
      <c r="M2992" s="425">
        <v>0</v>
      </c>
      <c r="N2992" s="425">
        <v>0</v>
      </c>
      <c r="O2992" s="425">
        <v>0</v>
      </c>
    </row>
    <row r="2993" spans="3:15" hidden="1" x14ac:dyDescent="0.3">
      <c r="C2993" t="s">
        <v>2266</v>
      </c>
      <c r="D2993" t="s">
        <v>2267</v>
      </c>
      <c r="E2993" t="s">
        <v>8174</v>
      </c>
      <c r="F2993" t="s">
        <v>8175</v>
      </c>
      <c r="G2993" s="425">
        <v>0</v>
      </c>
      <c r="H2993" s="425">
        <v>0</v>
      </c>
      <c r="I2993" s="425">
        <v>0</v>
      </c>
      <c r="J2993" s="425">
        <v>0</v>
      </c>
      <c r="K2993" s="425">
        <v>0</v>
      </c>
      <c r="L2993" s="425">
        <v>0</v>
      </c>
      <c r="M2993" s="425">
        <v>0</v>
      </c>
      <c r="N2993" s="425">
        <v>0</v>
      </c>
      <c r="O2993" s="425">
        <v>0</v>
      </c>
    </row>
    <row r="2994" spans="3:15" hidden="1" x14ac:dyDescent="0.3">
      <c r="C2994" t="s">
        <v>2266</v>
      </c>
      <c r="D2994" t="s">
        <v>2267</v>
      </c>
      <c r="E2994" t="s">
        <v>8176</v>
      </c>
      <c r="F2994" t="s">
        <v>8177</v>
      </c>
      <c r="G2994" s="425">
        <v>142167707</v>
      </c>
      <c r="H2994" s="425">
        <v>0</v>
      </c>
      <c r="I2994" s="425">
        <v>0</v>
      </c>
      <c r="J2994" s="425">
        <v>0</v>
      </c>
      <c r="K2994" s="425">
        <v>0</v>
      </c>
      <c r="L2994" s="425">
        <v>142167707</v>
      </c>
      <c r="M2994" s="425">
        <v>0</v>
      </c>
      <c r="N2994" s="425">
        <v>0</v>
      </c>
      <c r="O2994" s="425">
        <v>0</v>
      </c>
    </row>
    <row r="2995" spans="3:15" hidden="1" x14ac:dyDescent="0.3">
      <c r="C2995" t="s">
        <v>2266</v>
      </c>
      <c r="D2995" t="s">
        <v>2267</v>
      </c>
      <c r="E2995" t="s">
        <v>8178</v>
      </c>
      <c r="F2995" t="s">
        <v>8179</v>
      </c>
      <c r="G2995" s="425">
        <v>0</v>
      </c>
      <c r="H2995" s="425">
        <v>0</v>
      </c>
      <c r="I2995" s="425">
        <v>0</v>
      </c>
      <c r="J2995" s="425">
        <v>0</v>
      </c>
      <c r="K2995" s="425">
        <v>0</v>
      </c>
      <c r="L2995" s="425">
        <v>0</v>
      </c>
      <c r="M2995" s="425">
        <v>0</v>
      </c>
      <c r="N2995" s="425">
        <v>0</v>
      </c>
      <c r="O2995" s="425">
        <v>0</v>
      </c>
    </row>
    <row r="2996" spans="3:15" hidden="1" x14ac:dyDescent="0.3">
      <c r="C2996" t="s">
        <v>2266</v>
      </c>
      <c r="D2996" t="s">
        <v>2267</v>
      </c>
      <c r="E2996" t="s">
        <v>8180</v>
      </c>
      <c r="F2996" t="s">
        <v>8181</v>
      </c>
      <c r="G2996" s="425">
        <v>17490084</v>
      </c>
      <c r="H2996" s="425">
        <v>0</v>
      </c>
      <c r="I2996" s="425">
        <v>0</v>
      </c>
      <c r="J2996" s="425">
        <v>0</v>
      </c>
      <c r="K2996" s="425">
        <v>0</v>
      </c>
      <c r="L2996" s="425">
        <v>17490084</v>
      </c>
      <c r="M2996" s="425">
        <v>0</v>
      </c>
      <c r="N2996" s="425">
        <v>0</v>
      </c>
      <c r="O2996" s="425">
        <v>0</v>
      </c>
    </row>
    <row r="2997" spans="3:15" hidden="1" x14ac:dyDescent="0.3">
      <c r="C2997" t="s">
        <v>2266</v>
      </c>
      <c r="D2997" t="s">
        <v>2267</v>
      </c>
      <c r="E2997" t="s">
        <v>8182</v>
      </c>
      <c r="F2997" t="s">
        <v>8183</v>
      </c>
      <c r="G2997" s="425">
        <v>25549919</v>
      </c>
      <c r="H2997" s="425">
        <v>0</v>
      </c>
      <c r="I2997" s="425">
        <v>0</v>
      </c>
      <c r="J2997" s="425">
        <v>0</v>
      </c>
      <c r="K2997" s="425">
        <v>0</v>
      </c>
      <c r="L2997" s="425">
        <v>25549919</v>
      </c>
      <c r="M2997" s="425">
        <v>0</v>
      </c>
      <c r="N2997" s="425">
        <v>0</v>
      </c>
      <c r="O2997" s="425">
        <v>0</v>
      </c>
    </row>
    <row r="2998" spans="3:15" hidden="1" x14ac:dyDescent="0.3">
      <c r="C2998" t="s">
        <v>2266</v>
      </c>
      <c r="D2998" t="s">
        <v>2267</v>
      </c>
      <c r="E2998" t="s">
        <v>8184</v>
      </c>
      <c r="F2998" t="s">
        <v>8185</v>
      </c>
      <c r="G2998" s="425">
        <v>23331335720</v>
      </c>
      <c r="H2998" s="425">
        <v>0</v>
      </c>
      <c r="I2998" s="425">
        <v>0</v>
      </c>
      <c r="J2998" s="425">
        <v>0</v>
      </c>
      <c r="K2998" s="425">
        <v>0</v>
      </c>
      <c r="L2998" s="425">
        <v>23331335720</v>
      </c>
      <c r="M2998" s="425">
        <v>0</v>
      </c>
      <c r="N2998" s="425">
        <v>0</v>
      </c>
      <c r="O2998" s="425">
        <v>0</v>
      </c>
    </row>
    <row r="2999" spans="3:15" hidden="1" x14ac:dyDescent="0.3">
      <c r="C2999" t="s">
        <v>2266</v>
      </c>
      <c r="D2999" t="s">
        <v>2267</v>
      </c>
      <c r="E2999" t="s">
        <v>8186</v>
      </c>
      <c r="F2999" t="s">
        <v>8187</v>
      </c>
      <c r="G2999" s="425">
        <v>0</v>
      </c>
      <c r="H2999" s="425">
        <v>0</v>
      </c>
      <c r="I2999" s="425">
        <v>0</v>
      </c>
      <c r="J2999" s="425">
        <v>0</v>
      </c>
      <c r="K2999" s="425">
        <v>0</v>
      </c>
      <c r="L2999" s="425">
        <v>0</v>
      </c>
      <c r="M2999" s="425">
        <v>0</v>
      </c>
      <c r="N2999" s="425">
        <v>0</v>
      </c>
      <c r="O2999" s="425">
        <v>0</v>
      </c>
    </row>
    <row r="3000" spans="3:15" hidden="1" x14ac:dyDescent="0.3">
      <c r="C3000" t="s">
        <v>2266</v>
      </c>
      <c r="D3000" t="s">
        <v>2267</v>
      </c>
      <c r="E3000" t="s">
        <v>8188</v>
      </c>
      <c r="F3000" t="s">
        <v>8189</v>
      </c>
      <c r="G3000" s="425">
        <v>0</v>
      </c>
      <c r="H3000" s="425">
        <v>0</v>
      </c>
      <c r="I3000" s="425">
        <v>0</v>
      </c>
      <c r="J3000" s="425">
        <v>0</v>
      </c>
      <c r="K3000" s="425">
        <v>0</v>
      </c>
      <c r="L3000" s="425">
        <v>0</v>
      </c>
      <c r="M3000" s="425">
        <v>0</v>
      </c>
      <c r="N3000" s="425">
        <v>0</v>
      </c>
      <c r="O3000" s="425">
        <v>0</v>
      </c>
    </row>
    <row r="3001" spans="3:15" hidden="1" x14ac:dyDescent="0.3">
      <c r="C3001" t="s">
        <v>2266</v>
      </c>
      <c r="D3001" t="s">
        <v>2267</v>
      </c>
      <c r="E3001" t="s">
        <v>8190</v>
      </c>
      <c r="F3001" t="s">
        <v>8191</v>
      </c>
      <c r="G3001" s="425">
        <v>406803</v>
      </c>
      <c r="H3001" s="425">
        <v>0</v>
      </c>
      <c r="I3001" s="425">
        <v>0</v>
      </c>
      <c r="J3001" s="425">
        <v>0</v>
      </c>
      <c r="K3001" s="425">
        <v>0</v>
      </c>
      <c r="L3001" s="425">
        <v>406803</v>
      </c>
      <c r="M3001" s="425">
        <v>0</v>
      </c>
      <c r="N3001" s="425">
        <v>0</v>
      </c>
      <c r="O3001" s="425">
        <v>0</v>
      </c>
    </row>
    <row r="3002" spans="3:15" hidden="1" x14ac:dyDescent="0.3">
      <c r="C3002" t="s">
        <v>2266</v>
      </c>
      <c r="D3002" t="s">
        <v>2267</v>
      </c>
      <c r="E3002" t="s">
        <v>8192</v>
      </c>
      <c r="F3002" t="s">
        <v>8193</v>
      </c>
      <c r="G3002" s="425">
        <v>59315890</v>
      </c>
      <c r="H3002" s="425">
        <v>0</v>
      </c>
      <c r="I3002" s="425">
        <v>0</v>
      </c>
      <c r="J3002" s="425">
        <v>0</v>
      </c>
      <c r="K3002" s="425">
        <v>0</v>
      </c>
      <c r="L3002" s="425">
        <v>59315890</v>
      </c>
      <c r="M3002" s="425">
        <v>0</v>
      </c>
      <c r="N3002" s="425">
        <v>0</v>
      </c>
      <c r="O3002" s="425">
        <v>0</v>
      </c>
    </row>
    <row r="3003" spans="3:15" hidden="1" x14ac:dyDescent="0.3">
      <c r="C3003" t="s">
        <v>2266</v>
      </c>
      <c r="D3003" t="s">
        <v>2267</v>
      </c>
      <c r="E3003" t="s">
        <v>8194</v>
      </c>
      <c r="F3003" t="s">
        <v>8195</v>
      </c>
      <c r="G3003" s="425">
        <v>0</v>
      </c>
      <c r="H3003" s="425">
        <v>0</v>
      </c>
      <c r="I3003" s="425">
        <v>0</v>
      </c>
      <c r="J3003" s="425">
        <v>0</v>
      </c>
      <c r="K3003" s="425">
        <v>0</v>
      </c>
      <c r="L3003" s="425">
        <v>0</v>
      </c>
      <c r="M3003" s="425">
        <v>0</v>
      </c>
      <c r="N3003" s="425">
        <v>0</v>
      </c>
      <c r="O3003" s="425">
        <v>0</v>
      </c>
    </row>
    <row r="3004" spans="3:15" hidden="1" x14ac:dyDescent="0.3">
      <c r="C3004" t="s">
        <v>2266</v>
      </c>
      <c r="D3004" t="s">
        <v>2267</v>
      </c>
      <c r="E3004" t="s">
        <v>8196</v>
      </c>
      <c r="F3004" t="s">
        <v>8197</v>
      </c>
      <c r="G3004" s="425">
        <v>2961321899</v>
      </c>
      <c r="H3004" s="425">
        <v>0</v>
      </c>
      <c r="I3004" s="425">
        <v>0</v>
      </c>
      <c r="J3004" s="425">
        <v>0</v>
      </c>
      <c r="K3004" s="425">
        <v>0</v>
      </c>
      <c r="L3004" s="425">
        <v>23961637668</v>
      </c>
      <c r="M3004" s="425">
        <v>0</v>
      </c>
      <c r="N3004" s="425">
        <v>-21000315769</v>
      </c>
      <c r="O3004" s="425">
        <v>0</v>
      </c>
    </row>
    <row r="3005" spans="3:15" hidden="1" x14ac:dyDescent="0.3">
      <c r="C3005" t="s">
        <v>2266</v>
      </c>
      <c r="D3005" t="s">
        <v>2267</v>
      </c>
      <c r="E3005" t="s">
        <v>8198</v>
      </c>
      <c r="F3005" t="s">
        <v>8199</v>
      </c>
      <c r="G3005" s="425">
        <v>836141697</v>
      </c>
      <c r="H3005" s="425">
        <v>0</v>
      </c>
      <c r="I3005" s="425">
        <v>0</v>
      </c>
      <c r="J3005" s="425">
        <v>0</v>
      </c>
      <c r="K3005" s="425">
        <v>0</v>
      </c>
      <c r="L3005" s="425">
        <v>0</v>
      </c>
      <c r="M3005" s="425">
        <v>836131677</v>
      </c>
      <c r="N3005" s="425">
        <v>10020</v>
      </c>
      <c r="O3005" s="425">
        <v>0</v>
      </c>
    </row>
    <row r="3006" spans="3:15" hidden="1" x14ac:dyDescent="0.3">
      <c r="C3006" t="s">
        <v>2266</v>
      </c>
      <c r="D3006" t="s">
        <v>2267</v>
      </c>
      <c r="E3006" t="s">
        <v>8200</v>
      </c>
      <c r="F3006" t="s">
        <v>8201</v>
      </c>
      <c r="G3006" s="425">
        <v>8333196000</v>
      </c>
      <c r="H3006" s="425">
        <v>0</v>
      </c>
      <c r="I3006" s="425">
        <v>0</v>
      </c>
      <c r="J3006" s="425">
        <v>0</v>
      </c>
      <c r="K3006" s="425">
        <v>0</v>
      </c>
      <c r="L3006" s="425">
        <v>8333196000</v>
      </c>
      <c r="M3006" s="425">
        <v>0</v>
      </c>
      <c r="N3006" s="425">
        <v>0</v>
      </c>
      <c r="O3006" s="425">
        <v>0</v>
      </c>
    </row>
    <row r="3007" spans="3:15" hidden="1" x14ac:dyDescent="0.3">
      <c r="C3007" t="s">
        <v>2266</v>
      </c>
      <c r="D3007" t="s">
        <v>2267</v>
      </c>
      <c r="E3007" t="s">
        <v>8202</v>
      </c>
      <c r="F3007" t="s">
        <v>8203</v>
      </c>
      <c r="G3007" s="425">
        <v>0</v>
      </c>
      <c r="H3007" s="425">
        <v>0</v>
      </c>
      <c r="I3007" s="425">
        <v>0</v>
      </c>
      <c r="J3007" s="425">
        <v>0</v>
      </c>
      <c r="K3007" s="425">
        <v>0</v>
      </c>
      <c r="L3007" s="425">
        <v>0</v>
      </c>
      <c r="M3007" s="425">
        <v>0</v>
      </c>
      <c r="N3007" s="425">
        <v>0</v>
      </c>
      <c r="O3007" s="425">
        <v>0</v>
      </c>
    </row>
    <row r="3008" spans="3:15" hidden="1" x14ac:dyDescent="0.3">
      <c r="C3008" t="s">
        <v>2266</v>
      </c>
      <c r="D3008" t="s">
        <v>2267</v>
      </c>
      <c r="E3008" t="s">
        <v>8204</v>
      </c>
      <c r="F3008" t="s">
        <v>8205</v>
      </c>
      <c r="G3008" s="425">
        <v>0</v>
      </c>
      <c r="H3008" s="425">
        <v>0</v>
      </c>
      <c r="I3008" s="425">
        <v>0</v>
      </c>
      <c r="J3008" s="425">
        <v>0</v>
      </c>
      <c r="K3008" s="425">
        <v>0</v>
      </c>
      <c r="L3008" s="425">
        <v>0</v>
      </c>
      <c r="M3008" s="425">
        <v>0</v>
      </c>
      <c r="N3008" s="425">
        <v>0</v>
      </c>
      <c r="O3008" s="425">
        <v>0</v>
      </c>
    </row>
    <row r="3009" spans="1:15" hidden="1" x14ac:dyDescent="0.3">
      <c r="C3009" t="s">
        <v>2266</v>
      </c>
      <c r="D3009" t="s">
        <v>2267</v>
      </c>
      <c r="E3009" t="s">
        <v>8206</v>
      </c>
      <c r="F3009" t="s">
        <v>8207</v>
      </c>
      <c r="G3009" s="425">
        <v>0</v>
      </c>
      <c r="H3009" s="425">
        <v>0</v>
      </c>
      <c r="I3009" s="425">
        <v>0</v>
      </c>
      <c r="J3009" s="425">
        <v>0</v>
      </c>
      <c r="K3009" s="425">
        <v>0</v>
      </c>
      <c r="L3009" s="425">
        <v>0</v>
      </c>
      <c r="M3009" s="425">
        <v>0</v>
      </c>
      <c r="N3009" s="425">
        <v>0</v>
      </c>
      <c r="O3009" s="425">
        <v>0</v>
      </c>
    </row>
    <row r="3010" spans="1:15" hidden="1" x14ac:dyDescent="0.3">
      <c r="A3010" s="233"/>
      <c r="B3010" s="235" t="s">
        <v>148</v>
      </c>
      <c r="C3010" t="s">
        <v>2263</v>
      </c>
      <c r="D3010" t="s">
        <v>2237</v>
      </c>
      <c r="E3010" t="s">
        <v>8208</v>
      </c>
      <c r="F3010" t="s">
        <v>8209</v>
      </c>
      <c r="G3010" s="425">
        <v>14001434346</v>
      </c>
      <c r="H3010" s="425">
        <v>11868340190</v>
      </c>
      <c r="I3010" s="425">
        <v>2133094156</v>
      </c>
      <c r="J3010" s="425">
        <v>0</v>
      </c>
      <c r="K3010" s="425">
        <v>0</v>
      </c>
      <c r="L3010" s="425">
        <v>0</v>
      </c>
      <c r="M3010" s="425">
        <v>0</v>
      </c>
      <c r="N3010" s="425">
        <v>0</v>
      </c>
      <c r="O3010" s="425">
        <v>0</v>
      </c>
    </row>
    <row r="3011" spans="1:15" hidden="1" x14ac:dyDescent="0.3">
      <c r="C3011" t="s">
        <v>2266</v>
      </c>
      <c r="D3011" t="s">
        <v>2267</v>
      </c>
      <c r="E3011" t="s">
        <v>8210</v>
      </c>
      <c r="F3011" t="s">
        <v>8211</v>
      </c>
      <c r="G3011" s="425">
        <v>14001434346</v>
      </c>
      <c r="H3011" s="425">
        <v>11868340190</v>
      </c>
      <c r="I3011" s="425">
        <v>2133094156</v>
      </c>
      <c r="J3011" s="425">
        <v>0</v>
      </c>
      <c r="K3011" s="425">
        <v>0</v>
      </c>
      <c r="L3011" s="425">
        <v>0</v>
      </c>
      <c r="M3011" s="425">
        <v>0</v>
      </c>
      <c r="N3011" s="425">
        <v>0</v>
      </c>
      <c r="O3011" s="425">
        <v>0</v>
      </c>
    </row>
    <row r="3012" spans="1:15" hidden="1" x14ac:dyDescent="0.3">
      <c r="A3012" s="233"/>
      <c r="B3012" s="235" t="s">
        <v>150</v>
      </c>
      <c r="C3012" t="s">
        <v>2263</v>
      </c>
      <c r="D3012" t="s">
        <v>2237</v>
      </c>
      <c r="E3012" t="s">
        <v>8212</v>
      </c>
      <c r="F3012" t="s">
        <v>8213</v>
      </c>
      <c r="G3012" s="425">
        <v>88969847105</v>
      </c>
      <c r="H3012" s="425">
        <v>29865139688</v>
      </c>
      <c r="I3012" s="425">
        <v>10277803535</v>
      </c>
      <c r="J3012" s="425">
        <v>0</v>
      </c>
      <c r="K3012" s="425">
        <v>4623311497</v>
      </c>
      <c r="L3012" s="425">
        <v>27094823459</v>
      </c>
      <c r="M3012" s="425">
        <v>1290203202</v>
      </c>
      <c r="N3012" s="425">
        <v>15818565724</v>
      </c>
      <c r="O3012" s="425">
        <v>0</v>
      </c>
    </row>
    <row r="3013" spans="1:15" hidden="1" x14ac:dyDescent="0.3">
      <c r="C3013" t="s">
        <v>2266</v>
      </c>
      <c r="D3013" t="s">
        <v>2237</v>
      </c>
      <c r="E3013" t="s">
        <v>8214</v>
      </c>
      <c r="F3013" t="s">
        <v>8215</v>
      </c>
      <c r="G3013" s="425">
        <v>21317384308</v>
      </c>
      <c r="H3013" s="425">
        <v>5159246</v>
      </c>
      <c r="I3013" s="425">
        <v>339555185</v>
      </c>
      <c r="J3013" s="425">
        <v>0</v>
      </c>
      <c r="K3013" s="425">
        <v>33060518</v>
      </c>
      <c r="L3013" s="425">
        <v>16269919639</v>
      </c>
      <c r="M3013" s="425">
        <v>457789608</v>
      </c>
      <c r="N3013" s="425">
        <v>4211900112</v>
      </c>
      <c r="O3013" s="425">
        <v>0</v>
      </c>
    </row>
    <row r="3014" spans="1:15" hidden="1" x14ac:dyDescent="0.3">
      <c r="C3014" t="s">
        <v>2292</v>
      </c>
      <c r="D3014" t="s">
        <v>2267</v>
      </c>
      <c r="E3014" t="s">
        <v>8216</v>
      </c>
      <c r="F3014" t="s">
        <v>8217</v>
      </c>
      <c r="G3014" s="425">
        <v>2260287739</v>
      </c>
      <c r="H3014" s="425">
        <v>0</v>
      </c>
      <c r="I3014" s="425">
        <v>0</v>
      </c>
      <c r="J3014" s="425">
        <v>0</v>
      </c>
      <c r="K3014" s="425">
        <v>0</v>
      </c>
      <c r="L3014" s="425">
        <v>0</v>
      </c>
      <c r="M3014" s="425">
        <v>0</v>
      </c>
      <c r="N3014" s="425">
        <v>2260287739</v>
      </c>
      <c r="O3014" s="425">
        <v>0</v>
      </c>
    </row>
    <row r="3015" spans="1:15" hidden="1" x14ac:dyDescent="0.3">
      <c r="C3015" t="s">
        <v>2292</v>
      </c>
      <c r="D3015" t="s">
        <v>2267</v>
      </c>
      <c r="E3015" t="s">
        <v>8218</v>
      </c>
      <c r="F3015" t="s">
        <v>8219</v>
      </c>
      <c r="G3015" s="425">
        <v>0</v>
      </c>
      <c r="H3015" s="425">
        <v>0</v>
      </c>
      <c r="I3015" s="425">
        <v>0</v>
      </c>
      <c r="J3015" s="425">
        <v>0</v>
      </c>
      <c r="K3015" s="425">
        <v>0</v>
      </c>
      <c r="L3015" s="425">
        <v>0</v>
      </c>
      <c r="M3015" s="425">
        <v>0</v>
      </c>
      <c r="N3015" s="425">
        <v>0</v>
      </c>
      <c r="O3015" s="425">
        <v>0</v>
      </c>
    </row>
    <row r="3016" spans="1:15" hidden="1" x14ac:dyDescent="0.3">
      <c r="C3016" t="s">
        <v>2292</v>
      </c>
      <c r="D3016" t="s">
        <v>2267</v>
      </c>
      <c r="E3016" t="s">
        <v>8220</v>
      </c>
      <c r="F3016" t="s">
        <v>8221</v>
      </c>
      <c r="G3016" s="425">
        <v>877752788</v>
      </c>
      <c r="H3016" s="425">
        <v>0</v>
      </c>
      <c r="I3016" s="425">
        <v>0</v>
      </c>
      <c r="J3016" s="425">
        <v>0</v>
      </c>
      <c r="K3016" s="425">
        <v>0</v>
      </c>
      <c r="L3016" s="425">
        <v>66644440</v>
      </c>
      <c r="M3016" s="425">
        <v>0</v>
      </c>
      <c r="N3016" s="425">
        <v>811108348</v>
      </c>
      <c r="O3016" s="425">
        <v>0</v>
      </c>
    </row>
    <row r="3017" spans="1:15" hidden="1" x14ac:dyDescent="0.3">
      <c r="C3017" t="s">
        <v>2292</v>
      </c>
      <c r="D3017" t="s">
        <v>2267</v>
      </c>
      <c r="E3017" t="s">
        <v>8222</v>
      </c>
      <c r="F3017" t="s">
        <v>8223</v>
      </c>
      <c r="G3017" s="425">
        <v>460639855</v>
      </c>
      <c r="H3017" s="425">
        <v>0</v>
      </c>
      <c r="I3017" s="425">
        <v>0</v>
      </c>
      <c r="J3017" s="425">
        <v>0</v>
      </c>
      <c r="K3017" s="425">
        <v>0</v>
      </c>
      <c r="L3017" s="425">
        <v>40278587</v>
      </c>
      <c r="M3017" s="425">
        <v>0</v>
      </c>
      <c r="N3017" s="425">
        <v>420361268</v>
      </c>
      <c r="O3017" s="425">
        <v>0</v>
      </c>
    </row>
    <row r="3018" spans="1:15" hidden="1" x14ac:dyDescent="0.3">
      <c r="C3018" t="s">
        <v>2292</v>
      </c>
      <c r="D3018" t="s">
        <v>2267</v>
      </c>
      <c r="E3018" t="s">
        <v>8224</v>
      </c>
      <c r="F3018" t="s">
        <v>8225</v>
      </c>
      <c r="G3018" s="425">
        <v>185107135</v>
      </c>
      <c r="H3018" s="425">
        <v>0</v>
      </c>
      <c r="I3018" s="425">
        <v>0</v>
      </c>
      <c r="J3018" s="425">
        <v>0</v>
      </c>
      <c r="K3018" s="425">
        <v>0</v>
      </c>
      <c r="L3018" s="425">
        <v>3416063</v>
      </c>
      <c r="M3018" s="425">
        <v>0</v>
      </c>
      <c r="N3018" s="425">
        <v>181691072</v>
      </c>
      <c r="O3018" s="425">
        <v>0</v>
      </c>
    </row>
    <row r="3019" spans="1:15" hidden="1" x14ac:dyDescent="0.3">
      <c r="C3019" t="s">
        <v>2292</v>
      </c>
      <c r="D3019" t="s">
        <v>2267</v>
      </c>
      <c r="E3019" t="s">
        <v>8226</v>
      </c>
      <c r="F3019" t="s">
        <v>8227</v>
      </c>
      <c r="G3019" s="425">
        <v>0</v>
      </c>
      <c r="H3019" s="425">
        <v>0</v>
      </c>
      <c r="I3019" s="425">
        <v>0</v>
      </c>
      <c r="J3019" s="425">
        <v>0</v>
      </c>
      <c r="K3019" s="425">
        <v>0</v>
      </c>
      <c r="L3019" s="425">
        <v>0</v>
      </c>
      <c r="M3019" s="425">
        <v>0</v>
      </c>
      <c r="N3019" s="425">
        <v>0</v>
      </c>
      <c r="O3019" s="425">
        <v>0</v>
      </c>
    </row>
    <row r="3020" spans="1:15" hidden="1" x14ac:dyDescent="0.3">
      <c r="C3020" t="s">
        <v>2292</v>
      </c>
      <c r="D3020" t="s">
        <v>2267</v>
      </c>
      <c r="E3020" t="s">
        <v>8228</v>
      </c>
      <c r="F3020" t="s">
        <v>8229</v>
      </c>
      <c r="G3020" s="425">
        <v>0</v>
      </c>
      <c r="H3020" s="425">
        <v>0</v>
      </c>
      <c r="I3020" s="425">
        <v>0</v>
      </c>
      <c r="J3020" s="425">
        <v>0</v>
      </c>
      <c r="K3020" s="425">
        <v>0</v>
      </c>
      <c r="L3020" s="425">
        <v>0</v>
      </c>
      <c r="M3020" s="425">
        <v>0</v>
      </c>
      <c r="N3020" s="425">
        <v>0</v>
      </c>
      <c r="O3020" s="425">
        <v>0</v>
      </c>
    </row>
    <row r="3021" spans="1:15" hidden="1" x14ac:dyDescent="0.3">
      <c r="C3021" t="s">
        <v>2292</v>
      </c>
      <c r="D3021" t="s">
        <v>2267</v>
      </c>
      <c r="E3021" t="s">
        <v>8230</v>
      </c>
      <c r="F3021" t="s">
        <v>8231</v>
      </c>
      <c r="G3021" s="425">
        <v>2900353341</v>
      </c>
      <c r="H3021" s="425">
        <v>0</v>
      </c>
      <c r="I3021" s="425">
        <v>0</v>
      </c>
      <c r="J3021" s="425">
        <v>0</v>
      </c>
      <c r="K3021" s="425">
        <v>0</v>
      </c>
      <c r="L3021" s="425">
        <v>2900353341</v>
      </c>
      <c r="M3021" s="425">
        <v>0</v>
      </c>
      <c r="N3021" s="425">
        <v>0</v>
      </c>
      <c r="O3021" s="425">
        <v>0</v>
      </c>
    </row>
    <row r="3022" spans="1:15" hidden="1" x14ac:dyDescent="0.3">
      <c r="C3022" t="s">
        <v>2292</v>
      </c>
      <c r="D3022" t="s">
        <v>2267</v>
      </c>
      <c r="E3022" t="s">
        <v>8232</v>
      </c>
      <c r="F3022" t="s">
        <v>8233</v>
      </c>
      <c r="G3022" s="425">
        <v>6405249450</v>
      </c>
      <c r="H3022" s="425">
        <v>0</v>
      </c>
      <c r="I3022" s="425">
        <v>0</v>
      </c>
      <c r="J3022" s="425">
        <v>0</v>
      </c>
      <c r="K3022" s="425">
        <v>0</v>
      </c>
      <c r="L3022" s="425">
        <v>6405249450</v>
      </c>
      <c r="M3022" s="425">
        <v>0</v>
      </c>
      <c r="N3022" s="425">
        <v>0</v>
      </c>
      <c r="O3022" s="425">
        <v>0</v>
      </c>
    </row>
    <row r="3023" spans="1:15" hidden="1" x14ac:dyDescent="0.3">
      <c r="C3023" t="s">
        <v>2292</v>
      </c>
      <c r="D3023" t="s">
        <v>2267</v>
      </c>
      <c r="E3023" t="s">
        <v>8234</v>
      </c>
      <c r="F3023" t="s">
        <v>8235</v>
      </c>
      <c r="G3023" s="425">
        <v>4805388470</v>
      </c>
      <c r="H3023" s="425">
        <v>0</v>
      </c>
      <c r="I3023" s="425">
        <v>0</v>
      </c>
      <c r="J3023" s="425">
        <v>0</v>
      </c>
      <c r="K3023" s="425">
        <v>0</v>
      </c>
      <c r="L3023" s="425">
        <v>4805388470</v>
      </c>
      <c r="M3023" s="425">
        <v>0</v>
      </c>
      <c r="N3023" s="425">
        <v>0</v>
      </c>
      <c r="O3023" s="425">
        <v>0</v>
      </c>
    </row>
    <row r="3024" spans="1:15" hidden="1" x14ac:dyDescent="0.3">
      <c r="C3024" t="s">
        <v>2292</v>
      </c>
      <c r="D3024" t="s">
        <v>2267</v>
      </c>
      <c r="E3024" t="s">
        <v>8236</v>
      </c>
      <c r="F3024" t="s">
        <v>8237</v>
      </c>
      <c r="G3024" s="425">
        <v>0</v>
      </c>
      <c r="H3024" s="425">
        <v>0</v>
      </c>
      <c r="I3024" s="425">
        <v>0</v>
      </c>
      <c r="J3024" s="425">
        <v>0</v>
      </c>
      <c r="K3024" s="425">
        <v>0</v>
      </c>
      <c r="L3024" s="425">
        <v>0</v>
      </c>
      <c r="M3024" s="425">
        <v>0</v>
      </c>
      <c r="N3024" s="425">
        <v>0</v>
      </c>
      <c r="O3024" s="425">
        <v>0</v>
      </c>
    </row>
    <row r="3025" spans="1:15" hidden="1" x14ac:dyDescent="0.3">
      <c r="C3025" t="s">
        <v>2292</v>
      </c>
      <c r="D3025" t="s">
        <v>2267</v>
      </c>
      <c r="E3025" t="s">
        <v>8238</v>
      </c>
      <c r="F3025" t="s">
        <v>8239</v>
      </c>
      <c r="G3025" s="425">
        <v>3422605530</v>
      </c>
      <c r="H3025" s="425">
        <v>5159246</v>
      </c>
      <c r="I3025" s="425">
        <v>339555185</v>
      </c>
      <c r="J3025" s="425">
        <v>0</v>
      </c>
      <c r="K3025" s="425">
        <v>33060518</v>
      </c>
      <c r="L3025" s="425">
        <v>2048589288</v>
      </c>
      <c r="M3025" s="425">
        <v>457789608</v>
      </c>
      <c r="N3025" s="425">
        <v>538451685</v>
      </c>
      <c r="O3025" s="425">
        <v>0</v>
      </c>
    </row>
    <row r="3026" spans="1:15" hidden="1" x14ac:dyDescent="0.3">
      <c r="C3026" t="s">
        <v>2266</v>
      </c>
      <c r="D3026" t="s">
        <v>2237</v>
      </c>
      <c r="E3026" t="s">
        <v>8240</v>
      </c>
      <c r="F3026" t="s">
        <v>8241</v>
      </c>
      <c r="G3026" s="425">
        <v>67652462797</v>
      </c>
      <c r="H3026" s="425">
        <v>29859980442</v>
      </c>
      <c r="I3026" s="425">
        <v>9938248350</v>
      </c>
      <c r="J3026" s="425">
        <v>0</v>
      </c>
      <c r="K3026" s="425">
        <v>4590250979</v>
      </c>
      <c r="L3026" s="425">
        <v>10824903820</v>
      </c>
      <c r="M3026" s="425">
        <v>832413594</v>
      </c>
      <c r="N3026" s="425">
        <v>11606665612</v>
      </c>
      <c r="O3026" s="425">
        <v>0</v>
      </c>
    </row>
    <row r="3027" spans="1:15" hidden="1" x14ac:dyDescent="0.3">
      <c r="C3027" t="s">
        <v>2292</v>
      </c>
      <c r="D3027" t="s">
        <v>2267</v>
      </c>
      <c r="E3027" t="s">
        <v>8242</v>
      </c>
      <c r="F3027" t="s">
        <v>8243</v>
      </c>
      <c r="G3027" s="425">
        <v>3716582286</v>
      </c>
      <c r="H3027" s="425">
        <v>575135471</v>
      </c>
      <c r="I3027" s="425">
        <v>3104794586</v>
      </c>
      <c r="J3027" s="425">
        <v>0</v>
      </c>
      <c r="K3027" s="425">
        <v>57045915</v>
      </c>
      <c r="L3027" s="425">
        <v>768408000</v>
      </c>
      <c r="M3027" s="425">
        <v>2680637</v>
      </c>
      <c r="N3027" s="425">
        <v>-791482323</v>
      </c>
      <c r="O3027" s="425">
        <v>0</v>
      </c>
    </row>
    <row r="3028" spans="1:15" hidden="1" x14ac:dyDescent="0.3">
      <c r="C3028" t="s">
        <v>2292</v>
      </c>
      <c r="D3028" t="s">
        <v>2267</v>
      </c>
      <c r="E3028" t="s">
        <v>8244</v>
      </c>
      <c r="F3028" t="s">
        <v>8245</v>
      </c>
      <c r="G3028" s="425">
        <v>41652712047</v>
      </c>
      <c r="H3028" s="425">
        <v>20052379000</v>
      </c>
      <c r="I3028" s="425">
        <v>1997188000</v>
      </c>
      <c r="J3028" s="425">
        <v>0</v>
      </c>
      <c r="K3028" s="425">
        <v>3005208000</v>
      </c>
      <c r="L3028" s="425">
        <v>6472753349</v>
      </c>
      <c r="M3028" s="425">
        <v>562004000</v>
      </c>
      <c r="N3028" s="425">
        <v>9563179698</v>
      </c>
      <c r="O3028" s="425">
        <v>0</v>
      </c>
    </row>
    <row r="3029" spans="1:15" hidden="1" x14ac:dyDescent="0.3">
      <c r="C3029" t="s">
        <v>2292</v>
      </c>
      <c r="D3029" t="s">
        <v>2267</v>
      </c>
      <c r="E3029" t="s">
        <v>8246</v>
      </c>
      <c r="F3029" t="s">
        <v>8247</v>
      </c>
      <c r="G3029" s="425">
        <v>22283168464</v>
      </c>
      <c r="H3029" s="425">
        <v>9232465971</v>
      </c>
      <c r="I3029" s="425">
        <v>4836265764</v>
      </c>
      <c r="J3029" s="425">
        <v>0</v>
      </c>
      <c r="K3029" s="425">
        <v>1527997064</v>
      </c>
      <c r="L3029" s="425">
        <v>3583742471</v>
      </c>
      <c r="M3029" s="425">
        <v>267728957</v>
      </c>
      <c r="N3029" s="425">
        <v>2834968237</v>
      </c>
      <c r="O3029" s="425">
        <v>0</v>
      </c>
    </row>
    <row r="3030" spans="1:15" hidden="1" x14ac:dyDescent="0.3">
      <c r="A3030" s="233"/>
      <c r="B3030" s="235" t="s">
        <v>151</v>
      </c>
      <c r="C3030" t="s">
        <v>2263</v>
      </c>
      <c r="D3030" t="s">
        <v>2237</v>
      </c>
      <c r="E3030" t="s">
        <v>8248</v>
      </c>
      <c r="F3030" t="s">
        <v>8249</v>
      </c>
      <c r="G3030" s="425">
        <v>0</v>
      </c>
      <c r="H3030" s="425">
        <v>0</v>
      </c>
      <c r="I3030" s="425">
        <v>0</v>
      </c>
      <c r="J3030" s="425">
        <v>0</v>
      </c>
      <c r="K3030" s="425">
        <v>0</v>
      </c>
      <c r="L3030" s="425">
        <v>0</v>
      </c>
      <c r="M3030" s="425">
        <v>0</v>
      </c>
      <c r="N3030" s="425">
        <v>0</v>
      </c>
      <c r="O3030" s="425">
        <v>0</v>
      </c>
    </row>
    <row r="3031" spans="1:15" hidden="1" x14ac:dyDescent="0.3">
      <c r="A3031" s="233"/>
      <c r="B3031" s="235"/>
      <c r="C3031" t="s">
        <v>2266</v>
      </c>
      <c r="D3031" t="s">
        <v>2267</v>
      </c>
      <c r="E3031" t="s">
        <v>8250</v>
      </c>
      <c r="F3031" t="s">
        <v>8251</v>
      </c>
      <c r="G3031" s="425">
        <v>0</v>
      </c>
      <c r="H3031" s="425">
        <v>0</v>
      </c>
      <c r="I3031" s="425">
        <v>0</v>
      </c>
      <c r="J3031" s="425">
        <v>0</v>
      </c>
      <c r="K3031" s="425">
        <v>0</v>
      </c>
      <c r="L3031" s="425">
        <v>0</v>
      </c>
      <c r="M3031" s="425">
        <v>0</v>
      </c>
      <c r="N3031" s="425">
        <v>0</v>
      </c>
      <c r="O3031" s="425">
        <v>0</v>
      </c>
    </row>
    <row r="3032" spans="1:15" hidden="1" x14ac:dyDescent="0.3">
      <c r="A3032" s="233"/>
      <c r="B3032" s="235" t="s">
        <v>152</v>
      </c>
      <c r="C3032" t="s">
        <v>2263</v>
      </c>
      <c r="D3032" t="s">
        <v>2237</v>
      </c>
      <c r="E3032" t="s">
        <v>8252</v>
      </c>
      <c r="F3032" t="s">
        <v>8253</v>
      </c>
      <c r="G3032" s="425">
        <v>120584100630</v>
      </c>
      <c r="H3032" s="425">
        <v>109824341233</v>
      </c>
      <c r="I3032" s="425">
        <v>2838158262</v>
      </c>
      <c r="J3032" s="425">
        <v>0</v>
      </c>
      <c r="K3032" s="425">
        <v>0</v>
      </c>
      <c r="L3032" s="425">
        <v>518479407</v>
      </c>
      <c r="M3032" s="425">
        <v>7210898240</v>
      </c>
      <c r="N3032" s="425">
        <v>192223488</v>
      </c>
      <c r="O3032" s="425">
        <v>0</v>
      </c>
    </row>
    <row r="3033" spans="1:15" hidden="1" x14ac:dyDescent="0.3">
      <c r="C3033" t="s">
        <v>2266</v>
      </c>
      <c r="D3033" t="s">
        <v>2267</v>
      </c>
      <c r="E3033" t="s">
        <v>8254</v>
      </c>
      <c r="F3033" t="s">
        <v>8255</v>
      </c>
      <c r="G3033" s="425">
        <v>-815553491</v>
      </c>
      <c r="H3033" s="425">
        <v>-655984630</v>
      </c>
      <c r="I3033" s="425">
        <v>-6331489</v>
      </c>
      <c r="J3033" s="425">
        <v>0</v>
      </c>
      <c r="K3033" s="425">
        <v>0</v>
      </c>
      <c r="L3033" s="425">
        <v>-4032593</v>
      </c>
      <c r="M3033" s="425">
        <v>-148088267</v>
      </c>
      <c r="N3033" s="425">
        <v>-1116512</v>
      </c>
      <c r="O3033" s="425">
        <v>0</v>
      </c>
    </row>
    <row r="3034" spans="1:15" hidden="1" x14ac:dyDescent="0.3">
      <c r="C3034" t="s">
        <v>2266</v>
      </c>
      <c r="D3034" t="s">
        <v>2267</v>
      </c>
      <c r="E3034" t="s">
        <v>8256</v>
      </c>
      <c r="F3034" t="s">
        <v>8257</v>
      </c>
      <c r="G3034" s="425">
        <v>1675000000</v>
      </c>
      <c r="H3034" s="425">
        <v>1050000000</v>
      </c>
      <c r="I3034" s="425">
        <v>625000000</v>
      </c>
      <c r="J3034" s="425">
        <v>0</v>
      </c>
      <c r="K3034" s="425">
        <v>0</v>
      </c>
      <c r="L3034" s="425">
        <v>0</v>
      </c>
      <c r="M3034" s="425">
        <v>0</v>
      </c>
      <c r="N3034" s="425">
        <v>0</v>
      </c>
      <c r="O3034" s="425">
        <v>0</v>
      </c>
    </row>
    <row r="3035" spans="1:15" hidden="1" x14ac:dyDescent="0.3">
      <c r="C3035" t="s">
        <v>2266</v>
      </c>
      <c r="D3035" t="s">
        <v>2267</v>
      </c>
      <c r="E3035" t="s">
        <v>8258</v>
      </c>
      <c r="F3035" t="s">
        <v>8259</v>
      </c>
      <c r="G3035" s="425">
        <v>44525980000</v>
      </c>
      <c r="H3035" s="425">
        <v>44121980000</v>
      </c>
      <c r="I3035" s="425">
        <v>404000000</v>
      </c>
      <c r="J3035" s="425">
        <v>0</v>
      </c>
      <c r="K3035" s="425">
        <v>0</v>
      </c>
      <c r="L3035" s="425">
        <v>0</v>
      </c>
      <c r="M3035" s="425">
        <v>0</v>
      </c>
      <c r="N3035" s="425">
        <v>0</v>
      </c>
      <c r="O3035" s="425">
        <v>0</v>
      </c>
    </row>
    <row r="3036" spans="1:15" hidden="1" x14ac:dyDescent="0.3">
      <c r="C3036" t="s">
        <v>2266</v>
      </c>
      <c r="D3036" t="s">
        <v>2267</v>
      </c>
      <c r="E3036" t="s">
        <v>8260</v>
      </c>
      <c r="F3036" t="s">
        <v>8261</v>
      </c>
      <c r="G3036" s="425">
        <v>75509894171</v>
      </c>
      <c r="H3036" s="425">
        <v>65676350000</v>
      </c>
      <c r="I3036" s="425">
        <v>1823000000</v>
      </c>
      <c r="J3036" s="425">
        <v>0</v>
      </c>
      <c r="K3036" s="425">
        <v>0</v>
      </c>
      <c r="L3036" s="425">
        <v>522512000</v>
      </c>
      <c r="M3036" s="425">
        <v>7294692171</v>
      </c>
      <c r="N3036" s="425">
        <v>193340000</v>
      </c>
      <c r="O3036" s="425">
        <v>0</v>
      </c>
    </row>
    <row r="3037" spans="1:15" hidden="1" x14ac:dyDescent="0.3">
      <c r="C3037" t="s">
        <v>2266</v>
      </c>
      <c r="D3037" t="s">
        <v>2267</v>
      </c>
      <c r="E3037" t="s">
        <v>8262</v>
      </c>
      <c r="F3037" t="s">
        <v>8263</v>
      </c>
      <c r="G3037" s="425">
        <v>64294336</v>
      </c>
      <c r="H3037" s="425">
        <v>0</v>
      </c>
      <c r="I3037" s="425">
        <v>0</v>
      </c>
      <c r="J3037" s="425">
        <v>0</v>
      </c>
      <c r="K3037" s="425">
        <v>0</v>
      </c>
      <c r="L3037" s="425">
        <v>0</v>
      </c>
      <c r="M3037" s="425">
        <v>64294336</v>
      </c>
      <c r="N3037" s="425">
        <v>0</v>
      </c>
      <c r="O3037" s="425">
        <v>0</v>
      </c>
    </row>
    <row r="3038" spans="1:15" hidden="1" x14ac:dyDescent="0.3">
      <c r="C3038" t="s">
        <v>2266</v>
      </c>
      <c r="D3038" t="s">
        <v>2267</v>
      </c>
      <c r="E3038" t="s">
        <v>8264</v>
      </c>
      <c r="F3038" t="s">
        <v>8265</v>
      </c>
      <c r="G3038" s="425">
        <v>-375514386</v>
      </c>
      <c r="H3038" s="425">
        <v>-368004137</v>
      </c>
      <c r="I3038" s="425">
        <v>-7510249</v>
      </c>
      <c r="J3038" s="425">
        <v>0</v>
      </c>
      <c r="K3038" s="425">
        <v>0</v>
      </c>
      <c r="L3038" s="425">
        <v>0</v>
      </c>
      <c r="M3038" s="425">
        <v>0</v>
      </c>
      <c r="N3038" s="425">
        <v>0</v>
      </c>
      <c r="O3038" s="425">
        <v>0</v>
      </c>
    </row>
    <row r="3039" spans="1:15" hidden="1" x14ac:dyDescent="0.3">
      <c r="A3039" s="240"/>
      <c r="B3039" s="239" t="s">
        <v>153</v>
      </c>
      <c r="C3039" t="s">
        <v>2260</v>
      </c>
      <c r="D3039" t="s">
        <v>2237</v>
      </c>
      <c r="E3039" t="s">
        <v>8266</v>
      </c>
      <c r="F3039" t="s">
        <v>8267</v>
      </c>
      <c r="G3039" s="425">
        <v>199818348230</v>
      </c>
      <c r="H3039" s="425">
        <v>0</v>
      </c>
      <c r="I3039" s="425">
        <v>0</v>
      </c>
      <c r="J3039" s="425">
        <v>0</v>
      </c>
      <c r="K3039" s="425">
        <v>0</v>
      </c>
      <c r="L3039" s="425">
        <v>0</v>
      </c>
      <c r="M3039" s="425">
        <v>0</v>
      </c>
      <c r="N3039" s="425">
        <v>199818348230</v>
      </c>
      <c r="O3039" s="425">
        <v>0</v>
      </c>
    </row>
    <row r="3040" spans="1:15" hidden="1" x14ac:dyDescent="0.3">
      <c r="A3040" s="233"/>
      <c r="B3040" s="235" t="s">
        <v>154</v>
      </c>
      <c r="C3040" t="s">
        <v>2263</v>
      </c>
      <c r="D3040" t="s">
        <v>2237</v>
      </c>
      <c r="E3040" t="s">
        <v>8268</v>
      </c>
      <c r="F3040" t="s">
        <v>8269</v>
      </c>
      <c r="G3040" s="425">
        <v>0</v>
      </c>
      <c r="H3040" s="425">
        <v>0</v>
      </c>
      <c r="I3040" s="425">
        <v>0</v>
      </c>
      <c r="J3040" s="425">
        <v>0</v>
      </c>
      <c r="K3040" s="425">
        <v>0</v>
      </c>
      <c r="L3040" s="425">
        <v>0</v>
      </c>
      <c r="M3040" s="425">
        <v>0</v>
      </c>
      <c r="N3040" s="425">
        <v>0</v>
      </c>
      <c r="O3040" s="425">
        <v>0</v>
      </c>
    </row>
    <row r="3041" spans="1:15" hidden="1" x14ac:dyDescent="0.3">
      <c r="C3041" t="s">
        <v>2266</v>
      </c>
      <c r="D3041" t="s">
        <v>2267</v>
      </c>
      <c r="E3041" t="s">
        <v>8270</v>
      </c>
      <c r="F3041" t="s">
        <v>8271</v>
      </c>
      <c r="G3041" s="425">
        <v>0</v>
      </c>
      <c r="H3041" s="425">
        <v>0</v>
      </c>
      <c r="I3041" s="425">
        <v>0</v>
      </c>
      <c r="J3041" s="425">
        <v>0</v>
      </c>
      <c r="K3041" s="425">
        <v>0</v>
      </c>
      <c r="L3041" s="425">
        <v>0</v>
      </c>
      <c r="M3041" s="425">
        <v>0</v>
      </c>
      <c r="N3041" s="425">
        <v>0</v>
      </c>
      <c r="O3041" s="425">
        <v>0</v>
      </c>
    </row>
    <row r="3042" spans="1:15" hidden="1" x14ac:dyDescent="0.3">
      <c r="C3042" t="s">
        <v>2266</v>
      </c>
      <c r="D3042" t="s">
        <v>2267</v>
      </c>
      <c r="E3042" t="s">
        <v>8272</v>
      </c>
      <c r="F3042" t="s">
        <v>8273</v>
      </c>
      <c r="G3042" s="425">
        <v>0</v>
      </c>
      <c r="H3042" s="425">
        <v>0</v>
      </c>
      <c r="I3042" s="425">
        <v>0</v>
      </c>
      <c r="J3042" s="425">
        <v>0</v>
      </c>
      <c r="K3042" s="425">
        <v>0</v>
      </c>
      <c r="L3042" s="425">
        <v>0</v>
      </c>
      <c r="M3042" s="425">
        <v>0</v>
      </c>
      <c r="N3042" s="425">
        <v>0</v>
      </c>
      <c r="O3042" s="425">
        <v>0</v>
      </c>
    </row>
    <row r="3043" spans="1:15" hidden="1" x14ac:dyDescent="0.3">
      <c r="A3043" s="233"/>
      <c r="B3043" s="235" t="s">
        <v>156</v>
      </c>
      <c r="C3043" t="s">
        <v>2263</v>
      </c>
      <c r="D3043" t="s">
        <v>2237</v>
      </c>
      <c r="E3043" t="s">
        <v>8274</v>
      </c>
      <c r="F3043" t="s">
        <v>8275</v>
      </c>
      <c r="G3043" s="425">
        <v>199818348230</v>
      </c>
      <c r="H3043" s="425">
        <v>0</v>
      </c>
      <c r="I3043" s="425">
        <v>0</v>
      </c>
      <c r="J3043" s="425">
        <v>0</v>
      </c>
      <c r="K3043" s="425">
        <v>0</v>
      </c>
      <c r="L3043" s="425">
        <v>0</v>
      </c>
      <c r="M3043" s="425">
        <v>0</v>
      </c>
      <c r="N3043" s="425">
        <v>199818348230</v>
      </c>
      <c r="O3043" s="425">
        <v>0</v>
      </c>
    </row>
    <row r="3044" spans="1:15" hidden="1" x14ac:dyDescent="0.3">
      <c r="C3044" t="s">
        <v>2266</v>
      </c>
      <c r="D3044" t="s">
        <v>2237</v>
      </c>
      <c r="E3044" t="s">
        <v>8276</v>
      </c>
      <c r="F3044" t="s">
        <v>8277</v>
      </c>
      <c r="G3044" s="425">
        <v>200000000000</v>
      </c>
      <c r="H3044" s="425">
        <v>0</v>
      </c>
      <c r="I3044" s="425">
        <v>0</v>
      </c>
      <c r="J3044" s="425">
        <v>0</v>
      </c>
      <c r="K3044" s="425">
        <v>0</v>
      </c>
      <c r="L3044" s="425">
        <v>0</v>
      </c>
      <c r="M3044" s="425">
        <v>0</v>
      </c>
      <c r="N3044" s="425">
        <v>200000000000</v>
      </c>
      <c r="O3044" s="425">
        <v>0</v>
      </c>
    </row>
    <row r="3045" spans="1:15" hidden="1" x14ac:dyDescent="0.3">
      <c r="C3045" t="s">
        <v>2292</v>
      </c>
      <c r="D3045" t="s">
        <v>2267</v>
      </c>
      <c r="E3045" t="s">
        <v>8278</v>
      </c>
      <c r="F3045" t="s">
        <v>8279</v>
      </c>
      <c r="G3045" s="425">
        <v>200000000000</v>
      </c>
      <c r="H3045" s="425">
        <v>0</v>
      </c>
      <c r="I3045" s="425">
        <v>0</v>
      </c>
      <c r="J3045" s="425">
        <v>0</v>
      </c>
      <c r="K3045" s="425">
        <v>0</v>
      </c>
      <c r="L3045" s="425">
        <v>0</v>
      </c>
      <c r="M3045" s="425">
        <v>0</v>
      </c>
      <c r="N3045" s="425">
        <v>200000000000</v>
      </c>
      <c r="O3045" s="425">
        <v>0</v>
      </c>
    </row>
    <row r="3046" spans="1:15" hidden="1" x14ac:dyDescent="0.3">
      <c r="C3046" t="s">
        <v>2292</v>
      </c>
      <c r="D3046" t="s">
        <v>2267</v>
      </c>
      <c r="E3046" t="s">
        <v>8280</v>
      </c>
      <c r="F3046" t="s">
        <v>8281</v>
      </c>
      <c r="G3046" s="425">
        <v>0</v>
      </c>
      <c r="H3046" s="425">
        <v>0</v>
      </c>
      <c r="I3046" s="425">
        <v>0</v>
      </c>
      <c r="J3046" s="425">
        <v>0</v>
      </c>
      <c r="K3046" s="425">
        <v>0</v>
      </c>
      <c r="L3046" s="425">
        <v>0</v>
      </c>
      <c r="M3046" s="425">
        <v>0</v>
      </c>
      <c r="N3046" s="425">
        <v>0</v>
      </c>
      <c r="O3046" s="425">
        <v>0</v>
      </c>
    </row>
    <row r="3047" spans="1:15" hidden="1" x14ac:dyDescent="0.3">
      <c r="C3047" t="s">
        <v>2266</v>
      </c>
      <c r="D3047" t="s">
        <v>2237</v>
      </c>
      <c r="E3047" t="s">
        <v>8282</v>
      </c>
      <c r="F3047" t="s">
        <v>8283</v>
      </c>
      <c r="G3047" s="425">
        <v>-181651770</v>
      </c>
      <c r="H3047" s="425">
        <v>0</v>
      </c>
      <c r="I3047" s="425">
        <v>0</v>
      </c>
      <c r="J3047" s="425">
        <v>0</v>
      </c>
      <c r="K3047" s="425">
        <v>0</v>
      </c>
      <c r="L3047" s="425">
        <v>0</v>
      </c>
      <c r="M3047" s="425">
        <v>0</v>
      </c>
      <c r="N3047" s="425">
        <v>-181651770</v>
      </c>
      <c r="O3047" s="425">
        <v>0</v>
      </c>
    </row>
    <row r="3048" spans="1:15" hidden="1" x14ac:dyDescent="0.3">
      <c r="C3048" t="s">
        <v>2292</v>
      </c>
      <c r="D3048" t="s">
        <v>2267</v>
      </c>
      <c r="E3048" t="s">
        <v>8284</v>
      </c>
      <c r="F3048" t="s">
        <v>8285</v>
      </c>
      <c r="G3048" s="425">
        <v>-181651770</v>
      </c>
      <c r="H3048" s="425">
        <v>0</v>
      </c>
      <c r="I3048" s="425">
        <v>0</v>
      </c>
      <c r="J3048" s="425">
        <v>0</v>
      </c>
      <c r="K3048" s="425">
        <v>0</v>
      </c>
      <c r="L3048" s="425">
        <v>0</v>
      </c>
      <c r="M3048" s="425">
        <v>0</v>
      </c>
      <c r="N3048" s="425">
        <v>-181651770</v>
      </c>
      <c r="O3048" s="425">
        <v>0</v>
      </c>
    </row>
    <row r="3049" spans="1:15" hidden="1" x14ac:dyDescent="0.3">
      <c r="A3049" s="240"/>
      <c r="B3049" s="239" t="s">
        <v>153</v>
      </c>
      <c r="C3049" t="s">
        <v>2260</v>
      </c>
      <c r="D3049" t="s">
        <v>2237</v>
      </c>
      <c r="E3049" t="s">
        <v>8286</v>
      </c>
      <c r="F3049" t="s">
        <v>8287</v>
      </c>
      <c r="G3049" s="425">
        <v>7980550581</v>
      </c>
      <c r="H3049" s="425">
        <v>0</v>
      </c>
      <c r="I3049" s="425">
        <v>0</v>
      </c>
      <c r="J3049" s="425">
        <v>0</v>
      </c>
      <c r="K3049" s="425">
        <v>0</v>
      </c>
      <c r="L3049" s="425">
        <v>0</v>
      </c>
      <c r="M3049" s="425">
        <v>7980550581</v>
      </c>
      <c r="N3049" s="425">
        <v>0</v>
      </c>
      <c r="O3049" s="425">
        <v>0</v>
      </c>
    </row>
    <row r="3050" spans="1:15" hidden="1" x14ac:dyDescent="0.3">
      <c r="A3050" s="233"/>
      <c r="B3050" s="235" t="s">
        <v>157</v>
      </c>
      <c r="C3050" t="s">
        <v>2263</v>
      </c>
      <c r="D3050" t="s">
        <v>2237</v>
      </c>
      <c r="E3050" t="s">
        <v>8288</v>
      </c>
      <c r="F3050" t="s">
        <v>8289</v>
      </c>
      <c r="G3050" s="425">
        <v>7980550581</v>
      </c>
      <c r="H3050" s="425">
        <v>0</v>
      </c>
      <c r="I3050" s="425">
        <v>0</v>
      </c>
      <c r="J3050" s="425">
        <v>0</v>
      </c>
      <c r="K3050" s="425">
        <v>0</v>
      </c>
      <c r="L3050" s="425">
        <v>0</v>
      </c>
      <c r="M3050" s="425">
        <v>7980550581</v>
      </c>
      <c r="N3050" s="425">
        <v>0</v>
      </c>
      <c r="O3050" s="425">
        <v>0</v>
      </c>
    </row>
    <row r="3051" spans="1:15" hidden="1" x14ac:dyDescent="0.3">
      <c r="C3051" t="s">
        <v>2266</v>
      </c>
      <c r="D3051" t="s">
        <v>2267</v>
      </c>
      <c r="E3051" t="s">
        <v>8290</v>
      </c>
      <c r="F3051" t="s">
        <v>8291</v>
      </c>
      <c r="G3051" s="425">
        <v>7980550581</v>
      </c>
      <c r="H3051" s="425">
        <v>0</v>
      </c>
      <c r="I3051" s="425">
        <v>0</v>
      </c>
      <c r="J3051" s="425">
        <v>0</v>
      </c>
      <c r="K3051" s="425">
        <v>0</v>
      </c>
      <c r="L3051" s="425">
        <v>0</v>
      </c>
      <c r="M3051" s="425">
        <v>7980550581</v>
      </c>
      <c r="N3051" s="425">
        <v>0</v>
      </c>
      <c r="O3051" s="425">
        <v>0</v>
      </c>
    </row>
    <row r="3052" spans="1:15" hidden="1" x14ac:dyDescent="0.3">
      <c r="A3052" s="233"/>
      <c r="B3052" s="235" t="s">
        <v>157</v>
      </c>
      <c r="C3052" t="s">
        <v>2263</v>
      </c>
      <c r="D3052" t="s">
        <v>2237</v>
      </c>
      <c r="E3052" t="s">
        <v>8292</v>
      </c>
      <c r="F3052" t="s">
        <v>8293</v>
      </c>
      <c r="G3052" s="425">
        <v>0</v>
      </c>
      <c r="H3052" s="425">
        <v>0</v>
      </c>
      <c r="I3052" s="425">
        <v>0</v>
      </c>
      <c r="J3052" s="425">
        <v>0</v>
      </c>
      <c r="K3052" s="425">
        <v>0</v>
      </c>
      <c r="L3052" s="425">
        <v>0</v>
      </c>
      <c r="M3052" s="425">
        <v>0</v>
      </c>
      <c r="N3052" s="425">
        <v>0</v>
      </c>
      <c r="O3052" s="425">
        <v>0</v>
      </c>
    </row>
    <row r="3053" spans="1:15" hidden="1" x14ac:dyDescent="0.3">
      <c r="C3053" t="s">
        <v>2266</v>
      </c>
      <c r="D3053" t="s">
        <v>2267</v>
      </c>
      <c r="E3053" t="s">
        <v>8294</v>
      </c>
      <c r="F3053" t="s">
        <v>8295</v>
      </c>
      <c r="G3053" s="425">
        <v>0</v>
      </c>
      <c r="H3053" s="425">
        <v>0</v>
      </c>
      <c r="I3053" s="425">
        <v>0</v>
      </c>
      <c r="J3053" s="425">
        <v>0</v>
      </c>
      <c r="K3053" s="425">
        <v>0</v>
      </c>
      <c r="L3053" s="425">
        <v>0</v>
      </c>
      <c r="M3053" s="425">
        <v>0</v>
      </c>
      <c r="N3053" s="425">
        <v>0</v>
      </c>
      <c r="O3053" s="425">
        <v>0</v>
      </c>
    </row>
    <row r="3054" spans="1:15" hidden="1" x14ac:dyDescent="0.3">
      <c r="C3054" t="s">
        <v>2266</v>
      </c>
      <c r="D3054" t="s">
        <v>2267</v>
      </c>
      <c r="E3054" t="s">
        <v>8296</v>
      </c>
      <c r="F3054" t="s">
        <v>8297</v>
      </c>
      <c r="G3054" s="425">
        <v>0</v>
      </c>
      <c r="H3054" s="425">
        <v>0</v>
      </c>
      <c r="I3054" s="425">
        <v>0</v>
      </c>
      <c r="J3054" s="425">
        <v>0</v>
      </c>
      <c r="K3054" s="425">
        <v>0</v>
      </c>
      <c r="L3054" s="425">
        <v>0</v>
      </c>
      <c r="M3054" s="425">
        <v>0</v>
      </c>
      <c r="N3054" s="425">
        <v>0</v>
      </c>
      <c r="O3054" s="425">
        <v>0</v>
      </c>
    </row>
    <row r="3055" spans="1:15" hidden="1" x14ac:dyDescent="0.3">
      <c r="A3055" s="240"/>
      <c r="B3055" s="239" t="s">
        <v>159</v>
      </c>
      <c r="C3055" t="s">
        <v>2260</v>
      </c>
      <c r="D3055" t="s">
        <v>2237</v>
      </c>
      <c r="E3055" t="s">
        <v>8298</v>
      </c>
      <c r="F3055" t="s">
        <v>8299</v>
      </c>
      <c r="G3055" s="425">
        <v>130845177816</v>
      </c>
      <c r="H3055" s="425">
        <v>49589493584</v>
      </c>
      <c r="I3055" s="425">
        <v>5207565930</v>
      </c>
      <c r="J3055" s="425">
        <v>0</v>
      </c>
      <c r="K3055" s="425">
        <v>-5814420787</v>
      </c>
      <c r="L3055" s="425">
        <v>58357790978</v>
      </c>
      <c r="M3055" s="425">
        <v>1219255883</v>
      </c>
      <c r="N3055" s="425">
        <v>22287500370</v>
      </c>
      <c r="O3055" s="425">
        <v>-2008142</v>
      </c>
    </row>
    <row r="3056" spans="1:15" hidden="1" x14ac:dyDescent="0.3">
      <c r="C3056" t="s">
        <v>2263</v>
      </c>
      <c r="D3056" t="s">
        <v>2237</v>
      </c>
      <c r="E3056" t="s">
        <v>8300</v>
      </c>
      <c r="F3056" t="s">
        <v>8301</v>
      </c>
      <c r="G3056" s="425">
        <v>35620826363</v>
      </c>
      <c r="H3056" s="425">
        <v>9637868628</v>
      </c>
      <c r="I3056" s="425">
        <v>1456776091</v>
      </c>
      <c r="J3056" s="425">
        <v>0</v>
      </c>
      <c r="K3056" s="425">
        <v>0</v>
      </c>
      <c r="L3056" s="425">
        <v>24486486764</v>
      </c>
      <c r="M3056" s="425">
        <v>21220616</v>
      </c>
      <c r="N3056" s="425">
        <v>18474264</v>
      </c>
      <c r="O3056" s="425">
        <v>0</v>
      </c>
    </row>
    <row r="3057" spans="3:15" hidden="1" x14ac:dyDescent="0.3">
      <c r="C3057" t="s">
        <v>2266</v>
      </c>
      <c r="D3057" t="s">
        <v>2267</v>
      </c>
      <c r="E3057" t="s">
        <v>8302</v>
      </c>
      <c r="F3057" t="s">
        <v>8303</v>
      </c>
      <c r="G3057" s="425">
        <v>1672366229</v>
      </c>
      <c r="H3057" s="425">
        <v>54339</v>
      </c>
      <c r="I3057" s="425">
        <v>312421870</v>
      </c>
      <c r="J3057" s="425">
        <v>0</v>
      </c>
      <c r="K3057" s="425">
        <v>0</v>
      </c>
      <c r="L3057" s="425">
        <v>1320195140</v>
      </c>
      <c r="M3057" s="425">
        <v>21220616</v>
      </c>
      <c r="N3057" s="425">
        <v>18474264</v>
      </c>
      <c r="O3057" s="425">
        <v>0</v>
      </c>
    </row>
    <row r="3058" spans="3:15" hidden="1" x14ac:dyDescent="0.3">
      <c r="C3058" t="s">
        <v>2266</v>
      </c>
      <c r="D3058" t="s">
        <v>2267</v>
      </c>
      <c r="E3058" t="s">
        <v>8304</v>
      </c>
      <c r="F3058" t="s">
        <v>8305</v>
      </c>
      <c r="G3058" s="425">
        <v>23847494431</v>
      </c>
      <c r="H3058" s="425">
        <v>0</v>
      </c>
      <c r="I3058" s="425">
        <v>726357242</v>
      </c>
      <c r="J3058" s="425">
        <v>0</v>
      </c>
      <c r="K3058" s="425">
        <v>0</v>
      </c>
      <c r="L3058" s="425">
        <v>23121137189</v>
      </c>
      <c r="M3058" s="425">
        <v>0</v>
      </c>
      <c r="N3058" s="425">
        <v>0</v>
      </c>
      <c r="O3058" s="425">
        <v>0</v>
      </c>
    </row>
    <row r="3059" spans="3:15" hidden="1" x14ac:dyDescent="0.3">
      <c r="C3059" t="s">
        <v>2266</v>
      </c>
      <c r="D3059" t="s">
        <v>2267</v>
      </c>
      <c r="E3059" t="s">
        <v>8306</v>
      </c>
      <c r="F3059" t="s">
        <v>8307</v>
      </c>
      <c r="G3059" s="425">
        <v>0</v>
      </c>
      <c r="H3059" s="425">
        <v>0</v>
      </c>
      <c r="I3059" s="425">
        <v>0</v>
      </c>
      <c r="J3059" s="425">
        <v>0</v>
      </c>
      <c r="K3059" s="425">
        <v>0</v>
      </c>
      <c r="L3059" s="425">
        <v>0</v>
      </c>
      <c r="M3059" s="425">
        <v>0</v>
      </c>
      <c r="N3059" s="425">
        <v>0</v>
      </c>
      <c r="O3059" s="425">
        <v>0</v>
      </c>
    </row>
    <row r="3060" spans="3:15" hidden="1" x14ac:dyDescent="0.3">
      <c r="C3060" t="s">
        <v>2266</v>
      </c>
      <c r="D3060" t="s">
        <v>2267</v>
      </c>
      <c r="E3060" t="s">
        <v>8308</v>
      </c>
      <c r="F3060" t="s">
        <v>8309</v>
      </c>
      <c r="G3060" s="425">
        <v>10055811268</v>
      </c>
      <c r="H3060" s="425">
        <v>9637814289</v>
      </c>
      <c r="I3060" s="425">
        <v>417996979</v>
      </c>
      <c r="J3060" s="425">
        <v>0</v>
      </c>
      <c r="K3060" s="425">
        <v>0</v>
      </c>
      <c r="L3060" s="425">
        <v>0</v>
      </c>
      <c r="M3060" s="425">
        <v>0</v>
      </c>
      <c r="N3060" s="425">
        <v>0</v>
      </c>
      <c r="O3060" s="425">
        <v>0</v>
      </c>
    </row>
    <row r="3061" spans="3:15" hidden="1" x14ac:dyDescent="0.3">
      <c r="C3061" t="s">
        <v>2266</v>
      </c>
      <c r="D3061" t="s">
        <v>2267</v>
      </c>
      <c r="E3061" t="s">
        <v>8310</v>
      </c>
      <c r="F3061" t="s">
        <v>8311</v>
      </c>
      <c r="G3061" s="425">
        <v>45154435</v>
      </c>
      <c r="H3061" s="425">
        <v>0</v>
      </c>
      <c r="I3061" s="425">
        <v>0</v>
      </c>
      <c r="J3061" s="425">
        <v>0</v>
      </c>
      <c r="K3061" s="425">
        <v>0</v>
      </c>
      <c r="L3061" s="425">
        <v>45154435</v>
      </c>
      <c r="M3061" s="425">
        <v>0</v>
      </c>
      <c r="N3061" s="425">
        <v>0</v>
      </c>
      <c r="O3061" s="425">
        <v>0</v>
      </c>
    </row>
    <row r="3062" spans="3:15" hidden="1" x14ac:dyDescent="0.3">
      <c r="C3062" t="s">
        <v>2266</v>
      </c>
      <c r="D3062" t="s">
        <v>2267</v>
      </c>
      <c r="E3062" t="s">
        <v>8312</v>
      </c>
      <c r="F3062" t="s">
        <v>8313</v>
      </c>
      <c r="G3062" s="425">
        <v>0</v>
      </c>
      <c r="H3062" s="425">
        <v>0</v>
      </c>
      <c r="I3062" s="425">
        <v>0</v>
      </c>
      <c r="J3062" s="425">
        <v>0</v>
      </c>
      <c r="K3062" s="425">
        <v>0</v>
      </c>
      <c r="L3062" s="425">
        <v>0</v>
      </c>
      <c r="M3062" s="425">
        <v>0</v>
      </c>
      <c r="N3062" s="425">
        <v>0</v>
      </c>
      <c r="O3062" s="425">
        <v>0</v>
      </c>
    </row>
    <row r="3063" spans="3:15" hidden="1" x14ac:dyDescent="0.3">
      <c r="C3063" t="s">
        <v>2263</v>
      </c>
      <c r="D3063" t="s">
        <v>2237</v>
      </c>
      <c r="E3063" t="s">
        <v>8314</v>
      </c>
      <c r="F3063" t="s">
        <v>8315</v>
      </c>
      <c r="G3063" s="425">
        <v>28423586718</v>
      </c>
      <c r="H3063" s="425">
        <v>13466389343</v>
      </c>
      <c r="I3063" s="425">
        <v>2607402137</v>
      </c>
      <c r="J3063" s="425">
        <v>0</v>
      </c>
      <c r="K3063" s="425">
        <v>-6174630120</v>
      </c>
      <c r="L3063" s="425">
        <v>17634678173</v>
      </c>
      <c r="M3063" s="425">
        <v>889747185</v>
      </c>
      <c r="N3063" s="425">
        <v>0</v>
      </c>
      <c r="O3063" s="425">
        <v>0</v>
      </c>
    </row>
    <row r="3064" spans="3:15" hidden="1" x14ac:dyDescent="0.3">
      <c r="C3064" t="s">
        <v>2266</v>
      </c>
      <c r="D3064" t="s">
        <v>2267</v>
      </c>
      <c r="E3064" t="s">
        <v>8316</v>
      </c>
      <c r="F3064" t="s">
        <v>8317</v>
      </c>
      <c r="G3064" s="425">
        <v>-261229562</v>
      </c>
      <c r="H3064" s="425">
        <v>0</v>
      </c>
      <c r="I3064" s="425">
        <v>0</v>
      </c>
      <c r="J3064" s="425">
        <v>0</v>
      </c>
      <c r="K3064" s="425">
        <v>0</v>
      </c>
      <c r="L3064" s="425">
        <v>-261229562</v>
      </c>
      <c r="M3064" s="425">
        <v>0</v>
      </c>
      <c r="N3064" s="425">
        <v>0</v>
      </c>
      <c r="O3064" s="425">
        <v>0</v>
      </c>
    </row>
    <row r="3065" spans="3:15" hidden="1" x14ac:dyDescent="0.3">
      <c r="C3065" t="s">
        <v>2266</v>
      </c>
      <c r="D3065" t="s">
        <v>2267</v>
      </c>
      <c r="E3065" t="s">
        <v>8318</v>
      </c>
      <c r="F3065" t="s">
        <v>8319</v>
      </c>
      <c r="G3065" s="425">
        <v>6511841926</v>
      </c>
      <c r="H3065" s="425">
        <v>10050561814</v>
      </c>
      <c r="I3065" s="425">
        <v>360241162</v>
      </c>
      <c r="J3065" s="425">
        <v>0</v>
      </c>
      <c r="K3065" s="425">
        <v>-6217788527</v>
      </c>
      <c r="L3065" s="425">
        <v>2318827477</v>
      </c>
      <c r="M3065" s="425">
        <v>0</v>
      </c>
      <c r="N3065" s="425">
        <v>0</v>
      </c>
      <c r="O3065" s="425">
        <v>0</v>
      </c>
    </row>
    <row r="3066" spans="3:15" hidden="1" x14ac:dyDescent="0.3">
      <c r="C3066" t="s">
        <v>2266</v>
      </c>
      <c r="D3066" t="s">
        <v>2267</v>
      </c>
      <c r="E3066" t="s">
        <v>8320</v>
      </c>
      <c r="F3066" t="s">
        <v>8321</v>
      </c>
      <c r="G3066" s="425">
        <v>0</v>
      </c>
      <c r="H3066" s="425">
        <v>0</v>
      </c>
      <c r="I3066" s="425">
        <v>0</v>
      </c>
      <c r="J3066" s="425">
        <v>0</v>
      </c>
      <c r="K3066" s="425">
        <v>0</v>
      </c>
      <c r="L3066" s="425">
        <v>0</v>
      </c>
      <c r="M3066" s="425">
        <v>0</v>
      </c>
      <c r="N3066" s="425">
        <v>0</v>
      </c>
      <c r="O3066" s="425">
        <v>0</v>
      </c>
    </row>
    <row r="3067" spans="3:15" hidden="1" x14ac:dyDescent="0.3">
      <c r="C3067" t="s">
        <v>2266</v>
      </c>
      <c r="D3067" t="s">
        <v>2267</v>
      </c>
      <c r="E3067" t="s">
        <v>8322</v>
      </c>
      <c r="F3067" t="s">
        <v>8323</v>
      </c>
      <c r="G3067" s="425">
        <v>5592751610</v>
      </c>
      <c r="H3067" s="425">
        <v>3415827529</v>
      </c>
      <c r="I3067" s="425">
        <v>2247160975</v>
      </c>
      <c r="J3067" s="425">
        <v>0</v>
      </c>
      <c r="K3067" s="425">
        <v>34319839</v>
      </c>
      <c r="L3067" s="425">
        <v>-104556733</v>
      </c>
      <c r="M3067" s="425">
        <v>0</v>
      </c>
      <c r="N3067" s="425">
        <v>0</v>
      </c>
      <c r="O3067" s="425">
        <v>0</v>
      </c>
    </row>
    <row r="3068" spans="3:15" hidden="1" x14ac:dyDescent="0.3">
      <c r="C3068" t="s">
        <v>2266</v>
      </c>
      <c r="D3068" t="s">
        <v>2267</v>
      </c>
      <c r="E3068" t="s">
        <v>8324</v>
      </c>
      <c r="F3068" t="s">
        <v>8325</v>
      </c>
      <c r="G3068" s="425">
        <v>-92208850</v>
      </c>
      <c r="H3068" s="425">
        <v>-131488140</v>
      </c>
      <c r="I3068" s="425">
        <v>-67489749</v>
      </c>
      <c r="J3068" s="425">
        <v>0</v>
      </c>
      <c r="K3068" s="425">
        <v>213995257</v>
      </c>
      <c r="L3068" s="425">
        <v>-107226218</v>
      </c>
      <c r="M3068" s="425">
        <v>0</v>
      </c>
      <c r="N3068" s="425">
        <v>0</v>
      </c>
      <c r="O3068" s="425">
        <v>0</v>
      </c>
    </row>
    <row r="3069" spans="3:15" hidden="1" x14ac:dyDescent="0.3">
      <c r="C3069" t="s">
        <v>2266</v>
      </c>
      <c r="D3069" t="s">
        <v>2267</v>
      </c>
      <c r="E3069" t="s">
        <v>8326</v>
      </c>
      <c r="F3069" t="s">
        <v>8327</v>
      </c>
      <c r="G3069" s="425">
        <v>92253136</v>
      </c>
      <c r="H3069" s="425">
        <v>131488140</v>
      </c>
      <c r="I3069" s="425">
        <v>67489749</v>
      </c>
      <c r="J3069" s="425">
        <v>0</v>
      </c>
      <c r="K3069" s="425">
        <v>-213995257</v>
      </c>
      <c r="L3069" s="425">
        <v>107270504</v>
      </c>
      <c r="M3069" s="425">
        <v>0</v>
      </c>
      <c r="N3069" s="425">
        <v>0</v>
      </c>
      <c r="O3069" s="425">
        <v>0</v>
      </c>
    </row>
    <row r="3070" spans="3:15" hidden="1" x14ac:dyDescent="0.3">
      <c r="C3070" t="s">
        <v>2266</v>
      </c>
      <c r="D3070" t="s">
        <v>2267</v>
      </c>
      <c r="E3070" t="s">
        <v>8328</v>
      </c>
      <c r="F3070" t="s">
        <v>8329</v>
      </c>
      <c r="G3070" s="425">
        <v>7425878</v>
      </c>
      <c r="H3070" s="425">
        <v>0</v>
      </c>
      <c r="I3070" s="425">
        <v>0</v>
      </c>
      <c r="J3070" s="425">
        <v>0</v>
      </c>
      <c r="K3070" s="425">
        <v>7425878</v>
      </c>
      <c r="L3070" s="425">
        <v>0</v>
      </c>
      <c r="M3070" s="425">
        <v>0</v>
      </c>
      <c r="N3070" s="425">
        <v>0</v>
      </c>
      <c r="O3070" s="425">
        <v>0</v>
      </c>
    </row>
    <row r="3071" spans="3:15" hidden="1" x14ac:dyDescent="0.3">
      <c r="C3071" t="s">
        <v>2266</v>
      </c>
      <c r="D3071" t="s">
        <v>2267</v>
      </c>
      <c r="E3071" t="s">
        <v>8330</v>
      </c>
      <c r="F3071" t="s">
        <v>8331</v>
      </c>
      <c r="G3071" s="425">
        <v>120609494</v>
      </c>
      <c r="H3071" s="425">
        <v>0</v>
      </c>
      <c r="I3071" s="425">
        <v>0</v>
      </c>
      <c r="J3071" s="425">
        <v>0</v>
      </c>
      <c r="K3071" s="425">
        <v>1412690</v>
      </c>
      <c r="L3071" s="425">
        <v>75454546</v>
      </c>
      <c r="M3071" s="425">
        <v>43742258</v>
      </c>
      <c r="N3071" s="425">
        <v>0</v>
      </c>
      <c r="O3071" s="425">
        <v>0</v>
      </c>
    </row>
    <row r="3072" spans="3:15" hidden="1" x14ac:dyDescent="0.3">
      <c r="C3072" t="s">
        <v>2266</v>
      </c>
      <c r="D3072" t="s">
        <v>2267</v>
      </c>
      <c r="E3072" t="s">
        <v>8332</v>
      </c>
      <c r="F3072" t="s">
        <v>8333</v>
      </c>
      <c r="G3072" s="425">
        <v>0</v>
      </c>
      <c r="H3072" s="425">
        <v>0</v>
      </c>
      <c r="I3072" s="425">
        <v>0</v>
      </c>
      <c r="J3072" s="425">
        <v>0</v>
      </c>
      <c r="K3072" s="425">
        <v>0</v>
      </c>
      <c r="L3072" s="425">
        <v>0</v>
      </c>
      <c r="M3072" s="425">
        <v>0</v>
      </c>
      <c r="N3072" s="425">
        <v>0</v>
      </c>
      <c r="O3072" s="425">
        <v>0</v>
      </c>
    </row>
    <row r="3073" spans="3:15" hidden="1" x14ac:dyDescent="0.3">
      <c r="C3073" t="s">
        <v>2266</v>
      </c>
      <c r="D3073" t="s">
        <v>2267</v>
      </c>
      <c r="E3073" t="s">
        <v>8334</v>
      </c>
      <c r="F3073" t="s">
        <v>8335</v>
      </c>
      <c r="G3073" s="425">
        <v>8235267</v>
      </c>
      <c r="H3073" s="425">
        <v>0</v>
      </c>
      <c r="I3073" s="425">
        <v>0</v>
      </c>
      <c r="J3073" s="425">
        <v>0</v>
      </c>
      <c r="K3073" s="425">
        <v>0</v>
      </c>
      <c r="L3073" s="425">
        <v>0</v>
      </c>
      <c r="M3073" s="425">
        <v>8235267</v>
      </c>
      <c r="N3073" s="425">
        <v>0</v>
      </c>
      <c r="O3073" s="425">
        <v>0</v>
      </c>
    </row>
    <row r="3074" spans="3:15" hidden="1" x14ac:dyDescent="0.3">
      <c r="C3074" t="s">
        <v>2266</v>
      </c>
      <c r="D3074" t="s">
        <v>2267</v>
      </c>
      <c r="E3074" t="s">
        <v>8336</v>
      </c>
      <c r="F3074" t="s">
        <v>8337</v>
      </c>
      <c r="G3074" s="425">
        <v>837769660</v>
      </c>
      <c r="H3074" s="425">
        <v>0</v>
      </c>
      <c r="I3074" s="425">
        <v>0</v>
      </c>
      <c r="J3074" s="425">
        <v>0</v>
      </c>
      <c r="K3074" s="425">
        <v>0</v>
      </c>
      <c r="L3074" s="425">
        <v>0</v>
      </c>
      <c r="M3074" s="425">
        <v>837769660</v>
      </c>
      <c r="N3074" s="425">
        <v>0</v>
      </c>
      <c r="O3074" s="425">
        <v>0</v>
      </c>
    </row>
    <row r="3075" spans="3:15" hidden="1" x14ac:dyDescent="0.3">
      <c r="C3075" t="s">
        <v>2266</v>
      </c>
      <c r="D3075" t="s">
        <v>2267</v>
      </c>
      <c r="E3075" t="s">
        <v>8338</v>
      </c>
      <c r="F3075" t="s">
        <v>8339</v>
      </c>
      <c r="G3075" s="425">
        <v>0</v>
      </c>
      <c r="H3075" s="425">
        <v>0</v>
      </c>
      <c r="I3075" s="425">
        <v>0</v>
      </c>
      <c r="J3075" s="425">
        <v>0</v>
      </c>
      <c r="K3075" s="425">
        <v>0</v>
      </c>
      <c r="L3075" s="425">
        <v>0</v>
      </c>
      <c r="M3075" s="425">
        <v>0</v>
      </c>
      <c r="N3075" s="425">
        <v>0</v>
      </c>
      <c r="O3075" s="425">
        <v>0</v>
      </c>
    </row>
    <row r="3076" spans="3:15" hidden="1" x14ac:dyDescent="0.3">
      <c r="C3076" t="s">
        <v>2266</v>
      </c>
      <c r="D3076" t="s">
        <v>2267</v>
      </c>
      <c r="E3076" t="s">
        <v>8340</v>
      </c>
      <c r="F3076" t="s">
        <v>8341</v>
      </c>
      <c r="G3076" s="425">
        <v>0</v>
      </c>
      <c r="H3076" s="425">
        <v>0</v>
      </c>
      <c r="I3076" s="425">
        <v>0</v>
      </c>
      <c r="J3076" s="425">
        <v>0</v>
      </c>
      <c r="K3076" s="425">
        <v>0</v>
      </c>
      <c r="L3076" s="425">
        <v>0</v>
      </c>
      <c r="M3076" s="425">
        <v>0</v>
      </c>
      <c r="N3076" s="425">
        <v>0</v>
      </c>
      <c r="O3076" s="425">
        <v>0</v>
      </c>
    </row>
    <row r="3077" spans="3:15" hidden="1" x14ac:dyDescent="0.3">
      <c r="C3077" t="s">
        <v>2266</v>
      </c>
      <c r="D3077" t="s">
        <v>2267</v>
      </c>
      <c r="E3077" t="s">
        <v>8342</v>
      </c>
      <c r="F3077" t="s">
        <v>8343</v>
      </c>
      <c r="G3077" s="425">
        <v>0</v>
      </c>
      <c r="H3077" s="425">
        <v>0</v>
      </c>
      <c r="I3077" s="425">
        <v>0</v>
      </c>
      <c r="J3077" s="425">
        <v>0</v>
      </c>
      <c r="K3077" s="425">
        <v>0</v>
      </c>
      <c r="L3077" s="425">
        <v>0</v>
      </c>
      <c r="M3077" s="425">
        <v>0</v>
      </c>
      <c r="N3077" s="425">
        <v>0</v>
      </c>
      <c r="O3077" s="425">
        <v>0</v>
      </c>
    </row>
    <row r="3078" spans="3:15" hidden="1" x14ac:dyDescent="0.3">
      <c r="C3078" t="s">
        <v>2266</v>
      </c>
      <c r="D3078" t="s">
        <v>2267</v>
      </c>
      <c r="E3078" t="s">
        <v>8344</v>
      </c>
      <c r="F3078" t="s">
        <v>8345</v>
      </c>
      <c r="G3078" s="425">
        <v>0</v>
      </c>
      <c r="H3078" s="425">
        <v>0</v>
      </c>
      <c r="I3078" s="425">
        <v>0</v>
      </c>
      <c r="J3078" s="425">
        <v>0</v>
      </c>
      <c r="K3078" s="425">
        <v>0</v>
      </c>
      <c r="L3078" s="425">
        <v>0</v>
      </c>
      <c r="M3078" s="425">
        <v>0</v>
      </c>
      <c r="N3078" s="425">
        <v>0</v>
      </c>
      <c r="O3078" s="425">
        <v>0</v>
      </c>
    </row>
    <row r="3079" spans="3:15" hidden="1" x14ac:dyDescent="0.3">
      <c r="C3079" t="s">
        <v>2266</v>
      </c>
      <c r="D3079" t="s">
        <v>2267</v>
      </c>
      <c r="E3079" t="s">
        <v>8346</v>
      </c>
      <c r="F3079" t="s">
        <v>8347</v>
      </c>
      <c r="G3079" s="425">
        <v>0</v>
      </c>
      <c r="H3079" s="425">
        <v>0</v>
      </c>
      <c r="I3079" s="425">
        <v>0</v>
      </c>
      <c r="J3079" s="425">
        <v>0</v>
      </c>
      <c r="K3079" s="425">
        <v>0</v>
      </c>
      <c r="L3079" s="425">
        <v>0</v>
      </c>
      <c r="M3079" s="425">
        <v>0</v>
      </c>
      <c r="N3079" s="425">
        <v>0</v>
      </c>
      <c r="O3079" s="425">
        <v>0</v>
      </c>
    </row>
    <row r="3080" spans="3:15" hidden="1" x14ac:dyDescent="0.3">
      <c r="C3080" t="s">
        <v>2266</v>
      </c>
      <c r="D3080" t="s">
        <v>2267</v>
      </c>
      <c r="E3080" t="s">
        <v>8348</v>
      </c>
      <c r="F3080" t="s">
        <v>8349</v>
      </c>
      <c r="G3080" s="425">
        <v>0</v>
      </c>
      <c r="H3080" s="425">
        <v>0</v>
      </c>
      <c r="I3080" s="425">
        <v>0</v>
      </c>
      <c r="J3080" s="425">
        <v>0</v>
      </c>
      <c r="K3080" s="425">
        <v>0</v>
      </c>
      <c r="L3080" s="425">
        <v>0</v>
      </c>
      <c r="M3080" s="425">
        <v>0</v>
      </c>
      <c r="N3080" s="425">
        <v>0</v>
      </c>
      <c r="O3080" s="425">
        <v>0</v>
      </c>
    </row>
    <row r="3081" spans="3:15" hidden="1" x14ac:dyDescent="0.3">
      <c r="C3081" t="s">
        <v>2266</v>
      </c>
      <c r="D3081" t="s">
        <v>2267</v>
      </c>
      <c r="E3081" t="s">
        <v>8350</v>
      </c>
      <c r="F3081" t="s">
        <v>8351</v>
      </c>
      <c r="G3081" s="425">
        <v>0</v>
      </c>
      <c r="H3081" s="425">
        <v>0</v>
      </c>
      <c r="I3081" s="425">
        <v>0</v>
      </c>
      <c r="J3081" s="425">
        <v>0</v>
      </c>
      <c r="K3081" s="425">
        <v>0</v>
      </c>
      <c r="L3081" s="425">
        <v>0</v>
      </c>
      <c r="M3081" s="425">
        <v>0</v>
      </c>
      <c r="N3081" s="425">
        <v>0</v>
      </c>
      <c r="O3081" s="425">
        <v>0</v>
      </c>
    </row>
    <row r="3082" spans="3:15" hidden="1" x14ac:dyDescent="0.3">
      <c r="C3082" t="s">
        <v>2266</v>
      </c>
      <c r="D3082" t="s">
        <v>2267</v>
      </c>
      <c r="E3082" t="s">
        <v>8352</v>
      </c>
      <c r="F3082" t="s">
        <v>8353</v>
      </c>
      <c r="G3082" s="425">
        <v>0</v>
      </c>
      <c r="H3082" s="425">
        <v>0</v>
      </c>
      <c r="I3082" s="425">
        <v>0</v>
      </c>
      <c r="J3082" s="425">
        <v>0</v>
      </c>
      <c r="K3082" s="425">
        <v>0</v>
      </c>
      <c r="L3082" s="425">
        <v>0</v>
      </c>
      <c r="M3082" s="425">
        <v>0</v>
      </c>
      <c r="N3082" s="425">
        <v>0</v>
      </c>
      <c r="O3082" s="425">
        <v>0</v>
      </c>
    </row>
    <row r="3083" spans="3:15" hidden="1" x14ac:dyDescent="0.3">
      <c r="C3083" t="s">
        <v>2266</v>
      </c>
      <c r="D3083" t="s">
        <v>2267</v>
      </c>
      <c r="E3083" t="s">
        <v>8354</v>
      </c>
      <c r="F3083" t="s">
        <v>8355</v>
      </c>
      <c r="G3083" s="425">
        <v>1070331760</v>
      </c>
      <c r="H3083" s="425">
        <v>0</v>
      </c>
      <c r="I3083" s="425">
        <v>0</v>
      </c>
      <c r="J3083" s="425">
        <v>0</v>
      </c>
      <c r="K3083" s="425">
        <v>0</v>
      </c>
      <c r="L3083" s="425">
        <v>1070331760</v>
      </c>
      <c r="M3083" s="425">
        <v>0</v>
      </c>
      <c r="N3083" s="425">
        <v>0</v>
      </c>
      <c r="O3083" s="425">
        <v>0</v>
      </c>
    </row>
    <row r="3084" spans="3:15" hidden="1" x14ac:dyDescent="0.3">
      <c r="C3084" t="s">
        <v>2266</v>
      </c>
      <c r="D3084" t="s">
        <v>2267</v>
      </c>
      <c r="E3084" t="s">
        <v>8356</v>
      </c>
      <c r="F3084" t="s">
        <v>8357</v>
      </c>
      <c r="G3084" s="425">
        <v>0</v>
      </c>
      <c r="H3084" s="425">
        <v>0</v>
      </c>
      <c r="I3084" s="425">
        <v>0</v>
      </c>
      <c r="J3084" s="425">
        <v>0</v>
      </c>
      <c r="K3084" s="425">
        <v>0</v>
      </c>
      <c r="L3084" s="425">
        <v>0</v>
      </c>
      <c r="M3084" s="425">
        <v>0</v>
      </c>
      <c r="N3084" s="425">
        <v>0</v>
      </c>
      <c r="O3084" s="425">
        <v>0</v>
      </c>
    </row>
    <row r="3085" spans="3:15" hidden="1" x14ac:dyDescent="0.3">
      <c r="C3085" t="s">
        <v>2266</v>
      </c>
      <c r="D3085" t="s">
        <v>2267</v>
      </c>
      <c r="E3085" t="s">
        <v>8358</v>
      </c>
      <c r="F3085" t="s">
        <v>8359</v>
      </c>
      <c r="G3085" s="425">
        <v>13447499419</v>
      </c>
      <c r="H3085" s="425">
        <v>0</v>
      </c>
      <c r="I3085" s="425">
        <v>0</v>
      </c>
      <c r="J3085" s="425">
        <v>0</v>
      </c>
      <c r="K3085" s="425">
        <v>0</v>
      </c>
      <c r="L3085" s="425">
        <v>13447499419</v>
      </c>
      <c r="M3085" s="425">
        <v>0</v>
      </c>
      <c r="N3085" s="425">
        <v>0</v>
      </c>
      <c r="O3085" s="425">
        <v>0</v>
      </c>
    </row>
    <row r="3086" spans="3:15" hidden="1" x14ac:dyDescent="0.3">
      <c r="C3086" t="s">
        <v>2266</v>
      </c>
      <c r="D3086" t="s">
        <v>2267</v>
      </c>
      <c r="E3086" t="s">
        <v>8360</v>
      </c>
      <c r="F3086" t="s">
        <v>8361</v>
      </c>
      <c r="G3086" s="425">
        <v>1218939629</v>
      </c>
      <c r="H3086" s="425">
        <v>0</v>
      </c>
      <c r="I3086" s="425">
        <v>0</v>
      </c>
      <c r="J3086" s="425">
        <v>0</v>
      </c>
      <c r="K3086" s="425">
        <v>0</v>
      </c>
      <c r="L3086" s="425">
        <v>1218939629</v>
      </c>
      <c r="M3086" s="425">
        <v>0</v>
      </c>
      <c r="N3086" s="425">
        <v>0</v>
      </c>
      <c r="O3086" s="425">
        <v>0</v>
      </c>
    </row>
    <row r="3087" spans="3:15" hidden="1" x14ac:dyDescent="0.3">
      <c r="C3087" t="s">
        <v>2266</v>
      </c>
      <c r="D3087" t="s">
        <v>2267</v>
      </c>
      <c r="E3087" t="s">
        <v>8362</v>
      </c>
      <c r="F3087" t="s">
        <v>8363</v>
      </c>
      <c r="G3087" s="425">
        <v>-130632649</v>
      </c>
      <c r="H3087" s="425">
        <v>0</v>
      </c>
      <c r="I3087" s="425">
        <v>0</v>
      </c>
      <c r="J3087" s="425">
        <v>0</v>
      </c>
      <c r="K3087" s="425">
        <v>0</v>
      </c>
      <c r="L3087" s="425">
        <v>-130632649</v>
      </c>
      <c r="M3087" s="425">
        <v>0</v>
      </c>
      <c r="N3087" s="425">
        <v>0</v>
      </c>
      <c r="O3087" s="425">
        <v>0</v>
      </c>
    </row>
    <row r="3088" spans="3:15" hidden="1" x14ac:dyDescent="0.3">
      <c r="C3088" t="s">
        <v>2263</v>
      </c>
      <c r="D3088" t="s">
        <v>2237</v>
      </c>
      <c r="E3088" t="s">
        <v>8364</v>
      </c>
      <c r="F3088" t="s">
        <v>8365</v>
      </c>
      <c r="G3088" s="425">
        <v>186164258</v>
      </c>
      <c r="H3088" s="425">
        <v>0</v>
      </c>
      <c r="I3088" s="425">
        <v>0</v>
      </c>
      <c r="J3088" s="425">
        <v>0</v>
      </c>
      <c r="K3088" s="425">
        <v>0</v>
      </c>
      <c r="L3088" s="425">
        <v>130284258</v>
      </c>
      <c r="M3088" s="425">
        <v>0</v>
      </c>
      <c r="N3088" s="425">
        <v>55880000</v>
      </c>
      <c r="O3088" s="425">
        <v>0</v>
      </c>
    </row>
    <row r="3089" spans="3:15" hidden="1" x14ac:dyDescent="0.3">
      <c r="C3089" t="s">
        <v>2266</v>
      </c>
      <c r="D3089" t="s">
        <v>2267</v>
      </c>
      <c r="E3089" t="s">
        <v>8366</v>
      </c>
      <c r="F3089" t="s">
        <v>8367</v>
      </c>
      <c r="G3089" s="425">
        <v>186164258</v>
      </c>
      <c r="H3089" s="425">
        <v>0</v>
      </c>
      <c r="I3089" s="425">
        <v>0</v>
      </c>
      <c r="J3089" s="425">
        <v>0</v>
      </c>
      <c r="K3089" s="425">
        <v>0</v>
      </c>
      <c r="L3089" s="425">
        <v>130284258</v>
      </c>
      <c r="M3089" s="425">
        <v>0</v>
      </c>
      <c r="N3089" s="425">
        <v>55880000</v>
      </c>
      <c r="O3089" s="425">
        <v>0</v>
      </c>
    </row>
    <row r="3090" spans="3:15" hidden="1" x14ac:dyDescent="0.3">
      <c r="C3090" t="s">
        <v>2263</v>
      </c>
      <c r="D3090" t="s">
        <v>2237</v>
      </c>
      <c r="E3090" t="s">
        <v>8368</v>
      </c>
      <c r="F3090" t="s">
        <v>8369</v>
      </c>
      <c r="G3090" s="425">
        <v>5372859660</v>
      </c>
      <c r="H3090" s="425">
        <v>3396617861</v>
      </c>
      <c r="I3090" s="425">
        <v>465199686</v>
      </c>
      <c r="J3090" s="425">
        <v>0</v>
      </c>
      <c r="K3090" s="425">
        <v>382012118</v>
      </c>
      <c r="L3090" s="425">
        <v>14096323054</v>
      </c>
      <c r="M3090" s="425">
        <v>275174130</v>
      </c>
      <c r="N3090" s="425">
        <v>-13244710705</v>
      </c>
      <c r="O3090" s="425">
        <v>2243516</v>
      </c>
    </row>
    <row r="3091" spans="3:15" hidden="1" x14ac:dyDescent="0.3">
      <c r="C3091" t="s">
        <v>2266</v>
      </c>
      <c r="D3091" t="s">
        <v>2267</v>
      </c>
      <c r="E3091" t="s">
        <v>8370</v>
      </c>
      <c r="F3091" t="s">
        <v>8371</v>
      </c>
      <c r="G3091" s="425">
        <v>0</v>
      </c>
      <c r="H3091" s="425">
        <v>0</v>
      </c>
      <c r="I3091" s="425">
        <v>0</v>
      </c>
      <c r="J3091" s="425">
        <v>0</v>
      </c>
      <c r="K3091" s="425">
        <v>0</v>
      </c>
      <c r="L3091" s="425">
        <v>0</v>
      </c>
      <c r="M3091" s="425">
        <v>0</v>
      </c>
      <c r="N3091" s="425">
        <v>0</v>
      </c>
      <c r="O3091" s="425">
        <v>0</v>
      </c>
    </row>
    <row r="3092" spans="3:15" hidden="1" x14ac:dyDescent="0.3">
      <c r="C3092" t="s">
        <v>2266</v>
      </c>
      <c r="D3092" t="s">
        <v>2267</v>
      </c>
      <c r="E3092" t="s">
        <v>8372</v>
      </c>
      <c r="F3092" t="s">
        <v>8373</v>
      </c>
      <c r="G3092" s="425">
        <v>1166520</v>
      </c>
      <c r="H3092" s="425">
        <v>0</v>
      </c>
      <c r="I3092" s="425">
        <v>0</v>
      </c>
      <c r="J3092" s="425">
        <v>0</v>
      </c>
      <c r="K3092" s="425">
        <v>0</v>
      </c>
      <c r="L3092" s="425">
        <v>11981884768</v>
      </c>
      <c r="M3092" s="425">
        <v>0</v>
      </c>
      <c r="N3092" s="425">
        <v>-11980718248</v>
      </c>
      <c r="O3092" s="425">
        <v>0</v>
      </c>
    </row>
    <row r="3093" spans="3:15" hidden="1" x14ac:dyDescent="0.3">
      <c r="C3093" t="s">
        <v>2266</v>
      </c>
      <c r="D3093" t="s">
        <v>2267</v>
      </c>
      <c r="E3093" t="s">
        <v>8374</v>
      </c>
      <c r="F3093" t="s">
        <v>8375</v>
      </c>
      <c r="G3093" s="425">
        <v>-333051</v>
      </c>
      <c r="H3093" s="425">
        <v>0</v>
      </c>
      <c r="I3093" s="425">
        <v>0</v>
      </c>
      <c r="J3093" s="425">
        <v>0</v>
      </c>
      <c r="K3093" s="425">
        <v>0</v>
      </c>
      <c r="L3093" s="425">
        <v>1198194190</v>
      </c>
      <c r="M3093" s="425">
        <v>0</v>
      </c>
      <c r="N3093" s="425">
        <v>-1198527241</v>
      </c>
      <c r="O3093" s="425">
        <v>0</v>
      </c>
    </row>
    <row r="3094" spans="3:15" hidden="1" x14ac:dyDescent="0.3">
      <c r="C3094" t="s">
        <v>2266</v>
      </c>
      <c r="D3094" t="s">
        <v>2267</v>
      </c>
      <c r="E3094" t="s">
        <v>8376</v>
      </c>
      <c r="F3094" t="s">
        <v>8377</v>
      </c>
      <c r="G3094" s="425">
        <v>0</v>
      </c>
      <c r="H3094" s="425">
        <v>0</v>
      </c>
      <c r="I3094" s="425">
        <v>0</v>
      </c>
      <c r="J3094" s="425">
        <v>0</v>
      </c>
      <c r="K3094" s="425">
        <v>0</v>
      </c>
      <c r="L3094" s="425">
        <v>0</v>
      </c>
      <c r="M3094" s="425">
        <v>0</v>
      </c>
      <c r="N3094" s="425">
        <v>0</v>
      </c>
      <c r="O3094" s="425">
        <v>0</v>
      </c>
    </row>
    <row r="3095" spans="3:15" hidden="1" x14ac:dyDescent="0.3">
      <c r="C3095" t="s">
        <v>2266</v>
      </c>
      <c r="D3095" t="s">
        <v>2267</v>
      </c>
      <c r="E3095" t="s">
        <v>8378</v>
      </c>
      <c r="F3095" t="s">
        <v>8379</v>
      </c>
      <c r="G3095" s="425">
        <v>555690</v>
      </c>
      <c r="H3095" s="425">
        <v>0</v>
      </c>
      <c r="I3095" s="425">
        <v>0</v>
      </c>
      <c r="J3095" s="425">
        <v>0</v>
      </c>
      <c r="K3095" s="425">
        <v>0</v>
      </c>
      <c r="L3095" s="425">
        <v>0</v>
      </c>
      <c r="M3095" s="425">
        <v>0</v>
      </c>
      <c r="N3095" s="425">
        <v>555690</v>
      </c>
      <c r="O3095" s="425">
        <v>0</v>
      </c>
    </row>
    <row r="3096" spans="3:15" hidden="1" x14ac:dyDescent="0.3">
      <c r="C3096" t="s">
        <v>2266</v>
      </c>
      <c r="D3096" t="s">
        <v>2267</v>
      </c>
      <c r="E3096" t="s">
        <v>8380</v>
      </c>
      <c r="F3096" t="s">
        <v>8381</v>
      </c>
      <c r="G3096" s="425">
        <v>0</v>
      </c>
      <c r="H3096" s="425">
        <v>0</v>
      </c>
      <c r="I3096" s="425">
        <v>0</v>
      </c>
      <c r="J3096" s="425">
        <v>0</v>
      </c>
      <c r="K3096" s="425">
        <v>0</v>
      </c>
      <c r="L3096" s="425">
        <v>0</v>
      </c>
      <c r="M3096" s="425">
        <v>0</v>
      </c>
      <c r="N3096" s="425">
        <v>0</v>
      </c>
      <c r="O3096" s="425">
        <v>0</v>
      </c>
    </row>
    <row r="3097" spans="3:15" hidden="1" x14ac:dyDescent="0.3">
      <c r="C3097" t="s">
        <v>2266</v>
      </c>
      <c r="D3097" t="s">
        <v>2267</v>
      </c>
      <c r="E3097" t="s">
        <v>8382</v>
      </c>
      <c r="F3097" t="s">
        <v>8383</v>
      </c>
      <c r="G3097" s="425">
        <v>33682690</v>
      </c>
      <c r="H3097" s="425">
        <v>0</v>
      </c>
      <c r="I3097" s="425">
        <v>0</v>
      </c>
      <c r="J3097" s="425">
        <v>0</v>
      </c>
      <c r="K3097" s="425">
        <v>0</v>
      </c>
      <c r="L3097" s="425">
        <v>199572060</v>
      </c>
      <c r="M3097" s="425">
        <v>0</v>
      </c>
      <c r="N3097" s="425">
        <v>-165889370</v>
      </c>
      <c r="O3097" s="425">
        <v>0</v>
      </c>
    </row>
    <row r="3098" spans="3:15" hidden="1" x14ac:dyDescent="0.3">
      <c r="C3098" t="s">
        <v>2266</v>
      </c>
      <c r="D3098" t="s">
        <v>2267</v>
      </c>
      <c r="E3098" t="s">
        <v>8384</v>
      </c>
      <c r="F3098" t="s">
        <v>8385</v>
      </c>
      <c r="G3098" s="425">
        <v>435526274</v>
      </c>
      <c r="H3098" s="425">
        <v>0</v>
      </c>
      <c r="I3098" s="425">
        <v>0</v>
      </c>
      <c r="J3098" s="425">
        <v>0</v>
      </c>
      <c r="K3098" s="425">
        <v>0</v>
      </c>
      <c r="L3098" s="425">
        <v>-1799320</v>
      </c>
      <c r="M3098" s="425">
        <v>0</v>
      </c>
      <c r="N3098" s="425">
        <v>437325594</v>
      </c>
      <c r="O3098" s="425">
        <v>0</v>
      </c>
    </row>
    <row r="3099" spans="3:15" hidden="1" x14ac:dyDescent="0.3">
      <c r="C3099" t="s">
        <v>2266</v>
      </c>
      <c r="D3099" t="s">
        <v>2267</v>
      </c>
      <c r="E3099" t="s">
        <v>8386</v>
      </c>
      <c r="F3099" t="s">
        <v>8387</v>
      </c>
      <c r="G3099" s="425">
        <v>-63176971</v>
      </c>
      <c r="H3099" s="425">
        <v>0</v>
      </c>
      <c r="I3099" s="425">
        <v>0</v>
      </c>
      <c r="J3099" s="425">
        <v>0</v>
      </c>
      <c r="K3099" s="425">
        <v>0</v>
      </c>
      <c r="L3099" s="425">
        <v>55048280</v>
      </c>
      <c r="M3099" s="425">
        <v>0</v>
      </c>
      <c r="N3099" s="425">
        <v>-118225251</v>
      </c>
      <c r="O3099" s="425">
        <v>0</v>
      </c>
    </row>
    <row r="3100" spans="3:15" hidden="1" x14ac:dyDescent="0.3">
      <c r="C3100" t="s">
        <v>2266</v>
      </c>
      <c r="D3100" t="s">
        <v>2267</v>
      </c>
      <c r="E3100" t="s">
        <v>8388</v>
      </c>
      <c r="F3100" t="s">
        <v>8389</v>
      </c>
      <c r="G3100" s="425">
        <v>0</v>
      </c>
      <c r="H3100" s="425">
        <v>0</v>
      </c>
      <c r="I3100" s="425">
        <v>0</v>
      </c>
      <c r="J3100" s="425">
        <v>0</v>
      </c>
      <c r="K3100" s="425">
        <v>0</v>
      </c>
      <c r="L3100" s="425">
        <v>0</v>
      </c>
      <c r="M3100" s="425">
        <v>0</v>
      </c>
      <c r="N3100" s="425">
        <v>0</v>
      </c>
      <c r="O3100" s="425">
        <v>0</v>
      </c>
    </row>
    <row r="3101" spans="3:15" hidden="1" x14ac:dyDescent="0.3">
      <c r="C3101" t="s">
        <v>2266</v>
      </c>
      <c r="D3101" t="s">
        <v>2267</v>
      </c>
      <c r="E3101" t="s">
        <v>8390</v>
      </c>
      <c r="F3101" t="s">
        <v>8391</v>
      </c>
      <c r="G3101" s="425">
        <v>0</v>
      </c>
      <c r="H3101" s="425">
        <v>0</v>
      </c>
      <c r="I3101" s="425">
        <v>0</v>
      </c>
      <c r="J3101" s="425">
        <v>0</v>
      </c>
      <c r="K3101" s="425">
        <v>0</v>
      </c>
      <c r="L3101" s="425">
        <v>0</v>
      </c>
      <c r="M3101" s="425">
        <v>0</v>
      </c>
      <c r="N3101" s="425">
        <v>0</v>
      </c>
      <c r="O3101" s="425">
        <v>0</v>
      </c>
    </row>
    <row r="3102" spans="3:15" hidden="1" x14ac:dyDescent="0.3">
      <c r="C3102" t="s">
        <v>2266</v>
      </c>
      <c r="D3102" t="s">
        <v>2267</v>
      </c>
      <c r="E3102" t="s">
        <v>8392</v>
      </c>
      <c r="F3102" t="s">
        <v>8393</v>
      </c>
      <c r="G3102" s="425">
        <v>2394764039</v>
      </c>
      <c r="H3102" s="425">
        <v>2286764039</v>
      </c>
      <c r="I3102" s="425">
        <v>108000000</v>
      </c>
      <c r="J3102" s="425">
        <v>0</v>
      </c>
      <c r="K3102" s="425">
        <v>0</v>
      </c>
      <c r="L3102" s="425">
        <v>0</v>
      </c>
      <c r="M3102" s="425">
        <v>0</v>
      </c>
      <c r="N3102" s="425">
        <v>0</v>
      </c>
      <c r="O3102" s="425">
        <v>0</v>
      </c>
    </row>
    <row r="3103" spans="3:15" hidden="1" x14ac:dyDescent="0.3">
      <c r="C3103" t="s">
        <v>2266</v>
      </c>
      <c r="D3103" t="s">
        <v>2267</v>
      </c>
      <c r="E3103" t="s">
        <v>8394</v>
      </c>
      <c r="F3103" t="s">
        <v>8395</v>
      </c>
      <c r="G3103" s="425">
        <v>0</v>
      </c>
      <c r="H3103" s="425">
        <v>0</v>
      </c>
      <c r="I3103" s="425">
        <v>0</v>
      </c>
      <c r="J3103" s="425">
        <v>0</v>
      </c>
      <c r="K3103" s="425">
        <v>0</v>
      </c>
      <c r="L3103" s="425">
        <v>0</v>
      </c>
      <c r="M3103" s="425">
        <v>0</v>
      </c>
      <c r="N3103" s="425">
        <v>0</v>
      </c>
      <c r="O3103" s="425">
        <v>0</v>
      </c>
    </row>
    <row r="3104" spans="3:15" hidden="1" x14ac:dyDescent="0.3">
      <c r="C3104" t="s">
        <v>2266</v>
      </c>
      <c r="D3104" t="s">
        <v>2267</v>
      </c>
      <c r="E3104" t="s">
        <v>8396</v>
      </c>
      <c r="F3104" t="s">
        <v>8397</v>
      </c>
      <c r="G3104" s="425">
        <v>62812267</v>
      </c>
      <c r="H3104" s="425">
        <v>0</v>
      </c>
      <c r="I3104" s="425">
        <v>0</v>
      </c>
      <c r="J3104" s="425">
        <v>0</v>
      </c>
      <c r="K3104" s="425">
        <v>0</v>
      </c>
      <c r="L3104" s="425">
        <v>741791</v>
      </c>
      <c r="M3104" s="425">
        <v>0</v>
      </c>
      <c r="N3104" s="425">
        <v>62070476</v>
      </c>
      <c r="O3104" s="425">
        <v>0</v>
      </c>
    </row>
    <row r="3105" spans="3:15" hidden="1" x14ac:dyDescent="0.3">
      <c r="C3105" t="s">
        <v>2266</v>
      </c>
      <c r="D3105" t="s">
        <v>2267</v>
      </c>
      <c r="E3105" t="s">
        <v>8398</v>
      </c>
      <c r="F3105" t="s">
        <v>8399</v>
      </c>
      <c r="G3105" s="425">
        <v>0</v>
      </c>
      <c r="H3105" s="425">
        <v>0</v>
      </c>
      <c r="I3105" s="425">
        <v>0</v>
      </c>
      <c r="J3105" s="425">
        <v>0</v>
      </c>
      <c r="K3105" s="425">
        <v>0</v>
      </c>
      <c r="L3105" s="425">
        <v>0</v>
      </c>
      <c r="M3105" s="425">
        <v>0</v>
      </c>
      <c r="N3105" s="425">
        <v>0</v>
      </c>
      <c r="O3105" s="425">
        <v>0</v>
      </c>
    </row>
    <row r="3106" spans="3:15" hidden="1" x14ac:dyDescent="0.3">
      <c r="C3106" t="s">
        <v>2266</v>
      </c>
      <c r="D3106" t="s">
        <v>2267</v>
      </c>
      <c r="E3106" t="s">
        <v>8400</v>
      </c>
      <c r="F3106" t="s">
        <v>8401</v>
      </c>
      <c r="G3106" s="425">
        <v>0</v>
      </c>
      <c r="H3106" s="425">
        <v>0</v>
      </c>
      <c r="I3106" s="425">
        <v>0</v>
      </c>
      <c r="J3106" s="425">
        <v>0</v>
      </c>
      <c r="K3106" s="425">
        <v>0</v>
      </c>
      <c r="L3106" s="425">
        <v>0</v>
      </c>
      <c r="M3106" s="425">
        <v>0</v>
      </c>
      <c r="N3106" s="425">
        <v>0</v>
      </c>
      <c r="O3106" s="425">
        <v>0</v>
      </c>
    </row>
    <row r="3107" spans="3:15" hidden="1" x14ac:dyDescent="0.3">
      <c r="C3107" t="s">
        <v>2266</v>
      </c>
      <c r="D3107" t="s">
        <v>2267</v>
      </c>
      <c r="E3107" t="s">
        <v>8402</v>
      </c>
      <c r="F3107" t="s">
        <v>8403</v>
      </c>
      <c r="G3107" s="425">
        <v>0</v>
      </c>
      <c r="H3107" s="425">
        <v>0</v>
      </c>
      <c r="I3107" s="425">
        <v>0</v>
      </c>
      <c r="J3107" s="425">
        <v>0</v>
      </c>
      <c r="K3107" s="425">
        <v>0</v>
      </c>
      <c r="L3107" s="425">
        <v>0</v>
      </c>
      <c r="M3107" s="425">
        <v>0</v>
      </c>
      <c r="N3107" s="425">
        <v>0</v>
      </c>
      <c r="O3107" s="425">
        <v>0</v>
      </c>
    </row>
    <row r="3108" spans="3:15" hidden="1" x14ac:dyDescent="0.3">
      <c r="C3108" t="s">
        <v>2266</v>
      </c>
      <c r="D3108" t="s">
        <v>2267</v>
      </c>
      <c r="E3108" t="s">
        <v>8404</v>
      </c>
      <c r="F3108" t="s">
        <v>8405</v>
      </c>
      <c r="G3108" s="425">
        <v>115334426</v>
      </c>
      <c r="H3108" s="425">
        <v>0</v>
      </c>
      <c r="I3108" s="425">
        <v>0</v>
      </c>
      <c r="J3108" s="425">
        <v>0</v>
      </c>
      <c r="K3108" s="425">
        <v>0</v>
      </c>
      <c r="L3108" s="425">
        <v>0</v>
      </c>
      <c r="M3108" s="425">
        <v>0</v>
      </c>
      <c r="N3108" s="425">
        <v>115334426</v>
      </c>
      <c r="O3108" s="425">
        <v>0</v>
      </c>
    </row>
    <row r="3109" spans="3:15" hidden="1" x14ac:dyDescent="0.3">
      <c r="C3109" t="s">
        <v>2266</v>
      </c>
      <c r="D3109" t="s">
        <v>2267</v>
      </c>
      <c r="E3109" t="s">
        <v>8406</v>
      </c>
      <c r="F3109" t="s">
        <v>8407</v>
      </c>
      <c r="G3109" s="425">
        <v>0</v>
      </c>
      <c r="H3109" s="425">
        <v>0</v>
      </c>
      <c r="I3109" s="425">
        <v>0</v>
      </c>
      <c r="J3109" s="425">
        <v>0</v>
      </c>
      <c r="K3109" s="425">
        <v>0</v>
      </c>
      <c r="L3109" s="425">
        <v>0</v>
      </c>
      <c r="M3109" s="425">
        <v>0</v>
      </c>
      <c r="N3109" s="425">
        <v>0</v>
      </c>
      <c r="O3109" s="425">
        <v>0</v>
      </c>
    </row>
    <row r="3110" spans="3:15" hidden="1" x14ac:dyDescent="0.3">
      <c r="C3110" t="s">
        <v>2266</v>
      </c>
      <c r="D3110" t="s">
        <v>2267</v>
      </c>
      <c r="E3110" t="s">
        <v>8408</v>
      </c>
      <c r="F3110" t="s">
        <v>8409</v>
      </c>
      <c r="G3110" s="425">
        <v>0</v>
      </c>
      <c r="H3110" s="425">
        <v>0</v>
      </c>
      <c r="I3110" s="425">
        <v>0</v>
      </c>
      <c r="J3110" s="425">
        <v>0</v>
      </c>
      <c r="K3110" s="425">
        <v>0</v>
      </c>
      <c r="L3110" s="425">
        <v>0</v>
      </c>
      <c r="M3110" s="425">
        <v>0</v>
      </c>
      <c r="N3110" s="425">
        <v>0</v>
      </c>
      <c r="O3110" s="425">
        <v>0</v>
      </c>
    </row>
    <row r="3111" spans="3:15" hidden="1" x14ac:dyDescent="0.3">
      <c r="C3111" t="s">
        <v>2266</v>
      </c>
      <c r="D3111" t="s">
        <v>2267</v>
      </c>
      <c r="E3111" t="s">
        <v>8410</v>
      </c>
      <c r="F3111" t="s">
        <v>8411</v>
      </c>
      <c r="G3111" s="425">
        <v>0</v>
      </c>
      <c r="H3111" s="425">
        <v>0</v>
      </c>
      <c r="I3111" s="425">
        <v>0</v>
      </c>
      <c r="J3111" s="425">
        <v>0</v>
      </c>
      <c r="K3111" s="425">
        <v>0</v>
      </c>
      <c r="L3111" s="425">
        <v>0</v>
      </c>
      <c r="M3111" s="425">
        <v>0</v>
      </c>
      <c r="N3111" s="425">
        <v>0</v>
      </c>
      <c r="O3111" s="425">
        <v>0</v>
      </c>
    </row>
    <row r="3112" spans="3:15" hidden="1" x14ac:dyDescent="0.3">
      <c r="C3112" t="s">
        <v>2266</v>
      </c>
      <c r="D3112" t="s">
        <v>2267</v>
      </c>
      <c r="E3112" t="s">
        <v>8412</v>
      </c>
      <c r="F3112" t="s">
        <v>8413</v>
      </c>
      <c r="G3112" s="425">
        <v>29318752</v>
      </c>
      <c r="H3112" s="425">
        <v>0</v>
      </c>
      <c r="I3112" s="425">
        <v>0</v>
      </c>
      <c r="J3112" s="425">
        <v>0</v>
      </c>
      <c r="K3112" s="425">
        <v>0</v>
      </c>
      <c r="L3112" s="425">
        <v>29318752</v>
      </c>
      <c r="M3112" s="425">
        <v>0</v>
      </c>
      <c r="N3112" s="425">
        <v>0</v>
      </c>
      <c r="O3112" s="425">
        <v>0</v>
      </c>
    </row>
    <row r="3113" spans="3:15" hidden="1" x14ac:dyDescent="0.3">
      <c r="C3113" t="s">
        <v>2266</v>
      </c>
      <c r="D3113" t="s">
        <v>2267</v>
      </c>
      <c r="E3113" t="s">
        <v>8414</v>
      </c>
      <c r="F3113" t="s">
        <v>8415</v>
      </c>
      <c r="G3113" s="425">
        <v>128959491</v>
      </c>
      <c r="H3113" s="425">
        <v>0</v>
      </c>
      <c r="I3113" s="425">
        <v>0</v>
      </c>
      <c r="J3113" s="425">
        <v>0</v>
      </c>
      <c r="K3113" s="425">
        <v>0</v>
      </c>
      <c r="L3113" s="425">
        <v>128959491</v>
      </c>
      <c r="M3113" s="425">
        <v>0</v>
      </c>
      <c r="N3113" s="425">
        <v>0</v>
      </c>
      <c r="O3113" s="425">
        <v>0</v>
      </c>
    </row>
    <row r="3114" spans="3:15" hidden="1" x14ac:dyDescent="0.3">
      <c r="C3114" t="s">
        <v>2266</v>
      </c>
      <c r="D3114" t="s">
        <v>2267</v>
      </c>
      <c r="E3114" t="s">
        <v>8416</v>
      </c>
      <c r="F3114" t="s">
        <v>8417</v>
      </c>
      <c r="G3114" s="425">
        <v>107931430</v>
      </c>
      <c r="H3114" s="425">
        <v>0</v>
      </c>
      <c r="I3114" s="425">
        <v>0</v>
      </c>
      <c r="J3114" s="425">
        <v>0</v>
      </c>
      <c r="K3114" s="425">
        <v>0</v>
      </c>
      <c r="L3114" s="425">
        <v>107931430</v>
      </c>
      <c r="M3114" s="425">
        <v>0</v>
      </c>
      <c r="N3114" s="425">
        <v>0</v>
      </c>
      <c r="O3114" s="425">
        <v>0</v>
      </c>
    </row>
    <row r="3115" spans="3:15" hidden="1" x14ac:dyDescent="0.3">
      <c r="C3115" t="s">
        <v>2266</v>
      </c>
      <c r="D3115" t="s">
        <v>2267</v>
      </c>
      <c r="E3115" t="s">
        <v>8418</v>
      </c>
      <c r="F3115" t="s">
        <v>8419</v>
      </c>
      <c r="G3115" s="425">
        <v>918710</v>
      </c>
      <c r="H3115" s="425">
        <v>0</v>
      </c>
      <c r="I3115" s="425">
        <v>0</v>
      </c>
      <c r="J3115" s="425">
        <v>0</v>
      </c>
      <c r="K3115" s="425">
        <v>0</v>
      </c>
      <c r="L3115" s="425">
        <v>918710</v>
      </c>
      <c r="M3115" s="425">
        <v>0</v>
      </c>
      <c r="N3115" s="425">
        <v>0</v>
      </c>
      <c r="O3115" s="425">
        <v>0</v>
      </c>
    </row>
    <row r="3116" spans="3:15" hidden="1" x14ac:dyDescent="0.3">
      <c r="C3116" t="s">
        <v>2266</v>
      </c>
      <c r="D3116" t="s">
        <v>2267</v>
      </c>
      <c r="E3116" t="s">
        <v>8420</v>
      </c>
      <c r="F3116" t="s">
        <v>8421</v>
      </c>
      <c r="G3116" s="425">
        <v>-1166520</v>
      </c>
      <c r="H3116" s="425">
        <v>2887504</v>
      </c>
      <c r="I3116" s="425">
        <v>0</v>
      </c>
      <c r="J3116" s="425">
        <v>0</v>
      </c>
      <c r="K3116" s="425">
        <v>166631689</v>
      </c>
      <c r="L3116" s="425">
        <v>437747219</v>
      </c>
      <c r="M3116" s="425">
        <v>0</v>
      </c>
      <c r="N3116" s="425">
        <v>-608432932</v>
      </c>
      <c r="O3116" s="425">
        <v>0</v>
      </c>
    </row>
    <row r="3117" spans="3:15" hidden="1" x14ac:dyDescent="0.3">
      <c r="C3117" t="s">
        <v>2266</v>
      </c>
      <c r="D3117" t="s">
        <v>2267</v>
      </c>
      <c r="E3117" t="s">
        <v>8422</v>
      </c>
      <c r="F3117" t="s">
        <v>8423</v>
      </c>
      <c r="G3117" s="425">
        <v>-116629</v>
      </c>
      <c r="H3117" s="425">
        <v>288752</v>
      </c>
      <c r="I3117" s="425">
        <v>0</v>
      </c>
      <c r="J3117" s="425">
        <v>0</v>
      </c>
      <c r="K3117" s="425">
        <v>16663170</v>
      </c>
      <c r="L3117" s="425">
        <v>43774702</v>
      </c>
      <c r="M3117" s="425">
        <v>0</v>
      </c>
      <c r="N3117" s="425">
        <v>-60843253</v>
      </c>
      <c r="O3117" s="425">
        <v>0</v>
      </c>
    </row>
    <row r="3118" spans="3:15" hidden="1" x14ac:dyDescent="0.3">
      <c r="C3118" t="s">
        <v>2266</v>
      </c>
      <c r="D3118" t="s">
        <v>2267</v>
      </c>
      <c r="E3118" t="s">
        <v>8424</v>
      </c>
      <c r="F3118" t="s">
        <v>8425</v>
      </c>
      <c r="G3118" s="425">
        <v>-61274819</v>
      </c>
      <c r="H3118" s="425">
        <v>0</v>
      </c>
      <c r="I3118" s="425">
        <v>0</v>
      </c>
      <c r="J3118" s="425">
        <v>0</v>
      </c>
      <c r="K3118" s="425">
        <v>0</v>
      </c>
      <c r="L3118" s="425">
        <v>-61274819</v>
      </c>
      <c r="M3118" s="425">
        <v>0</v>
      </c>
      <c r="N3118" s="425">
        <v>0</v>
      </c>
      <c r="O3118" s="425">
        <v>0</v>
      </c>
    </row>
    <row r="3119" spans="3:15" hidden="1" x14ac:dyDescent="0.3">
      <c r="C3119" t="s">
        <v>2266</v>
      </c>
      <c r="D3119" t="s">
        <v>2267</v>
      </c>
      <c r="E3119" t="s">
        <v>8426</v>
      </c>
      <c r="F3119" t="s">
        <v>8427</v>
      </c>
      <c r="G3119" s="425">
        <v>0</v>
      </c>
      <c r="H3119" s="425">
        <v>0</v>
      </c>
      <c r="I3119" s="425">
        <v>0</v>
      </c>
      <c r="J3119" s="425">
        <v>0</v>
      </c>
      <c r="K3119" s="425">
        <v>0</v>
      </c>
      <c r="L3119" s="425">
        <v>0</v>
      </c>
      <c r="M3119" s="425">
        <v>0</v>
      </c>
      <c r="N3119" s="425">
        <v>0</v>
      </c>
      <c r="O3119" s="425">
        <v>0</v>
      </c>
    </row>
    <row r="3120" spans="3:15" hidden="1" x14ac:dyDescent="0.3">
      <c r="C3120" t="s">
        <v>2266</v>
      </c>
      <c r="D3120" t="s">
        <v>2267</v>
      </c>
      <c r="E3120" t="s">
        <v>8428</v>
      </c>
      <c r="F3120" t="s">
        <v>8429</v>
      </c>
      <c r="G3120" s="425">
        <v>0</v>
      </c>
      <c r="H3120" s="425">
        <v>0</v>
      </c>
      <c r="I3120" s="425">
        <v>0</v>
      </c>
      <c r="J3120" s="425">
        <v>0</v>
      </c>
      <c r="K3120" s="425">
        <v>0</v>
      </c>
      <c r="L3120" s="425">
        <v>0</v>
      </c>
      <c r="M3120" s="425">
        <v>0</v>
      </c>
      <c r="N3120" s="425">
        <v>0</v>
      </c>
      <c r="O3120" s="425">
        <v>0</v>
      </c>
    </row>
    <row r="3121" spans="3:15" hidden="1" x14ac:dyDescent="0.3">
      <c r="C3121" t="s">
        <v>2266</v>
      </c>
      <c r="D3121" t="s">
        <v>2267</v>
      </c>
      <c r="E3121" t="s">
        <v>8430</v>
      </c>
      <c r="F3121" t="s">
        <v>8431</v>
      </c>
      <c r="G3121" s="425">
        <v>2066814</v>
      </c>
      <c r="H3121" s="425">
        <v>0</v>
      </c>
      <c r="I3121" s="425">
        <v>0</v>
      </c>
      <c r="J3121" s="425">
        <v>0</v>
      </c>
      <c r="K3121" s="425">
        <v>0</v>
      </c>
      <c r="L3121" s="425">
        <v>5566627</v>
      </c>
      <c r="M3121" s="425">
        <v>0</v>
      </c>
      <c r="N3121" s="425">
        <v>-3499813</v>
      </c>
      <c r="O3121" s="425">
        <v>0</v>
      </c>
    </row>
    <row r="3122" spans="3:15" hidden="1" x14ac:dyDescent="0.3">
      <c r="C3122" t="s">
        <v>2266</v>
      </c>
      <c r="D3122" t="s">
        <v>2267</v>
      </c>
      <c r="E3122" t="s">
        <v>8432</v>
      </c>
      <c r="F3122" t="s">
        <v>8433</v>
      </c>
      <c r="G3122" s="425">
        <v>2185890547</v>
      </c>
      <c r="H3122" s="425">
        <v>1106677566</v>
      </c>
      <c r="I3122" s="425">
        <v>357199686</v>
      </c>
      <c r="J3122" s="425">
        <v>0</v>
      </c>
      <c r="K3122" s="425">
        <v>198717259</v>
      </c>
      <c r="L3122" s="425">
        <v>-30260827</v>
      </c>
      <c r="M3122" s="425">
        <v>275174130</v>
      </c>
      <c r="N3122" s="425">
        <v>276139217</v>
      </c>
      <c r="O3122" s="425">
        <v>2243516</v>
      </c>
    </row>
    <row r="3123" spans="3:15" hidden="1" x14ac:dyDescent="0.3">
      <c r="C3123" t="s">
        <v>2263</v>
      </c>
      <c r="D3123" t="s">
        <v>2237</v>
      </c>
      <c r="E3123" t="s">
        <v>8434</v>
      </c>
      <c r="F3123" t="s">
        <v>8435</v>
      </c>
      <c r="G3123" s="425">
        <v>0</v>
      </c>
      <c r="H3123" s="425">
        <v>0</v>
      </c>
      <c r="I3123" s="425">
        <v>0</v>
      </c>
      <c r="J3123" s="425">
        <v>0</v>
      </c>
      <c r="K3123" s="425">
        <v>0</v>
      </c>
      <c r="L3123" s="425">
        <v>0</v>
      </c>
      <c r="M3123" s="425">
        <v>0</v>
      </c>
      <c r="N3123" s="425">
        <v>0</v>
      </c>
      <c r="O3123" s="425">
        <v>0</v>
      </c>
    </row>
    <row r="3124" spans="3:15" hidden="1" x14ac:dyDescent="0.3">
      <c r="C3124" t="s">
        <v>2266</v>
      </c>
      <c r="D3124" t="s">
        <v>2267</v>
      </c>
      <c r="E3124" t="s">
        <v>8436</v>
      </c>
      <c r="F3124" t="s">
        <v>8437</v>
      </c>
      <c r="G3124" s="425">
        <v>0</v>
      </c>
      <c r="H3124" s="425">
        <v>0</v>
      </c>
      <c r="I3124" s="425">
        <v>0</v>
      </c>
      <c r="J3124" s="425">
        <v>0</v>
      </c>
      <c r="K3124" s="425">
        <v>0</v>
      </c>
      <c r="L3124" s="425">
        <v>0</v>
      </c>
      <c r="M3124" s="425">
        <v>0</v>
      </c>
      <c r="N3124" s="425">
        <v>0</v>
      </c>
      <c r="O3124" s="425">
        <v>0</v>
      </c>
    </row>
    <row r="3125" spans="3:15" hidden="1" x14ac:dyDescent="0.3">
      <c r="C3125" t="s">
        <v>2266</v>
      </c>
      <c r="D3125" t="s">
        <v>2267</v>
      </c>
      <c r="E3125" t="s">
        <v>8438</v>
      </c>
      <c r="F3125" t="s">
        <v>8439</v>
      </c>
      <c r="G3125" s="425">
        <v>0</v>
      </c>
      <c r="H3125" s="425">
        <v>0</v>
      </c>
      <c r="I3125" s="425">
        <v>0</v>
      </c>
      <c r="J3125" s="425">
        <v>0</v>
      </c>
      <c r="K3125" s="425">
        <v>0</v>
      </c>
      <c r="L3125" s="425">
        <v>0</v>
      </c>
      <c r="M3125" s="425">
        <v>0</v>
      </c>
      <c r="N3125" s="425">
        <v>0</v>
      </c>
      <c r="O3125" s="425">
        <v>0</v>
      </c>
    </row>
    <row r="3126" spans="3:15" hidden="1" x14ac:dyDescent="0.3">
      <c r="C3126" t="s">
        <v>2263</v>
      </c>
      <c r="D3126" t="s">
        <v>2237</v>
      </c>
      <c r="E3126" t="s">
        <v>8440</v>
      </c>
      <c r="F3126" t="s">
        <v>8441</v>
      </c>
      <c r="G3126" s="425">
        <v>34927127093</v>
      </c>
      <c r="H3126" s="425">
        <v>-488853995</v>
      </c>
      <c r="I3126" s="425">
        <v>-49164488</v>
      </c>
      <c r="J3126" s="425">
        <v>0</v>
      </c>
      <c r="K3126" s="425">
        <v>-20716786</v>
      </c>
      <c r="L3126" s="425">
        <v>-856743</v>
      </c>
      <c r="M3126" s="425">
        <v>33113952</v>
      </c>
      <c r="N3126" s="425">
        <v>35457856811</v>
      </c>
      <c r="O3126" s="425">
        <v>-4251658</v>
      </c>
    </row>
    <row r="3127" spans="3:15" hidden="1" x14ac:dyDescent="0.3">
      <c r="C3127" t="s">
        <v>2266</v>
      </c>
      <c r="D3127" t="s">
        <v>2267</v>
      </c>
      <c r="E3127" t="s">
        <v>8442</v>
      </c>
      <c r="F3127" t="s">
        <v>8443</v>
      </c>
      <c r="G3127" s="425">
        <v>35558766347</v>
      </c>
      <c r="H3127" s="425">
        <v>2816521</v>
      </c>
      <c r="I3127" s="425">
        <v>240000</v>
      </c>
      <c r="J3127" s="425">
        <v>0</v>
      </c>
      <c r="K3127" s="425">
        <v>1290</v>
      </c>
      <c r="L3127" s="425">
        <v>0</v>
      </c>
      <c r="M3127" s="425">
        <v>35581888</v>
      </c>
      <c r="N3127" s="425">
        <v>35519999020</v>
      </c>
      <c r="O3127" s="425">
        <v>127628</v>
      </c>
    </row>
    <row r="3128" spans="3:15" hidden="1" x14ac:dyDescent="0.3">
      <c r="C3128" t="s">
        <v>2266</v>
      </c>
      <c r="D3128" t="s">
        <v>2267</v>
      </c>
      <c r="E3128" t="s">
        <v>8444</v>
      </c>
      <c r="F3128" t="s">
        <v>8445</v>
      </c>
      <c r="G3128" s="425">
        <v>-631639254</v>
      </c>
      <c r="H3128" s="425">
        <v>-491670516</v>
      </c>
      <c r="I3128" s="425">
        <v>-49404488</v>
      </c>
      <c r="J3128" s="425">
        <v>0</v>
      </c>
      <c r="K3128" s="425">
        <v>-20718076</v>
      </c>
      <c r="L3128" s="425">
        <v>-856743</v>
      </c>
      <c r="M3128" s="425">
        <v>-2467936</v>
      </c>
      <c r="N3128" s="425">
        <v>-62142209</v>
      </c>
      <c r="O3128" s="425">
        <v>-4379286</v>
      </c>
    </row>
    <row r="3129" spans="3:15" hidden="1" x14ac:dyDescent="0.3">
      <c r="C3129" t="s">
        <v>2263</v>
      </c>
      <c r="D3129" t="s">
        <v>2237</v>
      </c>
      <c r="E3129" t="s">
        <v>8446</v>
      </c>
      <c r="F3129" t="s">
        <v>8447</v>
      </c>
      <c r="G3129" s="425">
        <v>0</v>
      </c>
      <c r="H3129" s="425">
        <v>0</v>
      </c>
      <c r="I3129" s="425">
        <v>0</v>
      </c>
      <c r="J3129" s="425">
        <v>0</v>
      </c>
      <c r="K3129" s="425">
        <v>0</v>
      </c>
      <c r="L3129" s="425">
        <v>0</v>
      </c>
      <c r="M3129" s="425">
        <v>0</v>
      </c>
      <c r="N3129" s="425">
        <v>0</v>
      </c>
      <c r="O3129" s="425">
        <v>0</v>
      </c>
    </row>
    <row r="3130" spans="3:15" hidden="1" x14ac:dyDescent="0.3">
      <c r="C3130" t="s">
        <v>2266</v>
      </c>
      <c r="D3130" t="s">
        <v>2267</v>
      </c>
      <c r="E3130" t="s">
        <v>8448</v>
      </c>
      <c r="F3130" t="s">
        <v>8449</v>
      </c>
      <c r="G3130" s="425">
        <v>0</v>
      </c>
      <c r="H3130" s="425">
        <v>0</v>
      </c>
      <c r="I3130" s="425">
        <v>0</v>
      </c>
      <c r="J3130" s="425">
        <v>0</v>
      </c>
      <c r="K3130" s="425">
        <v>0</v>
      </c>
      <c r="L3130" s="425">
        <v>0</v>
      </c>
      <c r="M3130" s="425">
        <v>0</v>
      </c>
      <c r="N3130" s="425">
        <v>0</v>
      </c>
      <c r="O3130" s="425">
        <v>0</v>
      </c>
    </row>
    <row r="3131" spans="3:15" hidden="1" x14ac:dyDescent="0.3">
      <c r="C3131" t="s">
        <v>2266</v>
      </c>
      <c r="D3131" t="s">
        <v>2267</v>
      </c>
      <c r="E3131" t="s">
        <v>8450</v>
      </c>
      <c r="F3131" t="s">
        <v>8451</v>
      </c>
      <c r="G3131" s="425">
        <v>0</v>
      </c>
      <c r="H3131" s="425">
        <v>0</v>
      </c>
      <c r="I3131" s="425">
        <v>0</v>
      </c>
      <c r="J3131" s="425">
        <v>0</v>
      </c>
      <c r="K3131" s="425">
        <v>0</v>
      </c>
      <c r="L3131" s="425">
        <v>0</v>
      </c>
      <c r="M3131" s="425">
        <v>0</v>
      </c>
      <c r="N3131" s="425">
        <v>0</v>
      </c>
      <c r="O3131" s="425">
        <v>0</v>
      </c>
    </row>
    <row r="3132" spans="3:15" hidden="1" x14ac:dyDescent="0.3">
      <c r="C3132" t="s">
        <v>2263</v>
      </c>
      <c r="D3132" t="s">
        <v>2237</v>
      </c>
      <c r="E3132" t="s">
        <v>8452</v>
      </c>
      <c r="F3132" t="s">
        <v>8453</v>
      </c>
      <c r="G3132" s="425">
        <v>0</v>
      </c>
      <c r="H3132" s="425">
        <v>0</v>
      </c>
      <c r="I3132" s="425">
        <v>0</v>
      </c>
      <c r="J3132" s="425">
        <v>0</v>
      </c>
      <c r="K3132" s="425">
        <v>0</v>
      </c>
      <c r="L3132" s="425">
        <v>0</v>
      </c>
      <c r="M3132" s="425">
        <v>0</v>
      </c>
      <c r="N3132" s="425">
        <v>0</v>
      </c>
      <c r="O3132" s="425">
        <v>0</v>
      </c>
    </row>
    <row r="3133" spans="3:15" hidden="1" x14ac:dyDescent="0.3">
      <c r="C3133" t="s">
        <v>2266</v>
      </c>
      <c r="D3133" t="s">
        <v>2237</v>
      </c>
      <c r="E3133" t="s">
        <v>8454</v>
      </c>
      <c r="F3133" t="s">
        <v>8455</v>
      </c>
      <c r="G3133" s="425">
        <v>0</v>
      </c>
      <c r="H3133" s="425">
        <v>0</v>
      </c>
      <c r="I3133" s="425">
        <v>0</v>
      </c>
      <c r="J3133" s="425">
        <v>0</v>
      </c>
      <c r="K3133" s="425">
        <v>0</v>
      </c>
      <c r="L3133" s="425">
        <v>0</v>
      </c>
      <c r="M3133" s="425">
        <v>0</v>
      </c>
      <c r="N3133" s="425">
        <v>0</v>
      </c>
      <c r="O3133" s="425">
        <v>0</v>
      </c>
    </row>
    <row r="3134" spans="3:15" hidden="1" x14ac:dyDescent="0.3">
      <c r="C3134" t="s">
        <v>2292</v>
      </c>
      <c r="D3134" t="s">
        <v>2267</v>
      </c>
      <c r="E3134" t="s">
        <v>8456</v>
      </c>
      <c r="F3134" t="s">
        <v>8457</v>
      </c>
      <c r="G3134" s="425">
        <v>1095744835</v>
      </c>
      <c r="H3134" s="425">
        <v>0</v>
      </c>
      <c r="I3134" s="425">
        <v>0</v>
      </c>
      <c r="J3134" s="425">
        <v>0</v>
      </c>
      <c r="K3134" s="425">
        <v>0</v>
      </c>
      <c r="L3134" s="425">
        <v>1095744835</v>
      </c>
      <c r="M3134" s="425">
        <v>0</v>
      </c>
      <c r="N3134" s="425">
        <v>0</v>
      </c>
      <c r="O3134" s="425">
        <v>0</v>
      </c>
    </row>
    <row r="3135" spans="3:15" hidden="1" x14ac:dyDescent="0.3">
      <c r="C3135" t="s">
        <v>2292</v>
      </c>
      <c r="D3135" t="s">
        <v>2267</v>
      </c>
      <c r="E3135" t="s">
        <v>8458</v>
      </c>
      <c r="F3135" t="s">
        <v>8459</v>
      </c>
      <c r="G3135" s="425">
        <v>116896315</v>
      </c>
      <c r="H3135" s="425">
        <v>0</v>
      </c>
      <c r="I3135" s="425">
        <v>0</v>
      </c>
      <c r="J3135" s="425">
        <v>0</v>
      </c>
      <c r="K3135" s="425">
        <v>0</v>
      </c>
      <c r="L3135" s="425">
        <v>116896315</v>
      </c>
      <c r="M3135" s="425">
        <v>0</v>
      </c>
      <c r="N3135" s="425">
        <v>0</v>
      </c>
      <c r="O3135" s="425">
        <v>0</v>
      </c>
    </row>
    <row r="3136" spans="3:15" hidden="1" x14ac:dyDescent="0.3">
      <c r="C3136" t="s">
        <v>2292</v>
      </c>
      <c r="D3136" t="s">
        <v>2267</v>
      </c>
      <c r="E3136" t="s">
        <v>8460</v>
      </c>
      <c r="F3136" t="s">
        <v>8461</v>
      </c>
      <c r="G3136" s="425">
        <v>-10720758</v>
      </c>
      <c r="H3136" s="425">
        <v>0</v>
      </c>
      <c r="I3136" s="425">
        <v>0</v>
      </c>
      <c r="J3136" s="425">
        <v>0</v>
      </c>
      <c r="K3136" s="425">
        <v>0</v>
      </c>
      <c r="L3136" s="425">
        <v>-10720758</v>
      </c>
      <c r="M3136" s="425">
        <v>0</v>
      </c>
      <c r="N3136" s="425">
        <v>0</v>
      </c>
      <c r="O3136" s="425">
        <v>0</v>
      </c>
    </row>
    <row r="3137" spans="1:15" hidden="1" x14ac:dyDescent="0.3">
      <c r="C3137" t="s">
        <v>2292</v>
      </c>
      <c r="D3137" t="s">
        <v>2267</v>
      </c>
      <c r="E3137" t="s">
        <v>8462</v>
      </c>
      <c r="F3137" t="s">
        <v>8463</v>
      </c>
      <c r="G3137" s="425">
        <v>-330000</v>
      </c>
      <c r="H3137" s="425">
        <v>0</v>
      </c>
      <c r="I3137" s="425">
        <v>0</v>
      </c>
      <c r="J3137" s="425">
        <v>0</v>
      </c>
      <c r="K3137" s="425">
        <v>0</v>
      </c>
      <c r="L3137" s="425">
        <v>-330000</v>
      </c>
      <c r="M3137" s="425">
        <v>0</v>
      </c>
      <c r="N3137" s="425">
        <v>0</v>
      </c>
      <c r="O3137" s="425">
        <v>0</v>
      </c>
    </row>
    <row r="3138" spans="1:15" hidden="1" x14ac:dyDescent="0.3">
      <c r="C3138" t="s">
        <v>2292</v>
      </c>
      <c r="D3138" t="s">
        <v>2267</v>
      </c>
      <c r="E3138" t="s">
        <v>8464</v>
      </c>
      <c r="F3138" t="s">
        <v>8465</v>
      </c>
      <c r="G3138" s="425">
        <v>8412223</v>
      </c>
      <c r="H3138" s="425">
        <v>0</v>
      </c>
      <c r="I3138" s="425">
        <v>0</v>
      </c>
      <c r="J3138" s="425">
        <v>0</v>
      </c>
      <c r="K3138" s="425">
        <v>0</v>
      </c>
      <c r="L3138" s="425">
        <v>8412223</v>
      </c>
      <c r="M3138" s="425">
        <v>0</v>
      </c>
      <c r="N3138" s="425">
        <v>0</v>
      </c>
      <c r="O3138" s="425">
        <v>0</v>
      </c>
    </row>
    <row r="3139" spans="1:15" hidden="1" x14ac:dyDescent="0.3">
      <c r="C3139" t="s">
        <v>2292</v>
      </c>
      <c r="D3139" t="s">
        <v>2267</v>
      </c>
      <c r="E3139" t="s">
        <v>8466</v>
      </c>
      <c r="F3139" t="s">
        <v>8467</v>
      </c>
      <c r="G3139" s="425">
        <v>101584447</v>
      </c>
      <c r="H3139" s="425">
        <v>0</v>
      </c>
      <c r="I3139" s="425">
        <v>0</v>
      </c>
      <c r="J3139" s="425">
        <v>0</v>
      </c>
      <c r="K3139" s="425">
        <v>0</v>
      </c>
      <c r="L3139" s="425">
        <v>101584447</v>
      </c>
      <c r="M3139" s="425">
        <v>0</v>
      </c>
      <c r="N3139" s="425">
        <v>0</v>
      </c>
      <c r="O3139" s="425">
        <v>0</v>
      </c>
    </row>
    <row r="3140" spans="1:15" hidden="1" x14ac:dyDescent="0.3">
      <c r="C3140" t="s">
        <v>2292</v>
      </c>
      <c r="D3140" t="s">
        <v>2267</v>
      </c>
      <c r="E3140" t="s">
        <v>8468</v>
      </c>
      <c r="F3140" t="s">
        <v>8469</v>
      </c>
      <c r="G3140" s="425">
        <v>8608078</v>
      </c>
      <c r="H3140" s="425">
        <v>0</v>
      </c>
      <c r="I3140" s="425">
        <v>0</v>
      </c>
      <c r="J3140" s="425">
        <v>0</v>
      </c>
      <c r="K3140" s="425">
        <v>0</v>
      </c>
      <c r="L3140" s="425">
        <v>8608078</v>
      </c>
      <c r="M3140" s="425">
        <v>0</v>
      </c>
      <c r="N3140" s="425">
        <v>0</v>
      </c>
      <c r="O3140" s="425">
        <v>0</v>
      </c>
    </row>
    <row r="3141" spans="1:15" hidden="1" x14ac:dyDescent="0.3">
      <c r="C3141" t="s">
        <v>2292</v>
      </c>
      <c r="D3141" t="s">
        <v>2267</v>
      </c>
      <c r="E3141" t="s">
        <v>8470</v>
      </c>
      <c r="F3141" t="s">
        <v>8471</v>
      </c>
      <c r="G3141" s="425">
        <v>-1320195140</v>
      </c>
      <c r="H3141" s="425">
        <v>0</v>
      </c>
      <c r="I3141" s="425">
        <v>0</v>
      </c>
      <c r="J3141" s="425">
        <v>0</v>
      </c>
      <c r="K3141" s="425">
        <v>0</v>
      </c>
      <c r="L3141" s="425">
        <v>-1320195140</v>
      </c>
      <c r="M3141" s="425">
        <v>0</v>
      </c>
      <c r="N3141" s="425">
        <v>0</v>
      </c>
      <c r="O3141" s="425">
        <v>0</v>
      </c>
    </row>
    <row r="3142" spans="1:15" hidden="1" x14ac:dyDescent="0.3">
      <c r="C3142" t="s">
        <v>2292</v>
      </c>
      <c r="D3142" t="s">
        <v>2267</v>
      </c>
      <c r="E3142" t="s">
        <v>8472</v>
      </c>
      <c r="F3142" t="s">
        <v>8473</v>
      </c>
      <c r="G3142" s="425">
        <v>0</v>
      </c>
      <c r="H3142" s="425">
        <v>0</v>
      </c>
      <c r="I3142" s="425">
        <v>0</v>
      </c>
      <c r="J3142" s="425">
        <v>0</v>
      </c>
      <c r="K3142" s="425">
        <v>0</v>
      </c>
      <c r="L3142" s="425">
        <v>0</v>
      </c>
      <c r="M3142" s="425">
        <v>0</v>
      </c>
      <c r="N3142" s="425">
        <v>0</v>
      </c>
      <c r="O3142" s="425">
        <v>0</v>
      </c>
    </row>
    <row r="3143" spans="1:15" hidden="1" x14ac:dyDescent="0.3">
      <c r="C3143" t="s">
        <v>2292</v>
      </c>
      <c r="D3143" t="s">
        <v>2267</v>
      </c>
      <c r="E3143" t="s">
        <v>8474</v>
      </c>
      <c r="F3143" t="s">
        <v>8475</v>
      </c>
      <c r="G3143" s="425">
        <v>0</v>
      </c>
      <c r="H3143" s="425">
        <v>0</v>
      </c>
      <c r="I3143" s="425">
        <v>0</v>
      </c>
      <c r="J3143" s="425">
        <v>0</v>
      </c>
      <c r="K3143" s="425">
        <v>0</v>
      </c>
      <c r="L3143" s="425">
        <v>0</v>
      </c>
      <c r="M3143" s="425">
        <v>0</v>
      </c>
      <c r="N3143" s="425">
        <v>0</v>
      </c>
      <c r="O3143" s="425">
        <v>0</v>
      </c>
    </row>
    <row r="3144" spans="1:15" hidden="1" x14ac:dyDescent="0.3">
      <c r="C3144" t="s">
        <v>2263</v>
      </c>
      <c r="D3144" t="s">
        <v>2237</v>
      </c>
      <c r="E3144" t="s">
        <v>8476</v>
      </c>
      <c r="F3144" t="s">
        <v>8477</v>
      </c>
      <c r="G3144" s="425">
        <v>26314613724</v>
      </c>
      <c r="H3144" s="425">
        <v>23577471747</v>
      </c>
      <c r="I3144" s="425">
        <v>727352504</v>
      </c>
      <c r="J3144" s="425">
        <v>0</v>
      </c>
      <c r="K3144" s="425">
        <v>-1085999</v>
      </c>
      <c r="L3144" s="425">
        <v>2010875472</v>
      </c>
      <c r="M3144" s="425">
        <v>0</v>
      </c>
      <c r="N3144" s="425">
        <v>0</v>
      </c>
      <c r="O3144" s="425">
        <v>0</v>
      </c>
    </row>
    <row r="3145" spans="1:15" hidden="1" x14ac:dyDescent="0.3">
      <c r="C3145" t="s">
        <v>2266</v>
      </c>
      <c r="D3145" t="s">
        <v>2267</v>
      </c>
      <c r="E3145" t="s">
        <v>8478</v>
      </c>
      <c r="F3145" t="s">
        <v>8479</v>
      </c>
      <c r="G3145" s="425">
        <v>973709628</v>
      </c>
      <c r="H3145" s="425">
        <v>449253816</v>
      </c>
      <c r="I3145" s="425">
        <v>524455812</v>
      </c>
      <c r="J3145" s="425">
        <v>0</v>
      </c>
      <c r="K3145" s="425">
        <v>0</v>
      </c>
      <c r="L3145" s="425">
        <v>0</v>
      </c>
      <c r="M3145" s="425">
        <v>0</v>
      </c>
      <c r="N3145" s="425">
        <v>0</v>
      </c>
      <c r="O3145" s="425">
        <v>0</v>
      </c>
    </row>
    <row r="3146" spans="1:15" hidden="1" x14ac:dyDescent="0.3">
      <c r="C3146" t="s">
        <v>2266</v>
      </c>
      <c r="D3146" t="s">
        <v>2267</v>
      </c>
      <c r="E3146" t="s">
        <v>8480</v>
      </c>
      <c r="F3146" t="s">
        <v>8481</v>
      </c>
      <c r="G3146" s="425">
        <v>1314999635</v>
      </c>
      <c r="H3146" s="425">
        <v>1316085634</v>
      </c>
      <c r="I3146" s="425">
        <v>0</v>
      </c>
      <c r="J3146" s="425">
        <v>0</v>
      </c>
      <c r="K3146" s="425">
        <v>-1085999</v>
      </c>
      <c r="L3146" s="425">
        <v>0</v>
      </c>
      <c r="M3146" s="425">
        <v>0</v>
      </c>
      <c r="N3146" s="425">
        <v>0</v>
      </c>
      <c r="O3146" s="425">
        <v>0</v>
      </c>
    </row>
    <row r="3147" spans="1:15" hidden="1" x14ac:dyDescent="0.3">
      <c r="C3147" t="s">
        <v>2266</v>
      </c>
      <c r="D3147" t="s">
        <v>2267</v>
      </c>
      <c r="E3147" t="s">
        <v>8482</v>
      </c>
      <c r="F3147" t="s">
        <v>8483</v>
      </c>
      <c r="G3147" s="425">
        <v>5953307594</v>
      </c>
      <c r="H3147" s="425">
        <v>3739535430</v>
      </c>
      <c r="I3147" s="425">
        <v>202896692</v>
      </c>
      <c r="J3147" s="425">
        <v>0</v>
      </c>
      <c r="K3147" s="425">
        <v>0</v>
      </c>
      <c r="L3147" s="425">
        <v>2010875472</v>
      </c>
      <c r="M3147" s="425">
        <v>0</v>
      </c>
      <c r="N3147" s="425">
        <v>0</v>
      </c>
      <c r="O3147" s="425">
        <v>0</v>
      </c>
    </row>
    <row r="3148" spans="1:15" hidden="1" x14ac:dyDescent="0.3">
      <c r="C3148" t="s">
        <v>2266</v>
      </c>
      <c r="D3148" t="s">
        <v>2267</v>
      </c>
      <c r="E3148" t="s">
        <v>8484</v>
      </c>
      <c r="F3148" t="s">
        <v>8485</v>
      </c>
      <c r="G3148" s="425">
        <v>18072596867</v>
      </c>
      <c r="H3148" s="425">
        <v>18072596867</v>
      </c>
      <c r="I3148" s="425">
        <v>0</v>
      </c>
      <c r="J3148" s="425">
        <v>0</v>
      </c>
      <c r="K3148" s="425">
        <v>0</v>
      </c>
      <c r="L3148" s="425">
        <v>0</v>
      </c>
      <c r="M3148" s="425">
        <v>0</v>
      </c>
      <c r="N3148" s="425">
        <v>0</v>
      </c>
      <c r="O3148" s="425">
        <v>0</v>
      </c>
    </row>
    <row r="3149" spans="1:15" hidden="1" x14ac:dyDescent="0.3">
      <c r="A3149" s="240"/>
      <c r="B3149" s="239" t="s">
        <v>160</v>
      </c>
      <c r="C3149" t="s">
        <v>2260</v>
      </c>
      <c r="D3149" t="s">
        <v>2237</v>
      </c>
      <c r="E3149" t="s">
        <v>8486</v>
      </c>
      <c r="F3149" t="s">
        <v>8487</v>
      </c>
      <c r="G3149" s="425">
        <v>21338836624</v>
      </c>
      <c r="H3149" s="425">
        <v>129030328924</v>
      </c>
      <c r="I3149" s="425">
        <v>2577143304</v>
      </c>
      <c r="J3149" s="425">
        <v>0</v>
      </c>
      <c r="K3149" s="425">
        <v>-7231469055</v>
      </c>
      <c r="L3149" s="425">
        <v>83390973473</v>
      </c>
      <c r="M3149" s="425">
        <v>-34225975363</v>
      </c>
      <c r="N3149" s="425">
        <v>-149393239372</v>
      </c>
      <c r="O3149" s="425">
        <v>-2808925287</v>
      </c>
    </row>
    <row r="3150" spans="1:15" hidden="1" x14ac:dyDescent="0.3">
      <c r="C3150" t="s">
        <v>2263</v>
      </c>
      <c r="D3150" t="s">
        <v>2237</v>
      </c>
      <c r="E3150" t="s">
        <v>8488</v>
      </c>
      <c r="F3150" t="s">
        <v>8489</v>
      </c>
      <c r="G3150" s="425">
        <v>21338836624</v>
      </c>
      <c r="H3150" s="425">
        <v>129030328924</v>
      </c>
      <c r="I3150" s="425">
        <v>2577143304</v>
      </c>
      <c r="J3150" s="425">
        <v>0</v>
      </c>
      <c r="K3150" s="425">
        <v>-7231469055</v>
      </c>
      <c r="L3150" s="425">
        <v>83390973473</v>
      </c>
      <c r="M3150" s="425">
        <v>-34225975363</v>
      </c>
      <c r="N3150" s="425">
        <v>-149393239372</v>
      </c>
      <c r="O3150" s="425">
        <v>-2808925287</v>
      </c>
    </row>
    <row r="3151" spans="1:15" hidden="1" x14ac:dyDescent="0.3">
      <c r="C3151" t="s">
        <v>2266</v>
      </c>
      <c r="D3151" t="s">
        <v>2267</v>
      </c>
      <c r="E3151" t="s">
        <v>8490</v>
      </c>
      <c r="F3151" t="s">
        <v>8491</v>
      </c>
      <c r="G3151" s="425">
        <v>21338836624</v>
      </c>
      <c r="H3151" s="425">
        <v>129030328924</v>
      </c>
      <c r="I3151" s="425">
        <v>2577143304</v>
      </c>
      <c r="J3151" s="425">
        <v>0</v>
      </c>
      <c r="K3151" s="425">
        <v>-7231469055</v>
      </c>
      <c r="L3151" s="425">
        <v>83390973473</v>
      </c>
      <c r="M3151" s="425">
        <v>-34205976920</v>
      </c>
      <c r="N3151" s="425">
        <v>-149413237815</v>
      </c>
      <c r="O3151" s="425">
        <v>-2808925287</v>
      </c>
    </row>
    <row r="3152" spans="1:15" hidden="1" x14ac:dyDescent="0.3">
      <c r="C3152" t="s">
        <v>2266</v>
      </c>
      <c r="D3152" t="s">
        <v>2267</v>
      </c>
      <c r="E3152" t="s">
        <v>8492</v>
      </c>
      <c r="F3152" t="s">
        <v>8493</v>
      </c>
      <c r="G3152" s="425">
        <v>0</v>
      </c>
      <c r="H3152" s="425">
        <v>0</v>
      </c>
      <c r="I3152" s="425">
        <v>0</v>
      </c>
      <c r="J3152" s="425">
        <v>0</v>
      </c>
      <c r="K3152" s="425">
        <v>0</v>
      </c>
      <c r="L3152" s="425">
        <v>0</v>
      </c>
      <c r="M3152" s="425">
        <v>0</v>
      </c>
      <c r="N3152" s="425">
        <v>0</v>
      </c>
      <c r="O3152" s="425">
        <v>0</v>
      </c>
    </row>
    <row r="3153" spans="1:15" hidden="1" x14ac:dyDescent="0.3">
      <c r="C3153" t="s">
        <v>2266</v>
      </c>
      <c r="D3153" t="s">
        <v>2267</v>
      </c>
      <c r="E3153" t="s">
        <v>8494</v>
      </c>
      <c r="F3153" t="s">
        <v>8495</v>
      </c>
      <c r="G3153" s="425">
        <v>0</v>
      </c>
      <c r="H3153" s="425">
        <v>0</v>
      </c>
      <c r="I3153" s="425">
        <v>0</v>
      </c>
      <c r="J3153" s="425">
        <v>0</v>
      </c>
      <c r="K3153" s="425">
        <v>0</v>
      </c>
      <c r="L3153" s="425">
        <v>0</v>
      </c>
      <c r="M3153" s="425">
        <v>0</v>
      </c>
      <c r="N3153" s="425">
        <v>0</v>
      </c>
      <c r="O3153" s="425">
        <v>0</v>
      </c>
    </row>
    <row r="3154" spans="1:15" hidden="1" x14ac:dyDescent="0.3">
      <c r="C3154" t="s">
        <v>2266</v>
      </c>
      <c r="D3154" t="s">
        <v>2267</v>
      </c>
      <c r="E3154" t="s">
        <v>8496</v>
      </c>
      <c r="F3154" t="s">
        <v>8497</v>
      </c>
      <c r="G3154" s="425">
        <v>0</v>
      </c>
      <c r="H3154" s="425">
        <v>0</v>
      </c>
      <c r="I3154" s="425">
        <v>0</v>
      </c>
      <c r="J3154" s="425">
        <v>0</v>
      </c>
      <c r="K3154" s="425">
        <v>0</v>
      </c>
      <c r="L3154" s="425">
        <v>0</v>
      </c>
      <c r="M3154" s="425">
        <v>-19998443</v>
      </c>
      <c r="N3154" s="425">
        <v>19998443</v>
      </c>
      <c r="O3154" s="425">
        <v>0</v>
      </c>
    </row>
    <row r="3155" spans="1:15" hidden="1" x14ac:dyDescent="0.3">
      <c r="A3155" s="240"/>
      <c r="B3155" s="239" t="s">
        <v>161</v>
      </c>
      <c r="C3155" t="s">
        <v>2260</v>
      </c>
      <c r="D3155" t="s">
        <v>2237</v>
      </c>
      <c r="E3155" t="s">
        <v>8498</v>
      </c>
      <c r="F3155" t="s">
        <v>8499</v>
      </c>
      <c r="G3155" s="425">
        <v>0</v>
      </c>
      <c r="H3155" s="425">
        <v>0</v>
      </c>
      <c r="I3155" s="425">
        <v>0</v>
      </c>
      <c r="J3155" s="425">
        <v>0</v>
      </c>
      <c r="K3155" s="425">
        <v>0</v>
      </c>
      <c r="L3155" s="425">
        <v>0</v>
      </c>
      <c r="M3155" s="425">
        <v>0</v>
      </c>
      <c r="N3155" s="425">
        <v>0</v>
      </c>
      <c r="O3155" s="425">
        <v>0</v>
      </c>
    </row>
    <row r="3156" spans="1:15" hidden="1" x14ac:dyDescent="0.3">
      <c r="C3156" t="s">
        <v>2263</v>
      </c>
      <c r="D3156" t="s">
        <v>2237</v>
      </c>
      <c r="E3156" t="s">
        <v>8500</v>
      </c>
      <c r="F3156" t="s">
        <v>8501</v>
      </c>
      <c r="G3156" s="425">
        <v>0</v>
      </c>
      <c r="H3156" s="425">
        <v>0</v>
      </c>
      <c r="I3156" s="425">
        <v>0</v>
      </c>
      <c r="J3156" s="425">
        <v>0</v>
      </c>
      <c r="K3156" s="425">
        <v>0</v>
      </c>
      <c r="L3156" s="425">
        <v>0</v>
      </c>
      <c r="M3156" s="425">
        <v>0</v>
      </c>
      <c r="N3156" s="425">
        <v>0</v>
      </c>
      <c r="O3156" s="425">
        <v>0</v>
      </c>
    </row>
    <row r="3157" spans="1:15" hidden="1" x14ac:dyDescent="0.3">
      <c r="C3157" t="s">
        <v>2266</v>
      </c>
      <c r="D3157" t="s">
        <v>2267</v>
      </c>
      <c r="E3157" t="s">
        <v>8502</v>
      </c>
      <c r="F3157" t="s">
        <v>8503</v>
      </c>
      <c r="G3157" s="425">
        <v>0</v>
      </c>
      <c r="H3157" s="425">
        <v>0</v>
      </c>
      <c r="I3157" s="425">
        <v>0</v>
      </c>
      <c r="J3157" s="425">
        <v>0</v>
      </c>
      <c r="K3157" s="425">
        <v>0</v>
      </c>
      <c r="L3157" s="425">
        <v>0</v>
      </c>
      <c r="M3157" s="425">
        <v>0</v>
      </c>
      <c r="N3157" s="425">
        <v>0</v>
      </c>
      <c r="O3157" s="425">
        <v>0</v>
      </c>
    </row>
    <row r="3158" spans="1:15" hidden="1" x14ac:dyDescent="0.3">
      <c r="A3158" s="233"/>
      <c r="B3158" s="234" t="s">
        <v>159</v>
      </c>
      <c r="C3158" t="s">
        <v>2260</v>
      </c>
      <c r="D3158" t="s">
        <v>2237</v>
      </c>
      <c r="E3158" t="s">
        <v>8504</v>
      </c>
      <c r="F3158" t="s">
        <v>8505</v>
      </c>
      <c r="G3158" s="425">
        <v>10308436204</v>
      </c>
      <c r="H3158" s="425">
        <v>5155769410</v>
      </c>
      <c r="I3158" s="425">
        <v>808524379</v>
      </c>
      <c r="J3158" s="425">
        <v>0</v>
      </c>
      <c r="K3158" s="425">
        <v>0</v>
      </c>
      <c r="L3158" s="425">
        <v>1446877805</v>
      </c>
      <c r="M3158" s="425">
        <v>1813748046</v>
      </c>
      <c r="N3158" s="425">
        <v>1083516564</v>
      </c>
      <c r="O3158" s="425">
        <v>0</v>
      </c>
    </row>
    <row r="3159" spans="1:15" hidden="1" x14ac:dyDescent="0.3">
      <c r="C3159" t="s">
        <v>2263</v>
      </c>
      <c r="D3159" t="s">
        <v>2237</v>
      </c>
      <c r="E3159" t="s">
        <v>8506</v>
      </c>
      <c r="F3159" t="s">
        <v>8507</v>
      </c>
      <c r="G3159" s="425">
        <v>8861558399</v>
      </c>
      <c r="H3159" s="425">
        <v>5155769410</v>
      </c>
      <c r="I3159" s="425">
        <v>808524379</v>
      </c>
      <c r="J3159" s="425">
        <v>0</v>
      </c>
      <c r="K3159" s="425">
        <v>0</v>
      </c>
      <c r="L3159" s="425">
        <v>0</v>
      </c>
      <c r="M3159" s="425">
        <v>1813748046</v>
      </c>
      <c r="N3159" s="425">
        <v>1083516564</v>
      </c>
      <c r="O3159" s="425">
        <v>0</v>
      </c>
    </row>
    <row r="3160" spans="1:15" hidden="1" x14ac:dyDescent="0.3">
      <c r="C3160" t="s">
        <v>2266</v>
      </c>
      <c r="D3160" t="s">
        <v>2267</v>
      </c>
      <c r="E3160" t="s">
        <v>8508</v>
      </c>
      <c r="F3160" t="s">
        <v>8509</v>
      </c>
      <c r="G3160" s="425">
        <v>7492330150</v>
      </c>
      <c r="H3160" s="425">
        <v>5155769410</v>
      </c>
      <c r="I3160" s="425">
        <v>808524379</v>
      </c>
      <c r="J3160" s="425">
        <v>0</v>
      </c>
      <c r="K3160" s="425">
        <v>0</v>
      </c>
      <c r="L3160" s="425">
        <v>0</v>
      </c>
      <c r="M3160" s="425">
        <v>444519797</v>
      </c>
      <c r="N3160" s="425">
        <v>1083516564</v>
      </c>
      <c r="O3160" s="425">
        <v>0</v>
      </c>
    </row>
    <row r="3161" spans="1:15" hidden="1" x14ac:dyDescent="0.3">
      <c r="C3161" t="s">
        <v>2266</v>
      </c>
      <c r="D3161" t="s">
        <v>2267</v>
      </c>
      <c r="E3161" t="s">
        <v>8510</v>
      </c>
      <c r="F3161" t="s">
        <v>8511</v>
      </c>
      <c r="G3161" s="425">
        <v>1369228249</v>
      </c>
      <c r="H3161" s="425">
        <v>0</v>
      </c>
      <c r="I3161" s="425">
        <v>0</v>
      </c>
      <c r="J3161" s="425">
        <v>0</v>
      </c>
      <c r="K3161" s="425">
        <v>0</v>
      </c>
      <c r="L3161" s="425">
        <v>0</v>
      </c>
      <c r="M3161" s="425">
        <v>1369228249</v>
      </c>
      <c r="N3161" s="425">
        <v>0</v>
      </c>
      <c r="O3161" s="425">
        <v>0</v>
      </c>
    </row>
    <row r="3162" spans="1:15" hidden="1" x14ac:dyDescent="0.3">
      <c r="C3162" t="s">
        <v>2266</v>
      </c>
      <c r="D3162" t="s">
        <v>2267</v>
      </c>
      <c r="E3162" t="s">
        <v>8512</v>
      </c>
      <c r="F3162" t="s">
        <v>8513</v>
      </c>
      <c r="G3162" s="425">
        <v>0</v>
      </c>
      <c r="H3162" s="425">
        <v>0</v>
      </c>
      <c r="I3162" s="425">
        <v>0</v>
      </c>
      <c r="J3162" s="425">
        <v>0</v>
      </c>
      <c r="K3162" s="425">
        <v>0</v>
      </c>
      <c r="L3162" s="425">
        <v>0</v>
      </c>
      <c r="M3162" s="425">
        <v>0</v>
      </c>
      <c r="N3162" s="425">
        <v>0</v>
      </c>
      <c r="O3162" s="425">
        <v>0</v>
      </c>
    </row>
    <row r="3163" spans="1:15" hidden="1" x14ac:dyDescent="0.3">
      <c r="C3163" t="s">
        <v>2263</v>
      </c>
      <c r="D3163" t="s">
        <v>2237</v>
      </c>
      <c r="E3163" t="s">
        <v>8514</v>
      </c>
      <c r="F3163" t="s">
        <v>8515</v>
      </c>
      <c r="G3163" s="425">
        <v>1446877805</v>
      </c>
      <c r="H3163" s="425">
        <v>0</v>
      </c>
      <c r="I3163" s="425">
        <v>0</v>
      </c>
      <c r="J3163" s="425">
        <v>0</v>
      </c>
      <c r="K3163" s="425">
        <v>0</v>
      </c>
      <c r="L3163" s="425">
        <v>1446877805</v>
      </c>
      <c r="M3163" s="425">
        <v>0</v>
      </c>
      <c r="N3163" s="425">
        <v>0</v>
      </c>
      <c r="O3163" s="425">
        <v>0</v>
      </c>
    </row>
    <row r="3164" spans="1:15" hidden="1" x14ac:dyDescent="0.3">
      <c r="C3164" t="s">
        <v>2266</v>
      </c>
      <c r="D3164" t="s">
        <v>2267</v>
      </c>
      <c r="E3164" t="s">
        <v>8516</v>
      </c>
      <c r="F3164" t="s">
        <v>8517</v>
      </c>
      <c r="G3164" s="425">
        <v>1446877805</v>
      </c>
      <c r="H3164" s="425">
        <v>0</v>
      </c>
      <c r="I3164" s="425">
        <v>0</v>
      </c>
      <c r="J3164" s="425">
        <v>0</v>
      </c>
      <c r="K3164" s="425">
        <v>0</v>
      </c>
      <c r="L3164" s="425">
        <v>1446877805</v>
      </c>
      <c r="M3164" s="425">
        <v>0</v>
      </c>
      <c r="N3164" s="425">
        <v>0</v>
      </c>
      <c r="O3164" s="425">
        <v>0</v>
      </c>
    </row>
    <row r="3165" spans="1:15" hidden="1" x14ac:dyDescent="0.3">
      <c r="C3165" t="s">
        <v>2263</v>
      </c>
      <c r="D3165" t="s">
        <v>2237</v>
      </c>
      <c r="E3165" t="s">
        <v>8518</v>
      </c>
      <c r="F3165" t="s">
        <v>8519</v>
      </c>
      <c r="G3165" s="425">
        <v>0</v>
      </c>
      <c r="H3165" s="425">
        <v>0</v>
      </c>
      <c r="I3165" s="425">
        <v>0</v>
      </c>
      <c r="J3165" s="425">
        <v>0</v>
      </c>
      <c r="K3165" s="425">
        <v>0</v>
      </c>
      <c r="L3165" s="425">
        <v>0</v>
      </c>
      <c r="M3165" s="425">
        <v>0</v>
      </c>
      <c r="N3165" s="425">
        <v>0</v>
      </c>
      <c r="O3165" s="425">
        <v>0</v>
      </c>
    </row>
    <row r="3166" spans="1:15" hidden="1" x14ac:dyDescent="0.3">
      <c r="A3166" s="240"/>
      <c r="B3166" s="239" t="s">
        <v>789</v>
      </c>
      <c r="C3166" t="s">
        <v>2260</v>
      </c>
      <c r="D3166" t="s">
        <v>2237</v>
      </c>
      <c r="E3166" t="s">
        <v>8520</v>
      </c>
      <c r="F3166" t="s">
        <v>8521</v>
      </c>
      <c r="G3166" s="425">
        <v>444550829234</v>
      </c>
      <c r="H3166" s="425">
        <v>265689646114</v>
      </c>
      <c r="I3166" s="425">
        <v>73838347926</v>
      </c>
      <c r="J3166" s="425">
        <v>0</v>
      </c>
      <c r="K3166" s="425">
        <v>22401676918</v>
      </c>
      <c r="L3166" s="425">
        <v>565517091</v>
      </c>
      <c r="M3166" s="425">
        <v>71468077473</v>
      </c>
      <c r="N3166" s="425">
        <v>10587563712</v>
      </c>
      <c r="O3166" s="425">
        <v>0</v>
      </c>
    </row>
    <row r="3167" spans="1:15" hidden="1" x14ac:dyDescent="0.3">
      <c r="C3167" t="s">
        <v>2263</v>
      </c>
      <c r="D3167" t="s">
        <v>2267</v>
      </c>
      <c r="E3167" t="s">
        <v>8522</v>
      </c>
      <c r="F3167" t="s">
        <v>8523</v>
      </c>
      <c r="G3167" s="425">
        <v>442269251589</v>
      </c>
      <c r="H3167" s="425">
        <v>264654694803</v>
      </c>
      <c r="I3167" s="425">
        <v>73788910870</v>
      </c>
      <c r="J3167" s="425">
        <v>0</v>
      </c>
      <c r="K3167" s="425">
        <v>22401676918</v>
      </c>
      <c r="L3167" s="425">
        <v>15922773</v>
      </c>
      <c r="M3167" s="425">
        <v>71468077473</v>
      </c>
      <c r="N3167" s="425">
        <v>9939968752</v>
      </c>
      <c r="O3167" s="425">
        <v>0</v>
      </c>
    </row>
    <row r="3168" spans="1:15" hidden="1" x14ac:dyDescent="0.3">
      <c r="C3168" t="s">
        <v>2263</v>
      </c>
      <c r="D3168" t="s">
        <v>2267</v>
      </c>
      <c r="E3168" t="s">
        <v>8524</v>
      </c>
      <c r="F3168" t="s">
        <v>8525</v>
      </c>
      <c r="G3168" s="425">
        <v>2281577645</v>
      </c>
      <c r="H3168" s="425">
        <v>1034951311</v>
      </c>
      <c r="I3168" s="425">
        <v>49437056</v>
      </c>
      <c r="J3168" s="425">
        <v>0</v>
      </c>
      <c r="K3168" s="425">
        <v>0</v>
      </c>
      <c r="L3168" s="425">
        <v>549594318</v>
      </c>
      <c r="M3168" s="425">
        <v>0</v>
      </c>
      <c r="N3168" s="425">
        <v>647594960</v>
      </c>
      <c r="O3168" s="425">
        <v>0</v>
      </c>
    </row>
    <row r="3169" spans="1:15" x14ac:dyDescent="0.3">
      <c r="A3169" s="153" t="s">
        <v>165</v>
      </c>
      <c r="B3169" s="153"/>
      <c r="C3169" t="s">
        <v>2257</v>
      </c>
      <c r="D3169" t="s">
        <v>2237</v>
      </c>
      <c r="E3169" t="s">
        <v>8526</v>
      </c>
      <c r="F3169" t="s">
        <v>8527</v>
      </c>
      <c r="G3169" s="425">
        <v>2069602265370</v>
      </c>
      <c r="H3169" s="425">
        <v>-611835049973</v>
      </c>
      <c r="I3169" s="425">
        <v>793364264151</v>
      </c>
      <c r="J3169" s="425">
        <v>-19817300618</v>
      </c>
      <c r="K3169" s="425">
        <v>504424059509</v>
      </c>
      <c r="L3169" s="425">
        <v>-1488825722529</v>
      </c>
      <c r="M3169" s="425">
        <v>595671838674</v>
      </c>
      <c r="N3169" s="425">
        <v>2296952955141</v>
      </c>
      <c r="O3169" s="425">
        <v>-332778985</v>
      </c>
    </row>
    <row r="3170" spans="1:15" hidden="1" x14ac:dyDescent="0.3">
      <c r="A3170" s="240"/>
      <c r="B3170" s="239" t="s">
        <v>166</v>
      </c>
      <c r="C3170" t="s">
        <v>2260</v>
      </c>
      <c r="D3170" t="s">
        <v>2237</v>
      </c>
      <c r="E3170" t="s">
        <v>8528</v>
      </c>
      <c r="F3170" t="s">
        <v>8529</v>
      </c>
      <c r="G3170" s="425">
        <v>212699258882</v>
      </c>
      <c r="H3170" s="425">
        <v>119011289229</v>
      </c>
      <c r="I3170" s="425">
        <v>4259898083</v>
      </c>
      <c r="J3170" s="425">
        <v>0</v>
      </c>
      <c r="K3170" s="425">
        <v>2989662798</v>
      </c>
      <c r="L3170" s="425">
        <v>3646383691</v>
      </c>
      <c r="M3170" s="425">
        <v>81626227332</v>
      </c>
      <c r="N3170" s="425">
        <v>1165797749</v>
      </c>
      <c r="O3170" s="425">
        <v>0</v>
      </c>
    </row>
    <row r="3171" spans="1:15" hidden="1" x14ac:dyDescent="0.3">
      <c r="A3171" s="233"/>
      <c r="B3171" s="235" t="s">
        <v>168</v>
      </c>
      <c r="C3171" t="s">
        <v>2263</v>
      </c>
      <c r="D3171" t="s">
        <v>2237</v>
      </c>
      <c r="E3171" t="s">
        <v>8530</v>
      </c>
      <c r="F3171" t="s">
        <v>8531</v>
      </c>
      <c r="G3171" s="425">
        <v>10864574181</v>
      </c>
      <c r="H3171" s="425">
        <v>4621217185</v>
      </c>
      <c r="I3171" s="425">
        <v>1541994688</v>
      </c>
      <c r="J3171" s="425">
        <v>0</v>
      </c>
      <c r="K3171" s="425">
        <v>804955445</v>
      </c>
      <c r="L3171" s="425">
        <v>2613854185</v>
      </c>
      <c r="M3171" s="425">
        <v>116754929</v>
      </c>
      <c r="N3171" s="425">
        <v>1165797749</v>
      </c>
      <c r="O3171" s="425">
        <v>0</v>
      </c>
    </row>
    <row r="3172" spans="1:15" hidden="1" x14ac:dyDescent="0.3">
      <c r="C3172" t="s">
        <v>2266</v>
      </c>
      <c r="D3172" t="s">
        <v>2267</v>
      </c>
      <c r="E3172" t="s">
        <v>8532</v>
      </c>
      <c r="F3172" t="s">
        <v>8533</v>
      </c>
      <c r="G3172" s="425">
        <v>220842859</v>
      </c>
      <c r="H3172" s="425">
        <v>0</v>
      </c>
      <c r="I3172" s="425">
        <v>0</v>
      </c>
      <c r="J3172" s="425">
        <v>0</v>
      </c>
      <c r="K3172" s="425">
        <v>0</v>
      </c>
      <c r="L3172" s="425">
        <v>0</v>
      </c>
      <c r="M3172" s="425">
        <v>0</v>
      </c>
      <c r="N3172" s="425">
        <v>220842859</v>
      </c>
      <c r="O3172" s="425">
        <v>0</v>
      </c>
    </row>
    <row r="3173" spans="1:15" hidden="1" x14ac:dyDescent="0.3">
      <c r="C3173" t="s">
        <v>2266</v>
      </c>
      <c r="D3173" t="s">
        <v>2267</v>
      </c>
      <c r="E3173" t="s">
        <v>8534</v>
      </c>
      <c r="F3173" t="s">
        <v>8535</v>
      </c>
      <c r="G3173" s="425">
        <v>10643731322</v>
      </c>
      <c r="H3173" s="425">
        <v>4621217185</v>
      </c>
      <c r="I3173" s="425">
        <v>1541994688</v>
      </c>
      <c r="J3173" s="425">
        <v>0</v>
      </c>
      <c r="K3173" s="425">
        <v>804955445</v>
      </c>
      <c r="L3173" s="425">
        <v>2613854185</v>
      </c>
      <c r="M3173" s="425">
        <v>116754929</v>
      </c>
      <c r="N3173" s="425">
        <v>944954890</v>
      </c>
      <c r="O3173" s="425">
        <v>0</v>
      </c>
    </row>
    <row r="3174" spans="1:15" hidden="1" x14ac:dyDescent="0.3">
      <c r="A3174" s="233"/>
      <c r="B3174" s="235" t="s">
        <v>169</v>
      </c>
      <c r="C3174" t="s">
        <v>2263</v>
      </c>
      <c r="D3174" t="s">
        <v>2237</v>
      </c>
      <c r="E3174" t="s">
        <v>8536</v>
      </c>
      <c r="F3174" t="s">
        <v>8537</v>
      </c>
      <c r="G3174" s="425">
        <v>201092912701</v>
      </c>
      <c r="H3174" s="425">
        <v>114390072044</v>
      </c>
      <c r="I3174" s="425">
        <v>2717903395</v>
      </c>
      <c r="J3174" s="425">
        <v>0</v>
      </c>
      <c r="K3174" s="425">
        <v>2184707353</v>
      </c>
      <c r="L3174" s="425">
        <v>290757506</v>
      </c>
      <c r="M3174" s="425">
        <v>81509472403</v>
      </c>
      <c r="N3174" s="425">
        <v>0</v>
      </c>
      <c r="O3174" s="425">
        <v>0</v>
      </c>
    </row>
    <row r="3175" spans="1:15" hidden="1" x14ac:dyDescent="0.3">
      <c r="C3175" t="s">
        <v>2266</v>
      </c>
      <c r="D3175" t="s">
        <v>2237</v>
      </c>
      <c r="E3175" t="s">
        <v>8538</v>
      </c>
      <c r="F3175" t="s">
        <v>8539</v>
      </c>
      <c r="G3175" s="425">
        <v>229362844446</v>
      </c>
      <c r="H3175" s="425">
        <v>121280716271</v>
      </c>
      <c r="I3175" s="425">
        <v>2780542410</v>
      </c>
      <c r="J3175" s="425">
        <v>0</v>
      </c>
      <c r="K3175" s="425">
        <v>2671657839</v>
      </c>
      <c r="L3175" s="425">
        <v>298531000</v>
      </c>
      <c r="M3175" s="425">
        <v>102331396926</v>
      </c>
      <c r="N3175" s="425">
        <v>0</v>
      </c>
      <c r="O3175" s="425">
        <v>0</v>
      </c>
    </row>
    <row r="3176" spans="1:15" hidden="1" x14ac:dyDescent="0.3">
      <c r="C3176" t="s">
        <v>2292</v>
      </c>
      <c r="D3176" t="s">
        <v>2267</v>
      </c>
      <c r="E3176" t="s">
        <v>8540</v>
      </c>
      <c r="F3176" t="s">
        <v>8541</v>
      </c>
      <c r="G3176" s="425">
        <v>175969475765</v>
      </c>
      <c r="H3176" s="425">
        <v>69687890000</v>
      </c>
      <c r="I3176" s="425">
        <v>990000000</v>
      </c>
      <c r="J3176" s="425">
        <v>0</v>
      </c>
      <c r="K3176" s="425">
        <v>2661657839</v>
      </c>
      <c r="L3176" s="425">
        <v>298531000</v>
      </c>
      <c r="M3176" s="425">
        <v>102331396926</v>
      </c>
      <c r="N3176" s="425">
        <v>0</v>
      </c>
      <c r="O3176" s="425">
        <v>0</v>
      </c>
    </row>
    <row r="3177" spans="1:15" hidden="1" x14ac:dyDescent="0.3">
      <c r="C3177" t="s">
        <v>2292</v>
      </c>
      <c r="D3177" t="s">
        <v>2267</v>
      </c>
      <c r="E3177" t="s">
        <v>8542</v>
      </c>
      <c r="F3177" t="s">
        <v>8543</v>
      </c>
      <c r="G3177" s="425">
        <v>0</v>
      </c>
      <c r="H3177" s="425">
        <v>0</v>
      </c>
      <c r="I3177" s="425">
        <v>0</v>
      </c>
      <c r="J3177" s="425">
        <v>0</v>
      </c>
      <c r="K3177" s="425">
        <v>0</v>
      </c>
      <c r="L3177" s="425">
        <v>0</v>
      </c>
      <c r="M3177" s="425">
        <v>0</v>
      </c>
      <c r="N3177" s="425">
        <v>0</v>
      </c>
      <c r="O3177" s="425">
        <v>0</v>
      </c>
    </row>
    <row r="3178" spans="1:15" hidden="1" x14ac:dyDescent="0.3">
      <c r="C3178" t="s">
        <v>2292</v>
      </c>
      <c r="D3178" t="s">
        <v>2267</v>
      </c>
      <c r="E3178" t="s">
        <v>8544</v>
      </c>
      <c r="F3178" t="s">
        <v>8545</v>
      </c>
      <c r="G3178" s="425">
        <v>3388000000</v>
      </c>
      <c r="H3178" s="425">
        <v>1598000000</v>
      </c>
      <c r="I3178" s="425">
        <v>1790000000</v>
      </c>
      <c r="J3178" s="425">
        <v>0</v>
      </c>
      <c r="K3178" s="425">
        <v>0</v>
      </c>
      <c r="L3178" s="425">
        <v>0</v>
      </c>
      <c r="M3178" s="425">
        <v>0</v>
      </c>
      <c r="N3178" s="425">
        <v>0</v>
      </c>
      <c r="O3178" s="425">
        <v>0</v>
      </c>
    </row>
    <row r="3179" spans="1:15" hidden="1" x14ac:dyDescent="0.3">
      <c r="C3179" t="s">
        <v>2292</v>
      </c>
      <c r="D3179" t="s">
        <v>2267</v>
      </c>
      <c r="E3179" t="s">
        <v>8546</v>
      </c>
      <c r="F3179" t="s">
        <v>8547</v>
      </c>
      <c r="G3179" s="425">
        <v>49477520000</v>
      </c>
      <c r="H3179" s="425">
        <v>49477520000</v>
      </c>
      <c r="I3179" s="425">
        <v>0</v>
      </c>
      <c r="J3179" s="425">
        <v>0</v>
      </c>
      <c r="K3179" s="425">
        <v>0</v>
      </c>
      <c r="L3179" s="425">
        <v>0</v>
      </c>
      <c r="M3179" s="425">
        <v>0</v>
      </c>
      <c r="N3179" s="425">
        <v>0</v>
      </c>
      <c r="O3179" s="425">
        <v>0</v>
      </c>
    </row>
    <row r="3180" spans="1:15" hidden="1" x14ac:dyDescent="0.3">
      <c r="C3180" t="s">
        <v>2292</v>
      </c>
      <c r="D3180" t="s">
        <v>2267</v>
      </c>
      <c r="E3180" t="s">
        <v>8548</v>
      </c>
      <c r="F3180" t="s">
        <v>8549</v>
      </c>
      <c r="G3180" s="425">
        <v>527848681</v>
      </c>
      <c r="H3180" s="425">
        <v>517306271</v>
      </c>
      <c r="I3180" s="425">
        <v>542410</v>
      </c>
      <c r="J3180" s="425">
        <v>0</v>
      </c>
      <c r="K3180" s="425">
        <v>10000000</v>
      </c>
      <c r="L3180" s="425">
        <v>0</v>
      </c>
      <c r="M3180" s="425">
        <v>0</v>
      </c>
      <c r="N3180" s="425">
        <v>0</v>
      </c>
      <c r="O3180" s="425">
        <v>0</v>
      </c>
    </row>
    <row r="3181" spans="1:15" hidden="1" x14ac:dyDescent="0.3">
      <c r="C3181" t="s">
        <v>2266</v>
      </c>
      <c r="D3181" t="s">
        <v>2237</v>
      </c>
      <c r="E3181" t="s">
        <v>8550</v>
      </c>
      <c r="F3181" t="s">
        <v>8551</v>
      </c>
      <c r="G3181" s="425">
        <v>-28269931745</v>
      </c>
      <c r="H3181" s="425">
        <v>-6890644227</v>
      </c>
      <c r="I3181" s="425">
        <v>-62639015</v>
      </c>
      <c r="J3181" s="425">
        <v>0</v>
      </c>
      <c r="K3181" s="425">
        <v>-486950486</v>
      </c>
      <c r="L3181" s="425">
        <v>-7773494</v>
      </c>
      <c r="M3181" s="425">
        <v>-20821924523</v>
      </c>
      <c r="N3181" s="425">
        <v>0</v>
      </c>
      <c r="O3181" s="425">
        <v>0</v>
      </c>
    </row>
    <row r="3182" spans="1:15" hidden="1" x14ac:dyDescent="0.3">
      <c r="C3182" t="s">
        <v>2292</v>
      </c>
      <c r="D3182" t="s">
        <v>2267</v>
      </c>
      <c r="E3182" t="s">
        <v>8552</v>
      </c>
      <c r="F3182" t="s">
        <v>8553</v>
      </c>
      <c r="G3182" s="425">
        <v>-25438296731</v>
      </c>
      <c r="H3182" s="425">
        <v>-4059009213</v>
      </c>
      <c r="I3182" s="425">
        <v>-62639015</v>
      </c>
      <c r="J3182" s="425">
        <v>0</v>
      </c>
      <c r="K3182" s="425">
        <v>-486950486</v>
      </c>
      <c r="L3182" s="425">
        <v>-7773494</v>
      </c>
      <c r="M3182" s="425">
        <v>-20821924523</v>
      </c>
      <c r="N3182" s="425">
        <v>0</v>
      </c>
      <c r="O3182" s="425">
        <v>0</v>
      </c>
    </row>
    <row r="3183" spans="1:15" hidden="1" x14ac:dyDescent="0.3">
      <c r="C3183" t="s">
        <v>2292</v>
      </c>
      <c r="D3183" t="s">
        <v>2267</v>
      </c>
      <c r="E3183" t="s">
        <v>8554</v>
      </c>
      <c r="F3183" t="s">
        <v>8555</v>
      </c>
      <c r="G3183" s="425">
        <v>-2831635014</v>
      </c>
      <c r="H3183" s="425">
        <v>-2831635014</v>
      </c>
      <c r="I3183" s="425">
        <v>0</v>
      </c>
      <c r="J3183" s="425">
        <v>0</v>
      </c>
      <c r="K3183" s="425">
        <v>0</v>
      </c>
      <c r="L3183" s="425">
        <v>0</v>
      </c>
      <c r="M3183" s="425">
        <v>0</v>
      </c>
      <c r="N3183" s="425">
        <v>0</v>
      </c>
      <c r="O3183" s="425">
        <v>0</v>
      </c>
    </row>
    <row r="3184" spans="1:15" hidden="1" x14ac:dyDescent="0.3">
      <c r="A3184" s="233"/>
      <c r="B3184" s="235" t="s">
        <v>167</v>
      </c>
      <c r="C3184" t="s">
        <v>2263</v>
      </c>
      <c r="D3184" t="s">
        <v>2237</v>
      </c>
      <c r="E3184" t="s">
        <v>8556</v>
      </c>
      <c r="F3184" t="s">
        <v>8557</v>
      </c>
      <c r="G3184" s="425">
        <v>741772000</v>
      </c>
      <c r="H3184" s="425">
        <v>0</v>
      </c>
      <c r="I3184" s="425">
        <v>0</v>
      </c>
      <c r="J3184" s="425">
        <v>0</v>
      </c>
      <c r="K3184" s="425">
        <v>0</v>
      </c>
      <c r="L3184" s="425">
        <v>741772000</v>
      </c>
      <c r="M3184" s="425">
        <v>0</v>
      </c>
      <c r="N3184" s="425">
        <v>0</v>
      </c>
      <c r="O3184" s="425">
        <v>0</v>
      </c>
    </row>
    <row r="3185" spans="1:15" hidden="1" x14ac:dyDescent="0.3">
      <c r="C3185" t="s">
        <v>2266</v>
      </c>
      <c r="D3185" t="s">
        <v>2267</v>
      </c>
      <c r="E3185" t="s">
        <v>8558</v>
      </c>
      <c r="F3185" t="s">
        <v>8559</v>
      </c>
      <c r="G3185" s="425">
        <v>741772000</v>
      </c>
      <c r="H3185" s="425">
        <v>0</v>
      </c>
      <c r="I3185" s="425">
        <v>0</v>
      </c>
      <c r="J3185" s="425">
        <v>0</v>
      </c>
      <c r="K3185" s="425">
        <v>0</v>
      </c>
      <c r="L3185" s="425">
        <v>741772000</v>
      </c>
      <c r="M3185" s="425">
        <v>0</v>
      </c>
      <c r="N3185" s="425">
        <v>0</v>
      </c>
      <c r="O3185" s="425">
        <v>0</v>
      </c>
    </row>
    <row r="3186" spans="1:15" hidden="1" x14ac:dyDescent="0.3">
      <c r="A3186" s="240"/>
      <c r="B3186" s="239" t="s">
        <v>171</v>
      </c>
      <c r="C3186" t="s">
        <v>2260</v>
      </c>
      <c r="D3186" t="s">
        <v>2237</v>
      </c>
      <c r="E3186" t="s">
        <v>8560</v>
      </c>
      <c r="F3186" t="s">
        <v>8561</v>
      </c>
      <c r="G3186" s="425">
        <v>299436415590</v>
      </c>
      <c r="H3186" s="425">
        <v>0</v>
      </c>
      <c r="I3186" s="425">
        <v>0</v>
      </c>
      <c r="J3186" s="425">
        <v>0</v>
      </c>
      <c r="K3186" s="425">
        <v>0</v>
      </c>
      <c r="L3186" s="425">
        <v>0</v>
      </c>
      <c r="M3186" s="425">
        <v>0</v>
      </c>
      <c r="N3186" s="425">
        <v>299436415590</v>
      </c>
      <c r="O3186" s="425">
        <v>0</v>
      </c>
    </row>
    <row r="3187" spans="1:15" hidden="1" x14ac:dyDescent="0.3">
      <c r="A3187" s="233"/>
      <c r="B3187" s="235" t="s">
        <v>173</v>
      </c>
      <c r="C3187" t="s">
        <v>2263</v>
      </c>
      <c r="D3187" t="s">
        <v>2237</v>
      </c>
      <c r="E3187" t="s">
        <v>8562</v>
      </c>
      <c r="F3187" t="s">
        <v>8563</v>
      </c>
      <c r="G3187" s="425">
        <v>299436415590</v>
      </c>
      <c r="H3187" s="425">
        <v>0</v>
      </c>
      <c r="I3187" s="425">
        <v>0</v>
      </c>
      <c r="J3187" s="425">
        <v>0</v>
      </c>
      <c r="K3187" s="425">
        <v>0</v>
      </c>
      <c r="L3187" s="425">
        <v>0</v>
      </c>
      <c r="M3187" s="425">
        <v>0</v>
      </c>
      <c r="N3187" s="425">
        <v>299436415590</v>
      </c>
      <c r="O3187" s="425">
        <v>0</v>
      </c>
    </row>
    <row r="3188" spans="1:15" hidden="1" x14ac:dyDescent="0.3">
      <c r="C3188" t="s">
        <v>2266</v>
      </c>
      <c r="D3188" t="s">
        <v>2237</v>
      </c>
      <c r="E3188" t="s">
        <v>8564</v>
      </c>
      <c r="F3188" t="s">
        <v>8565</v>
      </c>
      <c r="G3188" s="425">
        <v>300000000000</v>
      </c>
      <c r="H3188" s="425">
        <v>0</v>
      </c>
      <c r="I3188" s="425">
        <v>0</v>
      </c>
      <c r="J3188" s="425">
        <v>0</v>
      </c>
      <c r="K3188" s="425">
        <v>0</v>
      </c>
      <c r="L3188" s="425">
        <v>0</v>
      </c>
      <c r="M3188" s="425">
        <v>0</v>
      </c>
      <c r="N3188" s="425">
        <v>300000000000</v>
      </c>
      <c r="O3188" s="425">
        <v>0</v>
      </c>
    </row>
    <row r="3189" spans="1:15" hidden="1" x14ac:dyDescent="0.3">
      <c r="C3189" t="s">
        <v>2292</v>
      </c>
      <c r="D3189" t="s">
        <v>2267</v>
      </c>
      <c r="E3189" t="s">
        <v>8566</v>
      </c>
      <c r="F3189" t="s">
        <v>8567</v>
      </c>
      <c r="G3189" s="425">
        <v>300000000000</v>
      </c>
      <c r="H3189" s="425">
        <v>0</v>
      </c>
      <c r="I3189" s="425">
        <v>0</v>
      </c>
      <c r="J3189" s="425">
        <v>0</v>
      </c>
      <c r="K3189" s="425">
        <v>0</v>
      </c>
      <c r="L3189" s="425">
        <v>0</v>
      </c>
      <c r="M3189" s="425">
        <v>0</v>
      </c>
      <c r="N3189" s="425">
        <v>300000000000</v>
      </c>
      <c r="O3189" s="425">
        <v>0</v>
      </c>
    </row>
    <row r="3190" spans="1:15" hidden="1" x14ac:dyDescent="0.3">
      <c r="C3190" t="s">
        <v>2292</v>
      </c>
      <c r="D3190" t="s">
        <v>2267</v>
      </c>
      <c r="E3190" t="s">
        <v>8568</v>
      </c>
      <c r="F3190" t="s">
        <v>8569</v>
      </c>
      <c r="G3190" s="425">
        <v>0</v>
      </c>
      <c r="H3190" s="425">
        <v>0</v>
      </c>
      <c r="I3190" s="425">
        <v>0</v>
      </c>
      <c r="J3190" s="425">
        <v>0</v>
      </c>
      <c r="K3190" s="425">
        <v>0</v>
      </c>
      <c r="L3190" s="425">
        <v>0</v>
      </c>
      <c r="M3190" s="425">
        <v>0</v>
      </c>
      <c r="N3190" s="425">
        <v>0</v>
      </c>
      <c r="O3190" s="425">
        <v>0</v>
      </c>
    </row>
    <row r="3191" spans="1:15" hidden="1" x14ac:dyDescent="0.3">
      <c r="C3191" t="s">
        <v>2266</v>
      </c>
      <c r="D3191" t="s">
        <v>2237</v>
      </c>
      <c r="E3191" t="s">
        <v>8570</v>
      </c>
      <c r="F3191" t="s">
        <v>8571</v>
      </c>
      <c r="G3191" s="425">
        <v>-563584410</v>
      </c>
      <c r="H3191" s="425">
        <v>0</v>
      </c>
      <c r="I3191" s="425">
        <v>0</v>
      </c>
      <c r="J3191" s="425">
        <v>0</v>
      </c>
      <c r="K3191" s="425">
        <v>0</v>
      </c>
      <c r="L3191" s="425">
        <v>0</v>
      </c>
      <c r="M3191" s="425">
        <v>0</v>
      </c>
      <c r="N3191" s="425">
        <v>-563584410</v>
      </c>
      <c r="O3191" s="425">
        <v>0</v>
      </c>
    </row>
    <row r="3192" spans="1:15" hidden="1" x14ac:dyDescent="0.3">
      <c r="C3192" t="s">
        <v>2292</v>
      </c>
      <c r="D3192" t="s">
        <v>2267</v>
      </c>
      <c r="E3192" t="s">
        <v>8572</v>
      </c>
      <c r="F3192" t="s">
        <v>8573</v>
      </c>
      <c r="G3192" s="425">
        <v>-563584410</v>
      </c>
      <c r="H3192" s="425">
        <v>0</v>
      </c>
      <c r="I3192" s="425">
        <v>0</v>
      </c>
      <c r="J3192" s="425">
        <v>0</v>
      </c>
      <c r="K3192" s="425">
        <v>0</v>
      </c>
      <c r="L3192" s="425">
        <v>0</v>
      </c>
      <c r="M3192" s="425">
        <v>0</v>
      </c>
      <c r="N3192" s="425">
        <v>-563584410</v>
      </c>
      <c r="O3192" s="425">
        <v>0</v>
      </c>
    </row>
    <row r="3193" spans="1:15" hidden="1" x14ac:dyDescent="0.3">
      <c r="A3193" s="240"/>
      <c r="B3193" s="239" t="s">
        <v>175</v>
      </c>
      <c r="C3193" t="s">
        <v>2260</v>
      </c>
      <c r="D3193" t="s">
        <v>2237</v>
      </c>
      <c r="E3193" t="s">
        <v>8574</v>
      </c>
      <c r="F3193" t="s">
        <v>8575</v>
      </c>
      <c r="G3193" s="425">
        <v>3947690530</v>
      </c>
      <c r="H3193" s="425">
        <v>0</v>
      </c>
      <c r="I3193" s="425">
        <v>0</v>
      </c>
      <c r="J3193" s="425">
        <v>0</v>
      </c>
      <c r="K3193" s="425">
        <v>0</v>
      </c>
      <c r="L3193" s="425">
        <v>0</v>
      </c>
      <c r="M3193" s="425">
        <v>0</v>
      </c>
      <c r="N3193" s="425">
        <v>3947690530</v>
      </c>
      <c r="O3193" s="425">
        <v>0</v>
      </c>
    </row>
    <row r="3194" spans="1:15" hidden="1" x14ac:dyDescent="0.3">
      <c r="C3194" t="s">
        <v>2263</v>
      </c>
      <c r="D3194" t="s">
        <v>2237</v>
      </c>
      <c r="E3194" t="s">
        <v>8576</v>
      </c>
      <c r="F3194" t="s">
        <v>8577</v>
      </c>
      <c r="G3194" s="425">
        <v>3947690530</v>
      </c>
      <c r="H3194" s="425">
        <v>0</v>
      </c>
      <c r="I3194" s="425">
        <v>0</v>
      </c>
      <c r="J3194" s="425">
        <v>0</v>
      </c>
      <c r="K3194" s="425">
        <v>0</v>
      </c>
      <c r="L3194" s="425">
        <v>0</v>
      </c>
      <c r="M3194" s="425">
        <v>0</v>
      </c>
      <c r="N3194" s="425">
        <v>3947690530</v>
      </c>
      <c r="O3194" s="425">
        <v>0</v>
      </c>
    </row>
    <row r="3195" spans="1:15" hidden="1" x14ac:dyDescent="0.3">
      <c r="C3195" t="s">
        <v>2266</v>
      </c>
      <c r="D3195" t="s">
        <v>2267</v>
      </c>
      <c r="E3195" t="s">
        <v>8578</v>
      </c>
      <c r="F3195" t="s">
        <v>8579</v>
      </c>
      <c r="G3195" s="425">
        <v>3947690530</v>
      </c>
      <c r="H3195" s="425">
        <v>0</v>
      </c>
      <c r="I3195" s="425">
        <v>0</v>
      </c>
      <c r="J3195" s="425">
        <v>0</v>
      </c>
      <c r="K3195" s="425">
        <v>0</v>
      </c>
      <c r="L3195" s="425">
        <v>0</v>
      </c>
      <c r="M3195" s="425">
        <v>0</v>
      </c>
      <c r="N3195" s="425">
        <v>3947690530</v>
      </c>
      <c r="O3195" s="425">
        <v>0</v>
      </c>
    </row>
    <row r="3196" spans="1:15" hidden="1" x14ac:dyDescent="0.3">
      <c r="C3196" t="s">
        <v>2263</v>
      </c>
      <c r="D3196" t="s">
        <v>2237</v>
      </c>
      <c r="E3196" t="s">
        <v>8580</v>
      </c>
      <c r="F3196" t="s">
        <v>8581</v>
      </c>
      <c r="G3196" s="425">
        <v>0</v>
      </c>
      <c r="H3196" s="425">
        <v>0</v>
      </c>
      <c r="I3196" s="425">
        <v>0</v>
      </c>
      <c r="J3196" s="425">
        <v>0</v>
      </c>
      <c r="K3196" s="425">
        <v>0</v>
      </c>
      <c r="L3196" s="425">
        <v>0</v>
      </c>
      <c r="M3196" s="425">
        <v>0</v>
      </c>
      <c r="N3196" s="425">
        <v>0</v>
      </c>
      <c r="O3196" s="425">
        <v>0</v>
      </c>
    </row>
    <row r="3197" spans="1:15" hidden="1" x14ac:dyDescent="0.3">
      <c r="C3197" t="s">
        <v>2266</v>
      </c>
      <c r="D3197" t="s">
        <v>2267</v>
      </c>
      <c r="E3197" t="s">
        <v>8582</v>
      </c>
      <c r="F3197" t="s">
        <v>8583</v>
      </c>
      <c r="G3197" s="425">
        <v>0</v>
      </c>
      <c r="H3197" s="425">
        <v>0</v>
      </c>
      <c r="I3197" s="425">
        <v>0</v>
      </c>
      <c r="J3197" s="425">
        <v>0</v>
      </c>
      <c r="K3197" s="425">
        <v>0</v>
      </c>
      <c r="L3197" s="425">
        <v>0</v>
      </c>
      <c r="M3197" s="425">
        <v>0</v>
      </c>
      <c r="N3197" s="425">
        <v>0</v>
      </c>
      <c r="O3197" s="425">
        <v>0</v>
      </c>
    </row>
    <row r="3198" spans="1:15" hidden="1" x14ac:dyDescent="0.3">
      <c r="A3198" s="240"/>
      <c r="B3198" s="239" t="s">
        <v>176</v>
      </c>
      <c r="C3198" t="s">
        <v>2260</v>
      </c>
      <c r="D3198" t="s">
        <v>2237</v>
      </c>
      <c r="E3198" t="s">
        <v>8584</v>
      </c>
      <c r="F3198" t="s">
        <v>8585</v>
      </c>
      <c r="G3198" s="425">
        <v>15261883423</v>
      </c>
      <c r="H3198" s="425">
        <v>6967755862</v>
      </c>
      <c r="I3198" s="425">
        <v>61396220</v>
      </c>
      <c r="J3198" s="425">
        <v>0</v>
      </c>
      <c r="K3198" s="425">
        <v>0</v>
      </c>
      <c r="L3198" s="425">
        <v>11806087</v>
      </c>
      <c r="M3198" s="425">
        <v>8220925254</v>
      </c>
      <c r="N3198" s="425">
        <v>0</v>
      </c>
      <c r="O3198" s="425">
        <v>0</v>
      </c>
    </row>
    <row r="3199" spans="1:15" hidden="1" x14ac:dyDescent="0.3">
      <c r="C3199" t="s">
        <v>2263</v>
      </c>
      <c r="D3199" t="s">
        <v>2237</v>
      </c>
      <c r="E3199" t="s">
        <v>8586</v>
      </c>
      <c r="F3199" t="s">
        <v>8587</v>
      </c>
      <c r="G3199" s="425">
        <v>15261883423</v>
      </c>
      <c r="H3199" s="425">
        <v>6967755862</v>
      </c>
      <c r="I3199" s="425">
        <v>61396220</v>
      </c>
      <c r="J3199" s="425">
        <v>0</v>
      </c>
      <c r="K3199" s="425">
        <v>0</v>
      </c>
      <c r="L3199" s="425">
        <v>11806087</v>
      </c>
      <c r="M3199" s="425">
        <v>8220925254</v>
      </c>
      <c r="N3199" s="425">
        <v>0</v>
      </c>
      <c r="O3199" s="425">
        <v>0</v>
      </c>
    </row>
    <row r="3200" spans="1:15" hidden="1" x14ac:dyDescent="0.3">
      <c r="C3200" t="s">
        <v>2266</v>
      </c>
      <c r="D3200" t="s">
        <v>2267</v>
      </c>
      <c r="E3200" t="s">
        <v>8588</v>
      </c>
      <c r="F3200" t="s">
        <v>8589</v>
      </c>
      <c r="G3200" s="425">
        <v>12027594059</v>
      </c>
      <c r="H3200" s="425">
        <v>3768116711</v>
      </c>
      <c r="I3200" s="425">
        <v>53885971</v>
      </c>
      <c r="J3200" s="425">
        <v>0</v>
      </c>
      <c r="K3200" s="425">
        <v>0</v>
      </c>
      <c r="L3200" s="425">
        <v>11806087</v>
      </c>
      <c r="M3200" s="425">
        <v>8193785290</v>
      </c>
      <c r="N3200" s="425">
        <v>0</v>
      </c>
      <c r="O3200" s="425">
        <v>0</v>
      </c>
    </row>
    <row r="3201" spans="1:15" hidden="1" x14ac:dyDescent="0.3">
      <c r="C3201" t="s">
        <v>2266</v>
      </c>
      <c r="D3201" t="s">
        <v>2267</v>
      </c>
      <c r="E3201" t="s">
        <v>8590</v>
      </c>
      <c r="F3201" t="s">
        <v>8591</v>
      </c>
      <c r="G3201" s="425">
        <v>3207149400</v>
      </c>
      <c r="H3201" s="425">
        <v>3199639151</v>
      </c>
      <c r="I3201" s="425">
        <v>7510249</v>
      </c>
      <c r="J3201" s="425">
        <v>0</v>
      </c>
      <c r="K3201" s="425">
        <v>0</v>
      </c>
      <c r="L3201" s="425">
        <v>0</v>
      </c>
      <c r="M3201" s="425">
        <v>0</v>
      </c>
      <c r="N3201" s="425">
        <v>0</v>
      </c>
      <c r="O3201" s="425">
        <v>0</v>
      </c>
    </row>
    <row r="3202" spans="1:15" hidden="1" x14ac:dyDescent="0.3">
      <c r="C3202" t="s">
        <v>2266</v>
      </c>
      <c r="D3202" t="s">
        <v>2267</v>
      </c>
      <c r="E3202" t="s">
        <v>8592</v>
      </c>
      <c r="F3202" t="s">
        <v>8593</v>
      </c>
      <c r="G3202" s="425">
        <v>0</v>
      </c>
      <c r="H3202" s="425">
        <v>0</v>
      </c>
      <c r="I3202" s="425">
        <v>0</v>
      </c>
      <c r="J3202" s="425">
        <v>0</v>
      </c>
      <c r="K3202" s="425">
        <v>0</v>
      </c>
      <c r="L3202" s="425">
        <v>0</v>
      </c>
      <c r="M3202" s="425">
        <v>0</v>
      </c>
      <c r="N3202" s="425">
        <v>0</v>
      </c>
      <c r="O3202" s="425">
        <v>0</v>
      </c>
    </row>
    <row r="3203" spans="1:15" hidden="1" x14ac:dyDescent="0.3">
      <c r="C3203" t="s">
        <v>2266</v>
      </c>
      <c r="D3203" t="s">
        <v>2267</v>
      </c>
      <c r="E3203" t="s">
        <v>8594</v>
      </c>
      <c r="F3203" t="s">
        <v>8595</v>
      </c>
      <c r="G3203" s="425">
        <v>27139964</v>
      </c>
      <c r="H3203" s="425">
        <v>0</v>
      </c>
      <c r="I3203" s="425">
        <v>0</v>
      </c>
      <c r="J3203" s="425">
        <v>0</v>
      </c>
      <c r="K3203" s="425">
        <v>0</v>
      </c>
      <c r="L3203" s="425">
        <v>0</v>
      </c>
      <c r="M3203" s="425">
        <v>27139964</v>
      </c>
      <c r="N3203" s="425">
        <v>0</v>
      </c>
      <c r="O3203" s="425">
        <v>0</v>
      </c>
    </row>
    <row r="3204" spans="1:15" hidden="1" x14ac:dyDescent="0.3">
      <c r="C3204" t="s">
        <v>2263</v>
      </c>
      <c r="D3204" t="s">
        <v>2237</v>
      </c>
      <c r="E3204" t="s">
        <v>8596</v>
      </c>
      <c r="F3204" t="s">
        <v>8597</v>
      </c>
      <c r="G3204" s="425">
        <v>0</v>
      </c>
      <c r="H3204" s="425">
        <v>0</v>
      </c>
      <c r="I3204" s="425">
        <v>0</v>
      </c>
      <c r="J3204" s="425">
        <v>0</v>
      </c>
      <c r="K3204" s="425">
        <v>0</v>
      </c>
      <c r="L3204" s="425">
        <v>0</v>
      </c>
      <c r="M3204" s="425">
        <v>0</v>
      </c>
      <c r="N3204" s="425">
        <v>0</v>
      </c>
      <c r="O3204" s="425">
        <v>0</v>
      </c>
    </row>
    <row r="3205" spans="1:15" hidden="1" x14ac:dyDescent="0.3">
      <c r="C3205" t="s">
        <v>2266</v>
      </c>
      <c r="D3205" t="s">
        <v>2267</v>
      </c>
      <c r="E3205" t="s">
        <v>8598</v>
      </c>
      <c r="F3205" t="s">
        <v>8599</v>
      </c>
      <c r="G3205" s="425">
        <v>0</v>
      </c>
      <c r="H3205" s="425">
        <v>0</v>
      </c>
      <c r="I3205" s="425">
        <v>0</v>
      </c>
      <c r="J3205" s="425">
        <v>0</v>
      </c>
      <c r="K3205" s="425">
        <v>0</v>
      </c>
      <c r="L3205" s="425">
        <v>0</v>
      </c>
      <c r="M3205" s="425">
        <v>0</v>
      </c>
      <c r="N3205" s="425">
        <v>0</v>
      </c>
      <c r="O3205" s="425">
        <v>0</v>
      </c>
    </row>
    <row r="3206" spans="1:15" hidden="1" x14ac:dyDescent="0.3">
      <c r="A3206" s="240"/>
      <c r="B3206" s="239" t="s">
        <v>177</v>
      </c>
      <c r="C3206" t="s">
        <v>2260</v>
      </c>
      <c r="D3206" t="s">
        <v>2237</v>
      </c>
      <c r="E3206" t="s">
        <v>8600</v>
      </c>
      <c r="F3206" t="s">
        <v>8601</v>
      </c>
      <c r="G3206" s="425">
        <v>33873734004</v>
      </c>
      <c r="H3206" s="425">
        <v>-1240790408</v>
      </c>
      <c r="I3206" s="425">
        <v>11335250156</v>
      </c>
      <c r="J3206" s="425">
        <v>0</v>
      </c>
      <c r="K3206" s="425">
        <v>7614022649</v>
      </c>
      <c r="L3206" s="425">
        <v>48271829616</v>
      </c>
      <c r="M3206" s="425">
        <v>3676626726</v>
      </c>
      <c r="N3206" s="425">
        <v>-35400612056</v>
      </c>
      <c r="O3206" s="425">
        <v>-382592679</v>
      </c>
    </row>
    <row r="3207" spans="1:15" hidden="1" x14ac:dyDescent="0.3">
      <c r="C3207" t="s">
        <v>2263</v>
      </c>
      <c r="D3207" t="s">
        <v>2237</v>
      </c>
      <c r="E3207" t="s">
        <v>8500</v>
      </c>
      <c r="F3207" t="s">
        <v>8602</v>
      </c>
      <c r="G3207" s="425">
        <v>33873734004</v>
      </c>
      <c r="H3207" s="425">
        <v>-1240790408</v>
      </c>
      <c r="I3207" s="425">
        <v>11335250156</v>
      </c>
      <c r="J3207" s="425">
        <v>0</v>
      </c>
      <c r="K3207" s="425">
        <v>7614022649</v>
      </c>
      <c r="L3207" s="425">
        <v>48271829616</v>
      </c>
      <c r="M3207" s="425">
        <v>3676626726</v>
      </c>
      <c r="N3207" s="425">
        <v>-35400612056</v>
      </c>
      <c r="O3207" s="425">
        <v>-382592679</v>
      </c>
    </row>
    <row r="3208" spans="1:15" hidden="1" x14ac:dyDescent="0.3">
      <c r="C3208" t="s">
        <v>2266</v>
      </c>
      <c r="D3208" t="s">
        <v>2267</v>
      </c>
      <c r="E3208" t="s">
        <v>8603</v>
      </c>
      <c r="F3208" t="s">
        <v>8604</v>
      </c>
      <c r="G3208" s="425">
        <v>33873734004</v>
      </c>
      <c r="H3208" s="425">
        <v>-1240790408</v>
      </c>
      <c r="I3208" s="425">
        <v>11335250156</v>
      </c>
      <c r="J3208" s="425">
        <v>0</v>
      </c>
      <c r="K3208" s="425">
        <v>7614022649</v>
      </c>
      <c r="L3208" s="425">
        <v>48271829616</v>
      </c>
      <c r="M3208" s="425">
        <v>3676626726</v>
      </c>
      <c r="N3208" s="425">
        <v>-35400612056</v>
      </c>
      <c r="O3208" s="425">
        <v>-382592679</v>
      </c>
    </row>
    <row r="3209" spans="1:15" hidden="1" x14ac:dyDescent="0.3">
      <c r="A3209" s="240"/>
      <c r="B3209" s="239" t="s">
        <v>178</v>
      </c>
      <c r="C3209" t="s">
        <v>2260</v>
      </c>
      <c r="D3209" t="s">
        <v>2237</v>
      </c>
      <c r="E3209" t="s">
        <v>8605</v>
      </c>
      <c r="F3209" t="s">
        <v>8606</v>
      </c>
      <c r="G3209" s="425">
        <v>0</v>
      </c>
      <c r="H3209" s="425">
        <v>0</v>
      </c>
      <c r="I3209" s="425">
        <v>0</v>
      </c>
      <c r="J3209" s="425">
        <v>0</v>
      </c>
      <c r="K3209" s="425">
        <v>0</v>
      </c>
      <c r="L3209" s="425">
        <v>0</v>
      </c>
      <c r="M3209" s="425">
        <v>0</v>
      </c>
      <c r="N3209" s="425">
        <v>0</v>
      </c>
      <c r="O3209" s="425">
        <v>0</v>
      </c>
    </row>
    <row r="3210" spans="1:15" hidden="1" x14ac:dyDescent="0.3">
      <c r="C3210" t="s">
        <v>2263</v>
      </c>
      <c r="D3210" t="s">
        <v>2237</v>
      </c>
      <c r="E3210" t="s">
        <v>8607</v>
      </c>
      <c r="F3210" t="s">
        <v>8608</v>
      </c>
      <c r="G3210" s="425">
        <v>269314734219</v>
      </c>
      <c r="H3210" s="425">
        <v>112489972799</v>
      </c>
      <c r="I3210" s="425">
        <v>60218903397</v>
      </c>
      <c r="J3210" s="425">
        <v>0</v>
      </c>
      <c r="K3210" s="425">
        <v>20743038672</v>
      </c>
      <c r="L3210" s="425">
        <v>43449741129</v>
      </c>
      <c r="M3210" s="425">
        <v>3251278216</v>
      </c>
      <c r="N3210" s="425">
        <v>29161800006</v>
      </c>
      <c r="O3210" s="425">
        <v>0</v>
      </c>
    </row>
    <row r="3211" spans="1:15" hidden="1" x14ac:dyDescent="0.3">
      <c r="C3211" t="s">
        <v>2266</v>
      </c>
      <c r="D3211" t="s">
        <v>2267</v>
      </c>
      <c r="E3211" t="s">
        <v>8609</v>
      </c>
      <c r="F3211" t="s">
        <v>8610</v>
      </c>
      <c r="G3211" s="425">
        <v>269314734219</v>
      </c>
      <c r="H3211" s="425">
        <v>112489972799</v>
      </c>
      <c r="I3211" s="425">
        <v>60218903397</v>
      </c>
      <c r="J3211" s="425">
        <v>0</v>
      </c>
      <c r="K3211" s="425">
        <v>20743038672</v>
      </c>
      <c r="L3211" s="425">
        <v>43449741129</v>
      </c>
      <c r="M3211" s="425">
        <v>3251278216</v>
      </c>
      <c r="N3211" s="425">
        <v>29161800006</v>
      </c>
      <c r="O3211" s="425">
        <v>0</v>
      </c>
    </row>
    <row r="3212" spans="1:15" hidden="1" x14ac:dyDescent="0.3">
      <c r="C3212" t="s">
        <v>2263</v>
      </c>
      <c r="D3212" t="s">
        <v>2237</v>
      </c>
      <c r="E3212" t="s">
        <v>8611</v>
      </c>
      <c r="F3212" t="s">
        <v>8612</v>
      </c>
      <c r="G3212" s="425">
        <v>-298969218340</v>
      </c>
      <c r="H3212" s="425">
        <v>-125130432592</v>
      </c>
      <c r="I3212" s="425">
        <v>-67008814054</v>
      </c>
      <c r="J3212" s="425">
        <v>0</v>
      </c>
      <c r="K3212" s="425">
        <v>-23065123603</v>
      </c>
      <c r="L3212" s="425">
        <v>-47714335879</v>
      </c>
      <c r="M3212" s="425">
        <v>-3615961525</v>
      </c>
      <c r="N3212" s="425">
        <v>-32434550687</v>
      </c>
      <c r="O3212" s="425">
        <v>0</v>
      </c>
    </row>
    <row r="3213" spans="1:15" hidden="1" x14ac:dyDescent="0.3">
      <c r="C3213" t="s">
        <v>2266</v>
      </c>
      <c r="D3213" t="s">
        <v>2267</v>
      </c>
      <c r="E3213" t="s">
        <v>8613</v>
      </c>
      <c r="F3213" t="s">
        <v>8614</v>
      </c>
      <c r="G3213" s="425">
        <v>-32274700</v>
      </c>
      <c r="H3213" s="425">
        <v>-851600</v>
      </c>
      <c r="I3213" s="425">
        <v>-23588950</v>
      </c>
      <c r="J3213" s="425">
        <v>0</v>
      </c>
      <c r="K3213" s="425">
        <v>8646200</v>
      </c>
      <c r="L3213" s="425">
        <v>-21047500</v>
      </c>
      <c r="M3213" s="425">
        <v>637100</v>
      </c>
      <c r="N3213" s="425">
        <v>3930050</v>
      </c>
      <c r="O3213" s="425">
        <v>0</v>
      </c>
    </row>
    <row r="3214" spans="1:15" hidden="1" x14ac:dyDescent="0.3">
      <c r="C3214" t="s">
        <v>2266</v>
      </c>
      <c r="D3214" t="s">
        <v>2267</v>
      </c>
      <c r="E3214" t="s">
        <v>8615</v>
      </c>
      <c r="F3214" t="s">
        <v>8616</v>
      </c>
      <c r="G3214" s="425">
        <v>-218159945526</v>
      </c>
      <c r="H3214" s="425">
        <v>-85557744085</v>
      </c>
      <c r="I3214" s="425">
        <v>-45801358092</v>
      </c>
      <c r="J3214" s="425">
        <v>0</v>
      </c>
      <c r="K3214" s="425">
        <v>-15776762587</v>
      </c>
      <c r="L3214" s="425">
        <v>-46371306986</v>
      </c>
      <c r="M3214" s="425">
        <v>-2472860671</v>
      </c>
      <c r="N3214" s="425">
        <v>-22179913105</v>
      </c>
      <c r="O3214" s="425">
        <v>0</v>
      </c>
    </row>
    <row r="3215" spans="1:15" hidden="1" x14ac:dyDescent="0.3">
      <c r="C3215" t="s">
        <v>2266</v>
      </c>
      <c r="D3215" t="s">
        <v>2267</v>
      </c>
      <c r="E3215" t="s">
        <v>8617</v>
      </c>
      <c r="F3215" t="s">
        <v>8618</v>
      </c>
      <c r="G3215" s="425">
        <v>-80776998114</v>
      </c>
      <c r="H3215" s="425">
        <v>-39571836907</v>
      </c>
      <c r="I3215" s="425">
        <v>-21183867012</v>
      </c>
      <c r="J3215" s="425">
        <v>0</v>
      </c>
      <c r="K3215" s="425">
        <v>-7297007216</v>
      </c>
      <c r="L3215" s="425">
        <v>-1321981393</v>
      </c>
      <c r="M3215" s="425">
        <v>-1143737954</v>
      </c>
      <c r="N3215" s="425">
        <v>-10258567632</v>
      </c>
      <c r="O3215" s="425">
        <v>0</v>
      </c>
    </row>
    <row r="3216" spans="1:15" hidden="1" x14ac:dyDescent="0.3">
      <c r="C3216" t="s">
        <v>2263</v>
      </c>
      <c r="D3216" t="s">
        <v>2237</v>
      </c>
      <c r="E3216" t="s">
        <v>8619</v>
      </c>
      <c r="F3216" t="s">
        <v>8620</v>
      </c>
      <c r="G3216" s="425">
        <v>29654484121</v>
      </c>
      <c r="H3216" s="425">
        <v>12640459793</v>
      </c>
      <c r="I3216" s="425">
        <v>6789910657</v>
      </c>
      <c r="J3216" s="425">
        <v>0</v>
      </c>
      <c r="K3216" s="425">
        <v>2322084931</v>
      </c>
      <c r="L3216" s="425">
        <v>4264594750</v>
      </c>
      <c r="M3216" s="425">
        <v>364683309</v>
      </c>
      <c r="N3216" s="425">
        <v>3272750681</v>
      </c>
      <c r="O3216" s="425">
        <v>0</v>
      </c>
    </row>
    <row r="3217" spans="1:15" hidden="1" x14ac:dyDescent="0.3">
      <c r="C3217" t="s">
        <v>2266</v>
      </c>
      <c r="D3217" t="s">
        <v>2267</v>
      </c>
      <c r="E3217" t="s">
        <v>8621</v>
      </c>
      <c r="F3217" t="s">
        <v>8622</v>
      </c>
      <c r="G3217" s="425">
        <v>-269314734219</v>
      </c>
      <c r="H3217" s="425">
        <v>-112489972799</v>
      </c>
      <c r="I3217" s="425">
        <v>-60218903397</v>
      </c>
      <c r="J3217" s="425">
        <v>0</v>
      </c>
      <c r="K3217" s="425">
        <v>-20743038672</v>
      </c>
      <c r="L3217" s="425">
        <v>-43449741129</v>
      </c>
      <c r="M3217" s="425">
        <v>-3251278216</v>
      </c>
      <c r="N3217" s="425">
        <v>-29161800006</v>
      </c>
      <c r="O3217" s="425">
        <v>0</v>
      </c>
    </row>
    <row r="3218" spans="1:15" hidden="1" x14ac:dyDescent="0.3">
      <c r="C3218" t="s">
        <v>2266</v>
      </c>
      <c r="D3218" t="s">
        <v>2267</v>
      </c>
      <c r="E3218" t="s">
        <v>8623</v>
      </c>
      <c r="F3218" t="s">
        <v>8624</v>
      </c>
      <c r="G3218" s="425">
        <v>298969218340</v>
      </c>
      <c r="H3218" s="425">
        <v>125130432592</v>
      </c>
      <c r="I3218" s="425">
        <v>67008814054</v>
      </c>
      <c r="J3218" s="425">
        <v>0</v>
      </c>
      <c r="K3218" s="425">
        <v>23065123603</v>
      </c>
      <c r="L3218" s="425">
        <v>47714335879</v>
      </c>
      <c r="M3218" s="425">
        <v>3615961525</v>
      </c>
      <c r="N3218" s="425">
        <v>32434550687</v>
      </c>
      <c r="O3218" s="425">
        <v>0</v>
      </c>
    </row>
    <row r="3219" spans="1:15" hidden="1" x14ac:dyDescent="0.3">
      <c r="A3219" s="240"/>
      <c r="B3219" s="239" t="s">
        <v>179</v>
      </c>
      <c r="C3219" t="s">
        <v>2260</v>
      </c>
      <c r="D3219" t="s">
        <v>2237</v>
      </c>
      <c r="E3219" t="s">
        <v>8625</v>
      </c>
      <c r="F3219" t="s">
        <v>8626</v>
      </c>
      <c r="G3219" s="425">
        <v>36269354797</v>
      </c>
      <c r="H3219" s="425">
        <v>8143632272</v>
      </c>
      <c r="I3219" s="425">
        <v>9352474702</v>
      </c>
      <c r="J3219" s="425">
        <v>0</v>
      </c>
      <c r="K3219" s="425">
        <v>3583577372</v>
      </c>
      <c r="L3219" s="425">
        <v>0</v>
      </c>
      <c r="M3219" s="425">
        <v>15041088256</v>
      </c>
      <c r="N3219" s="425">
        <v>148582195</v>
      </c>
      <c r="O3219" s="425">
        <v>0</v>
      </c>
    </row>
    <row r="3220" spans="1:15" hidden="1" x14ac:dyDescent="0.3">
      <c r="C3220" t="s">
        <v>2263</v>
      </c>
      <c r="D3220" t="s">
        <v>2237</v>
      </c>
      <c r="E3220" t="s">
        <v>8627</v>
      </c>
      <c r="F3220" t="s">
        <v>8628</v>
      </c>
      <c r="G3220" s="425">
        <v>21236022229</v>
      </c>
      <c r="H3220" s="425">
        <v>8143632272</v>
      </c>
      <c r="I3220" s="425">
        <v>9352474702</v>
      </c>
      <c r="J3220" s="425">
        <v>0</v>
      </c>
      <c r="K3220" s="425">
        <v>3583577372</v>
      </c>
      <c r="L3220" s="425">
        <v>0</v>
      </c>
      <c r="M3220" s="425">
        <v>7755688</v>
      </c>
      <c r="N3220" s="425">
        <v>148582195</v>
      </c>
      <c r="O3220" s="425">
        <v>0</v>
      </c>
    </row>
    <row r="3221" spans="1:15" hidden="1" x14ac:dyDescent="0.3">
      <c r="C3221" t="s">
        <v>2266</v>
      </c>
      <c r="D3221" t="s">
        <v>2267</v>
      </c>
      <c r="E3221" t="s">
        <v>8629</v>
      </c>
      <c r="F3221" t="s">
        <v>8630</v>
      </c>
      <c r="G3221" s="425">
        <v>21236022229</v>
      </c>
      <c r="H3221" s="425">
        <v>8143632272</v>
      </c>
      <c r="I3221" s="425">
        <v>9352474702</v>
      </c>
      <c r="J3221" s="425">
        <v>0</v>
      </c>
      <c r="K3221" s="425">
        <v>3583577372</v>
      </c>
      <c r="L3221" s="425">
        <v>0</v>
      </c>
      <c r="M3221" s="425">
        <v>7755688</v>
      </c>
      <c r="N3221" s="425">
        <v>148582195</v>
      </c>
      <c r="O3221" s="425">
        <v>0</v>
      </c>
    </row>
    <row r="3222" spans="1:15" hidden="1" x14ac:dyDescent="0.3">
      <c r="C3222" t="s">
        <v>2263</v>
      </c>
      <c r="D3222" t="s">
        <v>2237</v>
      </c>
      <c r="E3222" t="s">
        <v>8631</v>
      </c>
      <c r="F3222" t="s">
        <v>8632</v>
      </c>
      <c r="G3222" s="425">
        <v>15033332568</v>
      </c>
      <c r="H3222" s="425">
        <v>0</v>
      </c>
      <c r="I3222" s="425">
        <v>0</v>
      </c>
      <c r="J3222" s="425">
        <v>0</v>
      </c>
      <c r="K3222" s="425">
        <v>0</v>
      </c>
      <c r="L3222" s="425">
        <v>0</v>
      </c>
      <c r="M3222" s="425">
        <v>15033332568</v>
      </c>
      <c r="N3222" s="425">
        <v>0</v>
      </c>
      <c r="O3222" s="425">
        <v>0</v>
      </c>
    </row>
    <row r="3223" spans="1:15" hidden="1" x14ac:dyDescent="0.3">
      <c r="C3223" t="s">
        <v>2266</v>
      </c>
      <c r="D3223" t="s">
        <v>2267</v>
      </c>
      <c r="E3223" t="s">
        <v>8633</v>
      </c>
      <c r="F3223" t="s">
        <v>8634</v>
      </c>
      <c r="G3223" s="425">
        <v>15033332568</v>
      </c>
      <c r="H3223" s="425">
        <v>0</v>
      </c>
      <c r="I3223" s="425">
        <v>0</v>
      </c>
      <c r="J3223" s="425">
        <v>0</v>
      </c>
      <c r="K3223" s="425">
        <v>0</v>
      </c>
      <c r="L3223" s="425">
        <v>0</v>
      </c>
      <c r="M3223" s="425">
        <v>15033332568</v>
      </c>
      <c r="N3223" s="425">
        <v>0</v>
      </c>
      <c r="O3223" s="425">
        <v>0</v>
      </c>
    </row>
    <row r="3224" spans="1:15" hidden="1" x14ac:dyDescent="0.3">
      <c r="A3224" s="240"/>
      <c r="B3224" s="239" t="s">
        <v>180</v>
      </c>
      <c r="C3224" t="s">
        <v>2260</v>
      </c>
      <c r="D3224" t="s">
        <v>2237</v>
      </c>
      <c r="E3224" t="s">
        <v>8635</v>
      </c>
      <c r="F3224" t="s">
        <v>8636</v>
      </c>
      <c r="G3224" s="425">
        <v>1468113928144</v>
      </c>
      <c r="H3224" s="425">
        <v>481461808004</v>
      </c>
      <c r="I3224" s="425">
        <v>279654678227</v>
      </c>
      <c r="J3224" s="425">
        <v>0</v>
      </c>
      <c r="K3224" s="425">
        <v>179115726260</v>
      </c>
      <c r="L3224" s="425">
        <v>324906229</v>
      </c>
      <c r="M3224" s="425">
        <v>526024444687</v>
      </c>
      <c r="N3224" s="425">
        <v>1532364737</v>
      </c>
      <c r="O3224" s="425">
        <v>0</v>
      </c>
    </row>
    <row r="3225" spans="1:15" hidden="1" x14ac:dyDescent="0.3">
      <c r="C3225" t="s">
        <v>2263</v>
      </c>
      <c r="D3225" t="s">
        <v>2237</v>
      </c>
      <c r="E3225" t="s">
        <v>8637</v>
      </c>
      <c r="F3225" t="s">
        <v>8638</v>
      </c>
      <c r="G3225" s="425">
        <v>1468113928144</v>
      </c>
      <c r="H3225" s="425">
        <v>481461808004</v>
      </c>
      <c r="I3225" s="425">
        <v>279654678227</v>
      </c>
      <c r="J3225" s="425">
        <v>0</v>
      </c>
      <c r="K3225" s="425">
        <v>179115726260</v>
      </c>
      <c r="L3225" s="425">
        <v>324906229</v>
      </c>
      <c r="M3225" s="425">
        <v>526024444687</v>
      </c>
      <c r="N3225" s="425">
        <v>1532364737</v>
      </c>
      <c r="O3225" s="425">
        <v>0</v>
      </c>
    </row>
    <row r="3226" spans="1:15" hidden="1" x14ac:dyDescent="0.3">
      <c r="C3226" t="s">
        <v>2266</v>
      </c>
      <c r="D3226" t="s">
        <v>2267</v>
      </c>
      <c r="E3226" t="s">
        <v>8639</v>
      </c>
      <c r="F3226" t="s">
        <v>8640</v>
      </c>
      <c r="G3226" s="425">
        <v>1465562028900</v>
      </c>
      <c r="H3226" s="425">
        <v>480042040539</v>
      </c>
      <c r="I3226" s="425">
        <v>279552161719</v>
      </c>
      <c r="J3226" s="425">
        <v>0</v>
      </c>
      <c r="K3226" s="425">
        <v>179115726260</v>
      </c>
      <c r="L3226" s="425">
        <v>4674143</v>
      </c>
      <c r="M3226" s="425">
        <v>526024444687</v>
      </c>
      <c r="N3226" s="425">
        <v>822981552</v>
      </c>
      <c r="O3226" s="425">
        <v>0</v>
      </c>
    </row>
    <row r="3227" spans="1:15" hidden="1" x14ac:dyDescent="0.3">
      <c r="C3227" t="s">
        <v>2266</v>
      </c>
      <c r="D3227" t="s">
        <v>2267</v>
      </c>
      <c r="E3227" t="s">
        <v>8641</v>
      </c>
      <c r="F3227" t="s">
        <v>8642</v>
      </c>
      <c r="G3227" s="425">
        <v>2551899244</v>
      </c>
      <c r="H3227" s="425">
        <v>1419767465</v>
      </c>
      <c r="I3227" s="425">
        <v>102516508</v>
      </c>
      <c r="J3227" s="425">
        <v>0</v>
      </c>
      <c r="K3227" s="425">
        <v>0</v>
      </c>
      <c r="L3227" s="425">
        <v>320232086</v>
      </c>
      <c r="M3227" s="425">
        <v>0</v>
      </c>
      <c r="N3227" s="425">
        <v>709383185</v>
      </c>
      <c r="O3227" s="425">
        <v>0</v>
      </c>
    </row>
    <row r="3228" spans="1:15" hidden="1" x14ac:dyDescent="0.3">
      <c r="A3228" s="240"/>
      <c r="B3228" s="239" t="s">
        <v>181</v>
      </c>
      <c r="C3228" t="s">
        <v>2260</v>
      </c>
      <c r="D3228" t="s">
        <v>2237</v>
      </c>
      <c r="E3228" t="s">
        <v>8643</v>
      </c>
      <c r="F3228" t="s">
        <v>8644</v>
      </c>
      <c r="G3228" s="425">
        <v>0</v>
      </c>
      <c r="H3228" s="425">
        <v>-1226178744932</v>
      </c>
      <c r="I3228" s="425">
        <v>488700566763</v>
      </c>
      <c r="J3228" s="425">
        <v>-19817300618</v>
      </c>
      <c r="K3228" s="425">
        <v>311121070430</v>
      </c>
      <c r="L3228" s="425">
        <v>-1541080648152</v>
      </c>
      <c r="M3228" s="425">
        <v>-38917473581</v>
      </c>
      <c r="N3228" s="425">
        <v>2026122716396</v>
      </c>
      <c r="O3228" s="425">
        <v>49813694</v>
      </c>
    </row>
    <row r="3229" spans="1:15" hidden="1" x14ac:dyDescent="0.3">
      <c r="C3229" t="s">
        <v>2263</v>
      </c>
      <c r="D3229" t="s">
        <v>2237</v>
      </c>
      <c r="E3229" t="s">
        <v>8645</v>
      </c>
      <c r="F3229" t="s">
        <v>8646</v>
      </c>
      <c r="G3229" s="425">
        <v>0</v>
      </c>
      <c r="H3229" s="425">
        <v>-1226178744932</v>
      </c>
      <c r="I3229" s="425">
        <v>488700566763</v>
      </c>
      <c r="J3229" s="425">
        <v>-18987891482</v>
      </c>
      <c r="K3229" s="425">
        <v>311121070430</v>
      </c>
      <c r="L3229" s="425">
        <v>-1541910057288</v>
      </c>
      <c r="M3229" s="425">
        <v>-38917473581</v>
      </c>
      <c r="N3229" s="425">
        <v>2026122716396</v>
      </c>
      <c r="O3229" s="425">
        <v>49813694</v>
      </c>
    </row>
    <row r="3230" spans="1:15" hidden="1" x14ac:dyDescent="0.3">
      <c r="C3230" t="s">
        <v>2266</v>
      </c>
      <c r="D3230" t="s">
        <v>2267</v>
      </c>
      <c r="E3230" t="s">
        <v>8647</v>
      </c>
      <c r="F3230" t="s">
        <v>8648</v>
      </c>
      <c r="G3230" s="425">
        <v>0</v>
      </c>
      <c r="H3230" s="425">
        <v>-1226178744932</v>
      </c>
      <c r="I3230" s="425">
        <v>488700566763</v>
      </c>
      <c r="J3230" s="425">
        <v>-18987891482</v>
      </c>
      <c r="K3230" s="425">
        <v>311121070430</v>
      </c>
      <c r="L3230" s="425">
        <v>-1541910057288</v>
      </c>
      <c r="M3230" s="425">
        <v>-38917473581</v>
      </c>
      <c r="N3230" s="425">
        <v>2026122716396</v>
      </c>
      <c r="O3230" s="425">
        <v>49813694</v>
      </c>
    </row>
    <row r="3231" spans="1:15" hidden="1" x14ac:dyDescent="0.3">
      <c r="C3231" t="s">
        <v>2263</v>
      </c>
      <c r="D3231" t="s">
        <v>2237</v>
      </c>
      <c r="E3231" t="s">
        <v>8649</v>
      </c>
      <c r="F3231" t="s">
        <v>8650</v>
      </c>
      <c r="G3231" s="425">
        <v>0</v>
      </c>
      <c r="H3231" s="425">
        <v>0</v>
      </c>
      <c r="I3231" s="425">
        <v>0</v>
      </c>
      <c r="J3231" s="425">
        <v>-829409136</v>
      </c>
      <c r="K3231" s="425">
        <v>0</v>
      </c>
      <c r="L3231" s="425">
        <v>829409136</v>
      </c>
      <c r="M3231" s="425">
        <v>0</v>
      </c>
      <c r="N3231" s="425">
        <v>0</v>
      </c>
      <c r="O3231" s="425">
        <v>0</v>
      </c>
    </row>
    <row r="3232" spans="1:15" hidden="1" x14ac:dyDescent="0.3">
      <c r="C3232" t="s">
        <v>2266</v>
      </c>
      <c r="D3232" t="s">
        <v>2267</v>
      </c>
      <c r="E3232" t="s">
        <v>8651</v>
      </c>
      <c r="F3232" t="s">
        <v>8652</v>
      </c>
      <c r="G3232" s="425">
        <v>0</v>
      </c>
      <c r="H3232" s="425">
        <v>0</v>
      </c>
      <c r="I3232" s="425">
        <v>0</v>
      </c>
      <c r="J3232" s="425">
        <v>-934756293</v>
      </c>
      <c r="K3232" s="425">
        <v>0</v>
      </c>
      <c r="L3232" s="425">
        <v>58510108951</v>
      </c>
      <c r="M3232" s="425">
        <v>0</v>
      </c>
      <c r="N3232" s="425">
        <v>-57575352658</v>
      </c>
      <c r="O3232" s="425">
        <v>0</v>
      </c>
    </row>
    <row r="3233" spans="1:15" hidden="1" x14ac:dyDescent="0.3">
      <c r="C3233" t="s">
        <v>2266</v>
      </c>
      <c r="D3233" t="s">
        <v>2267</v>
      </c>
      <c r="E3233" t="s">
        <v>8653</v>
      </c>
      <c r="F3233" t="s">
        <v>8654</v>
      </c>
      <c r="G3233" s="425">
        <v>0</v>
      </c>
      <c r="H3233" s="425">
        <v>0</v>
      </c>
      <c r="I3233" s="425">
        <v>0</v>
      </c>
      <c r="J3233" s="425">
        <v>0</v>
      </c>
      <c r="K3233" s="425">
        <v>0</v>
      </c>
      <c r="L3233" s="425">
        <v>0</v>
      </c>
      <c r="M3233" s="425">
        <v>0</v>
      </c>
      <c r="N3233" s="425">
        <v>0</v>
      </c>
      <c r="O3233" s="425">
        <v>0</v>
      </c>
    </row>
    <row r="3234" spans="1:15" hidden="1" x14ac:dyDescent="0.3">
      <c r="C3234" t="s">
        <v>2266</v>
      </c>
      <c r="D3234" t="s">
        <v>2267</v>
      </c>
      <c r="E3234" t="s">
        <v>8655</v>
      </c>
      <c r="F3234" t="s">
        <v>8656</v>
      </c>
      <c r="G3234" s="425">
        <v>0</v>
      </c>
      <c r="H3234" s="425">
        <v>0</v>
      </c>
      <c r="I3234" s="425">
        <v>0</v>
      </c>
      <c r="J3234" s="425">
        <v>0</v>
      </c>
      <c r="K3234" s="425">
        <v>0</v>
      </c>
      <c r="L3234" s="425">
        <v>5920365599</v>
      </c>
      <c r="M3234" s="425">
        <v>0</v>
      </c>
      <c r="N3234" s="425">
        <v>-5920365599</v>
      </c>
      <c r="O3234" s="425">
        <v>0</v>
      </c>
    </row>
    <row r="3235" spans="1:15" hidden="1" x14ac:dyDescent="0.3">
      <c r="C3235" t="s">
        <v>2266</v>
      </c>
      <c r="D3235" t="s">
        <v>2267</v>
      </c>
      <c r="E3235" t="s">
        <v>8657</v>
      </c>
      <c r="F3235" t="s">
        <v>8658</v>
      </c>
      <c r="G3235" s="425">
        <v>0</v>
      </c>
      <c r="H3235" s="425">
        <v>0</v>
      </c>
      <c r="I3235" s="425">
        <v>0</v>
      </c>
      <c r="J3235" s="425">
        <v>105347157</v>
      </c>
      <c r="K3235" s="425">
        <v>0</v>
      </c>
      <c r="L3235" s="425">
        <v>-1784070224</v>
      </c>
      <c r="M3235" s="425">
        <v>0</v>
      </c>
      <c r="N3235" s="425">
        <v>1678723067</v>
      </c>
      <c r="O3235" s="425">
        <v>0</v>
      </c>
    </row>
    <row r="3236" spans="1:15" hidden="1" x14ac:dyDescent="0.3">
      <c r="C3236" t="s">
        <v>2266</v>
      </c>
      <c r="D3236" t="s">
        <v>2267</v>
      </c>
      <c r="E3236" t="s">
        <v>8659</v>
      </c>
      <c r="F3236" t="s">
        <v>8660</v>
      </c>
      <c r="G3236" s="425">
        <v>0</v>
      </c>
      <c r="H3236" s="425">
        <v>0</v>
      </c>
      <c r="I3236" s="425">
        <v>0</v>
      </c>
      <c r="J3236" s="425">
        <v>0</v>
      </c>
      <c r="K3236" s="425">
        <v>0</v>
      </c>
      <c r="L3236" s="425">
        <v>-61816995190</v>
      </c>
      <c r="M3236" s="425">
        <v>0</v>
      </c>
      <c r="N3236" s="425">
        <v>61816995190</v>
      </c>
      <c r="O3236" s="425">
        <v>0</v>
      </c>
    </row>
    <row r="3237" spans="1:15" x14ac:dyDescent="0.3">
      <c r="A3237" s="153" t="s">
        <v>185</v>
      </c>
      <c r="B3237" s="153"/>
      <c r="C3237" t="s">
        <v>2254</v>
      </c>
      <c r="D3237" t="s">
        <v>2237</v>
      </c>
      <c r="E3237" t="s">
        <v>8661</v>
      </c>
      <c r="F3237" t="s">
        <v>8662</v>
      </c>
      <c r="G3237" s="425">
        <v>3325039720919</v>
      </c>
      <c r="H3237" s="425">
        <v>1978631717421</v>
      </c>
      <c r="I3237" s="425">
        <v>239697523013</v>
      </c>
      <c r="J3237" s="425">
        <v>19817287679</v>
      </c>
      <c r="K3237" s="425">
        <v>-18627070223</v>
      </c>
      <c r="L3237" s="425">
        <v>1746969932395</v>
      </c>
      <c r="M3237" s="425">
        <v>137875608812</v>
      </c>
      <c r="N3237" s="425">
        <v>-782509580592</v>
      </c>
      <c r="O3237" s="425">
        <v>3184302414</v>
      </c>
    </row>
    <row r="3238" spans="1:15" x14ac:dyDescent="0.3">
      <c r="A3238" s="240" t="s">
        <v>186</v>
      </c>
      <c r="B3238" s="239"/>
      <c r="C3238" t="s">
        <v>2257</v>
      </c>
      <c r="D3238" t="s">
        <v>2237</v>
      </c>
      <c r="E3238" t="s">
        <v>8663</v>
      </c>
      <c r="F3238" t="s">
        <v>8664</v>
      </c>
      <c r="G3238" s="425">
        <v>83607415000</v>
      </c>
      <c r="H3238" s="425">
        <v>10000000000</v>
      </c>
      <c r="I3238" s="425">
        <v>47000000000</v>
      </c>
      <c r="J3238" s="425">
        <v>0</v>
      </c>
      <c r="K3238" s="425">
        <v>0</v>
      </c>
      <c r="L3238" s="425">
        <v>27717922000</v>
      </c>
      <c r="M3238" s="425">
        <v>0</v>
      </c>
      <c r="N3238" s="425">
        <v>-1110507000</v>
      </c>
      <c r="O3238" s="425">
        <v>0</v>
      </c>
    </row>
    <row r="3239" spans="1:15" hidden="1" x14ac:dyDescent="0.3">
      <c r="A3239" s="233"/>
      <c r="B3239" s="234" t="s">
        <v>187</v>
      </c>
      <c r="C3239" t="s">
        <v>2260</v>
      </c>
      <c r="D3239" t="s">
        <v>2237</v>
      </c>
      <c r="E3239" t="s">
        <v>8665</v>
      </c>
      <c r="F3239" t="s">
        <v>8666</v>
      </c>
      <c r="G3239" s="425">
        <v>83607415000</v>
      </c>
      <c r="H3239" s="425">
        <v>0</v>
      </c>
      <c r="I3239" s="425">
        <v>0</v>
      </c>
      <c r="J3239" s="425">
        <v>0</v>
      </c>
      <c r="K3239" s="425">
        <v>0</v>
      </c>
      <c r="L3239" s="425">
        <v>0</v>
      </c>
      <c r="M3239" s="425">
        <v>0</v>
      </c>
      <c r="N3239" s="425">
        <v>83607415000</v>
      </c>
      <c r="O3239" s="425">
        <v>0</v>
      </c>
    </row>
    <row r="3240" spans="1:15" hidden="1" x14ac:dyDescent="0.3">
      <c r="A3240" s="233"/>
      <c r="B3240" s="234"/>
      <c r="C3240" t="s">
        <v>2263</v>
      </c>
      <c r="D3240" t="s">
        <v>2267</v>
      </c>
      <c r="E3240" t="s">
        <v>187</v>
      </c>
      <c r="F3240" t="s">
        <v>8667</v>
      </c>
      <c r="G3240" s="425">
        <v>83607415000</v>
      </c>
      <c r="H3240" s="425">
        <v>0</v>
      </c>
      <c r="I3240" s="425">
        <v>0</v>
      </c>
      <c r="J3240" s="425">
        <v>0</v>
      </c>
      <c r="K3240" s="425">
        <v>0</v>
      </c>
      <c r="L3240" s="425">
        <v>0</v>
      </c>
      <c r="M3240" s="425">
        <v>0</v>
      </c>
      <c r="N3240" s="425">
        <v>83607415000</v>
      </c>
      <c r="O3240" s="425">
        <v>0</v>
      </c>
    </row>
    <row r="3241" spans="1:15" hidden="1" x14ac:dyDescent="0.3">
      <c r="A3241" s="233"/>
      <c r="B3241" s="234" t="s">
        <v>188</v>
      </c>
      <c r="C3241" t="s">
        <v>2260</v>
      </c>
      <c r="D3241" t="s">
        <v>2237</v>
      </c>
      <c r="E3241" t="s">
        <v>8668</v>
      </c>
      <c r="F3241" t="s">
        <v>8669</v>
      </c>
      <c r="G3241" s="425">
        <v>0</v>
      </c>
      <c r="H3241" s="425">
        <v>0</v>
      </c>
      <c r="I3241" s="425">
        <v>0</v>
      </c>
      <c r="J3241" s="425">
        <v>0</v>
      </c>
      <c r="K3241" s="425">
        <v>0</v>
      </c>
      <c r="L3241" s="425">
        <v>0</v>
      </c>
      <c r="M3241" s="425">
        <v>0</v>
      </c>
      <c r="N3241" s="425">
        <v>0</v>
      </c>
      <c r="O3241" s="425">
        <v>0</v>
      </c>
    </row>
    <row r="3242" spans="1:15" hidden="1" x14ac:dyDescent="0.3">
      <c r="A3242" s="233"/>
      <c r="B3242" s="234"/>
      <c r="C3242" t="s">
        <v>2263</v>
      </c>
      <c r="D3242" t="s">
        <v>2267</v>
      </c>
      <c r="E3242" t="s">
        <v>188</v>
      </c>
      <c r="F3242" t="s">
        <v>8670</v>
      </c>
      <c r="G3242" s="425">
        <v>0</v>
      </c>
      <c r="H3242" s="425">
        <v>0</v>
      </c>
      <c r="I3242" s="425">
        <v>0</v>
      </c>
      <c r="J3242" s="425">
        <v>0</v>
      </c>
      <c r="K3242" s="425">
        <v>0</v>
      </c>
      <c r="L3242" s="425">
        <v>0</v>
      </c>
      <c r="M3242" s="425">
        <v>0</v>
      </c>
      <c r="N3242" s="425">
        <v>0</v>
      </c>
      <c r="O3242" s="425">
        <v>0</v>
      </c>
    </row>
    <row r="3243" spans="1:15" hidden="1" x14ac:dyDescent="0.3">
      <c r="A3243" s="233"/>
      <c r="B3243" s="234" t="s">
        <v>189</v>
      </c>
      <c r="C3243" t="s">
        <v>2260</v>
      </c>
      <c r="D3243" t="s">
        <v>2237</v>
      </c>
      <c r="E3243" t="s">
        <v>8671</v>
      </c>
      <c r="F3243" t="s">
        <v>8672</v>
      </c>
      <c r="G3243" s="425">
        <v>104717922000</v>
      </c>
      <c r="H3243" s="425">
        <v>10000000000</v>
      </c>
      <c r="I3243" s="425">
        <v>47000000000</v>
      </c>
      <c r="J3243" s="425">
        <v>0</v>
      </c>
      <c r="K3243" s="425">
        <v>0</v>
      </c>
      <c r="L3243" s="425">
        <v>27717922000</v>
      </c>
      <c r="M3243" s="425">
        <v>0</v>
      </c>
      <c r="N3243" s="425">
        <v>20000000000</v>
      </c>
      <c r="O3243" s="425">
        <v>0</v>
      </c>
    </row>
    <row r="3244" spans="1:15" hidden="1" x14ac:dyDescent="0.3">
      <c r="A3244" s="233"/>
      <c r="B3244" s="234"/>
      <c r="C3244" t="s">
        <v>2263</v>
      </c>
      <c r="D3244" t="s">
        <v>2267</v>
      </c>
      <c r="E3244" t="s">
        <v>8673</v>
      </c>
      <c r="F3244" t="s">
        <v>8674</v>
      </c>
      <c r="G3244" s="425">
        <v>104717922000</v>
      </c>
      <c r="H3244" s="425">
        <v>10000000000</v>
      </c>
      <c r="I3244" s="425">
        <v>47000000000</v>
      </c>
      <c r="J3244" s="425">
        <v>0</v>
      </c>
      <c r="K3244" s="425">
        <v>0</v>
      </c>
      <c r="L3244" s="425">
        <v>27717922000</v>
      </c>
      <c r="M3244" s="425">
        <v>0</v>
      </c>
      <c r="N3244" s="425">
        <v>20000000000</v>
      </c>
      <c r="O3244" s="425">
        <v>0</v>
      </c>
    </row>
    <row r="3245" spans="1:15" hidden="1" x14ac:dyDescent="0.3">
      <c r="A3245" s="233"/>
      <c r="B3245" s="234" t="s">
        <v>190</v>
      </c>
      <c r="C3245" t="s">
        <v>2260</v>
      </c>
      <c r="D3245" t="s">
        <v>2237</v>
      </c>
      <c r="E3245" t="s">
        <v>8675</v>
      </c>
      <c r="F3245" t="s">
        <v>8676</v>
      </c>
      <c r="G3245" s="425">
        <v>-104717922000</v>
      </c>
      <c r="H3245" s="425">
        <v>0</v>
      </c>
      <c r="I3245" s="425">
        <v>0</v>
      </c>
      <c r="J3245" s="425">
        <v>0</v>
      </c>
      <c r="K3245" s="425">
        <v>0</v>
      </c>
      <c r="L3245" s="425">
        <v>0</v>
      </c>
      <c r="M3245" s="425">
        <v>0</v>
      </c>
      <c r="N3245" s="425">
        <v>-104717922000</v>
      </c>
      <c r="O3245" s="425">
        <v>0</v>
      </c>
    </row>
    <row r="3246" spans="1:15" hidden="1" x14ac:dyDescent="0.3">
      <c r="A3246" s="233"/>
      <c r="B3246" s="234"/>
      <c r="C3246" t="s">
        <v>2263</v>
      </c>
      <c r="D3246" t="s">
        <v>2267</v>
      </c>
      <c r="E3246" t="s">
        <v>8677</v>
      </c>
      <c r="F3246" t="s">
        <v>8678</v>
      </c>
      <c r="G3246" s="425">
        <v>-104717922000</v>
      </c>
      <c r="H3246" s="425">
        <v>0</v>
      </c>
      <c r="I3246" s="425">
        <v>0</v>
      </c>
      <c r="J3246" s="425">
        <v>0</v>
      </c>
      <c r="K3246" s="425">
        <v>0</v>
      </c>
      <c r="L3246" s="425">
        <v>0</v>
      </c>
      <c r="M3246" s="425">
        <v>0</v>
      </c>
      <c r="N3246" s="425">
        <v>-104717922000</v>
      </c>
      <c r="O3246" s="425">
        <v>0</v>
      </c>
    </row>
    <row r="3247" spans="1:15" x14ac:dyDescent="0.3">
      <c r="A3247" s="240" t="s">
        <v>192</v>
      </c>
      <c r="B3247" s="239"/>
      <c r="C3247" t="s">
        <v>2257</v>
      </c>
      <c r="D3247" t="s">
        <v>2237</v>
      </c>
      <c r="E3247" t="s">
        <v>8679</v>
      </c>
      <c r="F3247" t="s">
        <v>8680</v>
      </c>
      <c r="G3247" s="425">
        <v>966458250863</v>
      </c>
      <c r="H3247" s="425">
        <v>0</v>
      </c>
      <c r="I3247" s="425">
        <v>6550520351</v>
      </c>
      <c r="J3247" s="425">
        <v>0</v>
      </c>
      <c r="K3247" s="425">
        <v>0</v>
      </c>
      <c r="L3247" s="425">
        <v>0</v>
      </c>
      <c r="M3247" s="425">
        <v>-23818422230</v>
      </c>
      <c r="N3247" s="425">
        <v>987060489213</v>
      </c>
      <c r="O3247" s="425">
        <v>-3334336471</v>
      </c>
    </row>
    <row r="3248" spans="1:15" hidden="1" x14ac:dyDescent="0.3">
      <c r="A3248" s="233"/>
      <c r="B3248" s="234" t="s">
        <v>193</v>
      </c>
      <c r="C3248" t="s">
        <v>2260</v>
      </c>
      <c r="D3248" t="s">
        <v>2237</v>
      </c>
      <c r="E3248" t="s">
        <v>8681</v>
      </c>
      <c r="F3248" t="s">
        <v>8682</v>
      </c>
      <c r="G3248" s="425">
        <v>966458250863</v>
      </c>
      <c r="H3248" s="425">
        <v>0</v>
      </c>
      <c r="I3248" s="425">
        <v>6550520351</v>
      </c>
      <c r="J3248" s="425">
        <v>0</v>
      </c>
      <c r="K3248" s="425">
        <v>0</v>
      </c>
      <c r="L3248" s="425">
        <v>0</v>
      </c>
      <c r="M3248" s="425">
        <v>-23818422230</v>
      </c>
      <c r="N3248" s="425">
        <v>983726152742</v>
      </c>
      <c r="O3248" s="425">
        <v>0</v>
      </c>
    </row>
    <row r="3249" spans="1:15" hidden="1" x14ac:dyDescent="0.3">
      <c r="C3249" t="s">
        <v>2263</v>
      </c>
      <c r="D3249" t="s">
        <v>2267</v>
      </c>
      <c r="E3249" t="s">
        <v>8683</v>
      </c>
      <c r="F3249" t="s">
        <v>8684</v>
      </c>
      <c r="G3249" s="425">
        <v>966458250863</v>
      </c>
      <c r="H3249" s="425">
        <v>0</v>
      </c>
      <c r="I3249" s="425">
        <v>6550520351</v>
      </c>
      <c r="J3249" s="425">
        <v>0</v>
      </c>
      <c r="K3249" s="425">
        <v>0</v>
      </c>
      <c r="L3249" s="425">
        <v>0</v>
      </c>
      <c r="M3249" s="425">
        <v>-23818422230</v>
      </c>
      <c r="N3249" s="425">
        <v>983726152742</v>
      </c>
      <c r="O3249" s="425">
        <v>0</v>
      </c>
    </row>
    <row r="3250" spans="1:15" hidden="1" x14ac:dyDescent="0.3">
      <c r="C3250" t="s">
        <v>2263</v>
      </c>
      <c r="D3250" t="s">
        <v>2267</v>
      </c>
      <c r="E3250" t="s">
        <v>8685</v>
      </c>
      <c r="F3250" t="s">
        <v>8686</v>
      </c>
      <c r="G3250" s="425">
        <v>0</v>
      </c>
      <c r="H3250" s="425">
        <v>0</v>
      </c>
      <c r="I3250" s="425">
        <v>0</v>
      </c>
      <c r="J3250" s="425">
        <v>0</v>
      </c>
      <c r="K3250" s="425">
        <v>0</v>
      </c>
      <c r="L3250" s="425">
        <v>0</v>
      </c>
      <c r="M3250" s="425">
        <v>0</v>
      </c>
      <c r="N3250" s="425">
        <v>0</v>
      </c>
      <c r="O3250" s="425">
        <v>0</v>
      </c>
    </row>
    <row r="3251" spans="1:15" hidden="1" x14ac:dyDescent="0.3">
      <c r="A3251" s="233"/>
      <c r="B3251" s="234" t="s">
        <v>194</v>
      </c>
      <c r="C3251" t="s">
        <v>2260</v>
      </c>
      <c r="D3251" t="s">
        <v>2237</v>
      </c>
      <c r="E3251" t="s">
        <v>8687</v>
      </c>
      <c r="F3251" t="s">
        <v>8688</v>
      </c>
      <c r="G3251" s="425">
        <v>0</v>
      </c>
      <c r="H3251" s="425">
        <v>0</v>
      </c>
      <c r="I3251" s="425">
        <v>0</v>
      </c>
      <c r="J3251" s="425">
        <v>0</v>
      </c>
      <c r="K3251" s="425">
        <v>0</v>
      </c>
      <c r="L3251" s="425">
        <v>0</v>
      </c>
      <c r="M3251" s="425">
        <v>0</v>
      </c>
      <c r="N3251" s="425">
        <v>3334336471</v>
      </c>
      <c r="O3251" s="425">
        <v>-3334336471</v>
      </c>
    </row>
    <row r="3252" spans="1:15" hidden="1" x14ac:dyDescent="0.3">
      <c r="C3252" t="s">
        <v>2263</v>
      </c>
      <c r="D3252" t="s">
        <v>2237</v>
      </c>
      <c r="E3252" t="s">
        <v>8689</v>
      </c>
      <c r="F3252" t="s">
        <v>8690</v>
      </c>
      <c r="G3252" s="425">
        <v>0</v>
      </c>
      <c r="H3252" s="425">
        <v>0</v>
      </c>
      <c r="I3252" s="425">
        <v>0</v>
      </c>
      <c r="J3252" s="425">
        <v>0</v>
      </c>
      <c r="K3252" s="425">
        <v>0</v>
      </c>
      <c r="L3252" s="425">
        <v>0</v>
      </c>
      <c r="M3252" s="425">
        <v>0</v>
      </c>
      <c r="N3252" s="425">
        <v>3334336471</v>
      </c>
      <c r="O3252" s="425">
        <v>-3334336471</v>
      </c>
    </row>
    <row r="3253" spans="1:15" hidden="1" x14ac:dyDescent="0.3">
      <c r="C3253" t="s">
        <v>2266</v>
      </c>
      <c r="D3253" t="s">
        <v>2267</v>
      </c>
      <c r="E3253" t="s">
        <v>8691</v>
      </c>
      <c r="F3253" t="s">
        <v>8692</v>
      </c>
      <c r="G3253" s="425">
        <v>0</v>
      </c>
      <c r="H3253" s="425">
        <v>0</v>
      </c>
      <c r="I3253" s="425">
        <v>0</v>
      </c>
      <c r="J3253" s="425">
        <v>0</v>
      </c>
      <c r="K3253" s="425">
        <v>0</v>
      </c>
      <c r="L3253" s="425">
        <v>0</v>
      </c>
      <c r="M3253" s="425">
        <v>0</v>
      </c>
      <c r="N3253" s="425">
        <v>0</v>
      </c>
      <c r="O3253" s="425">
        <v>0</v>
      </c>
    </row>
    <row r="3254" spans="1:15" hidden="1" x14ac:dyDescent="0.3">
      <c r="C3254" t="s">
        <v>2266</v>
      </c>
      <c r="D3254" t="s">
        <v>2267</v>
      </c>
      <c r="E3254" t="s">
        <v>8693</v>
      </c>
      <c r="F3254" t="s">
        <v>8694</v>
      </c>
      <c r="G3254" s="425">
        <v>0</v>
      </c>
      <c r="H3254" s="425">
        <v>0</v>
      </c>
      <c r="I3254" s="425">
        <v>0</v>
      </c>
      <c r="J3254" s="425">
        <v>0</v>
      </c>
      <c r="K3254" s="425">
        <v>0</v>
      </c>
      <c r="L3254" s="425">
        <v>0</v>
      </c>
      <c r="M3254" s="425">
        <v>0</v>
      </c>
      <c r="N3254" s="425">
        <v>3334336471</v>
      </c>
      <c r="O3254" s="425">
        <v>-3334336471</v>
      </c>
    </row>
    <row r="3255" spans="1:15" hidden="1" x14ac:dyDescent="0.3">
      <c r="C3255" t="s">
        <v>2266</v>
      </c>
      <c r="D3255" t="s">
        <v>2267</v>
      </c>
      <c r="E3255" t="s">
        <v>8695</v>
      </c>
      <c r="F3255" t="s">
        <v>8696</v>
      </c>
      <c r="G3255" s="425">
        <v>0</v>
      </c>
      <c r="H3255" s="425">
        <v>0</v>
      </c>
      <c r="I3255" s="425">
        <v>0</v>
      </c>
      <c r="J3255" s="425">
        <v>0</v>
      </c>
      <c r="K3255" s="425">
        <v>0</v>
      </c>
      <c r="L3255" s="425">
        <v>0</v>
      </c>
      <c r="M3255" s="425">
        <v>0</v>
      </c>
      <c r="N3255" s="425">
        <v>0</v>
      </c>
      <c r="O3255" s="425">
        <v>0</v>
      </c>
    </row>
    <row r="3256" spans="1:15" hidden="1" x14ac:dyDescent="0.3">
      <c r="C3256" t="s">
        <v>2263</v>
      </c>
      <c r="D3256" t="s">
        <v>2237</v>
      </c>
      <c r="E3256" t="s">
        <v>8697</v>
      </c>
      <c r="F3256" t="s">
        <v>8698</v>
      </c>
      <c r="G3256" s="425">
        <v>0</v>
      </c>
      <c r="H3256" s="425">
        <v>0</v>
      </c>
      <c r="I3256" s="425">
        <v>0</v>
      </c>
      <c r="J3256" s="425">
        <v>0</v>
      </c>
      <c r="K3256" s="425">
        <v>0</v>
      </c>
      <c r="L3256" s="425">
        <v>0</v>
      </c>
      <c r="M3256" s="425">
        <v>0</v>
      </c>
      <c r="N3256" s="425">
        <v>0</v>
      </c>
      <c r="O3256" s="425">
        <v>0</v>
      </c>
    </row>
    <row r="3257" spans="1:15" hidden="1" x14ac:dyDescent="0.3">
      <c r="C3257" t="s">
        <v>2266</v>
      </c>
      <c r="D3257" t="s">
        <v>2267</v>
      </c>
      <c r="E3257" t="s">
        <v>8699</v>
      </c>
      <c r="F3257" t="s">
        <v>8700</v>
      </c>
      <c r="G3257" s="425">
        <v>0</v>
      </c>
      <c r="H3257" s="425">
        <v>0</v>
      </c>
      <c r="I3257" s="425">
        <v>0</v>
      </c>
      <c r="J3257" s="425">
        <v>0</v>
      </c>
      <c r="K3257" s="425">
        <v>0</v>
      </c>
      <c r="L3257" s="425">
        <v>0</v>
      </c>
      <c r="M3257" s="425">
        <v>0</v>
      </c>
      <c r="N3257" s="425">
        <v>0</v>
      </c>
      <c r="O3257" s="425">
        <v>0</v>
      </c>
    </row>
    <row r="3258" spans="1:15" x14ac:dyDescent="0.3">
      <c r="A3258" s="240" t="s">
        <v>196</v>
      </c>
      <c r="B3258" s="239"/>
      <c r="C3258" t="s">
        <v>2257</v>
      </c>
      <c r="D3258" t="s">
        <v>2237</v>
      </c>
      <c r="E3258" t="s">
        <v>8701</v>
      </c>
      <c r="F3258" t="s">
        <v>8702</v>
      </c>
      <c r="G3258" s="425">
        <v>-601533949972</v>
      </c>
      <c r="H3258" s="425">
        <v>0</v>
      </c>
      <c r="I3258" s="425">
        <v>0</v>
      </c>
      <c r="J3258" s="425">
        <v>0</v>
      </c>
      <c r="K3258" s="425">
        <v>0</v>
      </c>
      <c r="L3258" s="425">
        <v>0</v>
      </c>
      <c r="M3258" s="425">
        <v>0</v>
      </c>
      <c r="N3258" s="425">
        <v>-601465403893</v>
      </c>
      <c r="O3258" s="425">
        <v>-68546079</v>
      </c>
    </row>
    <row r="3259" spans="1:15" hidden="1" x14ac:dyDescent="0.3">
      <c r="A3259" s="233"/>
      <c r="B3259" s="234" t="s">
        <v>197</v>
      </c>
      <c r="C3259" t="s">
        <v>2260</v>
      </c>
      <c r="D3259" t="s">
        <v>2237</v>
      </c>
      <c r="E3259" t="s">
        <v>8703</v>
      </c>
      <c r="F3259" t="s">
        <v>8704</v>
      </c>
      <c r="G3259" s="425">
        <v>-19449357065</v>
      </c>
      <c r="H3259" s="425">
        <v>0</v>
      </c>
      <c r="I3259" s="425">
        <v>0</v>
      </c>
      <c r="J3259" s="425">
        <v>0</v>
      </c>
      <c r="K3259" s="425">
        <v>0</v>
      </c>
      <c r="L3259" s="425">
        <v>0</v>
      </c>
      <c r="M3259" s="425">
        <v>0</v>
      </c>
      <c r="N3259" s="425">
        <v>-19449357065</v>
      </c>
      <c r="O3259" s="425">
        <v>0</v>
      </c>
    </row>
    <row r="3260" spans="1:15" hidden="1" x14ac:dyDescent="0.3">
      <c r="C3260" t="s">
        <v>2263</v>
      </c>
      <c r="D3260" t="s">
        <v>2267</v>
      </c>
      <c r="E3260" t="s">
        <v>8705</v>
      </c>
      <c r="F3260" t="s">
        <v>8706</v>
      </c>
      <c r="G3260" s="425">
        <v>-793378773</v>
      </c>
      <c r="H3260" s="425">
        <v>0</v>
      </c>
      <c r="I3260" s="425">
        <v>0</v>
      </c>
      <c r="J3260" s="425">
        <v>0</v>
      </c>
      <c r="K3260" s="425">
        <v>0</v>
      </c>
      <c r="L3260" s="425">
        <v>0</v>
      </c>
      <c r="M3260" s="425">
        <v>0</v>
      </c>
      <c r="N3260" s="425">
        <v>-793378773</v>
      </c>
      <c r="O3260" s="425">
        <v>0</v>
      </c>
    </row>
    <row r="3261" spans="1:15" hidden="1" x14ac:dyDescent="0.3">
      <c r="C3261" t="s">
        <v>2263</v>
      </c>
      <c r="D3261" t="s">
        <v>2267</v>
      </c>
      <c r="E3261" t="s">
        <v>8707</v>
      </c>
      <c r="F3261" t="s">
        <v>8708</v>
      </c>
      <c r="G3261" s="425">
        <v>-18655978292</v>
      </c>
      <c r="H3261" s="425">
        <v>0</v>
      </c>
      <c r="I3261" s="425">
        <v>0</v>
      </c>
      <c r="J3261" s="425">
        <v>0</v>
      </c>
      <c r="K3261" s="425">
        <v>0</v>
      </c>
      <c r="L3261" s="425">
        <v>0</v>
      </c>
      <c r="M3261" s="425">
        <v>0</v>
      </c>
      <c r="N3261" s="425">
        <v>-18655978292</v>
      </c>
      <c r="O3261" s="425">
        <v>0</v>
      </c>
    </row>
    <row r="3262" spans="1:15" hidden="1" x14ac:dyDescent="0.3">
      <c r="A3262" s="233"/>
      <c r="B3262" s="234" t="s">
        <v>198</v>
      </c>
      <c r="C3262" t="s">
        <v>2260</v>
      </c>
      <c r="D3262" t="s">
        <v>2237</v>
      </c>
      <c r="E3262" t="s">
        <v>8709</v>
      </c>
      <c r="F3262" t="s">
        <v>8710</v>
      </c>
      <c r="G3262" s="425">
        <v>-582084592907</v>
      </c>
      <c r="H3262" s="425">
        <v>0</v>
      </c>
      <c r="I3262" s="425">
        <v>0</v>
      </c>
      <c r="J3262" s="425">
        <v>0</v>
      </c>
      <c r="K3262" s="425">
        <v>0</v>
      </c>
      <c r="L3262" s="425">
        <v>0</v>
      </c>
      <c r="M3262" s="425">
        <v>0</v>
      </c>
      <c r="N3262" s="425">
        <v>-582016046828</v>
      </c>
      <c r="O3262" s="425">
        <v>-68546079</v>
      </c>
    </row>
    <row r="3263" spans="1:15" hidden="1" x14ac:dyDescent="0.3">
      <c r="A3263" s="426"/>
      <c r="B3263" s="426"/>
      <c r="C3263" t="s">
        <v>2263</v>
      </c>
      <c r="D3263" t="s">
        <v>2237</v>
      </c>
      <c r="E3263" t="s">
        <v>8711</v>
      </c>
      <c r="F3263" t="s">
        <v>8712</v>
      </c>
      <c r="G3263" s="425">
        <v>-68546079</v>
      </c>
      <c r="H3263" s="425">
        <v>0</v>
      </c>
      <c r="I3263" s="425">
        <v>0</v>
      </c>
      <c r="J3263" s="425">
        <v>0</v>
      </c>
      <c r="K3263" s="425">
        <v>0</v>
      </c>
      <c r="L3263" s="425">
        <v>0</v>
      </c>
      <c r="M3263" s="425">
        <v>0</v>
      </c>
      <c r="N3263" s="425">
        <v>0</v>
      </c>
      <c r="O3263" s="425">
        <v>-68546079</v>
      </c>
    </row>
    <row r="3264" spans="1:15" hidden="1" x14ac:dyDescent="0.3">
      <c r="A3264" s="426"/>
      <c r="B3264" s="426"/>
      <c r="C3264" t="s">
        <v>2266</v>
      </c>
      <c r="D3264" t="s">
        <v>2267</v>
      </c>
      <c r="E3264" t="s">
        <v>8713</v>
      </c>
      <c r="F3264" t="s">
        <v>8714</v>
      </c>
      <c r="G3264" s="425">
        <v>-68546079</v>
      </c>
      <c r="H3264" s="425">
        <v>0</v>
      </c>
      <c r="I3264" s="425">
        <v>0</v>
      </c>
      <c r="J3264" s="425">
        <v>0</v>
      </c>
      <c r="K3264" s="425">
        <v>0</v>
      </c>
      <c r="L3264" s="425">
        <v>0</v>
      </c>
      <c r="M3264" s="425">
        <v>0</v>
      </c>
      <c r="N3264" s="425">
        <v>0</v>
      </c>
      <c r="O3264" s="425">
        <v>-68546079</v>
      </c>
    </row>
    <row r="3265" spans="1:15" hidden="1" x14ac:dyDescent="0.3">
      <c r="A3265" s="426"/>
      <c r="B3265" s="426"/>
      <c r="C3265" t="s">
        <v>2263</v>
      </c>
      <c r="D3265" t="s">
        <v>2237</v>
      </c>
      <c r="E3265" t="s">
        <v>8715</v>
      </c>
      <c r="F3265" t="s">
        <v>8716</v>
      </c>
      <c r="G3265" s="425">
        <v>0</v>
      </c>
      <c r="H3265" s="425">
        <v>0</v>
      </c>
      <c r="I3265" s="425">
        <v>0</v>
      </c>
      <c r="J3265" s="425">
        <v>0</v>
      </c>
      <c r="K3265" s="425">
        <v>0</v>
      </c>
      <c r="L3265" s="425">
        <v>0</v>
      </c>
      <c r="M3265" s="425">
        <v>0</v>
      </c>
      <c r="N3265" s="425">
        <v>0</v>
      </c>
      <c r="O3265" s="425">
        <v>0</v>
      </c>
    </row>
    <row r="3266" spans="1:15" hidden="1" x14ac:dyDescent="0.3">
      <c r="A3266" s="426"/>
      <c r="B3266" s="426"/>
      <c r="C3266" t="s">
        <v>2266</v>
      </c>
      <c r="D3266" t="s">
        <v>2267</v>
      </c>
      <c r="E3266" t="s">
        <v>8717</v>
      </c>
      <c r="F3266" t="s">
        <v>8718</v>
      </c>
      <c r="G3266" s="425">
        <v>0</v>
      </c>
      <c r="H3266" s="425">
        <v>0</v>
      </c>
      <c r="I3266" s="425">
        <v>0</v>
      </c>
      <c r="J3266" s="425">
        <v>0</v>
      </c>
      <c r="K3266" s="425">
        <v>0</v>
      </c>
      <c r="L3266" s="425">
        <v>0</v>
      </c>
      <c r="M3266" s="425">
        <v>0</v>
      </c>
      <c r="N3266" s="425">
        <v>0</v>
      </c>
      <c r="O3266" s="425">
        <v>0</v>
      </c>
    </row>
    <row r="3267" spans="1:15" hidden="1" x14ac:dyDescent="0.3">
      <c r="A3267" s="426"/>
      <c r="B3267" s="426"/>
      <c r="C3267" t="s">
        <v>2266</v>
      </c>
      <c r="D3267" t="s">
        <v>2267</v>
      </c>
      <c r="E3267" t="s">
        <v>8719</v>
      </c>
      <c r="F3267" t="s">
        <v>8720</v>
      </c>
      <c r="G3267" s="425">
        <v>0</v>
      </c>
      <c r="H3267" s="425">
        <v>0</v>
      </c>
      <c r="I3267" s="425">
        <v>0</v>
      </c>
      <c r="J3267" s="425">
        <v>0</v>
      </c>
      <c r="K3267" s="425">
        <v>0</v>
      </c>
      <c r="L3267" s="425">
        <v>0</v>
      </c>
      <c r="M3267" s="425">
        <v>0</v>
      </c>
      <c r="N3267" s="425">
        <v>0</v>
      </c>
      <c r="O3267" s="425">
        <v>0</v>
      </c>
    </row>
    <row r="3268" spans="1:15" hidden="1" x14ac:dyDescent="0.3">
      <c r="A3268" s="426"/>
      <c r="B3268" s="426"/>
      <c r="C3268" t="s">
        <v>2263</v>
      </c>
      <c r="D3268" t="s">
        <v>2237</v>
      </c>
      <c r="E3268" t="s">
        <v>8721</v>
      </c>
      <c r="F3268" t="s">
        <v>8722</v>
      </c>
      <c r="G3268" s="425">
        <v>-582016046828</v>
      </c>
      <c r="H3268" s="425">
        <v>0</v>
      </c>
      <c r="I3268" s="425">
        <v>0</v>
      </c>
      <c r="J3268" s="425">
        <v>0</v>
      </c>
      <c r="K3268" s="425">
        <v>0</v>
      </c>
      <c r="L3268" s="425">
        <v>0</v>
      </c>
      <c r="M3268" s="425">
        <v>0</v>
      </c>
      <c r="N3268" s="425">
        <v>-582016046828</v>
      </c>
      <c r="O3268" s="425">
        <v>0</v>
      </c>
    </row>
    <row r="3269" spans="1:15" hidden="1" x14ac:dyDescent="0.3">
      <c r="A3269" s="426"/>
      <c r="B3269" s="426"/>
      <c r="C3269" t="s">
        <v>2266</v>
      </c>
      <c r="D3269" t="s">
        <v>2267</v>
      </c>
      <c r="E3269" t="s">
        <v>8723</v>
      </c>
      <c r="F3269" t="s">
        <v>8724</v>
      </c>
      <c r="G3269" s="425">
        <v>-582016046828</v>
      </c>
      <c r="H3269" s="425">
        <v>0</v>
      </c>
      <c r="I3269" s="425">
        <v>0</v>
      </c>
      <c r="J3269" s="425">
        <v>0</v>
      </c>
      <c r="K3269" s="425">
        <v>0</v>
      </c>
      <c r="L3269" s="425">
        <v>0</v>
      </c>
      <c r="M3269" s="425">
        <v>0</v>
      </c>
      <c r="N3269" s="425">
        <v>-582016046828</v>
      </c>
      <c r="O3269" s="425">
        <v>0</v>
      </c>
    </row>
    <row r="3270" spans="1:15" hidden="1" x14ac:dyDescent="0.3">
      <c r="A3270" s="426"/>
      <c r="B3270" s="426"/>
      <c r="C3270" t="s">
        <v>2263</v>
      </c>
      <c r="D3270" t="s">
        <v>2237</v>
      </c>
      <c r="E3270" t="s">
        <v>8725</v>
      </c>
      <c r="F3270" t="s">
        <v>8726</v>
      </c>
      <c r="G3270" s="425">
        <v>0</v>
      </c>
      <c r="H3270" s="425">
        <v>0</v>
      </c>
      <c r="I3270" s="425">
        <v>0</v>
      </c>
      <c r="J3270" s="425">
        <v>0</v>
      </c>
      <c r="K3270" s="425">
        <v>0</v>
      </c>
      <c r="L3270" s="425">
        <v>0</v>
      </c>
      <c r="M3270" s="425">
        <v>0</v>
      </c>
      <c r="N3270" s="425">
        <v>0</v>
      </c>
      <c r="O3270" s="425">
        <v>0</v>
      </c>
    </row>
    <row r="3271" spans="1:15" hidden="1" x14ac:dyDescent="0.3">
      <c r="C3271" t="s">
        <v>2266</v>
      </c>
      <c r="D3271" t="s">
        <v>2267</v>
      </c>
      <c r="E3271" t="s">
        <v>8727</v>
      </c>
      <c r="F3271" t="s">
        <v>8728</v>
      </c>
      <c r="G3271" s="425">
        <v>0</v>
      </c>
      <c r="H3271" s="425">
        <v>0</v>
      </c>
      <c r="I3271" s="425">
        <v>0</v>
      </c>
      <c r="J3271" s="425">
        <v>0</v>
      </c>
      <c r="K3271" s="425">
        <v>0</v>
      </c>
      <c r="L3271" s="425">
        <v>0</v>
      </c>
      <c r="M3271" s="425">
        <v>0</v>
      </c>
      <c r="N3271" s="425">
        <v>0</v>
      </c>
      <c r="O3271" s="425">
        <v>0</v>
      </c>
    </row>
    <row r="3272" spans="1:15" x14ac:dyDescent="0.3">
      <c r="A3272" s="240" t="s">
        <v>200</v>
      </c>
      <c r="B3272" s="239"/>
      <c r="C3272" t="s">
        <v>2257</v>
      </c>
      <c r="D3272" t="s">
        <v>2237</v>
      </c>
      <c r="E3272" t="s">
        <v>8729</v>
      </c>
      <c r="F3272" t="s">
        <v>8730</v>
      </c>
      <c r="G3272" s="425">
        <v>125770589507</v>
      </c>
      <c r="H3272" s="425">
        <v>0</v>
      </c>
      <c r="I3272" s="425">
        <v>0</v>
      </c>
      <c r="J3272" s="425">
        <v>0</v>
      </c>
      <c r="K3272" s="425">
        <v>0</v>
      </c>
      <c r="L3272" s="425">
        <v>0</v>
      </c>
      <c r="M3272" s="425">
        <v>0</v>
      </c>
      <c r="N3272" s="425">
        <v>125770589507</v>
      </c>
      <c r="O3272" s="425">
        <v>0</v>
      </c>
    </row>
    <row r="3273" spans="1:15" hidden="1" x14ac:dyDescent="0.3">
      <c r="A3273" s="233"/>
      <c r="B3273" s="234" t="s">
        <v>201</v>
      </c>
      <c r="C3273" t="s">
        <v>2260</v>
      </c>
      <c r="D3273" t="s">
        <v>2237</v>
      </c>
      <c r="E3273" t="s">
        <v>8731</v>
      </c>
      <c r="F3273" t="s">
        <v>8732</v>
      </c>
      <c r="G3273" s="425">
        <v>157179125459</v>
      </c>
      <c r="H3273" s="425">
        <v>0</v>
      </c>
      <c r="I3273" s="425">
        <v>0</v>
      </c>
      <c r="J3273" s="425">
        <v>0</v>
      </c>
      <c r="K3273" s="425">
        <v>0</v>
      </c>
      <c r="L3273" s="425">
        <v>0</v>
      </c>
      <c r="M3273" s="425">
        <v>0</v>
      </c>
      <c r="N3273" s="425">
        <v>157179125459</v>
      </c>
      <c r="O3273" s="425">
        <v>0</v>
      </c>
    </row>
    <row r="3274" spans="1:15" hidden="1" x14ac:dyDescent="0.3">
      <c r="C3274" t="s">
        <v>2263</v>
      </c>
      <c r="D3274" t="s">
        <v>2267</v>
      </c>
      <c r="E3274" t="s">
        <v>8733</v>
      </c>
      <c r="F3274" t="s">
        <v>8734</v>
      </c>
      <c r="G3274" s="425">
        <v>157179125459</v>
      </c>
      <c r="H3274" s="425">
        <v>0</v>
      </c>
      <c r="I3274" s="425">
        <v>0</v>
      </c>
      <c r="J3274" s="425">
        <v>0</v>
      </c>
      <c r="K3274" s="425">
        <v>0</v>
      </c>
      <c r="L3274" s="425">
        <v>0</v>
      </c>
      <c r="M3274" s="425">
        <v>0</v>
      </c>
      <c r="N3274" s="425">
        <v>157179125459</v>
      </c>
      <c r="O3274" s="425">
        <v>0</v>
      </c>
    </row>
    <row r="3275" spans="1:15" hidden="1" x14ac:dyDescent="0.3">
      <c r="C3275" t="s">
        <v>2263</v>
      </c>
      <c r="D3275" t="s">
        <v>2267</v>
      </c>
      <c r="E3275" t="s">
        <v>8735</v>
      </c>
      <c r="F3275" t="s">
        <v>8736</v>
      </c>
      <c r="G3275" s="425">
        <v>0</v>
      </c>
      <c r="H3275" s="425">
        <v>0</v>
      </c>
      <c r="I3275" s="425">
        <v>0</v>
      </c>
      <c r="J3275" s="425">
        <v>0</v>
      </c>
      <c r="K3275" s="425">
        <v>0</v>
      </c>
      <c r="L3275" s="425">
        <v>0</v>
      </c>
      <c r="M3275" s="425">
        <v>0</v>
      </c>
      <c r="N3275" s="425">
        <v>0</v>
      </c>
      <c r="O3275" s="425">
        <v>0</v>
      </c>
    </row>
    <row r="3276" spans="1:15" hidden="1" x14ac:dyDescent="0.3">
      <c r="A3276" s="233"/>
      <c r="B3276" s="234" t="s">
        <v>201</v>
      </c>
      <c r="C3276" t="s">
        <v>2260</v>
      </c>
      <c r="D3276" t="s">
        <v>2237</v>
      </c>
      <c r="E3276" t="s">
        <v>8737</v>
      </c>
      <c r="F3276" t="s">
        <v>8738</v>
      </c>
      <c r="G3276" s="425">
        <v>-31408535952</v>
      </c>
      <c r="H3276" s="425">
        <v>0</v>
      </c>
      <c r="I3276" s="425">
        <v>0</v>
      </c>
      <c r="J3276" s="425">
        <v>0</v>
      </c>
      <c r="K3276" s="425">
        <v>0</v>
      </c>
      <c r="L3276" s="425">
        <v>0</v>
      </c>
      <c r="M3276" s="425">
        <v>0</v>
      </c>
      <c r="N3276" s="425">
        <v>-31408535952</v>
      </c>
      <c r="O3276" s="425">
        <v>0</v>
      </c>
    </row>
    <row r="3277" spans="1:15" hidden="1" x14ac:dyDescent="0.3">
      <c r="C3277" t="s">
        <v>2263</v>
      </c>
      <c r="D3277" t="s">
        <v>2267</v>
      </c>
      <c r="E3277" t="s">
        <v>8739</v>
      </c>
      <c r="F3277" t="s">
        <v>8740</v>
      </c>
      <c r="G3277" s="425">
        <v>-31408535952</v>
      </c>
      <c r="H3277" s="425">
        <v>0</v>
      </c>
      <c r="I3277" s="425">
        <v>0</v>
      </c>
      <c r="J3277" s="425">
        <v>0</v>
      </c>
      <c r="K3277" s="425">
        <v>0</v>
      </c>
      <c r="L3277" s="425">
        <v>0</v>
      </c>
      <c r="M3277" s="425">
        <v>0</v>
      </c>
      <c r="N3277" s="425">
        <v>-31408535952</v>
      </c>
      <c r="O3277" s="425">
        <v>0</v>
      </c>
    </row>
    <row r="3278" spans="1:15" hidden="1" x14ac:dyDescent="0.3">
      <c r="C3278" t="s">
        <v>2263</v>
      </c>
      <c r="D3278" t="s">
        <v>2267</v>
      </c>
      <c r="E3278" t="s">
        <v>8741</v>
      </c>
      <c r="F3278" t="s">
        <v>8742</v>
      </c>
      <c r="G3278" s="425">
        <v>0</v>
      </c>
      <c r="H3278" s="425">
        <v>0</v>
      </c>
      <c r="I3278" s="425">
        <v>0</v>
      </c>
      <c r="J3278" s="425">
        <v>0</v>
      </c>
      <c r="K3278" s="425">
        <v>0</v>
      </c>
      <c r="L3278" s="425">
        <v>0</v>
      </c>
      <c r="M3278" s="425">
        <v>0</v>
      </c>
      <c r="N3278" s="425">
        <v>0</v>
      </c>
      <c r="O3278" s="425">
        <v>0</v>
      </c>
    </row>
    <row r="3279" spans="1:15" hidden="1" x14ac:dyDescent="0.3">
      <c r="A3279" s="233"/>
      <c r="B3279" s="234" t="s">
        <v>202</v>
      </c>
      <c r="C3279" t="s">
        <v>2260</v>
      </c>
      <c r="D3279" t="s">
        <v>2237</v>
      </c>
      <c r="E3279" t="s">
        <v>8743</v>
      </c>
      <c r="F3279" t="s">
        <v>8744</v>
      </c>
      <c r="G3279" s="425">
        <v>0</v>
      </c>
      <c r="H3279" s="425">
        <v>0</v>
      </c>
      <c r="I3279" s="425">
        <v>0</v>
      </c>
      <c r="J3279" s="425">
        <v>0</v>
      </c>
      <c r="K3279" s="425">
        <v>0</v>
      </c>
      <c r="L3279" s="425">
        <v>0</v>
      </c>
      <c r="M3279" s="425">
        <v>0</v>
      </c>
      <c r="N3279" s="425">
        <v>0</v>
      </c>
      <c r="O3279" s="425">
        <v>0</v>
      </c>
    </row>
    <row r="3280" spans="1:15" hidden="1" x14ac:dyDescent="0.3">
      <c r="C3280" t="s">
        <v>2263</v>
      </c>
      <c r="D3280" t="s">
        <v>2267</v>
      </c>
      <c r="E3280" t="s">
        <v>8745</v>
      </c>
      <c r="F3280" t="s">
        <v>8746</v>
      </c>
      <c r="G3280" s="425">
        <v>0</v>
      </c>
      <c r="H3280" s="425">
        <v>0</v>
      </c>
      <c r="I3280" s="425">
        <v>0</v>
      </c>
      <c r="J3280" s="425">
        <v>0</v>
      </c>
      <c r="K3280" s="425">
        <v>0</v>
      </c>
      <c r="L3280" s="425">
        <v>0</v>
      </c>
      <c r="M3280" s="425">
        <v>0</v>
      </c>
      <c r="N3280" s="425">
        <v>0</v>
      </c>
      <c r="O3280" s="425">
        <v>0</v>
      </c>
    </row>
    <row r="3281" spans="1:15" hidden="1" x14ac:dyDescent="0.3">
      <c r="C3281" t="s">
        <v>2260</v>
      </c>
      <c r="D3281" t="s">
        <v>2237</v>
      </c>
      <c r="E3281" t="s">
        <v>8747</v>
      </c>
      <c r="F3281" t="s">
        <v>8748</v>
      </c>
      <c r="G3281" s="425">
        <v>0</v>
      </c>
      <c r="H3281" s="425">
        <v>0</v>
      </c>
      <c r="I3281" s="425">
        <v>0</v>
      </c>
      <c r="J3281" s="425">
        <v>0</v>
      </c>
      <c r="K3281" s="425">
        <v>0</v>
      </c>
      <c r="L3281" s="425">
        <v>0</v>
      </c>
      <c r="M3281" s="425">
        <v>0</v>
      </c>
      <c r="N3281" s="425">
        <v>0</v>
      </c>
      <c r="O3281" s="425">
        <v>0</v>
      </c>
    </row>
    <row r="3282" spans="1:15" hidden="1" x14ac:dyDescent="0.3">
      <c r="C3282" t="s">
        <v>2263</v>
      </c>
      <c r="D3282" t="s">
        <v>2267</v>
      </c>
      <c r="E3282" t="s">
        <v>8749</v>
      </c>
      <c r="F3282" t="s">
        <v>8750</v>
      </c>
      <c r="G3282" s="425">
        <v>0</v>
      </c>
      <c r="H3282" s="425">
        <v>0</v>
      </c>
      <c r="I3282" s="425">
        <v>0</v>
      </c>
      <c r="J3282" s="425">
        <v>0</v>
      </c>
      <c r="K3282" s="425">
        <v>0</v>
      </c>
      <c r="L3282" s="425">
        <v>0</v>
      </c>
      <c r="M3282" s="425">
        <v>0</v>
      </c>
      <c r="N3282" s="425">
        <v>0</v>
      </c>
      <c r="O3282" s="425">
        <v>0</v>
      </c>
    </row>
    <row r="3283" spans="1:15" hidden="1" x14ac:dyDescent="0.3">
      <c r="C3283" t="s">
        <v>2260</v>
      </c>
      <c r="D3283" t="s">
        <v>2237</v>
      </c>
      <c r="E3283" t="s">
        <v>8751</v>
      </c>
      <c r="F3283" t="s">
        <v>8752</v>
      </c>
      <c r="G3283" s="425">
        <v>0</v>
      </c>
      <c r="H3283" s="425">
        <v>0</v>
      </c>
      <c r="I3283" s="425">
        <v>0</v>
      </c>
      <c r="J3283" s="425">
        <v>0</v>
      </c>
      <c r="K3283" s="425">
        <v>0</v>
      </c>
      <c r="L3283" s="425">
        <v>0</v>
      </c>
      <c r="M3283" s="425">
        <v>0</v>
      </c>
      <c r="N3283" s="425">
        <v>0</v>
      </c>
      <c r="O3283" s="425">
        <v>0</v>
      </c>
    </row>
    <row r="3284" spans="1:15" hidden="1" x14ac:dyDescent="0.3">
      <c r="C3284" t="s">
        <v>2263</v>
      </c>
      <c r="D3284" t="s">
        <v>2267</v>
      </c>
      <c r="E3284" t="s">
        <v>8753</v>
      </c>
      <c r="F3284" t="s">
        <v>8754</v>
      </c>
      <c r="G3284" s="425">
        <v>0</v>
      </c>
      <c r="H3284" s="425">
        <v>0</v>
      </c>
      <c r="I3284" s="425">
        <v>0</v>
      </c>
      <c r="J3284" s="425">
        <v>0</v>
      </c>
      <c r="K3284" s="425">
        <v>0</v>
      </c>
      <c r="L3284" s="425">
        <v>0</v>
      </c>
      <c r="M3284" s="425">
        <v>0</v>
      </c>
      <c r="N3284" s="425">
        <v>0</v>
      </c>
      <c r="O3284" s="425">
        <v>0</v>
      </c>
    </row>
    <row r="3285" spans="1:15" hidden="1" x14ac:dyDescent="0.3">
      <c r="C3285" t="s">
        <v>2260</v>
      </c>
      <c r="D3285" t="s">
        <v>2237</v>
      </c>
      <c r="E3285" t="s">
        <v>8755</v>
      </c>
      <c r="F3285" t="s">
        <v>8756</v>
      </c>
      <c r="G3285" s="425">
        <v>0</v>
      </c>
      <c r="H3285" s="425">
        <v>0</v>
      </c>
      <c r="I3285" s="425">
        <v>0</v>
      </c>
      <c r="J3285" s="425">
        <v>0</v>
      </c>
      <c r="K3285" s="425">
        <v>0</v>
      </c>
      <c r="L3285" s="425">
        <v>0</v>
      </c>
      <c r="M3285" s="425">
        <v>0</v>
      </c>
      <c r="N3285" s="425">
        <v>0</v>
      </c>
      <c r="O3285" s="425">
        <v>0</v>
      </c>
    </row>
    <row r="3286" spans="1:15" hidden="1" x14ac:dyDescent="0.3">
      <c r="C3286" t="s">
        <v>2263</v>
      </c>
      <c r="D3286" t="s">
        <v>2267</v>
      </c>
      <c r="E3286" t="s">
        <v>8757</v>
      </c>
      <c r="F3286" t="s">
        <v>8758</v>
      </c>
      <c r="G3286" s="425">
        <v>0</v>
      </c>
      <c r="H3286" s="425">
        <v>0</v>
      </c>
      <c r="I3286" s="425">
        <v>0</v>
      </c>
      <c r="J3286" s="425">
        <v>0</v>
      </c>
      <c r="K3286" s="425">
        <v>0</v>
      </c>
      <c r="L3286" s="425">
        <v>0</v>
      </c>
      <c r="M3286" s="425">
        <v>0</v>
      </c>
      <c r="N3286" s="425">
        <v>0</v>
      </c>
      <c r="O3286" s="425">
        <v>0</v>
      </c>
    </row>
    <row r="3287" spans="1:15" hidden="1" x14ac:dyDescent="0.3">
      <c r="C3287" t="s">
        <v>2260</v>
      </c>
      <c r="D3287" t="s">
        <v>2237</v>
      </c>
      <c r="E3287" t="s">
        <v>8759</v>
      </c>
      <c r="F3287" t="s">
        <v>8760</v>
      </c>
      <c r="G3287" s="425">
        <v>0</v>
      </c>
      <c r="H3287" s="425">
        <v>0</v>
      </c>
      <c r="I3287" s="425">
        <v>0</v>
      </c>
      <c r="J3287" s="425">
        <v>0</v>
      </c>
      <c r="K3287" s="425">
        <v>0</v>
      </c>
      <c r="L3287" s="425">
        <v>0</v>
      </c>
      <c r="M3287" s="425">
        <v>0</v>
      </c>
      <c r="N3287" s="425">
        <v>0</v>
      </c>
      <c r="O3287" s="425">
        <v>0</v>
      </c>
    </row>
    <row r="3288" spans="1:15" hidden="1" x14ac:dyDescent="0.3">
      <c r="C3288" t="s">
        <v>2263</v>
      </c>
      <c r="D3288" t="s">
        <v>2267</v>
      </c>
      <c r="E3288" t="s">
        <v>8761</v>
      </c>
      <c r="F3288" t="s">
        <v>8762</v>
      </c>
      <c r="G3288" s="425">
        <v>0</v>
      </c>
      <c r="H3288" s="425">
        <v>0</v>
      </c>
      <c r="I3288" s="425">
        <v>0</v>
      </c>
      <c r="J3288" s="425">
        <v>0</v>
      </c>
      <c r="K3288" s="425">
        <v>0</v>
      </c>
      <c r="L3288" s="425">
        <v>0</v>
      </c>
      <c r="M3288" s="425">
        <v>0</v>
      </c>
      <c r="N3288" s="425">
        <v>0</v>
      </c>
      <c r="O3288" s="425">
        <v>0</v>
      </c>
    </row>
    <row r="3289" spans="1:15" hidden="1" x14ac:dyDescent="0.3">
      <c r="C3289" t="s">
        <v>2260</v>
      </c>
      <c r="D3289" t="s">
        <v>2237</v>
      </c>
      <c r="E3289" t="s">
        <v>8763</v>
      </c>
      <c r="F3289" t="s">
        <v>8764</v>
      </c>
      <c r="G3289" s="425">
        <v>0</v>
      </c>
      <c r="H3289" s="425">
        <v>0</v>
      </c>
      <c r="I3289" s="425">
        <v>0</v>
      </c>
      <c r="J3289" s="425">
        <v>0</v>
      </c>
      <c r="K3289" s="425">
        <v>0</v>
      </c>
      <c r="L3289" s="425">
        <v>0</v>
      </c>
      <c r="M3289" s="425">
        <v>0</v>
      </c>
      <c r="N3289" s="425">
        <v>0</v>
      </c>
      <c r="O3289" s="425">
        <v>0</v>
      </c>
    </row>
    <row r="3290" spans="1:15" hidden="1" x14ac:dyDescent="0.3">
      <c r="C3290" t="s">
        <v>2263</v>
      </c>
      <c r="D3290" t="s">
        <v>2267</v>
      </c>
      <c r="E3290" t="s">
        <v>8765</v>
      </c>
      <c r="F3290" t="s">
        <v>8766</v>
      </c>
      <c r="G3290" s="425">
        <v>0</v>
      </c>
      <c r="H3290" s="425">
        <v>0</v>
      </c>
      <c r="I3290" s="425">
        <v>0</v>
      </c>
      <c r="J3290" s="425">
        <v>0</v>
      </c>
      <c r="K3290" s="425">
        <v>0</v>
      </c>
      <c r="L3290" s="425">
        <v>0</v>
      </c>
      <c r="M3290" s="425">
        <v>0</v>
      </c>
      <c r="N3290" s="425">
        <v>0</v>
      </c>
      <c r="O3290" s="425">
        <v>0</v>
      </c>
    </row>
    <row r="3291" spans="1:15" x14ac:dyDescent="0.3">
      <c r="A3291" s="240" t="s">
        <v>205</v>
      </c>
      <c r="B3291" s="239"/>
      <c r="C3291" t="s">
        <v>2257</v>
      </c>
      <c r="D3291" t="s">
        <v>2237</v>
      </c>
      <c r="E3291" t="s">
        <v>8767</v>
      </c>
      <c r="F3291" t="s">
        <v>8768</v>
      </c>
      <c r="G3291" s="425">
        <v>2750737415521</v>
      </c>
      <c r="H3291" s="425">
        <v>1968631717421</v>
      </c>
      <c r="I3291" s="425">
        <v>186147002662</v>
      </c>
      <c r="J3291" s="425">
        <v>19817287679</v>
      </c>
      <c r="K3291" s="425">
        <v>-18627070223</v>
      </c>
      <c r="L3291" s="425">
        <v>1719252010395</v>
      </c>
      <c r="M3291" s="425">
        <v>161694031042</v>
      </c>
      <c r="N3291" s="425">
        <v>-1292764748419</v>
      </c>
      <c r="O3291" s="425">
        <v>6587184964</v>
      </c>
    </row>
    <row r="3292" spans="1:15" hidden="1" x14ac:dyDescent="0.3">
      <c r="A3292" s="233"/>
      <c r="B3292" s="234" t="s">
        <v>206</v>
      </c>
      <c r="C3292" t="s">
        <v>2260</v>
      </c>
      <c r="D3292" t="s">
        <v>2237</v>
      </c>
      <c r="E3292" t="s">
        <v>8769</v>
      </c>
      <c r="F3292" t="s">
        <v>8770</v>
      </c>
      <c r="G3292" s="425">
        <v>56708961000</v>
      </c>
      <c r="H3292" s="425">
        <v>0</v>
      </c>
      <c r="I3292" s="425">
        <v>0</v>
      </c>
      <c r="J3292" s="425">
        <v>0</v>
      </c>
      <c r="K3292" s="425">
        <v>0</v>
      </c>
      <c r="L3292" s="425">
        <v>0</v>
      </c>
      <c r="M3292" s="425">
        <v>0</v>
      </c>
      <c r="N3292" s="425">
        <v>56708961000</v>
      </c>
      <c r="O3292" s="425">
        <v>0</v>
      </c>
    </row>
    <row r="3293" spans="1:15" hidden="1" x14ac:dyDescent="0.3">
      <c r="C3293" t="s">
        <v>2263</v>
      </c>
      <c r="D3293" t="s">
        <v>2237</v>
      </c>
      <c r="E3293" t="s">
        <v>8771</v>
      </c>
      <c r="F3293" t="s">
        <v>8772</v>
      </c>
      <c r="G3293" s="425">
        <v>52358961000</v>
      </c>
      <c r="H3293" s="425">
        <v>0</v>
      </c>
      <c r="I3293" s="425">
        <v>0</v>
      </c>
      <c r="J3293" s="425">
        <v>0</v>
      </c>
      <c r="K3293" s="425">
        <v>0</v>
      </c>
      <c r="L3293" s="425">
        <v>0</v>
      </c>
      <c r="M3293" s="425">
        <v>0</v>
      </c>
      <c r="N3293" s="425">
        <v>52358961000</v>
      </c>
      <c r="O3293" s="425">
        <v>0</v>
      </c>
    </row>
    <row r="3294" spans="1:15" hidden="1" x14ac:dyDescent="0.3">
      <c r="C3294" t="s">
        <v>2266</v>
      </c>
      <c r="D3294" t="s">
        <v>2267</v>
      </c>
      <c r="E3294" t="s">
        <v>8773</v>
      </c>
      <c r="F3294" t="s">
        <v>8774</v>
      </c>
      <c r="G3294" s="425">
        <v>52358961000</v>
      </c>
      <c r="H3294" s="425">
        <v>0</v>
      </c>
      <c r="I3294" s="425">
        <v>0</v>
      </c>
      <c r="J3294" s="425">
        <v>0</v>
      </c>
      <c r="K3294" s="425">
        <v>0</v>
      </c>
      <c r="L3294" s="425">
        <v>0</v>
      </c>
      <c r="M3294" s="425">
        <v>0</v>
      </c>
      <c r="N3294" s="425">
        <v>52358961000</v>
      </c>
      <c r="O3294" s="425">
        <v>0</v>
      </c>
    </row>
    <row r="3295" spans="1:15" hidden="1" x14ac:dyDescent="0.3">
      <c r="C3295" t="s">
        <v>2263</v>
      </c>
      <c r="D3295" t="s">
        <v>2237</v>
      </c>
      <c r="E3295" t="s">
        <v>8775</v>
      </c>
      <c r="F3295" t="s">
        <v>8776</v>
      </c>
      <c r="G3295" s="425">
        <v>4350000000</v>
      </c>
      <c r="H3295" s="425">
        <v>0</v>
      </c>
      <c r="I3295" s="425">
        <v>0</v>
      </c>
      <c r="J3295" s="425">
        <v>0</v>
      </c>
      <c r="K3295" s="425">
        <v>0</v>
      </c>
      <c r="L3295" s="425">
        <v>0</v>
      </c>
      <c r="M3295" s="425">
        <v>0</v>
      </c>
      <c r="N3295" s="425">
        <v>4350000000</v>
      </c>
      <c r="O3295" s="425">
        <v>0</v>
      </c>
    </row>
    <row r="3296" spans="1:15" hidden="1" x14ac:dyDescent="0.3">
      <c r="C3296" t="s">
        <v>2266</v>
      </c>
      <c r="D3296" t="s">
        <v>2267</v>
      </c>
      <c r="E3296" t="s">
        <v>8777</v>
      </c>
      <c r="F3296" t="s">
        <v>8778</v>
      </c>
      <c r="G3296" s="425">
        <v>4350000000</v>
      </c>
      <c r="H3296" s="425">
        <v>0</v>
      </c>
      <c r="I3296" s="425">
        <v>0</v>
      </c>
      <c r="J3296" s="425">
        <v>0</v>
      </c>
      <c r="K3296" s="425">
        <v>0</v>
      </c>
      <c r="L3296" s="425">
        <v>0</v>
      </c>
      <c r="M3296" s="425">
        <v>0</v>
      </c>
      <c r="N3296" s="425">
        <v>4350000000</v>
      </c>
      <c r="O3296" s="425">
        <v>0</v>
      </c>
    </row>
    <row r="3297" spans="1:15" hidden="1" x14ac:dyDescent="0.3">
      <c r="C3297" t="s">
        <v>2263</v>
      </c>
      <c r="D3297" t="s">
        <v>2237</v>
      </c>
      <c r="E3297" t="s">
        <v>8779</v>
      </c>
      <c r="F3297" t="s">
        <v>8780</v>
      </c>
      <c r="G3297" s="425">
        <v>0</v>
      </c>
      <c r="H3297" s="425">
        <v>0</v>
      </c>
      <c r="I3297" s="425">
        <v>0</v>
      </c>
      <c r="J3297" s="425">
        <v>0</v>
      </c>
      <c r="K3297" s="425">
        <v>0</v>
      </c>
      <c r="L3297" s="425">
        <v>0</v>
      </c>
      <c r="M3297" s="425">
        <v>0</v>
      </c>
      <c r="N3297" s="425">
        <v>0</v>
      </c>
      <c r="O3297" s="425">
        <v>0</v>
      </c>
    </row>
    <row r="3298" spans="1:15" hidden="1" x14ac:dyDescent="0.3">
      <c r="C3298" t="s">
        <v>2266</v>
      </c>
      <c r="D3298" t="s">
        <v>2267</v>
      </c>
      <c r="E3298" t="s">
        <v>8781</v>
      </c>
      <c r="F3298" t="s">
        <v>8782</v>
      </c>
      <c r="G3298" s="425">
        <v>0</v>
      </c>
      <c r="H3298" s="425">
        <v>0</v>
      </c>
      <c r="I3298" s="425">
        <v>0</v>
      </c>
      <c r="J3298" s="425">
        <v>0</v>
      </c>
      <c r="K3298" s="425">
        <v>0</v>
      </c>
      <c r="L3298" s="425">
        <v>0</v>
      </c>
      <c r="M3298" s="425">
        <v>0</v>
      </c>
      <c r="N3298" s="425">
        <v>0</v>
      </c>
      <c r="O3298" s="425">
        <v>0</v>
      </c>
    </row>
    <row r="3299" spans="1:15" hidden="1" x14ac:dyDescent="0.3">
      <c r="A3299" s="233"/>
      <c r="B3299" s="234" t="s">
        <v>207</v>
      </c>
      <c r="C3299" t="s">
        <v>2260</v>
      </c>
      <c r="D3299" t="s">
        <v>2237</v>
      </c>
      <c r="E3299" t="s">
        <v>8783</v>
      </c>
      <c r="F3299" t="s">
        <v>8784</v>
      </c>
      <c r="G3299" s="425">
        <v>279977610000</v>
      </c>
      <c r="H3299" s="425">
        <v>0</v>
      </c>
      <c r="I3299" s="425">
        <v>0</v>
      </c>
      <c r="J3299" s="425">
        <v>0</v>
      </c>
      <c r="K3299" s="425">
        <v>0</v>
      </c>
      <c r="L3299" s="425">
        <v>0</v>
      </c>
      <c r="M3299" s="425">
        <v>0</v>
      </c>
      <c r="N3299" s="425">
        <v>279977610000</v>
      </c>
      <c r="O3299" s="425">
        <v>0</v>
      </c>
    </row>
    <row r="3300" spans="1:15" hidden="1" x14ac:dyDescent="0.3">
      <c r="C3300" t="s">
        <v>2263</v>
      </c>
      <c r="D3300" t="s">
        <v>2237</v>
      </c>
      <c r="E3300" t="s">
        <v>8785</v>
      </c>
      <c r="F3300" t="s">
        <v>8786</v>
      </c>
      <c r="G3300" s="425">
        <v>0</v>
      </c>
      <c r="H3300" s="425">
        <v>0</v>
      </c>
      <c r="I3300" s="425">
        <v>0</v>
      </c>
      <c r="J3300" s="425">
        <v>0</v>
      </c>
      <c r="K3300" s="425">
        <v>0</v>
      </c>
      <c r="L3300" s="425">
        <v>0</v>
      </c>
      <c r="M3300" s="425">
        <v>0</v>
      </c>
      <c r="N3300" s="425">
        <v>0</v>
      </c>
      <c r="O3300" s="425">
        <v>0</v>
      </c>
    </row>
    <row r="3301" spans="1:15" hidden="1" x14ac:dyDescent="0.3">
      <c r="C3301" t="s">
        <v>2266</v>
      </c>
      <c r="D3301" t="s">
        <v>2267</v>
      </c>
      <c r="E3301" t="s">
        <v>8787</v>
      </c>
      <c r="F3301" t="s">
        <v>8788</v>
      </c>
      <c r="G3301" s="425">
        <v>0</v>
      </c>
      <c r="H3301" s="425">
        <v>0</v>
      </c>
      <c r="I3301" s="425">
        <v>0</v>
      </c>
      <c r="J3301" s="425">
        <v>0</v>
      </c>
      <c r="K3301" s="425">
        <v>0</v>
      </c>
      <c r="L3301" s="425">
        <v>0</v>
      </c>
      <c r="M3301" s="425">
        <v>0</v>
      </c>
      <c r="N3301" s="425">
        <v>0</v>
      </c>
      <c r="O3301" s="425">
        <v>0</v>
      </c>
    </row>
    <row r="3302" spans="1:15" hidden="1" x14ac:dyDescent="0.3">
      <c r="C3302" t="s">
        <v>2263</v>
      </c>
      <c r="D3302" t="s">
        <v>2237</v>
      </c>
      <c r="E3302" t="s">
        <v>8789</v>
      </c>
      <c r="F3302" t="s">
        <v>8790</v>
      </c>
      <c r="G3302" s="425">
        <v>275000000000</v>
      </c>
      <c r="H3302" s="425">
        <v>0</v>
      </c>
      <c r="I3302" s="425">
        <v>0</v>
      </c>
      <c r="J3302" s="425">
        <v>0</v>
      </c>
      <c r="K3302" s="425">
        <v>0</v>
      </c>
      <c r="L3302" s="425">
        <v>0</v>
      </c>
      <c r="M3302" s="425">
        <v>0</v>
      </c>
      <c r="N3302" s="425">
        <v>275000000000</v>
      </c>
      <c r="O3302" s="425">
        <v>0</v>
      </c>
    </row>
    <row r="3303" spans="1:15" hidden="1" x14ac:dyDescent="0.3">
      <c r="C3303" t="s">
        <v>2266</v>
      </c>
      <c r="D3303" t="s">
        <v>2267</v>
      </c>
      <c r="E3303" t="s">
        <v>8791</v>
      </c>
      <c r="F3303" t="s">
        <v>8792</v>
      </c>
      <c r="G3303" s="425">
        <v>275000000000</v>
      </c>
      <c r="H3303" s="425">
        <v>0</v>
      </c>
      <c r="I3303" s="425">
        <v>0</v>
      </c>
      <c r="J3303" s="425">
        <v>0</v>
      </c>
      <c r="K3303" s="425">
        <v>0</v>
      </c>
      <c r="L3303" s="425">
        <v>0</v>
      </c>
      <c r="M3303" s="425">
        <v>0</v>
      </c>
      <c r="N3303" s="425">
        <v>275000000000</v>
      </c>
      <c r="O3303" s="425">
        <v>0</v>
      </c>
    </row>
    <row r="3304" spans="1:15" hidden="1" x14ac:dyDescent="0.3">
      <c r="C3304" t="s">
        <v>2263</v>
      </c>
      <c r="D3304" t="s">
        <v>2237</v>
      </c>
      <c r="E3304" t="s">
        <v>8793</v>
      </c>
      <c r="F3304" t="s">
        <v>8794</v>
      </c>
      <c r="G3304" s="425">
        <v>4977610000</v>
      </c>
      <c r="H3304" s="425">
        <v>0</v>
      </c>
      <c r="I3304" s="425">
        <v>0</v>
      </c>
      <c r="J3304" s="425">
        <v>0</v>
      </c>
      <c r="K3304" s="425">
        <v>0</v>
      </c>
      <c r="L3304" s="425">
        <v>0</v>
      </c>
      <c r="M3304" s="425">
        <v>0</v>
      </c>
      <c r="N3304" s="425">
        <v>4977610000</v>
      </c>
      <c r="O3304" s="425">
        <v>0</v>
      </c>
    </row>
    <row r="3305" spans="1:15" hidden="1" x14ac:dyDescent="0.3">
      <c r="C3305" t="s">
        <v>2266</v>
      </c>
      <c r="D3305" t="s">
        <v>2267</v>
      </c>
      <c r="E3305" t="s">
        <v>8795</v>
      </c>
      <c r="F3305" t="s">
        <v>8796</v>
      </c>
      <c r="G3305" s="425">
        <v>4977610000</v>
      </c>
      <c r="H3305" s="425">
        <v>0</v>
      </c>
      <c r="I3305" s="425">
        <v>0</v>
      </c>
      <c r="J3305" s="425">
        <v>0</v>
      </c>
      <c r="K3305" s="425">
        <v>0</v>
      </c>
      <c r="L3305" s="425">
        <v>0</v>
      </c>
      <c r="M3305" s="425">
        <v>0</v>
      </c>
      <c r="N3305" s="425">
        <v>4977610000</v>
      </c>
      <c r="O3305" s="425">
        <v>0</v>
      </c>
    </row>
    <row r="3306" spans="1:15" hidden="1" x14ac:dyDescent="0.3">
      <c r="C3306" t="s">
        <v>2266</v>
      </c>
      <c r="D3306" t="s">
        <v>2267</v>
      </c>
      <c r="E3306" t="s">
        <v>8797</v>
      </c>
      <c r="F3306" t="s">
        <v>8798</v>
      </c>
      <c r="G3306" s="425">
        <v>0</v>
      </c>
      <c r="H3306" s="425">
        <v>0</v>
      </c>
      <c r="I3306" s="425">
        <v>0</v>
      </c>
      <c r="J3306" s="425">
        <v>0</v>
      </c>
      <c r="K3306" s="425">
        <v>0</v>
      </c>
      <c r="L3306" s="425">
        <v>0</v>
      </c>
      <c r="M3306" s="425">
        <v>0</v>
      </c>
      <c r="N3306" s="425">
        <v>0</v>
      </c>
      <c r="O3306" s="425">
        <v>0</v>
      </c>
    </row>
    <row r="3307" spans="1:15" hidden="1" x14ac:dyDescent="0.3">
      <c r="C3307" t="s">
        <v>2266</v>
      </c>
      <c r="D3307" t="s">
        <v>2267</v>
      </c>
      <c r="E3307" t="s">
        <v>8799</v>
      </c>
      <c r="F3307" t="s">
        <v>8800</v>
      </c>
      <c r="G3307" s="425">
        <v>0</v>
      </c>
      <c r="H3307" s="425">
        <v>0</v>
      </c>
      <c r="I3307" s="425">
        <v>0</v>
      </c>
      <c r="J3307" s="425">
        <v>0</v>
      </c>
      <c r="K3307" s="425">
        <v>0</v>
      </c>
      <c r="L3307" s="425">
        <v>0</v>
      </c>
      <c r="M3307" s="425">
        <v>0</v>
      </c>
      <c r="N3307" s="425">
        <v>0</v>
      </c>
      <c r="O3307" s="425">
        <v>0</v>
      </c>
    </row>
    <row r="3308" spans="1:15" hidden="1" x14ac:dyDescent="0.3">
      <c r="C3308" t="s">
        <v>2266</v>
      </c>
      <c r="D3308" t="s">
        <v>2267</v>
      </c>
      <c r="E3308" t="s">
        <v>8801</v>
      </c>
      <c r="F3308" t="s">
        <v>8802</v>
      </c>
      <c r="G3308" s="425">
        <v>0</v>
      </c>
      <c r="H3308" s="425">
        <v>0</v>
      </c>
      <c r="I3308" s="425">
        <v>0</v>
      </c>
      <c r="J3308" s="425">
        <v>0</v>
      </c>
      <c r="K3308" s="425">
        <v>0</v>
      </c>
      <c r="L3308" s="425">
        <v>0</v>
      </c>
      <c r="M3308" s="425">
        <v>0</v>
      </c>
      <c r="N3308" s="425">
        <v>0</v>
      </c>
      <c r="O3308" s="425">
        <v>0</v>
      </c>
    </row>
    <row r="3309" spans="1:15" hidden="1" x14ac:dyDescent="0.3">
      <c r="C3309" t="s">
        <v>2266</v>
      </c>
      <c r="D3309" t="s">
        <v>2267</v>
      </c>
      <c r="E3309" t="s">
        <v>8803</v>
      </c>
      <c r="F3309" t="s">
        <v>8804</v>
      </c>
      <c r="G3309" s="425">
        <v>0</v>
      </c>
      <c r="H3309" s="425">
        <v>0</v>
      </c>
      <c r="I3309" s="425">
        <v>0</v>
      </c>
      <c r="J3309" s="425">
        <v>0</v>
      </c>
      <c r="K3309" s="425">
        <v>0</v>
      </c>
      <c r="L3309" s="425">
        <v>0</v>
      </c>
      <c r="M3309" s="425">
        <v>0</v>
      </c>
      <c r="N3309" s="425">
        <v>0</v>
      </c>
      <c r="O3309" s="425">
        <v>0</v>
      </c>
    </row>
    <row r="3310" spans="1:15" hidden="1" x14ac:dyDescent="0.3">
      <c r="A3310" s="233"/>
      <c r="B3310" s="234" t="s">
        <v>208</v>
      </c>
      <c r="C3310" t="s">
        <v>2260</v>
      </c>
      <c r="D3310" t="s">
        <v>2237</v>
      </c>
      <c r="E3310" t="s">
        <v>8805</v>
      </c>
      <c r="F3310" t="s">
        <v>8806</v>
      </c>
      <c r="G3310" s="425">
        <v>2414050844521</v>
      </c>
      <c r="H3310" s="425">
        <v>1702208135421</v>
      </c>
      <c r="I3310" s="425">
        <v>-10353549535</v>
      </c>
      <c r="J3310" s="425">
        <v>-300582359515</v>
      </c>
      <c r="K3310" s="425">
        <v>-59080731121</v>
      </c>
      <c r="L3310" s="425">
        <v>460302983667</v>
      </c>
      <c r="M3310" s="425">
        <v>121219951634</v>
      </c>
      <c r="N3310" s="425">
        <v>614884535616</v>
      </c>
      <c r="O3310" s="425">
        <v>-114548121646</v>
      </c>
    </row>
    <row r="3311" spans="1:15" hidden="1" x14ac:dyDescent="0.3">
      <c r="A3311" s="233"/>
      <c r="B3311" s="235" t="s">
        <v>209</v>
      </c>
      <c r="C3311" t="s">
        <v>2263</v>
      </c>
      <c r="D3311" t="s">
        <v>2237</v>
      </c>
      <c r="E3311" t="s">
        <v>8807</v>
      </c>
      <c r="F3311" t="s">
        <v>8808</v>
      </c>
      <c r="G3311" s="425">
        <v>410474355574</v>
      </c>
      <c r="H3311" s="425">
        <v>0</v>
      </c>
      <c r="I3311" s="425">
        <v>0</v>
      </c>
      <c r="J3311" s="425">
        <v>0</v>
      </c>
      <c r="K3311" s="425">
        <v>0</v>
      </c>
      <c r="L3311" s="425">
        <v>0</v>
      </c>
      <c r="M3311" s="425">
        <v>0</v>
      </c>
      <c r="N3311" s="425">
        <v>410474355574</v>
      </c>
      <c r="O3311" s="425">
        <v>0</v>
      </c>
    </row>
    <row r="3312" spans="1:15" hidden="1" x14ac:dyDescent="0.3">
      <c r="C3312" t="s">
        <v>2266</v>
      </c>
      <c r="D3312" t="s">
        <v>2267</v>
      </c>
      <c r="E3312" t="s">
        <v>8809</v>
      </c>
      <c r="F3312" t="s">
        <v>8810</v>
      </c>
      <c r="G3312" s="425">
        <v>0</v>
      </c>
      <c r="H3312" s="425">
        <v>0</v>
      </c>
      <c r="I3312" s="425">
        <v>0</v>
      </c>
      <c r="J3312" s="425">
        <v>0</v>
      </c>
      <c r="K3312" s="425">
        <v>0</v>
      </c>
      <c r="L3312" s="425">
        <v>0</v>
      </c>
      <c r="M3312" s="425">
        <v>0</v>
      </c>
      <c r="N3312" s="425">
        <v>0</v>
      </c>
      <c r="O3312" s="425">
        <v>0</v>
      </c>
    </row>
    <row r="3313" spans="1:15" hidden="1" x14ac:dyDescent="0.3">
      <c r="C3313" t="s">
        <v>2266</v>
      </c>
      <c r="D3313" t="s">
        <v>2267</v>
      </c>
      <c r="E3313" t="s">
        <v>8811</v>
      </c>
      <c r="F3313" t="s">
        <v>8812</v>
      </c>
      <c r="G3313" s="425">
        <v>0</v>
      </c>
      <c r="H3313" s="425">
        <v>0</v>
      </c>
      <c r="I3313" s="425">
        <v>0</v>
      </c>
      <c r="J3313" s="425">
        <v>0</v>
      </c>
      <c r="K3313" s="425">
        <v>0</v>
      </c>
      <c r="L3313" s="425">
        <v>0</v>
      </c>
      <c r="M3313" s="425">
        <v>0</v>
      </c>
      <c r="N3313" s="425">
        <v>0</v>
      </c>
      <c r="O3313" s="425">
        <v>0</v>
      </c>
    </row>
    <row r="3314" spans="1:15" hidden="1" x14ac:dyDescent="0.3">
      <c r="C3314" t="s">
        <v>2266</v>
      </c>
      <c r="D3314" t="s">
        <v>2267</v>
      </c>
      <c r="E3314" t="s">
        <v>8813</v>
      </c>
      <c r="F3314" t="s">
        <v>8814</v>
      </c>
      <c r="G3314" s="425">
        <v>0</v>
      </c>
      <c r="H3314" s="425">
        <v>0</v>
      </c>
      <c r="I3314" s="425">
        <v>0</v>
      </c>
      <c r="J3314" s="425">
        <v>0</v>
      </c>
      <c r="K3314" s="425">
        <v>0</v>
      </c>
      <c r="L3314" s="425">
        <v>0</v>
      </c>
      <c r="M3314" s="425">
        <v>0</v>
      </c>
      <c r="N3314" s="425">
        <v>0</v>
      </c>
      <c r="O3314" s="425">
        <v>0</v>
      </c>
    </row>
    <row r="3315" spans="1:15" hidden="1" x14ac:dyDescent="0.3">
      <c r="C3315" t="s">
        <v>2266</v>
      </c>
      <c r="D3315" t="s">
        <v>2267</v>
      </c>
      <c r="E3315" t="s">
        <v>8815</v>
      </c>
      <c r="F3315" t="s">
        <v>8816</v>
      </c>
      <c r="G3315" s="425">
        <v>410474355574</v>
      </c>
      <c r="H3315" s="425">
        <v>0</v>
      </c>
      <c r="I3315" s="425">
        <v>0</v>
      </c>
      <c r="J3315" s="425">
        <v>0</v>
      </c>
      <c r="K3315" s="425">
        <v>0</v>
      </c>
      <c r="L3315" s="425">
        <v>0</v>
      </c>
      <c r="M3315" s="425">
        <v>0</v>
      </c>
      <c r="N3315" s="425">
        <v>410474355574</v>
      </c>
      <c r="O3315" s="425">
        <v>0</v>
      </c>
    </row>
    <row r="3316" spans="1:15" hidden="1" x14ac:dyDescent="0.3">
      <c r="A3316" s="233"/>
      <c r="B3316" s="235" t="s">
        <v>209</v>
      </c>
      <c r="C3316" t="s">
        <v>2263</v>
      </c>
      <c r="D3316" t="s">
        <v>2237</v>
      </c>
      <c r="E3316" t="s">
        <v>8817</v>
      </c>
      <c r="F3316" t="s">
        <v>8818</v>
      </c>
      <c r="G3316" s="425">
        <v>1915617798345</v>
      </c>
      <c r="H3316" s="425">
        <v>1603603742986</v>
      </c>
      <c r="I3316" s="425">
        <v>9584209394</v>
      </c>
      <c r="J3316" s="425">
        <v>-299390059165</v>
      </c>
      <c r="K3316" s="425">
        <v>-53155172838</v>
      </c>
      <c r="L3316" s="425">
        <v>380480059860</v>
      </c>
      <c r="M3316" s="425">
        <v>137905267634</v>
      </c>
      <c r="N3316" s="425">
        <v>246067975863</v>
      </c>
      <c r="O3316" s="425">
        <v>-109478225389</v>
      </c>
    </row>
    <row r="3317" spans="1:15" hidden="1" x14ac:dyDescent="0.3">
      <c r="C3317" t="s">
        <v>2266</v>
      </c>
      <c r="D3317" t="s">
        <v>2267</v>
      </c>
      <c r="E3317" t="s">
        <v>8819</v>
      </c>
      <c r="F3317" t="s">
        <v>8820</v>
      </c>
      <c r="G3317" s="425">
        <v>7349322315737</v>
      </c>
      <c r="H3317" s="425">
        <v>5941724285106</v>
      </c>
      <c r="I3317" s="425">
        <v>1043572295186</v>
      </c>
      <c r="J3317" s="425">
        <v>-207399307666</v>
      </c>
      <c r="K3317" s="425">
        <v>152209314199</v>
      </c>
      <c r="L3317" s="425">
        <v>380480059860</v>
      </c>
      <c r="M3317" s="425">
        <v>195084164257</v>
      </c>
      <c r="N3317" s="425">
        <v>-168440674163</v>
      </c>
      <c r="O3317" s="425">
        <v>12092178958</v>
      </c>
    </row>
    <row r="3318" spans="1:15" hidden="1" x14ac:dyDescent="0.3">
      <c r="C3318" t="s">
        <v>2266</v>
      </c>
      <c r="D3318" t="s">
        <v>2267</v>
      </c>
      <c r="E3318" t="s">
        <v>8821</v>
      </c>
      <c r="F3318" t="s">
        <v>8822</v>
      </c>
      <c r="G3318" s="425">
        <v>0</v>
      </c>
      <c r="H3318" s="425">
        <v>0</v>
      </c>
      <c r="I3318" s="425">
        <v>0</v>
      </c>
      <c r="J3318" s="425">
        <v>0</v>
      </c>
      <c r="K3318" s="425">
        <v>0</v>
      </c>
      <c r="L3318" s="425">
        <v>0</v>
      </c>
      <c r="M3318" s="425">
        <v>0</v>
      </c>
      <c r="N3318" s="425">
        <v>0</v>
      </c>
      <c r="O3318" s="425">
        <v>0</v>
      </c>
    </row>
    <row r="3319" spans="1:15" hidden="1" x14ac:dyDescent="0.3">
      <c r="C3319" t="s">
        <v>2266</v>
      </c>
      <c r="D3319" t="s">
        <v>2267</v>
      </c>
      <c r="E3319" t="s">
        <v>8823</v>
      </c>
      <c r="F3319" t="s">
        <v>8824</v>
      </c>
      <c r="G3319" s="425">
        <v>-5433704517392</v>
      </c>
      <c r="H3319" s="425">
        <v>-4338120542120</v>
      </c>
      <c r="I3319" s="425">
        <v>-1033988085792</v>
      </c>
      <c r="J3319" s="425">
        <v>-91990751499</v>
      </c>
      <c r="K3319" s="425">
        <v>-205364487037</v>
      </c>
      <c r="L3319" s="425">
        <v>0</v>
      </c>
      <c r="M3319" s="425">
        <v>-57178896623</v>
      </c>
      <c r="N3319" s="425">
        <v>414508650026</v>
      </c>
      <c r="O3319" s="425">
        <v>-121570404347</v>
      </c>
    </row>
    <row r="3320" spans="1:15" hidden="1" x14ac:dyDescent="0.3">
      <c r="A3320" s="233"/>
      <c r="B3320" s="235" t="s">
        <v>210</v>
      </c>
      <c r="C3320" t="s">
        <v>2263</v>
      </c>
      <c r="D3320" t="s">
        <v>2237</v>
      </c>
      <c r="E3320" t="s">
        <v>8825</v>
      </c>
      <c r="F3320" t="s">
        <v>8826</v>
      </c>
      <c r="G3320" s="425">
        <v>3841897881</v>
      </c>
      <c r="H3320" s="425">
        <v>-19352529917</v>
      </c>
      <c r="I3320" s="425">
        <v>-19761950512</v>
      </c>
      <c r="J3320" s="425">
        <v>-1192300350</v>
      </c>
      <c r="K3320" s="425">
        <v>-4776355342</v>
      </c>
      <c r="L3320" s="425">
        <v>-2231787335</v>
      </c>
      <c r="M3320" s="425">
        <v>-446976495</v>
      </c>
      <c r="N3320" s="425">
        <v>56673694089</v>
      </c>
      <c r="O3320" s="425">
        <v>-5069896257</v>
      </c>
    </row>
    <row r="3321" spans="1:15" hidden="1" x14ac:dyDescent="0.3">
      <c r="C3321" t="s">
        <v>2266</v>
      </c>
      <c r="D3321" t="s">
        <v>2267</v>
      </c>
      <c r="E3321" t="s">
        <v>8827</v>
      </c>
      <c r="F3321" t="s">
        <v>8828</v>
      </c>
      <c r="G3321" s="425">
        <v>-23600751256</v>
      </c>
      <c r="H3321" s="425">
        <v>-7913013885</v>
      </c>
      <c r="I3321" s="425">
        <v>-6276049899</v>
      </c>
      <c r="J3321" s="425">
        <v>-1421397821</v>
      </c>
      <c r="K3321" s="425">
        <v>-434053184</v>
      </c>
      <c r="L3321" s="425">
        <v>-699355121</v>
      </c>
      <c r="M3321" s="425">
        <v>-444325210</v>
      </c>
      <c r="N3321" s="425">
        <v>-5836745917</v>
      </c>
      <c r="O3321" s="425">
        <v>-575810219</v>
      </c>
    </row>
    <row r="3322" spans="1:15" hidden="1" x14ac:dyDescent="0.3">
      <c r="C3322" t="s">
        <v>2266</v>
      </c>
      <c r="D3322" t="s">
        <v>2267</v>
      </c>
      <c r="E3322" t="s">
        <v>8829</v>
      </c>
      <c r="F3322" t="s">
        <v>8830</v>
      </c>
      <c r="G3322" s="425">
        <v>28371566415</v>
      </c>
      <c r="H3322" s="425">
        <v>-12446554118</v>
      </c>
      <c r="I3322" s="425">
        <v>-15120823701</v>
      </c>
      <c r="J3322" s="425">
        <v>229097471</v>
      </c>
      <c r="K3322" s="425">
        <v>-4623512319</v>
      </c>
      <c r="L3322" s="425">
        <v>-1532432214</v>
      </c>
      <c r="M3322" s="425">
        <v>-283463134</v>
      </c>
      <c r="N3322" s="425">
        <v>66643340468</v>
      </c>
      <c r="O3322" s="425">
        <v>-4494086038</v>
      </c>
    </row>
    <row r="3323" spans="1:15" hidden="1" x14ac:dyDescent="0.3">
      <c r="C3323" t="s">
        <v>2266</v>
      </c>
      <c r="D3323" t="s">
        <v>2267</v>
      </c>
      <c r="E3323" t="s">
        <v>8831</v>
      </c>
      <c r="F3323" t="s">
        <v>8832</v>
      </c>
      <c r="G3323" s="425">
        <v>-928917278</v>
      </c>
      <c r="H3323" s="425">
        <v>1007038086</v>
      </c>
      <c r="I3323" s="425">
        <v>1634923088</v>
      </c>
      <c r="J3323" s="425">
        <v>0</v>
      </c>
      <c r="K3323" s="425">
        <v>281210161</v>
      </c>
      <c r="L3323" s="425">
        <v>0</v>
      </c>
      <c r="M3323" s="425">
        <v>280811849</v>
      </c>
      <c r="N3323" s="425">
        <v>-4132900462</v>
      </c>
      <c r="O3323" s="425">
        <v>0</v>
      </c>
    </row>
    <row r="3324" spans="1:15" hidden="1" x14ac:dyDescent="0.3">
      <c r="A3324" s="233"/>
      <c r="B3324" s="235" t="s">
        <v>211</v>
      </c>
      <c r="C3324" t="s">
        <v>2263</v>
      </c>
      <c r="D3324" t="s">
        <v>2237</v>
      </c>
      <c r="E3324" t="s">
        <v>8833</v>
      </c>
      <c r="F3324" t="s">
        <v>8834</v>
      </c>
      <c r="G3324" s="425">
        <v>84116792721</v>
      </c>
      <c r="H3324" s="425">
        <v>117956922352</v>
      </c>
      <c r="I3324" s="425">
        <v>-175808417</v>
      </c>
      <c r="J3324" s="425">
        <v>0</v>
      </c>
      <c r="K3324" s="425">
        <v>-1149202941</v>
      </c>
      <c r="L3324" s="425">
        <v>82054711142</v>
      </c>
      <c r="M3324" s="425">
        <v>-16238339505</v>
      </c>
      <c r="N3324" s="425">
        <v>-98331489910</v>
      </c>
      <c r="O3324" s="425">
        <v>0</v>
      </c>
    </row>
    <row r="3325" spans="1:15" hidden="1" x14ac:dyDescent="0.3">
      <c r="A3325" s="233"/>
      <c r="B3325" s="234" t="s">
        <v>212</v>
      </c>
      <c r="C3325" t="s">
        <v>2260</v>
      </c>
      <c r="D3325" t="s">
        <v>2237</v>
      </c>
      <c r="E3325" t="s">
        <v>8835</v>
      </c>
      <c r="F3325" t="s">
        <v>8836</v>
      </c>
      <c r="G3325" s="425">
        <v>0</v>
      </c>
      <c r="H3325" s="425">
        <v>266423582000</v>
      </c>
      <c r="I3325" s="425">
        <v>196500552197</v>
      </c>
      <c r="J3325" s="425">
        <v>320399647194</v>
      </c>
      <c r="K3325" s="425">
        <v>40453660898</v>
      </c>
      <c r="L3325" s="425">
        <v>1258949026728</v>
      </c>
      <c r="M3325" s="425">
        <v>40474079408</v>
      </c>
      <c r="N3325" s="425">
        <v>-2244335855035</v>
      </c>
      <c r="O3325" s="425">
        <v>121135306610</v>
      </c>
    </row>
    <row r="3326" spans="1:15" hidden="1" x14ac:dyDescent="0.3">
      <c r="C3326" t="s">
        <v>2263</v>
      </c>
      <c r="D3326" t="s">
        <v>2267</v>
      </c>
      <c r="E3326" t="s">
        <v>8837</v>
      </c>
      <c r="F3326" t="s">
        <v>8838</v>
      </c>
      <c r="G3326" s="425">
        <v>0</v>
      </c>
      <c r="H3326" s="425">
        <v>266423582000</v>
      </c>
      <c r="I3326" s="425">
        <v>196500552197</v>
      </c>
      <c r="J3326" s="425">
        <v>320399647194</v>
      </c>
      <c r="K3326" s="425">
        <v>40453660898</v>
      </c>
      <c r="L3326" s="425">
        <v>1258949026728</v>
      </c>
      <c r="M3326" s="425">
        <v>40474079408</v>
      </c>
      <c r="N3326" s="425">
        <v>-2244335855035</v>
      </c>
      <c r="O3326" s="425">
        <v>121135306610</v>
      </c>
    </row>
  </sheetData>
  <autoFilter ref="A1:C3326" xr:uid="{B336BFF3-242B-4858-BEEF-A50AA6926A34}">
    <filterColumn colId="0">
      <customFilters>
        <customFilter operator="notEqual" val=" "/>
      </customFilters>
    </filterColumn>
  </autoFilter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199C-7351-4D93-8E37-81656E21A89A}">
  <sheetPr>
    <tabColor theme="0" tint="-0.499984740745262"/>
  </sheetPr>
  <dimension ref="A1:Y1240"/>
  <sheetViews>
    <sheetView workbookViewId="0"/>
  </sheetViews>
  <sheetFormatPr defaultRowHeight="16.5" x14ac:dyDescent="0.3"/>
  <cols>
    <col min="1" max="1" width="6.625" customWidth="1"/>
    <col min="2" max="2" width="20" bestFit="1" customWidth="1"/>
  </cols>
  <sheetData>
    <row r="1" spans="1:25" x14ac:dyDescent="0.3">
      <c r="C1" s="249"/>
      <c r="D1" s="249"/>
      <c r="E1" s="250"/>
    </row>
    <row r="2" spans="1:25" ht="26.25" x14ac:dyDescent="0.3">
      <c r="B2" s="249"/>
      <c r="C2" s="251" t="s">
        <v>8972</v>
      </c>
      <c r="D2" s="252"/>
      <c r="E2" s="253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</row>
    <row r="3" spans="1:25" ht="26.25" x14ac:dyDescent="0.3">
      <c r="B3" s="249"/>
      <c r="C3" s="251"/>
      <c r="D3" s="252"/>
      <c r="E3" s="253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</row>
    <row r="4" spans="1:25" x14ac:dyDescent="0.3">
      <c r="B4" t="s">
        <v>894</v>
      </c>
      <c r="E4" s="254" t="s">
        <v>8973</v>
      </c>
      <c r="V4" s="255" t="s">
        <v>896</v>
      </c>
    </row>
    <row r="5" spans="1:25" x14ac:dyDescent="0.3">
      <c r="A5" s="249"/>
      <c r="B5" s="249"/>
      <c r="C5" s="256" t="s">
        <v>8974</v>
      </c>
      <c r="D5" s="256"/>
      <c r="E5" s="257"/>
      <c r="F5" s="258" t="s">
        <v>898</v>
      </c>
      <c r="G5" s="259" t="s">
        <v>899</v>
      </c>
      <c r="H5" s="260" t="s">
        <v>900</v>
      </c>
      <c r="I5" s="261" t="s">
        <v>901</v>
      </c>
      <c r="J5" s="262">
        <v>1</v>
      </c>
      <c r="K5" s="263">
        <v>2</v>
      </c>
      <c r="L5" s="263">
        <v>3</v>
      </c>
      <c r="M5" s="263">
        <v>4</v>
      </c>
      <c r="N5" s="263">
        <v>5</v>
      </c>
      <c r="O5" s="263">
        <v>6</v>
      </c>
      <c r="P5" s="263">
        <v>7</v>
      </c>
      <c r="Q5" s="263">
        <v>8</v>
      </c>
      <c r="R5" s="263">
        <v>9</v>
      </c>
      <c r="S5" s="263">
        <v>10</v>
      </c>
      <c r="T5" s="263">
        <v>11</v>
      </c>
      <c r="U5" s="264">
        <v>12</v>
      </c>
      <c r="V5" s="265" t="s">
        <v>902</v>
      </c>
      <c r="W5" s="249"/>
      <c r="X5" s="266" t="s">
        <v>903</v>
      </c>
      <c r="Y5" s="260" t="s">
        <v>904</v>
      </c>
    </row>
    <row r="6" spans="1:25" x14ac:dyDescent="0.3">
      <c r="C6" s="267" t="s">
        <v>905</v>
      </c>
      <c r="D6" s="267"/>
      <c r="E6" s="268"/>
      <c r="F6" s="269"/>
      <c r="G6" s="270"/>
      <c r="H6" s="271"/>
      <c r="I6" s="272"/>
      <c r="J6" s="273">
        <v>0</v>
      </c>
      <c r="K6" s="274">
        <v>0</v>
      </c>
      <c r="L6" s="274">
        <v>0</v>
      </c>
      <c r="M6" s="274">
        <v>0</v>
      </c>
      <c r="N6" s="274">
        <v>0</v>
      </c>
      <c r="O6" s="274">
        <v>0</v>
      </c>
      <c r="P6" s="274">
        <v>0</v>
      </c>
      <c r="Q6" s="274">
        <v>0</v>
      </c>
      <c r="R6" s="274">
        <v>0</v>
      </c>
      <c r="S6" s="274">
        <v>0</v>
      </c>
      <c r="T6" s="274">
        <v>0</v>
      </c>
      <c r="U6" s="275">
        <v>0</v>
      </c>
      <c r="V6" s="276">
        <v>0</v>
      </c>
      <c r="W6" s="277"/>
      <c r="X6" s="278">
        <v>0</v>
      </c>
      <c r="Y6" s="279">
        <v>0</v>
      </c>
    </row>
    <row r="7" spans="1:25" ht="33" x14ac:dyDescent="0.3">
      <c r="A7" s="248" t="s">
        <v>58</v>
      </c>
      <c r="B7" s="248"/>
      <c r="C7" s="280" t="s">
        <v>906</v>
      </c>
      <c r="D7" s="281"/>
      <c r="E7" s="282"/>
      <c r="F7" s="283" t="s">
        <v>907</v>
      </c>
      <c r="G7" s="284"/>
      <c r="H7" s="285"/>
      <c r="I7" s="286"/>
      <c r="J7" s="287">
        <v>0</v>
      </c>
      <c r="K7" s="288">
        <v>0</v>
      </c>
      <c r="L7" s="288">
        <v>0</v>
      </c>
      <c r="M7" s="288">
        <v>0</v>
      </c>
      <c r="N7" s="288">
        <v>0</v>
      </c>
      <c r="O7" s="288">
        <v>0</v>
      </c>
      <c r="P7" s="288">
        <v>0</v>
      </c>
      <c r="Q7" s="288">
        <v>0</v>
      </c>
      <c r="R7" s="288">
        <v>0</v>
      </c>
      <c r="S7" s="288">
        <v>0</v>
      </c>
      <c r="T7" s="288">
        <v>0</v>
      </c>
      <c r="U7" s="289">
        <v>0</v>
      </c>
      <c r="V7" s="290">
        <v>0</v>
      </c>
      <c r="W7" s="277"/>
      <c r="X7" s="291">
        <v>0</v>
      </c>
      <c r="Y7" s="292">
        <v>0</v>
      </c>
    </row>
    <row r="8" spans="1:25" x14ac:dyDescent="0.3">
      <c r="A8" s="233"/>
      <c r="B8" s="234" t="s">
        <v>0</v>
      </c>
      <c r="D8" s="293" t="s">
        <v>908</v>
      </c>
      <c r="E8" s="294"/>
      <c r="F8" s="295" t="s">
        <v>909</v>
      </c>
      <c r="G8" s="296"/>
      <c r="H8" s="297"/>
      <c r="I8" s="298"/>
      <c r="J8" s="299">
        <v>0</v>
      </c>
      <c r="K8" s="300">
        <v>0</v>
      </c>
      <c r="L8" s="300">
        <v>0</v>
      </c>
      <c r="M8" s="300">
        <v>0</v>
      </c>
      <c r="N8" s="300">
        <v>0</v>
      </c>
      <c r="O8" s="300">
        <v>0</v>
      </c>
      <c r="P8" s="300">
        <v>0</v>
      </c>
      <c r="Q8" s="300">
        <v>0</v>
      </c>
      <c r="R8" s="300">
        <v>0</v>
      </c>
      <c r="S8" s="300">
        <v>0</v>
      </c>
      <c r="T8" s="300">
        <v>0</v>
      </c>
      <c r="U8" s="301">
        <v>0</v>
      </c>
      <c r="V8" s="302">
        <v>0</v>
      </c>
      <c r="W8" s="303"/>
      <c r="X8" s="304">
        <v>0</v>
      </c>
      <c r="Y8" s="305">
        <v>0</v>
      </c>
    </row>
    <row r="9" spans="1:25" x14ac:dyDescent="0.3">
      <c r="E9" s="250" t="s">
        <v>910</v>
      </c>
      <c r="F9" s="306">
        <v>4100101</v>
      </c>
      <c r="G9" s="307"/>
      <c r="H9" s="308">
        <v>4100010103</v>
      </c>
      <c r="I9" s="309"/>
      <c r="J9" s="310">
        <v>0</v>
      </c>
      <c r="K9" s="311">
        <v>0</v>
      </c>
      <c r="L9" s="311">
        <v>0</v>
      </c>
      <c r="M9" s="311">
        <v>0</v>
      </c>
      <c r="N9" s="311">
        <v>0</v>
      </c>
      <c r="O9" s="311">
        <v>0</v>
      </c>
      <c r="P9" s="311">
        <v>0</v>
      </c>
      <c r="Q9" s="311">
        <v>0</v>
      </c>
      <c r="R9" s="311">
        <v>0</v>
      </c>
      <c r="S9" s="311">
        <v>0</v>
      </c>
      <c r="T9" s="311">
        <v>0</v>
      </c>
      <c r="U9" s="312">
        <v>0</v>
      </c>
      <c r="V9" s="313">
        <v>0</v>
      </c>
      <c r="W9" s="314"/>
      <c r="X9" s="315">
        <v>0</v>
      </c>
      <c r="Y9" s="316">
        <v>0</v>
      </c>
    </row>
    <row r="10" spans="1:25" x14ac:dyDescent="0.3">
      <c r="E10" s="250" t="s">
        <v>911</v>
      </c>
      <c r="F10" s="317">
        <v>4100102</v>
      </c>
      <c r="G10" s="318"/>
      <c r="H10" s="319">
        <v>4100010101</v>
      </c>
      <c r="I10" s="320"/>
      <c r="J10" s="310">
        <v>0</v>
      </c>
      <c r="K10" s="321">
        <v>0</v>
      </c>
      <c r="L10" s="321">
        <v>0</v>
      </c>
      <c r="M10" s="321">
        <v>0</v>
      </c>
      <c r="N10" s="321">
        <v>0</v>
      </c>
      <c r="O10" s="321">
        <v>0</v>
      </c>
      <c r="P10" s="321">
        <v>0</v>
      </c>
      <c r="Q10" s="321">
        <v>0</v>
      </c>
      <c r="R10" s="321">
        <v>0</v>
      </c>
      <c r="S10" s="321">
        <v>0</v>
      </c>
      <c r="T10" s="321">
        <v>0</v>
      </c>
      <c r="U10" s="322">
        <v>0</v>
      </c>
      <c r="V10" s="323">
        <v>0</v>
      </c>
      <c r="W10" s="303"/>
      <c r="X10" s="324">
        <v>0</v>
      </c>
      <c r="Y10" s="325">
        <v>0</v>
      </c>
    </row>
    <row r="11" spans="1:25" x14ac:dyDescent="0.3">
      <c r="E11" s="250" t="s">
        <v>912</v>
      </c>
      <c r="F11" s="317">
        <v>4100103</v>
      </c>
      <c r="G11" s="318"/>
      <c r="H11" s="319">
        <v>4100010105</v>
      </c>
      <c r="I11" s="320"/>
      <c r="J11" s="310">
        <v>0</v>
      </c>
      <c r="K11" s="321">
        <v>0</v>
      </c>
      <c r="L11" s="321">
        <v>0</v>
      </c>
      <c r="M11" s="321">
        <v>0</v>
      </c>
      <c r="N11" s="321">
        <v>0</v>
      </c>
      <c r="O11" s="321">
        <v>0</v>
      </c>
      <c r="P11" s="321">
        <v>0</v>
      </c>
      <c r="Q11" s="321">
        <v>0</v>
      </c>
      <c r="R11" s="321">
        <v>0</v>
      </c>
      <c r="S11" s="321">
        <v>0</v>
      </c>
      <c r="T11" s="321">
        <v>0</v>
      </c>
      <c r="U11" s="322">
        <v>0</v>
      </c>
      <c r="V11" s="323">
        <v>0</v>
      </c>
      <c r="W11" s="303"/>
      <c r="X11" s="324">
        <v>0</v>
      </c>
      <c r="Y11" s="325">
        <v>0</v>
      </c>
    </row>
    <row r="12" spans="1:25" x14ac:dyDescent="0.3">
      <c r="E12" s="250" t="s">
        <v>913</v>
      </c>
      <c r="F12" s="317">
        <v>4100104</v>
      </c>
      <c r="G12" s="318"/>
      <c r="H12" s="319"/>
      <c r="I12" s="320"/>
      <c r="J12" s="310">
        <v>0</v>
      </c>
      <c r="K12" s="321">
        <v>0</v>
      </c>
      <c r="L12" s="321">
        <v>0</v>
      </c>
      <c r="M12" s="321">
        <v>0</v>
      </c>
      <c r="N12" s="321">
        <v>0</v>
      </c>
      <c r="O12" s="321">
        <v>0</v>
      </c>
      <c r="P12" s="321">
        <v>0</v>
      </c>
      <c r="Q12" s="321">
        <v>0</v>
      </c>
      <c r="R12" s="321">
        <v>0</v>
      </c>
      <c r="S12" s="321">
        <v>0</v>
      </c>
      <c r="T12" s="321">
        <v>0</v>
      </c>
      <c r="U12" s="322">
        <v>0</v>
      </c>
      <c r="V12" s="323">
        <v>0</v>
      </c>
      <c r="W12" s="303"/>
      <c r="X12" s="324">
        <v>0</v>
      </c>
      <c r="Y12" s="325">
        <v>0</v>
      </c>
    </row>
    <row r="13" spans="1:25" x14ac:dyDescent="0.3">
      <c r="E13" s="250" t="s">
        <v>914</v>
      </c>
      <c r="F13" s="317">
        <v>4100190</v>
      </c>
      <c r="G13" s="318"/>
      <c r="H13" s="319"/>
      <c r="I13" s="320"/>
      <c r="J13" s="310">
        <v>0</v>
      </c>
      <c r="K13" s="321">
        <v>0</v>
      </c>
      <c r="L13" s="321">
        <v>0</v>
      </c>
      <c r="M13" s="321">
        <v>0</v>
      </c>
      <c r="N13" s="321">
        <v>0</v>
      </c>
      <c r="O13" s="321">
        <v>0</v>
      </c>
      <c r="P13" s="321">
        <v>0</v>
      </c>
      <c r="Q13" s="321">
        <v>0</v>
      </c>
      <c r="R13" s="321">
        <v>0</v>
      </c>
      <c r="S13" s="321">
        <v>0</v>
      </c>
      <c r="T13" s="321">
        <v>0</v>
      </c>
      <c r="U13" s="322">
        <v>0</v>
      </c>
      <c r="V13" s="323">
        <v>0</v>
      </c>
      <c r="W13" s="303"/>
      <c r="X13" s="324">
        <v>0</v>
      </c>
      <c r="Y13" s="325">
        <v>0</v>
      </c>
    </row>
    <row r="14" spans="1:25" x14ac:dyDescent="0.3">
      <c r="A14" s="326"/>
      <c r="B14" s="326"/>
      <c r="C14" s="326"/>
      <c r="D14" s="326"/>
      <c r="E14" s="250" t="s">
        <v>915</v>
      </c>
      <c r="F14" s="317">
        <v>4100191</v>
      </c>
      <c r="G14" s="327"/>
      <c r="H14" s="328">
        <v>4100010107</v>
      </c>
      <c r="I14" s="329"/>
      <c r="J14" s="310">
        <v>0</v>
      </c>
      <c r="K14" s="330">
        <v>0</v>
      </c>
      <c r="L14" s="330">
        <v>0</v>
      </c>
      <c r="M14" s="330">
        <v>0</v>
      </c>
      <c r="N14" s="330">
        <v>0</v>
      </c>
      <c r="O14" s="330">
        <v>0</v>
      </c>
      <c r="P14" s="330">
        <v>0</v>
      </c>
      <c r="Q14" s="330">
        <v>0</v>
      </c>
      <c r="R14" s="330">
        <v>0</v>
      </c>
      <c r="S14" s="330">
        <v>0</v>
      </c>
      <c r="T14" s="330">
        <v>0</v>
      </c>
      <c r="U14" s="331">
        <v>0</v>
      </c>
      <c r="V14" s="332">
        <v>0</v>
      </c>
      <c r="W14" s="333"/>
      <c r="X14" s="334">
        <v>0</v>
      </c>
      <c r="Y14" s="335">
        <v>0</v>
      </c>
    </row>
    <row r="15" spans="1:25" x14ac:dyDescent="0.3">
      <c r="A15" s="326"/>
      <c r="B15" s="326"/>
      <c r="C15" s="326"/>
      <c r="D15" s="326"/>
      <c r="E15" s="326" t="s">
        <v>916</v>
      </c>
      <c r="F15" s="336"/>
      <c r="G15" s="327"/>
      <c r="H15" s="328"/>
      <c r="I15" s="329"/>
      <c r="J15" s="310">
        <v>0</v>
      </c>
      <c r="K15" s="330">
        <v>0</v>
      </c>
      <c r="L15" s="330">
        <v>0</v>
      </c>
      <c r="M15" s="330">
        <v>0</v>
      </c>
      <c r="N15" s="330">
        <v>0</v>
      </c>
      <c r="O15" s="330">
        <v>0</v>
      </c>
      <c r="P15" s="330">
        <v>0</v>
      </c>
      <c r="Q15" s="330">
        <v>0</v>
      </c>
      <c r="R15" s="330">
        <v>0</v>
      </c>
      <c r="S15" s="330">
        <v>0</v>
      </c>
      <c r="T15" s="330">
        <v>0</v>
      </c>
      <c r="U15" s="331">
        <v>0</v>
      </c>
      <c r="V15" s="332">
        <v>0</v>
      </c>
      <c r="W15" s="333"/>
      <c r="X15" s="334">
        <v>0</v>
      </c>
      <c r="Y15" s="335">
        <v>0</v>
      </c>
    </row>
    <row r="16" spans="1:25" x14ac:dyDescent="0.3">
      <c r="A16" s="326"/>
      <c r="B16" s="326"/>
      <c r="C16" s="326"/>
      <c r="D16" s="326"/>
      <c r="E16" s="326" t="s">
        <v>917</v>
      </c>
      <c r="F16" s="336"/>
      <c r="G16" s="327"/>
      <c r="H16" s="328"/>
      <c r="I16" s="329"/>
      <c r="J16" s="310">
        <v>0</v>
      </c>
      <c r="K16" s="330">
        <v>0</v>
      </c>
      <c r="L16" s="330">
        <v>0</v>
      </c>
      <c r="M16" s="330">
        <v>0</v>
      </c>
      <c r="N16" s="330">
        <v>0</v>
      </c>
      <c r="O16" s="330">
        <v>0</v>
      </c>
      <c r="P16" s="330">
        <v>0</v>
      </c>
      <c r="Q16" s="330">
        <v>0</v>
      </c>
      <c r="R16" s="330">
        <v>0</v>
      </c>
      <c r="S16" s="330">
        <v>0</v>
      </c>
      <c r="T16" s="330">
        <v>0</v>
      </c>
      <c r="U16" s="331">
        <v>0</v>
      </c>
      <c r="V16" s="332">
        <v>0</v>
      </c>
      <c r="W16" s="333"/>
      <c r="X16" s="334">
        <v>0</v>
      </c>
      <c r="Y16" s="335">
        <v>0</v>
      </c>
    </row>
    <row r="17" spans="1:25" x14ac:dyDescent="0.3">
      <c r="A17" s="326"/>
      <c r="B17" s="326"/>
      <c r="C17" s="326"/>
      <c r="D17" s="326"/>
      <c r="E17" s="326" t="s">
        <v>918</v>
      </c>
      <c r="F17" s="336"/>
      <c r="G17" s="327"/>
      <c r="H17" s="328"/>
      <c r="I17" s="329"/>
      <c r="J17" s="310">
        <v>0</v>
      </c>
      <c r="K17" s="330">
        <v>0</v>
      </c>
      <c r="L17" s="330">
        <v>0</v>
      </c>
      <c r="M17" s="330">
        <v>0</v>
      </c>
      <c r="N17" s="330">
        <v>0</v>
      </c>
      <c r="O17" s="330">
        <v>0</v>
      </c>
      <c r="P17" s="330">
        <v>0</v>
      </c>
      <c r="Q17" s="330">
        <v>0</v>
      </c>
      <c r="R17" s="330">
        <v>0</v>
      </c>
      <c r="S17" s="330">
        <v>0</v>
      </c>
      <c r="T17" s="330">
        <v>0</v>
      </c>
      <c r="U17" s="331">
        <v>0</v>
      </c>
      <c r="V17" s="332">
        <v>0</v>
      </c>
      <c r="W17" s="333"/>
      <c r="X17" s="334">
        <v>0</v>
      </c>
      <c r="Y17" s="335">
        <v>0</v>
      </c>
    </row>
    <row r="18" spans="1:25" x14ac:dyDescent="0.3">
      <c r="A18" s="233"/>
      <c r="B18" s="234" t="s">
        <v>1</v>
      </c>
      <c r="D18" s="293" t="s">
        <v>919</v>
      </c>
      <c r="E18" s="294"/>
      <c r="F18" s="295" t="s">
        <v>920</v>
      </c>
      <c r="G18" s="296"/>
      <c r="H18" s="297"/>
      <c r="I18" s="298"/>
      <c r="J18" s="299">
        <v>0</v>
      </c>
      <c r="K18" s="300">
        <v>0</v>
      </c>
      <c r="L18" s="300">
        <v>0</v>
      </c>
      <c r="M18" s="300">
        <v>0</v>
      </c>
      <c r="N18" s="300">
        <v>0</v>
      </c>
      <c r="O18" s="300">
        <v>0</v>
      </c>
      <c r="P18" s="300">
        <v>0</v>
      </c>
      <c r="Q18" s="300">
        <v>0</v>
      </c>
      <c r="R18" s="300">
        <v>0</v>
      </c>
      <c r="S18" s="300">
        <v>0</v>
      </c>
      <c r="T18" s="300">
        <v>0</v>
      </c>
      <c r="U18" s="301">
        <v>0</v>
      </c>
      <c r="V18" s="302">
        <v>0</v>
      </c>
      <c r="W18" s="303"/>
      <c r="X18" s="304">
        <v>0</v>
      </c>
      <c r="Y18" s="305">
        <v>0</v>
      </c>
    </row>
    <row r="19" spans="1:25" x14ac:dyDescent="0.3">
      <c r="E19" s="250" t="s">
        <v>921</v>
      </c>
      <c r="F19" s="317">
        <v>4100200</v>
      </c>
      <c r="G19" s="318"/>
      <c r="H19" s="319">
        <v>4100010109</v>
      </c>
      <c r="I19" s="320"/>
      <c r="J19" s="337">
        <v>0</v>
      </c>
      <c r="K19" s="321">
        <v>0</v>
      </c>
      <c r="L19" s="321">
        <v>0</v>
      </c>
      <c r="M19" s="321">
        <v>0</v>
      </c>
      <c r="N19" s="321">
        <v>0</v>
      </c>
      <c r="O19" s="321">
        <v>0</v>
      </c>
      <c r="P19" s="321">
        <v>0</v>
      </c>
      <c r="Q19" s="321">
        <v>0</v>
      </c>
      <c r="R19" s="321">
        <v>0</v>
      </c>
      <c r="S19" s="321">
        <v>0</v>
      </c>
      <c r="T19" s="321">
        <v>0</v>
      </c>
      <c r="U19" s="322">
        <v>0</v>
      </c>
      <c r="V19" s="323">
        <v>0</v>
      </c>
      <c r="W19" s="303"/>
      <c r="X19" s="324">
        <v>0</v>
      </c>
      <c r="Y19" s="325">
        <v>0</v>
      </c>
    </row>
    <row r="20" spans="1:25" x14ac:dyDescent="0.3">
      <c r="A20" s="326"/>
      <c r="B20" s="326"/>
      <c r="C20" s="326"/>
      <c r="D20" s="326"/>
      <c r="E20" s="326" t="s">
        <v>922</v>
      </c>
      <c r="F20" s="336"/>
      <c r="G20" s="327"/>
      <c r="H20" s="328"/>
      <c r="I20" s="329"/>
      <c r="J20" s="338">
        <v>0</v>
      </c>
      <c r="K20" s="330">
        <v>0</v>
      </c>
      <c r="L20" s="330">
        <v>0</v>
      </c>
      <c r="M20" s="330">
        <v>0</v>
      </c>
      <c r="N20" s="330">
        <v>0</v>
      </c>
      <c r="O20" s="330">
        <v>0</v>
      </c>
      <c r="P20" s="330">
        <v>0</v>
      </c>
      <c r="Q20" s="330">
        <v>0</v>
      </c>
      <c r="R20" s="330">
        <v>0</v>
      </c>
      <c r="S20" s="330">
        <v>0</v>
      </c>
      <c r="T20" s="330">
        <v>0</v>
      </c>
      <c r="U20" s="331">
        <v>0</v>
      </c>
      <c r="V20" s="332">
        <v>0</v>
      </c>
      <c r="W20" s="333"/>
      <c r="X20" s="334">
        <v>0</v>
      </c>
      <c r="Y20" s="335">
        <v>0</v>
      </c>
    </row>
    <row r="21" spans="1:25" x14ac:dyDescent="0.3">
      <c r="A21" s="326"/>
      <c r="B21" s="326"/>
      <c r="C21" s="326"/>
      <c r="D21" s="326"/>
      <c r="E21" s="326" t="s">
        <v>923</v>
      </c>
      <c r="F21" s="336"/>
      <c r="G21" s="327"/>
      <c r="H21" s="328"/>
      <c r="I21" s="329"/>
      <c r="J21" s="338">
        <v>0</v>
      </c>
      <c r="K21" s="330">
        <v>0</v>
      </c>
      <c r="L21" s="330">
        <v>0</v>
      </c>
      <c r="M21" s="330">
        <v>0</v>
      </c>
      <c r="N21" s="330">
        <v>0</v>
      </c>
      <c r="O21" s="330">
        <v>0</v>
      </c>
      <c r="P21" s="330">
        <v>0</v>
      </c>
      <c r="Q21" s="330">
        <v>0</v>
      </c>
      <c r="R21" s="330">
        <v>0</v>
      </c>
      <c r="S21" s="330">
        <v>0</v>
      </c>
      <c r="T21" s="330">
        <v>0</v>
      </c>
      <c r="U21" s="331">
        <v>0</v>
      </c>
      <c r="V21" s="332">
        <v>0</v>
      </c>
      <c r="W21" s="333"/>
      <c r="X21" s="334">
        <v>0</v>
      </c>
      <c r="Y21" s="335">
        <v>0</v>
      </c>
    </row>
    <row r="22" spans="1:25" x14ac:dyDescent="0.3">
      <c r="A22" s="326"/>
      <c r="B22" s="326"/>
      <c r="C22" s="326"/>
      <c r="D22" s="326"/>
      <c r="E22" s="326" t="s">
        <v>924</v>
      </c>
      <c r="F22" s="336"/>
      <c r="G22" s="327"/>
      <c r="H22" s="328"/>
      <c r="I22" s="329"/>
      <c r="J22" s="338">
        <v>0</v>
      </c>
      <c r="K22" s="330">
        <v>0</v>
      </c>
      <c r="L22" s="330">
        <v>0</v>
      </c>
      <c r="M22" s="330">
        <v>0</v>
      </c>
      <c r="N22" s="330">
        <v>0</v>
      </c>
      <c r="O22" s="330">
        <v>0</v>
      </c>
      <c r="P22" s="330">
        <v>0</v>
      </c>
      <c r="Q22" s="330">
        <v>0</v>
      </c>
      <c r="R22" s="330">
        <v>0</v>
      </c>
      <c r="S22" s="330">
        <v>0</v>
      </c>
      <c r="T22" s="330">
        <v>0</v>
      </c>
      <c r="U22" s="331">
        <v>0</v>
      </c>
      <c r="V22" s="332">
        <v>0</v>
      </c>
      <c r="W22" s="333"/>
      <c r="X22" s="334">
        <v>0</v>
      </c>
      <c r="Y22" s="335">
        <v>0</v>
      </c>
    </row>
    <row r="23" spans="1:25" x14ac:dyDescent="0.3">
      <c r="A23" s="233"/>
      <c r="B23" s="234" t="s">
        <v>59</v>
      </c>
      <c r="D23" s="293" t="s">
        <v>925</v>
      </c>
      <c r="E23" s="294"/>
      <c r="F23" s="295" t="s">
        <v>926</v>
      </c>
      <c r="G23" s="296"/>
      <c r="H23" s="297"/>
      <c r="I23" s="298"/>
      <c r="J23" s="299">
        <v>0</v>
      </c>
      <c r="K23" s="300">
        <v>0</v>
      </c>
      <c r="L23" s="300">
        <v>0</v>
      </c>
      <c r="M23" s="300">
        <v>0</v>
      </c>
      <c r="N23" s="300">
        <v>0</v>
      </c>
      <c r="O23" s="300">
        <v>0</v>
      </c>
      <c r="P23" s="300">
        <v>0</v>
      </c>
      <c r="Q23" s="300">
        <v>0</v>
      </c>
      <c r="R23" s="300">
        <v>0</v>
      </c>
      <c r="S23" s="300">
        <v>0</v>
      </c>
      <c r="T23" s="300">
        <v>0</v>
      </c>
      <c r="U23" s="301">
        <v>0</v>
      </c>
      <c r="V23" s="302">
        <v>0</v>
      </c>
      <c r="W23" s="303"/>
      <c r="X23" s="304">
        <v>0</v>
      </c>
      <c r="Y23" s="305">
        <v>0</v>
      </c>
    </row>
    <row r="24" spans="1:25" x14ac:dyDescent="0.3">
      <c r="E24" s="339" t="s">
        <v>927</v>
      </c>
      <c r="F24" s="340" t="s">
        <v>928</v>
      </c>
      <c r="G24" s="341"/>
      <c r="H24" s="342"/>
      <c r="I24" s="343"/>
      <c r="J24" s="344">
        <v>0</v>
      </c>
      <c r="K24" s="345">
        <v>0</v>
      </c>
      <c r="L24" s="345">
        <v>0</v>
      </c>
      <c r="M24" s="345">
        <v>0</v>
      </c>
      <c r="N24" s="345">
        <v>0</v>
      </c>
      <c r="O24" s="345">
        <v>0</v>
      </c>
      <c r="P24" s="345">
        <v>0</v>
      </c>
      <c r="Q24" s="345">
        <v>0</v>
      </c>
      <c r="R24" s="345">
        <v>0</v>
      </c>
      <c r="S24" s="345">
        <v>0</v>
      </c>
      <c r="T24" s="345">
        <v>0</v>
      </c>
      <c r="U24" s="346">
        <v>0</v>
      </c>
      <c r="V24" s="347">
        <v>0</v>
      </c>
      <c r="W24" s="303"/>
      <c r="X24" s="348">
        <v>0</v>
      </c>
      <c r="Y24" s="349">
        <v>0</v>
      </c>
    </row>
    <row r="25" spans="1:25" x14ac:dyDescent="0.3">
      <c r="E25" s="250" t="s">
        <v>929</v>
      </c>
      <c r="F25" s="317">
        <v>4100408</v>
      </c>
      <c r="G25" s="318"/>
      <c r="H25" s="319"/>
      <c r="I25" s="320"/>
      <c r="J25" s="337">
        <v>0</v>
      </c>
      <c r="K25" s="321">
        <v>0</v>
      </c>
      <c r="L25" s="321">
        <v>0</v>
      </c>
      <c r="M25" s="321">
        <v>0</v>
      </c>
      <c r="N25" s="321">
        <v>0</v>
      </c>
      <c r="O25" s="321">
        <v>0</v>
      </c>
      <c r="P25" s="321">
        <v>0</v>
      </c>
      <c r="Q25" s="321">
        <v>0</v>
      </c>
      <c r="R25" s="321">
        <v>0</v>
      </c>
      <c r="S25" s="321">
        <v>0</v>
      </c>
      <c r="T25" s="321">
        <v>0</v>
      </c>
      <c r="U25" s="322">
        <v>0</v>
      </c>
      <c r="V25" s="323">
        <v>0</v>
      </c>
      <c r="W25" s="303"/>
      <c r="X25" s="324">
        <v>0</v>
      </c>
      <c r="Y25" s="325">
        <v>0</v>
      </c>
    </row>
    <row r="26" spans="1:25" x14ac:dyDescent="0.3">
      <c r="E26" s="250" t="s">
        <v>930</v>
      </c>
      <c r="F26" s="317">
        <v>4303206</v>
      </c>
      <c r="G26" s="318"/>
      <c r="H26" s="319"/>
      <c r="I26" s="320"/>
      <c r="J26" s="337">
        <v>0</v>
      </c>
      <c r="K26" s="321">
        <v>0</v>
      </c>
      <c r="L26" s="321">
        <v>0</v>
      </c>
      <c r="M26" s="321">
        <v>0</v>
      </c>
      <c r="N26" s="321">
        <v>0</v>
      </c>
      <c r="O26" s="321">
        <v>0</v>
      </c>
      <c r="P26" s="321">
        <v>0</v>
      </c>
      <c r="Q26" s="321">
        <v>0</v>
      </c>
      <c r="R26" s="321">
        <v>0</v>
      </c>
      <c r="S26" s="321">
        <v>0</v>
      </c>
      <c r="T26" s="321">
        <v>0</v>
      </c>
      <c r="U26" s="322">
        <v>0</v>
      </c>
      <c r="V26" s="323">
        <v>0</v>
      </c>
      <c r="W26" s="303"/>
      <c r="X26" s="324">
        <v>0</v>
      </c>
      <c r="Y26" s="325">
        <v>0</v>
      </c>
    </row>
    <row r="27" spans="1:25" x14ac:dyDescent="0.3">
      <c r="E27" s="250" t="s">
        <v>931</v>
      </c>
      <c r="F27" s="317">
        <v>4303207</v>
      </c>
      <c r="G27" s="318"/>
      <c r="H27" s="319"/>
      <c r="I27" s="320"/>
      <c r="J27" s="337">
        <v>0</v>
      </c>
      <c r="K27" s="321">
        <v>0</v>
      </c>
      <c r="L27" s="321">
        <v>0</v>
      </c>
      <c r="M27" s="321">
        <v>0</v>
      </c>
      <c r="N27" s="321">
        <v>0</v>
      </c>
      <c r="O27" s="321">
        <v>0</v>
      </c>
      <c r="P27" s="321">
        <v>0</v>
      </c>
      <c r="Q27" s="321">
        <v>0</v>
      </c>
      <c r="R27" s="321">
        <v>0</v>
      </c>
      <c r="S27" s="321">
        <v>0</v>
      </c>
      <c r="T27" s="321">
        <v>0</v>
      </c>
      <c r="U27" s="322">
        <v>0</v>
      </c>
      <c r="V27" s="323">
        <v>0</v>
      </c>
      <c r="W27" s="303"/>
      <c r="X27" s="324">
        <v>0</v>
      </c>
      <c r="Y27" s="325">
        <v>0</v>
      </c>
    </row>
    <row r="28" spans="1:25" x14ac:dyDescent="0.3">
      <c r="E28" s="250" t="s">
        <v>932</v>
      </c>
      <c r="F28" s="317">
        <v>4100182</v>
      </c>
      <c r="G28" s="318"/>
      <c r="H28" s="319">
        <v>4100010111</v>
      </c>
      <c r="I28" s="320"/>
      <c r="J28" s="337">
        <v>0</v>
      </c>
      <c r="K28" s="321">
        <v>0</v>
      </c>
      <c r="L28" s="321">
        <v>0</v>
      </c>
      <c r="M28" s="321">
        <v>0</v>
      </c>
      <c r="N28" s="321">
        <v>0</v>
      </c>
      <c r="O28" s="321">
        <v>0</v>
      </c>
      <c r="P28" s="321">
        <v>0</v>
      </c>
      <c r="Q28" s="321">
        <v>0</v>
      </c>
      <c r="R28" s="321">
        <v>0</v>
      </c>
      <c r="S28" s="321">
        <v>0</v>
      </c>
      <c r="T28" s="321">
        <v>0</v>
      </c>
      <c r="U28" s="322">
        <v>0</v>
      </c>
      <c r="V28" s="323">
        <v>0</v>
      </c>
      <c r="W28" s="303"/>
      <c r="X28" s="324">
        <v>0</v>
      </c>
      <c r="Y28" s="325">
        <v>0</v>
      </c>
    </row>
    <row r="29" spans="1:25" x14ac:dyDescent="0.3">
      <c r="A29" s="350"/>
      <c r="B29" s="350"/>
      <c r="C29" s="350"/>
      <c r="D29" s="350"/>
      <c r="E29" s="350" t="s">
        <v>933</v>
      </c>
      <c r="F29" s="306">
        <v>4303301</v>
      </c>
      <c r="G29" s="307"/>
      <c r="H29" s="308"/>
      <c r="I29" s="309"/>
      <c r="J29" s="310">
        <v>0</v>
      </c>
      <c r="K29" s="311">
        <v>0</v>
      </c>
      <c r="L29" s="311">
        <v>0</v>
      </c>
      <c r="M29" s="311">
        <v>0</v>
      </c>
      <c r="N29" s="311">
        <v>0</v>
      </c>
      <c r="O29" s="311">
        <v>0</v>
      </c>
      <c r="P29" s="311">
        <v>0</v>
      </c>
      <c r="Q29" s="311">
        <v>0</v>
      </c>
      <c r="R29" s="311">
        <v>0</v>
      </c>
      <c r="S29" s="311">
        <v>0</v>
      </c>
      <c r="T29" s="311">
        <v>0</v>
      </c>
      <c r="U29" s="312">
        <v>0</v>
      </c>
      <c r="V29" s="313">
        <v>0</v>
      </c>
      <c r="W29" s="314"/>
      <c r="X29" s="315">
        <v>0</v>
      </c>
      <c r="Y29" s="316">
        <v>0</v>
      </c>
    </row>
    <row r="30" spans="1:25" x14ac:dyDescent="0.3">
      <c r="A30" s="350"/>
      <c r="B30" s="350"/>
      <c r="C30" s="350"/>
      <c r="D30" s="350"/>
      <c r="E30" s="350" t="s">
        <v>934</v>
      </c>
      <c r="F30" s="306">
        <v>4303302</v>
      </c>
      <c r="G30" s="307">
        <v>4303303</v>
      </c>
      <c r="H30" s="308"/>
      <c r="I30" s="309"/>
      <c r="J30" s="310">
        <v>0</v>
      </c>
      <c r="K30" s="311">
        <v>0</v>
      </c>
      <c r="L30" s="311">
        <v>0</v>
      </c>
      <c r="M30" s="311">
        <v>0</v>
      </c>
      <c r="N30" s="311">
        <v>0</v>
      </c>
      <c r="O30" s="311">
        <v>0</v>
      </c>
      <c r="P30" s="311">
        <v>0</v>
      </c>
      <c r="Q30" s="311">
        <v>0</v>
      </c>
      <c r="R30" s="311">
        <v>0</v>
      </c>
      <c r="S30" s="311">
        <v>0</v>
      </c>
      <c r="T30" s="311">
        <v>0</v>
      </c>
      <c r="U30" s="312">
        <v>0</v>
      </c>
      <c r="V30" s="313">
        <v>0</v>
      </c>
      <c r="W30" s="314"/>
      <c r="X30" s="315">
        <v>0</v>
      </c>
      <c r="Y30" s="316">
        <v>0</v>
      </c>
    </row>
    <row r="31" spans="1:25" x14ac:dyDescent="0.3">
      <c r="A31" s="326"/>
      <c r="B31" s="326"/>
      <c r="C31" s="326"/>
      <c r="D31" s="326"/>
      <c r="E31" s="326" t="s">
        <v>935</v>
      </c>
      <c r="F31" s="336"/>
      <c r="G31" s="327"/>
      <c r="H31" s="328"/>
      <c r="I31" s="329"/>
      <c r="J31" s="337">
        <v>0</v>
      </c>
      <c r="K31" s="330">
        <v>0</v>
      </c>
      <c r="L31" s="330">
        <v>0</v>
      </c>
      <c r="M31" s="330">
        <v>0</v>
      </c>
      <c r="N31" s="330">
        <v>0</v>
      </c>
      <c r="O31" s="330">
        <v>0</v>
      </c>
      <c r="P31" s="330">
        <v>0</v>
      </c>
      <c r="Q31" s="330">
        <v>0</v>
      </c>
      <c r="R31" s="330">
        <v>0</v>
      </c>
      <c r="S31" s="330">
        <v>0</v>
      </c>
      <c r="T31" s="330">
        <v>0</v>
      </c>
      <c r="U31" s="331">
        <v>0</v>
      </c>
      <c r="V31" s="332">
        <v>0</v>
      </c>
      <c r="W31" s="333"/>
      <c r="X31" s="334">
        <v>0</v>
      </c>
      <c r="Y31" s="335">
        <v>0</v>
      </c>
    </row>
    <row r="32" spans="1:25" x14ac:dyDescent="0.3">
      <c r="E32" s="339" t="s">
        <v>936</v>
      </c>
      <c r="F32" s="340" t="s">
        <v>937</v>
      </c>
      <c r="G32" s="341"/>
      <c r="H32" s="342"/>
      <c r="I32" s="343"/>
      <c r="J32" s="344">
        <v>0</v>
      </c>
      <c r="K32" s="345">
        <v>0</v>
      </c>
      <c r="L32" s="345">
        <v>0</v>
      </c>
      <c r="M32" s="345">
        <v>0</v>
      </c>
      <c r="N32" s="345">
        <v>0</v>
      </c>
      <c r="O32" s="345">
        <v>0</v>
      </c>
      <c r="P32" s="345">
        <v>0</v>
      </c>
      <c r="Q32" s="345">
        <v>0</v>
      </c>
      <c r="R32" s="345">
        <v>0</v>
      </c>
      <c r="S32" s="345">
        <v>0</v>
      </c>
      <c r="T32" s="345">
        <v>0</v>
      </c>
      <c r="U32" s="346">
        <v>0</v>
      </c>
      <c r="V32" s="347">
        <v>0</v>
      </c>
      <c r="W32" s="303"/>
      <c r="X32" s="348">
        <v>0</v>
      </c>
      <c r="Y32" s="349">
        <v>0</v>
      </c>
    </row>
    <row r="33" spans="1:25" x14ac:dyDescent="0.3">
      <c r="A33" s="350"/>
      <c r="B33" s="350"/>
      <c r="C33" s="350"/>
      <c r="D33" s="350"/>
      <c r="E33" s="350" t="s">
        <v>938</v>
      </c>
      <c r="F33" s="306">
        <v>4303211</v>
      </c>
      <c r="G33" s="307"/>
      <c r="H33" s="308"/>
      <c r="I33" s="309"/>
      <c r="J33" s="310">
        <v>0</v>
      </c>
      <c r="K33" s="311">
        <v>0</v>
      </c>
      <c r="L33" s="311">
        <v>0</v>
      </c>
      <c r="M33" s="311">
        <v>0</v>
      </c>
      <c r="N33" s="311">
        <v>0</v>
      </c>
      <c r="O33" s="311">
        <v>0</v>
      </c>
      <c r="P33" s="311">
        <v>0</v>
      </c>
      <c r="Q33" s="311">
        <v>0</v>
      </c>
      <c r="R33" s="311">
        <v>0</v>
      </c>
      <c r="S33" s="311">
        <v>0</v>
      </c>
      <c r="T33" s="311">
        <v>0</v>
      </c>
      <c r="U33" s="312">
        <v>0</v>
      </c>
      <c r="V33" s="313">
        <v>0</v>
      </c>
      <c r="W33" s="314"/>
      <c r="X33" s="315">
        <v>0</v>
      </c>
      <c r="Y33" s="316">
        <v>0</v>
      </c>
    </row>
    <row r="34" spans="1:25" x14ac:dyDescent="0.3">
      <c r="E34" s="350" t="s">
        <v>939</v>
      </c>
      <c r="F34" s="317">
        <v>4303212</v>
      </c>
      <c r="G34" s="318"/>
      <c r="H34" s="319"/>
      <c r="I34" s="320"/>
      <c r="J34" s="310">
        <v>0</v>
      </c>
      <c r="K34" s="321">
        <v>0</v>
      </c>
      <c r="L34" s="321">
        <v>0</v>
      </c>
      <c r="M34" s="321">
        <v>0</v>
      </c>
      <c r="N34" s="321">
        <v>0</v>
      </c>
      <c r="O34" s="321">
        <v>0</v>
      </c>
      <c r="P34" s="321">
        <v>0</v>
      </c>
      <c r="Q34" s="321">
        <v>0</v>
      </c>
      <c r="R34" s="321">
        <v>0</v>
      </c>
      <c r="S34" s="321">
        <v>0</v>
      </c>
      <c r="T34" s="321">
        <v>0</v>
      </c>
      <c r="U34" s="322">
        <v>0</v>
      </c>
      <c r="V34" s="323">
        <v>0</v>
      </c>
      <c r="W34" s="303"/>
      <c r="X34" s="324">
        <v>0</v>
      </c>
      <c r="Y34" s="325">
        <v>0</v>
      </c>
    </row>
    <row r="35" spans="1:25" x14ac:dyDescent="0.3">
      <c r="E35" s="350" t="s">
        <v>940</v>
      </c>
      <c r="F35" s="317">
        <v>4303219</v>
      </c>
      <c r="G35" s="318"/>
      <c r="H35" s="319"/>
      <c r="I35" s="320"/>
      <c r="J35" s="310">
        <v>0</v>
      </c>
      <c r="K35" s="321">
        <v>0</v>
      </c>
      <c r="L35" s="321">
        <v>0</v>
      </c>
      <c r="M35" s="321">
        <v>0</v>
      </c>
      <c r="N35" s="321">
        <v>0</v>
      </c>
      <c r="O35" s="321">
        <v>0</v>
      </c>
      <c r="P35" s="321">
        <v>0</v>
      </c>
      <c r="Q35" s="321">
        <v>0</v>
      </c>
      <c r="R35" s="321">
        <v>0</v>
      </c>
      <c r="S35" s="321">
        <v>0</v>
      </c>
      <c r="T35" s="321">
        <v>0</v>
      </c>
      <c r="U35" s="322">
        <v>0</v>
      </c>
      <c r="V35" s="323">
        <v>0</v>
      </c>
      <c r="W35" s="303"/>
      <c r="X35" s="324">
        <v>0</v>
      </c>
      <c r="Y35" s="325">
        <v>0</v>
      </c>
    </row>
    <row r="36" spans="1:25" x14ac:dyDescent="0.3">
      <c r="A36" s="361"/>
      <c r="B36" s="361"/>
      <c r="C36" s="361"/>
      <c r="D36" s="361"/>
      <c r="E36" s="326" t="s">
        <v>941</v>
      </c>
      <c r="F36" s="351"/>
      <c r="G36" s="352"/>
      <c r="H36" s="353"/>
      <c r="I36" s="354"/>
      <c r="J36" s="310">
        <v>0</v>
      </c>
      <c r="K36" s="355">
        <v>0</v>
      </c>
      <c r="L36" s="355">
        <v>0</v>
      </c>
      <c r="M36" s="355">
        <v>0</v>
      </c>
      <c r="N36" s="355">
        <v>0</v>
      </c>
      <c r="O36" s="355">
        <v>0</v>
      </c>
      <c r="P36" s="355">
        <v>0</v>
      </c>
      <c r="Q36" s="355">
        <v>0</v>
      </c>
      <c r="R36" s="355">
        <v>0</v>
      </c>
      <c r="S36" s="355">
        <v>0</v>
      </c>
      <c r="T36" s="355">
        <v>0</v>
      </c>
      <c r="U36" s="356">
        <v>0</v>
      </c>
      <c r="V36" s="357">
        <v>0</v>
      </c>
      <c r="W36" s="358"/>
      <c r="X36" s="359">
        <v>0</v>
      </c>
      <c r="Y36" s="360">
        <v>0</v>
      </c>
    </row>
    <row r="37" spans="1:25" x14ac:dyDescent="0.3">
      <c r="A37" s="361"/>
      <c r="B37" s="361"/>
      <c r="C37" s="361"/>
      <c r="D37" s="361"/>
      <c r="E37" s="326" t="s">
        <v>942</v>
      </c>
      <c r="F37" s="351"/>
      <c r="G37" s="352"/>
      <c r="H37" s="353"/>
      <c r="I37" s="354"/>
      <c r="J37" s="310">
        <v>0</v>
      </c>
      <c r="K37" s="355">
        <v>0</v>
      </c>
      <c r="L37" s="355">
        <v>0</v>
      </c>
      <c r="M37" s="355">
        <v>0</v>
      </c>
      <c r="N37" s="355">
        <v>0</v>
      </c>
      <c r="O37" s="355">
        <v>0</v>
      </c>
      <c r="P37" s="355">
        <v>0</v>
      </c>
      <c r="Q37" s="355">
        <v>0</v>
      </c>
      <c r="R37" s="355">
        <v>0</v>
      </c>
      <c r="S37" s="355">
        <v>0</v>
      </c>
      <c r="T37" s="355">
        <v>0</v>
      </c>
      <c r="U37" s="356">
        <v>0</v>
      </c>
      <c r="V37" s="357">
        <v>0</v>
      </c>
      <c r="W37" s="358"/>
      <c r="X37" s="359">
        <v>0</v>
      </c>
      <c r="Y37" s="360">
        <v>0</v>
      </c>
    </row>
    <row r="38" spans="1:25" x14ac:dyDescent="0.3">
      <c r="A38" s="361"/>
      <c r="B38" s="361"/>
      <c r="C38" s="361"/>
      <c r="D38" s="361"/>
      <c r="E38" s="326" t="s">
        <v>943</v>
      </c>
      <c r="F38" s="351"/>
      <c r="G38" s="352"/>
      <c r="H38" s="353"/>
      <c r="I38" s="354"/>
      <c r="J38" s="310">
        <v>0</v>
      </c>
      <c r="K38" s="355">
        <v>0</v>
      </c>
      <c r="L38" s="355">
        <v>0</v>
      </c>
      <c r="M38" s="355">
        <v>0</v>
      </c>
      <c r="N38" s="355">
        <v>0</v>
      </c>
      <c r="O38" s="355">
        <v>0</v>
      </c>
      <c r="P38" s="355">
        <v>0</v>
      </c>
      <c r="Q38" s="355">
        <v>0</v>
      </c>
      <c r="R38" s="355">
        <v>0</v>
      </c>
      <c r="S38" s="355">
        <v>0</v>
      </c>
      <c r="T38" s="355">
        <v>0</v>
      </c>
      <c r="U38" s="356">
        <v>0</v>
      </c>
      <c r="V38" s="357">
        <v>0</v>
      </c>
      <c r="W38" s="358"/>
      <c r="X38" s="359">
        <v>0</v>
      </c>
      <c r="Y38" s="360">
        <v>0</v>
      </c>
    </row>
    <row r="39" spans="1:25" x14ac:dyDescent="0.3">
      <c r="E39" s="339" t="s">
        <v>944</v>
      </c>
      <c r="F39" s="340" t="s">
        <v>945</v>
      </c>
      <c r="G39" s="341"/>
      <c r="H39" s="342"/>
      <c r="I39" s="343"/>
      <c r="J39" s="344">
        <v>0</v>
      </c>
      <c r="K39" s="345">
        <v>0</v>
      </c>
      <c r="L39" s="345">
        <v>0</v>
      </c>
      <c r="M39" s="345">
        <v>0</v>
      </c>
      <c r="N39" s="345">
        <v>0</v>
      </c>
      <c r="O39" s="345">
        <v>0</v>
      </c>
      <c r="P39" s="345">
        <v>0</v>
      </c>
      <c r="Q39" s="345">
        <v>0</v>
      </c>
      <c r="R39" s="345">
        <v>0</v>
      </c>
      <c r="S39" s="345">
        <v>0</v>
      </c>
      <c r="T39" s="345">
        <v>0</v>
      </c>
      <c r="U39" s="346">
        <v>0</v>
      </c>
      <c r="V39" s="347">
        <v>0</v>
      </c>
      <c r="W39" s="303"/>
      <c r="X39" s="348">
        <v>0</v>
      </c>
      <c r="Y39" s="349">
        <v>0</v>
      </c>
    </row>
    <row r="40" spans="1:25" x14ac:dyDescent="0.3">
      <c r="E40" s="250" t="s">
        <v>946</v>
      </c>
      <c r="F40" s="317">
        <v>4100400</v>
      </c>
      <c r="G40" s="318"/>
      <c r="H40" s="319">
        <v>4100010115</v>
      </c>
      <c r="I40" s="320"/>
      <c r="J40" s="337">
        <v>0</v>
      </c>
      <c r="K40" s="321">
        <v>0</v>
      </c>
      <c r="L40" s="321">
        <v>0</v>
      </c>
      <c r="M40" s="321">
        <v>0</v>
      </c>
      <c r="N40" s="321">
        <v>0</v>
      </c>
      <c r="O40" s="321">
        <v>0</v>
      </c>
      <c r="P40" s="321">
        <v>0</v>
      </c>
      <c r="Q40" s="321">
        <v>0</v>
      </c>
      <c r="R40" s="321">
        <v>0</v>
      </c>
      <c r="S40" s="321">
        <v>0</v>
      </c>
      <c r="T40" s="321">
        <v>0</v>
      </c>
      <c r="U40" s="322">
        <v>0</v>
      </c>
      <c r="V40" s="323">
        <v>0</v>
      </c>
      <c r="W40" s="303"/>
      <c r="X40" s="324">
        <v>0</v>
      </c>
      <c r="Y40" s="325">
        <v>0</v>
      </c>
    </row>
    <row r="41" spans="1:25" x14ac:dyDescent="0.3">
      <c r="E41" s="250" t="s">
        <v>947</v>
      </c>
      <c r="F41" s="317">
        <v>4100401</v>
      </c>
      <c r="G41" s="318"/>
      <c r="H41" s="319"/>
      <c r="I41" s="320"/>
      <c r="J41" s="337">
        <v>0</v>
      </c>
      <c r="K41" s="321">
        <v>0</v>
      </c>
      <c r="L41" s="321">
        <v>0</v>
      </c>
      <c r="M41" s="321">
        <v>0</v>
      </c>
      <c r="N41" s="321">
        <v>0</v>
      </c>
      <c r="O41" s="321">
        <v>0</v>
      </c>
      <c r="P41" s="321">
        <v>0</v>
      </c>
      <c r="Q41" s="321">
        <v>0</v>
      </c>
      <c r="R41" s="321">
        <v>0</v>
      </c>
      <c r="S41" s="321">
        <v>0</v>
      </c>
      <c r="T41" s="321">
        <v>0</v>
      </c>
      <c r="U41" s="322">
        <v>0</v>
      </c>
      <c r="V41" s="323">
        <v>0</v>
      </c>
      <c r="W41" s="303"/>
      <c r="X41" s="324">
        <v>0</v>
      </c>
      <c r="Y41" s="325">
        <v>0</v>
      </c>
    </row>
    <row r="42" spans="1:25" x14ac:dyDescent="0.3">
      <c r="E42" s="250" t="s">
        <v>948</v>
      </c>
      <c r="F42" s="317">
        <v>4100402</v>
      </c>
      <c r="G42" s="318"/>
      <c r="H42" s="319"/>
      <c r="I42" s="320"/>
      <c r="J42" s="337">
        <v>0</v>
      </c>
      <c r="K42" s="321">
        <v>0</v>
      </c>
      <c r="L42" s="321">
        <v>0</v>
      </c>
      <c r="M42" s="321">
        <v>0</v>
      </c>
      <c r="N42" s="321">
        <v>0</v>
      </c>
      <c r="O42" s="321">
        <v>0</v>
      </c>
      <c r="P42" s="321">
        <v>0</v>
      </c>
      <c r="Q42" s="321">
        <v>0</v>
      </c>
      <c r="R42" s="321">
        <v>0</v>
      </c>
      <c r="S42" s="321">
        <v>0</v>
      </c>
      <c r="T42" s="321">
        <v>0</v>
      </c>
      <c r="U42" s="322">
        <v>0</v>
      </c>
      <c r="V42" s="323">
        <v>0</v>
      </c>
      <c r="W42" s="303"/>
      <c r="X42" s="324">
        <v>0</v>
      </c>
      <c r="Y42" s="325">
        <v>0</v>
      </c>
    </row>
    <row r="43" spans="1:25" x14ac:dyDescent="0.3">
      <c r="E43" s="250" t="s">
        <v>949</v>
      </c>
      <c r="F43" s="317">
        <v>4100404</v>
      </c>
      <c r="G43" s="318"/>
      <c r="H43" s="319"/>
      <c r="I43" s="320"/>
      <c r="J43" s="337">
        <v>0</v>
      </c>
      <c r="K43" s="321">
        <v>0</v>
      </c>
      <c r="L43" s="321">
        <v>0</v>
      </c>
      <c r="M43" s="321">
        <v>0</v>
      </c>
      <c r="N43" s="321">
        <v>0</v>
      </c>
      <c r="O43" s="321">
        <v>0</v>
      </c>
      <c r="P43" s="321">
        <v>0</v>
      </c>
      <c r="Q43" s="321">
        <v>0</v>
      </c>
      <c r="R43" s="321">
        <v>0</v>
      </c>
      <c r="S43" s="321">
        <v>0</v>
      </c>
      <c r="T43" s="321">
        <v>0</v>
      </c>
      <c r="U43" s="322">
        <v>0</v>
      </c>
      <c r="V43" s="323">
        <v>0</v>
      </c>
      <c r="W43" s="303"/>
      <c r="X43" s="324">
        <v>0</v>
      </c>
      <c r="Y43" s="325">
        <v>0</v>
      </c>
    </row>
    <row r="44" spans="1:25" x14ac:dyDescent="0.3">
      <c r="E44" s="250" t="s">
        <v>950</v>
      </c>
      <c r="F44" s="317">
        <v>4100405</v>
      </c>
      <c r="G44" s="318"/>
      <c r="H44" s="319"/>
      <c r="I44" s="320"/>
      <c r="J44" s="337">
        <v>0</v>
      </c>
      <c r="K44" s="321">
        <v>0</v>
      </c>
      <c r="L44" s="321">
        <v>0</v>
      </c>
      <c r="M44" s="321">
        <v>0</v>
      </c>
      <c r="N44" s="321">
        <v>0</v>
      </c>
      <c r="O44" s="321">
        <v>0</v>
      </c>
      <c r="P44" s="321">
        <v>0</v>
      </c>
      <c r="Q44" s="321">
        <v>0</v>
      </c>
      <c r="R44" s="321">
        <v>0</v>
      </c>
      <c r="S44" s="321">
        <v>0</v>
      </c>
      <c r="T44" s="321">
        <v>0</v>
      </c>
      <c r="U44" s="322">
        <v>0</v>
      </c>
      <c r="V44" s="323">
        <v>0</v>
      </c>
      <c r="W44" s="303"/>
      <c r="X44" s="324">
        <v>0</v>
      </c>
      <c r="Y44" s="325">
        <v>0</v>
      </c>
    </row>
    <row r="45" spans="1:25" x14ac:dyDescent="0.3">
      <c r="E45" s="250" t="s">
        <v>951</v>
      </c>
      <c r="F45" s="317">
        <v>4100407</v>
      </c>
      <c r="G45" s="318"/>
      <c r="H45" s="319"/>
      <c r="I45" s="320"/>
      <c r="J45" s="337">
        <v>0</v>
      </c>
      <c r="K45" s="321">
        <v>0</v>
      </c>
      <c r="L45" s="321">
        <v>0</v>
      </c>
      <c r="M45" s="321">
        <v>0</v>
      </c>
      <c r="N45" s="321">
        <v>0</v>
      </c>
      <c r="O45" s="321">
        <v>0</v>
      </c>
      <c r="P45" s="321">
        <v>0</v>
      </c>
      <c r="Q45" s="321">
        <v>0</v>
      </c>
      <c r="R45" s="321">
        <v>0</v>
      </c>
      <c r="S45" s="321">
        <v>0</v>
      </c>
      <c r="T45" s="321">
        <v>0</v>
      </c>
      <c r="U45" s="322">
        <v>0</v>
      </c>
      <c r="V45" s="323">
        <v>0</v>
      </c>
      <c r="W45" s="303"/>
      <c r="X45" s="324">
        <v>0</v>
      </c>
      <c r="Y45" s="325">
        <v>0</v>
      </c>
    </row>
    <row r="46" spans="1:25" x14ac:dyDescent="0.3">
      <c r="E46" s="250" t="s">
        <v>952</v>
      </c>
      <c r="F46" s="317">
        <v>4100409</v>
      </c>
      <c r="G46" s="318"/>
      <c r="H46" s="319"/>
      <c r="I46" s="320"/>
      <c r="J46" s="337">
        <v>0</v>
      </c>
      <c r="K46" s="321">
        <v>0</v>
      </c>
      <c r="L46" s="321">
        <v>0</v>
      </c>
      <c r="M46" s="321">
        <v>0</v>
      </c>
      <c r="N46" s="321">
        <v>0</v>
      </c>
      <c r="O46" s="321">
        <v>0</v>
      </c>
      <c r="P46" s="321">
        <v>0</v>
      </c>
      <c r="Q46" s="321">
        <v>0</v>
      </c>
      <c r="R46" s="321">
        <v>0</v>
      </c>
      <c r="S46" s="321">
        <v>0</v>
      </c>
      <c r="T46" s="321">
        <v>0</v>
      </c>
      <c r="U46" s="322">
        <v>0</v>
      </c>
      <c r="V46" s="323">
        <v>0</v>
      </c>
      <c r="W46" s="303"/>
      <c r="X46" s="324">
        <v>0</v>
      </c>
      <c r="Y46" s="325">
        <v>0</v>
      </c>
    </row>
    <row r="47" spans="1:25" x14ac:dyDescent="0.3">
      <c r="E47" s="250" t="s">
        <v>953</v>
      </c>
      <c r="F47" s="317">
        <v>4100410</v>
      </c>
      <c r="G47" s="318"/>
      <c r="H47" s="319"/>
      <c r="I47" s="320"/>
      <c r="J47" s="337">
        <v>0</v>
      </c>
      <c r="K47" s="321">
        <v>0</v>
      </c>
      <c r="L47" s="321">
        <v>0</v>
      </c>
      <c r="M47" s="321">
        <v>0</v>
      </c>
      <c r="N47" s="321">
        <v>0</v>
      </c>
      <c r="O47" s="321">
        <v>0</v>
      </c>
      <c r="P47" s="321">
        <v>0</v>
      </c>
      <c r="Q47" s="321">
        <v>0</v>
      </c>
      <c r="R47" s="321">
        <v>0</v>
      </c>
      <c r="S47" s="321">
        <v>0</v>
      </c>
      <c r="T47" s="321">
        <v>0</v>
      </c>
      <c r="U47" s="322">
        <v>0</v>
      </c>
      <c r="V47" s="323">
        <v>0</v>
      </c>
      <c r="W47" s="303"/>
      <c r="X47" s="324">
        <v>0</v>
      </c>
      <c r="Y47" s="325">
        <v>0</v>
      </c>
    </row>
    <row r="48" spans="1:25" x14ac:dyDescent="0.3">
      <c r="A48" s="361"/>
      <c r="B48" s="361"/>
      <c r="C48" s="361"/>
      <c r="D48" s="361"/>
      <c r="E48" s="350" t="s">
        <v>954</v>
      </c>
      <c r="F48" s="306">
        <v>4100411</v>
      </c>
      <c r="G48" s="307"/>
      <c r="H48" s="308"/>
      <c r="I48" s="309"/>
      <c r="J48" s="310">
        <v>0</v>
      </c>
      <c r="K48" s="311">
        <v>0</v>
      </c>
      <c r="L48" s="311">
        <v>0</v>
      </c>
      <c r="M48" s="311">
        <v>0</v>
      </c>
      <c r="N48" s="311">
        <v>0</v>
      </c>
      <c r="O48" s="311">
        <v>0</v>
      </c>
      <c r="P48" s="311">
        <v>0</v>
      </c>
      <c r="Q48" s="311">
        <v>0</v>
      </c>
      <c r="R48" s="311">
        <v>0</v>
      </c>
      <c r="S48" s="311">
        <v>0</v>
      </c>
      <c r="T48" s="311">
        <v>0</v>
      </c>
      <c r="U48" s="312">
        <v>0</v>
      </c>
      <c r="V48" s="313">
        <v>0</v>
      </c>
      <c r="W48" s="314"/>
      <c r="X48" s="315">
        <v>0</v>
      </c>
      <c r="Y48" s="316">
        <v>0</v>
      </c>
    </row>
    <row r="49" spans="1:25" x14ac:dyDescent="0.3">
      <c r="A49" s="350"/>
      <c r="B49" s="350"/>
      <c r="C49" s="350"/>
      <c r="D49" s="350"/>
      <c r="E49" s="350" t="s">
        <v>955</v>
      </c>
      <c r="F49" s="306">
        <v>4100412</v>
      </c>
      <c r="G49" s="307"/>
      <c r="H49" s="308"/>
      <c r="I49" s="309"/>
      <c r="J49" s="310">
        <v>0</v>
      </c>
      <c r="K49" s="311">
        <v>0</v>
      </c>
      <c r="L49" s="311">
        <v>0</v>
      </c>
      <c r="M49" s="311">
        <v>0</v>
      </c>
      <c r="N49" s="311">
        <v>0</v>
      </c>
      <c r="O49" s="311">
        <v>0</v>
      </c>
      <c r="P49" s="311">
        <v>0</v>
      </c>
      <c r="Q49" s="311">
        <v>0</v>
      </c>
      <c r="R49" s="311">
        <v>0</v>
      </c>
      <c r="S49" s="311">
        <v>0</v>
      </c>
      <c r="T49" s="311">
        <v>0</v>
      </c>
      <c r="U49" s="312">
        <v>0</v>
      </c>
      <c r="V49" s="313">
        <v>0</v>
      </c>
      <c r="W49" s="314"/>
      <c r="X49" s="315">
        <v>0</v>
      </c>
      <c r="Y49" s="316">
        <v>0</v>
      </c>
    </row>
    <row r="50" spans="1:25" x14ac:dyDescent="0.3">
      <c r="A50" s="350"/>
      <c r="B50" s="350"/>
      <c r="C50" s="361"/>
      <c r="D50" s="361"/>
      <c r="E50" s="326" t="s">
        <v>935</v>
      </c>
      <c r="F50" s="351"/>
      <c r="G50" s="352"/>
      <c r="H50" s="353"/>
      <c r="I50" s="354"/>
      <c r="J50" s="337">
        <v>0</v>
      </c>
      <c r="K50" s="355">
        <v>0</v>
      </c>
      <c r="L50" s="355">
        <v>0</v>
      </c>
      <c r="M50" s="355">
        <v>0</v>
      </c>
      <c r="N50" s="355">
        <v>0</v>
      </c>
      <c r="O50" s="355">
        <v>0</v>
      </c>
      <c r="P50" s="355">
        <v>0</v>
      </c>
      <c r="Q50" s="355">
        <v>0</v>
      </c>
      <c r="R50" s="355">
        <v>0</v>
      </c>
      <c r="S50" s="355">
        <v>0</v>
      </c>
      <c r="T50" s="355">
        <v>0</v>
      </c>
      <c r="U50" s="356">
        <v>0</v>
      </c>
      <c r="V50" s="357">
        <v>0</v>
      </c>
      <c r="W50" s="358"/>
      <c r="X50" s="359">
        <v>0</v>
      </c>
      <c r="Y50" s="360">
        <v>0</v>
      </c>
    </row>
    <row r="51" spans="1:25" x14ac:dyDescent="0.3">
      <c r="A51" s="233"/>
      <c r="B51" s="234" t="s">
        <v>3</v>
      </c>
      <c r="D51" s="293" t="s">
        <v>956</v>
      </c>
      <c r="E51" s="294"/>
      <c r="F51" s="295" t="s">
        <v>957</v>
      </c>
      <c r="G51" s="296"/>
      <c r="H51" s="297"/>
      <c r="I51" s="298"/>
      <c r="J51" s="299">
        <v>0</v>
      </c>
      <c r="K51" s="300">
        <v>0</v>
      </c>
      <c r="L51" s="300">
        <v>0</v>
      </c>
      <c r="M51" s="300">
        <v>0</v>
      </c>
      <c r="N51" s="300">
        <v>0</v>
      </c>
      <c r="O51" s="300">
        <v>0</v>
      </c>
      <c r="P51" s="300">
        <v>0</v>
      </c>
      <c r="Q51" s="300">
        <v>0</v>
      </c>
      <c r="R51" s="300">
        <v>0</v>
      </c>
      <c r="S51" s="300">
        <v>0</v>
      </c>
      <c r="T51" s="300">
        <v>0</v>
      </c>
      <c r="U51" s="301">
        <v>0</v>
      </c>
      <c r="V51" s="302">
        <v>0</v>
      </c>
      <c r="W51" s="303"/>
      <c r="X51" s="304">
        <v>0</v>
      </c>
      <c r="Y51" s="305">
        <v>0</v>
      </c>
    </row>
    <row r="52" spans="1:25" x14ac:dyDescent="0.3">
      <c r="E52" s="250" t="s">
        <v>958</v>
      </c>
      <c r="F52" s="317">
        <v>4100501</v>
      </c>
      <c r="G52" s="318"/>
      <c r="H52" s="319">
        <v>4100030101</v>
      </c>
      <c r="I52" s="320"/>
      <c r="J52" s="337">
        <v>0</v>
      </c>
      <c r="K52" s="321">
        <v>0</v>
      </c>
      <c r="L52" s="321">
        <v>0</v>
      </c>
      <c r="M52" s="321">
        <v>0</v>
      </c>
      <c r="N52" s="321">
        <v>0</v>
      </c>
      <c r="O52" s="321">
        <v>0</v>
      </c>
      <c r="P52" s="321">
        <v>0</v>
      </c>
      <c r="Q52" s="321">
        <v>0</v>
      </c>
      <c r="R52" s="321">
        <v>0</v>
      </c>
      <c r="S52" s="321">
        <v>0</v>
      </c>
      <c r="T52" s="321">
        <v>0</v>
      </c>
      <c r="U52" s="322">
        <v>0</v>
      </c>
      <c r="V52" s="323">
        <v>0</v>
      </c>
      <c r="W52" s="303"/>
      <c r="X52" s="324">
        <v>0</v>
      </c>
      <c r="Y52" s="325">
        <v>0</v>
      </c>
    </row>
    <row r="53" spans="1:25" x14ac:dyDescent="0.3">
      <c r="E53" s="250" t="s">
        <v>959</v>
      </c>
      <c r="F53" s="317">
        <v>4100502</v>
      </c>
      <c r="G53" s="318"/>
      <c r="H53" s="319">
        <v>4100030103</v>
      </c>
      <c r="I53" s="320"/>
      <c r="J53" s="337">
        <v>0</v>
      </c>
      <c r="K53" s="321">
        <v>0</v>
      </c>
      <c r="L53" s="321">
        <v>0</v>
      </c>
      <c r="M53" s="321">
        <v>0</v>
      </c>
      <c r="N53" s="321">
        <v>0</v>
      </c>
      <c r="O53" s="321">
        <v>0</v>
      </c>
      <c r="P53" s="321">
        <v>0</v>
      </c>
      <c r="Q53" s="321">
        <v>0</v>
      </c>
      <c r="R53" s="321">
        <v>0</v>
      </c>
      <c r="S53" s="321">
        <v>0</v>
      </c>
      <c r="T53" s="321">
        <v>0</v>
      </c>
      <c r="U53" s="322">
        <v>0</v>
      </c>
      <c r="V53" s="323">
        <v>0</v>
      </c>
      <c r="W53" s="303"/>
      <c r="X53" s="324">
        <v>0</v>
      </c>
      <c r="Y53" s="325">
        <v>0</v>
      </c>
    </row>
    <row r="54" spans="1:25" x14ac:dyDescent="0.3">
      <c r="E54" s="250" t="s">
        <v>960</v>
      </c>
      <c r="F54" s="317">
        <v>4100510</v>
      </c>
      <c r="G54" s="318"/>
      <c r="H54" s="319">
        <v>4100030107</v>
      </c>
      <c r="I54" s="320"/>
      <c r="J54" s="337">
        <v>0</v>
      </c>
      <c r="K54" s="321">
        <v>0</v>
      </c>
      <c r="L54" s="321">
        <v>0</v>
      </c>
      <c r="M54" s="321">
        <v>0</v>
      </c>
      <c r="N54" s="321">
        <v>0</v>
      </c>
      <c r="O54" s="321">
        <v>0</v>
      </c>
      <c r="P54" s="321">
        <v>0</v>
      </c>
      <c r="Q54" s="321">
        <v>0</v>
      </c>
      <c r="R54" s="321">
        <v>0</v>
      </c>
      <c r="S54" s="321">
        <v>0</v>
      </c>
      <c r="T54" s="321">
        <v>0</v>
      </c>
      <c r="U54" s="322">
        <v>0</v>
      </c>
      <c r="V54" s="323">
        <v>0</v>
      </c>
      <c r="W54" s="303"/>
      <c r="X54" s="324">
        <v>0</v>
      </c>
      <c r="Y54" s="325">
        <v>0</v>
      </c>
    </row>
    <row r="55" spans="1:25" x14ac:dyDescent="0.3">
      <c r="E55" s="250" t="s">
        <v>961</v>
      </c>
      <c r="F55" s="317">
        <v>4100511</v>
      </c>
      <c r="G55" s="318"/>
      <c r="H55" s="319">
        <v>4100030109</v>
      </c>
      <c r="I55" s="320"/>
      <c r="J55" s="337">
        <v>0</v>
      </c>
      <c r="K55" s="321">
        <v>0</v>
      </c>
      <c r="L55" s="321">
        <v>0</v>
      </c>
      <c r="M55" s="321">
        <v>0</v>
      </c>
      <c r="N55" s="321">
        <v>0</v>
      </c>
      <c r="O55" s="321">
        <v>0</v>
      </c>
      <c r="P55" s="321">
        <v>0</v>
      </c>
      <c r="Q55" s="321">
        <v>0</v>
      </c>
      <c r="R55" s="321">
        <v>0</v>
      </c>
      <c r="S55" s="321">
        <v>0</v>
      </c>
      <c r="T55" s="321">
        <v>0</v>
      </c>
      <c r="U55" s="322">
        <v>0</v>
      </c>
      <c r="V55" s="323">
        <v>0</v>
      </c>
      <c r="W55" s="303"/>
      <c r="X55" s="324">
        <v>0</v>
      </c>
      <c r="Y55" s="325">
        <v>0</v>
      </c>
    </row>
    <row r="56" spans="1:25" x14ac:dyDescent="0.3">
      <c r="E56" s="250" t="s">
        <v>962</v>
      </c>
      <c r="F56" s="317">
        <v>4302608</v>
      </c>
      <c r="G56" s="318"/>
      <c r="H56" s="319"/>
      <c r="I56" s="320"/>
      <c r="J56" s="337">
        <v>0</v>
      </c>
      <c r="K56" s="321">
        <v>0</v>
      </c>
      <c r="L56" s="321">
        <v>0</v>
      </c>
      <c r="M56" s="321">
        <v>0</v>
      </c>
      <c r="N56" s="321">
        <v>0</v>
      </c>
      <c r="O56" s="321">
        <v>0</v>
      </c>
      <c r="P56" s="321">
        <v>0</v>
      </c>
      <c r="Q56" s="321">
        <v>0</v>
      </c>
      <c r="R56" s="321">
        <v>0</v>
      </c>
      <c r="S56" s="321">
        <v>0</v>
      </c>
      <c r="T56" s="321">
        <v>0</v>
      </c>
      <c r="U56" s="322">
        <v>0</v>
      </c>
      <c r="V56" s="323">
        <v>0</v>
      </c>
      <c r="W56" s="303"/>
      <c r="X56" s="324">
        <v>0</v>
      </c>
      <c r="Y56" s="325">
        <v>0</v>
      </c>
    </row>
    <row r="57" spans="1:25" x14ac:dyDescent="0.3">
      <c r="A57" s="326"/>
      <c r="B57" s="326"/>
      <c r="C57" s="326"/>
      <c r="D57" s="326"/>
      <c r="E57" s="326" t="s">
        <v>963</v>
      </c>
      <c r="F57" s="336"/>
      <c r="G57" s="327"/>
      <c r="H57" s="328"/>
      <c r="I57" s="329"/>
      <c r="J57" s="337">
        <v>0</v>
      </c>
      <c r="K57" s="330">
        <v>0</v>
      </c>
      <c r="L57" s="330">
        <v>0</v>
      </c>
      <c r="M57" s="330">
        <v>0</v>
      </c>
      <c r="N57" s="330">
        <v>0</v>
      </c>
      <c r="O57" s="330">
        <v>0</v>
      </c>
      <c r="P57" s="330">
        <v>0</v>
      </c>
      <c r="Q57" s="330">
        <v>0</v>
      </c>
      <c r="R57" s="330">
        <v>0</v>
      </c>
      <c r="S57" s="330">
        <v>0</v>
      </c>
      <c r="T57" s="330">
        <v>0</v>
      </c>
      <c r="U57" s="331">
        <v>0</v>
      </c>
      <c r="V57" s="332">
        <v>0</v>
      </c>
      <c r="W57" s="333"/>
      <c r="X57" s="334">
        <v>0</v>
      </c>
      <c r="Y57" s="335">
        <v>0</v>
      </c>
    </row>
    <row r="58" spans="1:25" x14ac:dyDescent="0.3">
      <c r="A58" s="326"/>
      <c r="B58" s="326"/>
      <c r="C58" s="326"/>
      <c r="D58" s="326"/>
      <c r="E58" s="326" t="s">
        <v>964</v>
      </c>
      <c r="F58" s="336"/>
      <c r="G58" s="327"/>
      <c r="H58" s="328"/>
      <c r="I58" s="329"/>
      <c r="J58" s="337">
        <v>0</v>
      </c>
      <c r="K58" s="330">
        <v>0</v>
      </c>
      <c r="L58" s="330">
        <v>0</v>
      </c>
      <c r="M58" s="330">
        <v>0</v>
      </c>
      <c r="N58" s="330">
        <v>0</v>
      </c>
      <c r="O58" s="330">
        <v>0</v>
      </c>
      <c r="P58" s="330">
        <v>0</v>
      </c>
      <c r="Q58" s="330">
        <v>0</v>
      </c>
      <c r="R58" s="330">
        <v>0</v>
      </c>
      <c r="S58" s="330">
        <v>0</v>
      </c>
      <c r="T58" s="330">
        <v>0</v>
      </c>
      <c r="U58" s="331">
        <v>0</v>
      </c>
      <c r="V58" s="332">
        <v>0</v>
      </c>
      <c r="W58" s="333"/>
      <c r="X58" s="334">
        <v>0</v>
      </c>
      <c r="Y58" s="335">
        <v>0</v>
      </c>
    </row>
    <row r="59" spans="1:25" x14ac:dyDescent="0.3">
      <c r="A59" s="326"/>
      <c r="B59" s="326"/>
      <c r="C59" s="326"/>
      <c r="D59" s="326"/>
      <c r="E59" s="326" t="s">
        <v>965</v>
      </c>
      <c r="F59" s="336"/>
      <c r="G59" s="327"/>
      <c r="H59" s="328"/>
      <c r="I59" s="329"/>
      <c r="J59" s="337">
        <v>0</v>
      </c>
      <c r="K59" s="330">
        <v>0</v>
      </c>
      <c r="L59" s="330">
        <v>0</v>
      </c>
      <c r="M59" s="330">
        <v>0</v>
      </c>
      <c r="N59" s="330">
        <v>0</v>
      </c>
      <c r="O59" s="330">
        <v>0</v>
      </c>
      <c r="P59" s="330">
        <v>0</v>
      </c>
      <c r="Q59" s="330">
        <v>0</v>
      </c>
      <c r="R59" s="330">
        <v>0</v>
      </c>
      <c r="S59" s="330">
        <v>0</v>
      </c>
      <c r="T59" s="330">
        <v>0</v>
      </c>
      <c r="U59" s="331">
        <v>0</v>
      </c>
      <c r="V59" s="332">
        <v>0</v>
      </c>
      <c r="W59" s="333"/>
      <c r="X59" s="334">
        <v>0</v>
      </c>
      <c r="Y59" s="335">
        <v>0</v>
      </c>
    </row>
    <row r="60" spans="1:25" x14ac:dyDescent="0.3">
      <c r="A60" s="233"/>
      <c r="B60" s="234" t="s">
        <v>3</v>
      </c>
      <c r="D60" s="293" t="s">
        <v>966</v>
      </c>
      <c r="E60" s="294"/>
      <c r="F60" s="295" t="s">
        <v>967</v>
      </c>
      <c r="G60" s="296"/>
      <c r="H60" s="297"/>
      <c r="I60" s="298"/>
      <c r="J60" s="299">
        <v>0</v>
      </c>
      <c r="K60" s="300">
        <v>0</v>
      </c>
      <c r="L60" s="300">
        <v>0</v>
      </c>
      <c r="M60" s="300">
        <v>0</v>
      </c>
      <c r="N60" s="300">
        <v>0</v>
      </c>
      <c r="O60" s="300">
        <v>0</v>
      </c>
      <c r="P60" s="300">
        <v>0</v>
      </c>
      <c r="Q60" s="300">
        <v>0</v>
      </c>
      <c r="R60" s="300">
        <v>0</v>
      </c>
      <c r="S60" s="300">
        <v>0</v>
      </c>
      <c r="T60" s="300">
        <v>0</v>
      </c>
      <c r="U60" s="301">
        <v>0</v>
      </c>
      <c r="V60" s="302">
        <v>0</v>
      </c>
      <c r="W60" s="303"/>
      <c r="X60" s="304">
        <v>0</v>
      </c>
      <c r="Y60" s="305">
        <v>0</v>
      </c>
    </row>
    <row r="61" spans="1:25" x14ac:dyDescent="0.3">
      <c r="E61" s="339" t="s">
        <v>968</v>
      </c>
      <c r="F61" s="340" t="s">
        <v>969</v>
      </c>
      <c r="G61" s="341"/>
      <c r="H61" s="342"/>
      <c r="I61" s="343"/>
      <c r="J61" s="344">
        <v>0</v>
      </c>
      <c r="K61" s="345">
        <v>0</v>
      </c>
      <c r="L61" s="345">
        <v>0</v>
      </c>
      <c r="M61" s="345">
        <v>0</v>
      </c>
      <c r="N61" s="345">
        <v>0</v>
      </c>
      <c r="O61" s="345">
        <v>0</v>
      </c>
      <c r="P61" s="345">
        <v>0</v>
      </c>
      <c r="Q61" s="345">
        <v>0</v>
      </c>
      <c r="R61" s="345">
        <v>0</v>
      </c>
      <c r="S61" s="345">
        <v>0</v>
      </c>
      <c r="T61" s="345">
        <v>0</v>
      </c>
      <c r="U61" s="346">
        <v>0</v>
      </c>
      <c r="V61" s="347">
        <v>0</v>
      </c>
      <c r="W61" s="303"/>
      <c r="X61" s="348">
        <v>0</v>
      </c>
      <c r="Y61" s="349">
        <v>0</v>
      </c>
    </row>
    <row r="62" spans="1:25" x14ac:dyDescent="0.3">
      <c r="E62" s="250" t="s">
        <v>970</v>
      </c>
      <c r="F62" s="317">
        <v>4100581</v>
      </c>
      <c r="G62" s="318"/>
      <c r="H62" s="319">
        <v>4100030111</v>
      </c>
      <c r="I62" s="320"/>
      <c r="J62" s="337">
        <v>0</v>
      </c>
      <c r="K62" s="321">
        <v>0</v>
      </c>
      <c r="L62" s="321">
        <v>0</v>
      </c>
      <c r="M62" s="321">
        <v>0</v>
      </c>
      <c r="N62" s="321">
        <v>0</v>
      </c>
      <c r="O62" s="321">
        <v>0</v>
      </c>
      <c r="P62" s="321">
        <v>0</v>
      </c>
      <c r="Q62" s="321">
        <v>0</v>
      </c>
      <c r="R62" s="321">
        <v>0</v>
      </c>
      <c r="S62" s="321">
        <v>0</v>
      </c>
      <c r="T62" s="321">
        <v>0</v>
      </c>
      <c r="U62" s="322">
        <v>0</v>
      </c>
      <c r="V62" s="323">
        <v>0</v>
      </c>
      <c r="W62" s="303"/>
      <c r="X62" s="324">
        <v>0</v>
      </c>
      <c r="Y62" s="325">
        <v>0</v>
      </c>
    </row>
    <row r="63" spans="1:25" x14ac:dyDescent="0.3">
      <c r="A63" s="326"/>
      <c r="B63" s="326"/>
      <c r="C63" s="326"/>
      <c r="D63" s="326"/>
      <c r="E63" s="326" t="s">
        <v>963</v>
      </c>
      <c r="F63" s="336"/>
      <c r="G63" s="327"/>
      <c r="H63" s="328"/>
      <c r="I63" s="329"/>
      <c r="J63" s="337">
        <v>0</v>
      </c>
      <c r="K63" s="330">
        <v>0</v>
      </c>
      <c r="L63" s="330">
        <v>0</v>
      </c>
      <c r="M63" s="330">
        <v>0</v>
      </c>
      <c r="N63" s="330">
        <v>0</v>
      </c>
      <c r="O63" s="330">
        <v>0</v>
      </c>
      <c r="P63" s="330">
        <v>0</v>
      </c>
      <c r="Q63" s="330">
        <v>0</v>
      </c>
      <c r="R63" s="330">
        <v>0</v>
      </c>
      <c r="S63" s="330">
        <v>0</v>
      </c>
      <c r="T63" s="330">
        <v>0</v>
      </c>
      <c r="U63" s="331">
        <v>0</v>
      </c>
      <c r="V63" s="332">
        <v>0</v>
      </c>
      <c r="W63" s="333"/>
      <c r="X63" s="334">
        <v>0</v>
      </c>
      <c r="Y63" s="335">
        <v>0</v>
      </c>
    </row>
    <row r="64" spans="1:25" x14ac:dyDescent="0.3">
      <c r="A64" s="326"/>
      <c r="B64" s="326"/>
      <c r="C64" s="326"/>
      <c r="D64" s="326"/>
      <c r="E64" s="326" t="s">
        <v>964</v>
      </c>
      <c r="F64" s="336"/>
      <c r="G64" s="327"/>
      <c r="H64" s="328"/>
      <c r="I64" s="329"/>
      <c r="J64" s="337">
        <v>0</v>
      </c>
      <c r="K64" s="330">
        <v>0</v>
      </c>
      <c r="L64" s="330">
        <v>0</v>
      </c>
      <c r="M64" s="330">
        <v>0</v>
      </c>
      <c r="N64" s="330">
        <v>0</v>
      </c>
      <c r="O64" s="330">
        <v>0</v>
      </c>
      <c r="P64" s="330">
        <v>0</v>
      </c>
      <c r="Q64" s="330">
        <v>0</v>
      </c>
      <c r="R64" s="330">
        <v>0</v>
      </c>
      <c r="S64" s="330">
        <v>0</v>
      </c>
      <c r="T64" s="330">
        <v>0</v>
      </c>
      <c r="U64" s="331">
        <v>0</v>
      </c>
      <c r="V64" s="332">
        <v>0</v>
      </c>
      <c r="W64" s="333"/>
      <c r="X64" s="334">
        <v>0</v>
      </c>
      <c r="Y64" s="335">
        <v>0</v>
      </c>
    </row>
    <row r="65" spans="1:25" x14ac:dyDescent="0.3">
      <c r="A65" s="326"/>
      <c r="B65" s="326"/>
      <c r="C65" s="326"/>
      <c r="D65" s="326"/>
      <c r="E65" s="326" t="s">
        <v>965</v>
      </c>
      <c r="F65" s="336"/>
      <c r="G65" s="327"/>
      <c r="H65" s="328"/>
      <c r="I65" s="329"/>
      <c r="J65" s="337">
        <v>0</v>
      </c>
      <c r="K65" s="330">
        <v>0</v>
      </c>
      <c r="L65" s="330">
        <v>0</v>
      </c>
      <c r="M65" s="330">
        <v>0</v>
      </c>
      <c r="N65" s="330">
        <v>0</v>
      </c>
      <c r="O65" s="330">
        <v>0</v>
      </c>
      <c r="P65" s="330">
        <v>0</v>
      </c>
      <c r="Q65" s="330">
        <v>0</v>
      </c>
      <c r="R65" s="330">
        <v>0</v>
      </c>
      <c r="S65" s="330">
        <v>0</v>
      </c>
      <c r="T65" s="330">
        <v>0</v>
      </c>
      <c r="U65" s="331">
        <v>0</v>
      </c>
      <c r="V65" s="332">
        <v>0</v>
      </c>
      <c r="W65" s="333"/>
      <c r="X65" s="334">
        <v>0</v>
      </c>
      <c r="Y65" s="335">
        <v>0</v>
      </c>
    </row>
    <row r="66" spans="1:25" x14ac:dyDescent="0.3">
      <c r="E66" s="339" t="s">
        <v>971</v>
      </c>
      <c r="F66" s="340" t="s">
        <v>972</v>
      </c>
      <c r="G66" s="341"/>
      <c r="H66" s="342"/>
      <c r="I66" s="343"/>
      <c r="J66" s="344">
        <v>0</v>
      </c>
      <c r="K66" s="345">
        <v>0</v>
      </c>
      <c r="L66" s="345">
        <v>0</v>
      </c>
      <c r="M66" s="345">
        <v>0</v>
      </c>
      <c r="N66" s="345">
        <v>0</v>
      </c>
      <c r="O66" s="345">
        <v>0</v>
      </c>
      <c r="P66" s="345">
        <v>0</v>
      </c>
      <c r="Q66" s="345">
        <v>0</v>
      </c>
      <c r="R66" s="345">
        <v>0</v>
      </c>
      <c r="S66" s="345">
        <v>0</v>
      </c>
      <c r="T66" s="345">
        <v>0</v>
      </c>
      <c r="U66" s="346">
        <v>0</v>
      </c>
      <c r="V66" s="347">
        <v>0</v>
      </c>
      <c r="W66" s="303"/>
      <c r="X66" s="348">
        <v>0</v>
      </c>
      <c r="Y66" s="349">
        <v>0</v>
      </c>
    </row>
    <row r="67" spans="1:25" x14ac:dyDescent="0.3">
      <c r="E67" s="250" t="s">
        <v>973</v>
      </c>
      <c r="F67" s="317">
        <v>4100591</v>
      </c>
      <c r="G67" s="318"/>
      <c r="H67" s="319"/>
      <c r="I67" s="320"/>
      <c r="J67" s="337">
        <v>0</v>
      </c>
      <c r="K67" s="321">
        <v>0</v>
      </c>
      <c r="L67" s="321">
        <v>0</v>
      </c>
      <c r="M67" s="321">
        <v>0</v>
      </c>
      <c r="N67" s="321">
        <v>0</v>
      </c>
      <c r="O67" s="321">
        <v>0</v>
      </c>
      <c r="P67" s="321">
        <v>0</v>
      </c>
      <c r="Q67" s="321">
        <v>0</v>
      </c>
      <c r="R67" s="321">
        <v>0</v>
      </c>
      <c r="S67" s="321">
        <v>0</v>
      </c>
      <c r="T67" s="321">
        <v>0</v>
      </c>
      <c r="U67" s="322">
        <v>0</v>
      </c>
      <c r="V67" s="323">
        <v>0</v>
      </c>
      <c r="W67" s="303"/>
      <c r="X67" s="324">
        <v>0</v>
      </c>
      <c r="Y67" s="325">
        <v>0</v>
      </c>
    </row>
    <row r="68" spans="1:25" x14ac:dyDescent="0.3">
      <c r="E68" s="250" t="s">
        <v>974</v>
      </c>
      <c r="F68" s="317">
        <v>4100592</v>
      </c>
      <c r="G68" s="318"/>
      <c r="H68" s="319"/>
      <c r="I68" s="320"/>
      <c r="J68" s="337">
        <v>0</v>
      </c>
      <c r="K68" s="321">
        <v>0</v>
      </c>
      <c r="L68" s="321">
        <v>0</v>
      </c>
      <c r="M68" s="321">
        <v>0</v>
      </c>
      <c r="N68" s="321">
        <v>0</v>
      </c>
      <c r="O68" s="321">
        <v>0</v>
      </c>
      <c r="P68" s="321">
        <v>0</v>
      </c>
      <c r="Q68" s="321">
        <v>0</v>
      </c>
      <c r="R68" s="321">
        <v>0</v>
      </c>
      <c r="S68" s="321">
        <v>0</v>
      </c>
      <c r="T68" s="321">
        <v>0</v>
      </c>
      <c r="U68" s="322">
        <v>0</v>
      </c>
      <c r="V68" s="323">
        <v>0</v>
      </c>
      <c r="W68" s="303"/>
      <c r="X68" s="324">
        <v>0</v>
      </c>
      <c r="Y68" s="325">
        <v>0</v>
      </c>
    </row>
    <row r="69" spans="1:25" x14ac:dyDescent="0.3">
      <c r="E69" s="250" t="s">
        <v>975</v>
      </c>
      <c r="F69" s="317">
        <v>4100593</v>
      </c>
      <c r="G69" s="318"/>
      <c r="H69" s="319"/>
      <c r="I69" s="320"/>
      <c r="J69" s="337">
        <v>0</v>
      </c>
      <c r="K69" s="321">
        <v>0</v>
      </c>
      <c r="L69" s="321">
        <v>0</v>
      </c>
      <c r="M69" s="321">
        <v>0</v>
      </c>
      <c r="N69" s="321">
        <v>0</v>
      </c>
      <c r="O69" s="321">
        <v>0</v>
      </c>
      <c r="P69" s="321">
        <v>0</v>
      </c>
      <c r="Q69" s="321">
        <v>0</v>
      </c>
      <c r="R69" s="321">
        <v>0</v>
      </c>
      <c r="S69" s="321">
        <v>0</v>
      </c>
      <c r="T69" s="321">
        <v>0</v>
      </c>
      <c r="U69" s="322">
        <v>0</v>
      </c>
      <c r="V69" s="323">
        <v>0</v>
      </c>
      <c r="W69" s="303"/>
      <c r="X69" s="324">
        <v>0</v>
      </c>
      <c r="Y69" s="325">
        <v>0</v>
      </c>
    </row>
    <row r="70" spans="1:25" x14ac:dyDescent="0.3">
      <c r="E70" s="250" t="s">
        <v>976</v>
      </c>
      <c r="F70" s="317">
        <v>4100594</v>
      </c>
      <c r="G70" s="318"/>
      <c r="H70" s="319"/>
      <c r="I70" s="320"/>
      <c r="J70" s="337">
        <v>0</v>
      </c>
      <c r="K70" s="321">
        <v>0</v>
      </c>
      <c r="L70" s="321">
        <v>0</v>
      </c>
      <c r="M70" s="321">
        <v>0</v>
      </c>
      <c r="N70" s="321">
        <v>0</v>
      </c>
      <c r="O70" s="321">
        <v>0</v>
      </c>
      <c r="P70" s="321">
        <v>0</v>
      </c>
      <c r="Q70" s="321">
        <v>0</v>
      </c>
      <c r="R70" s="321">
        <v>0</v>
      </c>
      <c r="S70" s="321">
        <v>0</v>
      </c>
      <c r="T70" s="321">
        <v>0</v>
      </c>
      <c r="U70" s="322">
        <v>0</v>
      </c>
      <c r="V70" s="323">
        <v>0</v>
      </c>
      <c r="W70" s="303"/>
      <c r="X70" s="324">
        <v>0</v>
      </c>
      <c r="Y70" s="325">
        <v>0</v>
      </c>
    </row>
    <row r="71" spans="1:25" x14ac:dyDescent="0.3">
      <c r="E71" s="250" t="s">
        <v>977</v>
      </c>
      <c r="F71" s="317">
        <v>4100595</v>
      </c>
      <c r="G71" s="318"/>
      <c r="H71" s="319"/>
      <c r="I71" s="320"/>
      <c r="J71" s="337">
        <v>0</v>
      </c>
      <c r="K71" s="321">
        <v>0</v>
      </c>
      <c r="L71" s="321">
        <v>0</v>
      </c>
      <c r="M71" s="321">
        <v>0</v>
      </c>
      <c r="N71" s="321">
        <v>0</v>
      </c>
      <c r="O71" s="321">
        <v>0</v>
      </c>
      <c r="P71" s="321">
        <v>0</v>
      </c>
      <c r="Q71" s="321">
        <v>0</v>
      </c>
      <c r="R71" s="321">
        <v>0</v>
      </c>
      <c r="S71" s="321">
        <v>0</v>
      </c>
      <c r="T71" s="321">
        <v>0</v>
      </c>
      <c r="U71" s="322">
        <v>0</v>
      </c>
      <c r="V71" s="323">
        <v>0</v>
      </c>
      <c r="W71" s="303"/>
      <c r="X71" s="324">
        <v>0</v>
      </c>
      <c r="Y71" s="325">
        <v>0</v>
      </c>
    </row>
    <row r="72" spans="1:25" x14ac:dyDescent="0.3">
      <c r="E72" s="250" t="s">
        <v>978</v>
      </c>
      <c r="F72" s="317">
        <v>4100406</v>
      </c>
      <c r="G72" s="318"/>
      <c r="H72" s="319">
        <v>4100030113</v>
      </c>
      <c r="I72" s="320"/>
      <c r="J72" s="337">
        <v>0</v>
      </c>
      <c r="K72" s="321">
        <v>0</v>
      </c>
      <c r="L72" s="321">
        <v>0</v>
      </c>
      <c r="M72" s="321">
        <v>0</v>
      </c>
      <c r="N72" s="321">
        <v>0</v>
      </c>
      <c r="O72" s="321">
        <v>0</v>
      </c>
      <c r="P72" s="321">
        <v>0</v>
      </c>
      <c r="Q72" s="321">
        <v>0</v>
      </c>
      <c r="R72" s="321">
        <v>0</v>
      </c>
      <c r="S72" s="321">
        <v>0</v>
      </c>
      <c r="T72" s="321">
        <v>0</v>
      </c>
      <c r="U72" s="322">
        <v>0</v>
      </c>
      <c r="V72" s="323">
        <v>0</v>
      </c>
      <c r="W72" s="303"/>
      <c r="X72" s="324">
        <v>0</v>
      </c>
      <c r="Y72" s="325">
        <v>0</v>
      </c>
    </row>
    <row r="73" spans="1:25" x14ac:dyDescent="0.3">
      <c r="A73" s="326"/>
      <c r="B73" s="326"/>
      <c r="C73" s="326"/>
      <c r="D73" s="326"/>
      <c r="E73" s="250" t="s">
        <v>979</v>
      </c>
      <c r="F73" s="306">
        <v>4100596</v>
      </c>
      <c r="G73" s="307"/>
      <c r="H73" s="308"/>
      <c r="I73" s="309"/>
      <c r="J73" s="310">
        <v>0</v>
      </c>
      <c r="K73" s="311">
        <v>0</v>
      </c>
      <c r="L73" s="311">
        <v>0</v>
      </c>
      <c r="M73" s="311">
        <v>0</v>
      </c>
      <c r="N73" s="311">
        <v>0</v>
      </c>
      <c r="O73" s="311">
        <v>0</v>
      </c>
      <c r="P73" s="311">
        <v>0</v>
      </c>
      <c r="Q73" s="311">
        <v>0</v>
      </c>
      <c r="R73" s="311">
        <v>0</v>
      </c>
      <c r="S73" s="311">
        <v>0</v>
      </c>
      <c r="T73" s="311">
        <v>0</v>
      </c>
      <c r="U73" s="312">
        <v>0</v>
      </c>
      <c r="V73" s="313">
        <v>0</v>
      </c>
      <c r="W73" s="314"/>
      <c r="X73" s="315">
        <v>0</v>
      </c>
      <c r="Y73" s="316">
        <v>0</v>
      </c>
    </row>
    <row r="74" spans="1:25" x14ac:dyDescent="0.3">
      <c r="A74" s="350"/>
      <c r="B74" s="350"/>
      <c r="C74" s="350"/>
      <c r="D74" s="350"/>
      <c r="E74" s="350" t="s">
        <v>980</v>
      </c>
      <c r="F74" s="306">
        <v>4100597</v>
      </c>
      <c r="G74" s="307"/>
      <c r="H74" s="308"/>
      <c r="I74" s="309"/>
      <c r="J74" s="310">
        <v>0</v>
      </c>
      <c r="K74" s="311">
        <v>0</v>
      </c>
      <c r="L74" s="311">
        <v>0</v>
      </c>
      <c r="M74" s="311">
        <v>0</v>
      </c>
      <c r="N74" s="311">
        <v>0</v>
      </c>
      <c r="O74" s="311">
        <v>0</v>
      </c>
      <c r="P74" s="311">
        <v>0</v>
      </c>
      <c r="Q74" s="311">
        <v>0</v>
      </c>
      <c r="R74" s="311">
        <v>0</v>
      </c>
      <c r="S74" s="311">
        <v>0</v>
      </c>
      <c r="T74" s="311">
        <v>0</v>
      </c>
      <c r="U74" s="312">
        <v>0</v>
      </c>
      <c r="V74" s="313">
        <v>0</v>
      </c>
      <c r="W74" s="314"/>
      <c r="X74" s="315">
        <v>0</v>
      </c>
      <c r="Y74" s="316">
        <v>0</v>
      </c>
    </row>
    <row r="75" spans="1:25" x14ac:dyDescent="0.3">
      <c r="A75" s="350"/>
      <c r="B75" s="350"/>
      <c r="C75" s="350"/>
      <c r="D75" s="350"/>
      <c r="E75" s="350" t="s">
        <v>981</v>
      </c>
      <c r="F75" s="306">
        <v>4100598</v>
      </c>
      <c r="G75" s="307"/>
      <c r="H75" s="308"/>
      <c r="I75" s="309"/>
      <c r="J75" s="310">
        <v>0</v>
      </c>
      <c r="K75" s="311">
        <v>0</v>
      </c>
      <c r="L75" s="311">
        <v>0</v>
      </c>
      <c r="M75" s="311">
        <v>0</v>
      </c>
      <c r="N75" s="311">
        <v>0</v>
      </c>
      <c r="O75" s="311">
        <v>0</v>
      </c>
      <c r="P75" s="311">
        <v>0</v>
      </c>
      <c r="Q75" s="311">
        <v>0</v>
      </c>
      <c r="R75" s="311">
        <v>0</v>
      </c>
      <c r="S75" s="311">
        <v>0</v>
      </c>
      <c r="T75" s="311">
        <v>0</v>
      </c>
      <c r="U75" s="312">
        <v>0</v>
      </c>
      <c r="V75" s="313">
        <v>0</v>
      </c>
      <c r="W75" s="314"/>
      <c r="X75" s="315">
        <v>0</v>
      </c>
      <c r="Y75" s="316">
        <v>0</v>
      </c>
    </row>
    <row r="76" spans="1:25" x14ac:dyDescent="0.3">
      <c r="A76" s="233"/>
      <c r="B76" s="234" t="s">
        <v>5</v>
      </c>
      <c r="D76" s="294" t="s">
        <v>982</v>
      </c>
      <c r="E76" s="294"/>
      <c r="F76" s="295" t="s">
        <v>983</v>
      </c>
      <c r="G76" s="296"/>
      <c r="H76" s="297"/>
      <c r="I76" s="298"/>
      <c r="J76" s="299">
        <v>0</v>
      </c>
      <c r="K76" s="300">
        <v>0</v>
      </c>
      <c r="L76" s="300">
        <v>0</v>
      </c>
      <c r="M76" s="300">
        <v>0</v>
      </c>
      <c r="N76" s="300">
        <v>0</v>
      </c>
      <c r="O76" s="300">
        <v>0</v>
      </c>
      <c r="P76" s="300">
        <v>0</v>
      </c>
      <c r="Q76" s="300">
        <v>0</v>
      </c>
      <c r="R76" s="300">
        <v>0</v>
      </c>
      <c r="S76" s="300">
        <v>0</v>
      </c>
      <c r="T76" s="300">
        <v>0</v>
      </c>
      <c r="U76" s="301">
        <v>0</v>
      </c>
      <c r="V76" s="302">
        <v>0</v>
      </c>
      <c r="W76" s="303"/>
      <c r="X76" s="304">
        <v>0</v>
      </c>
      <c r="Y76" s="305">
        <v>0</v>
      </c>
    </row>
    <row r="77" spans="1:25" x14ac:dyDescent="0.3">
      <c r="E77" s="250" t="s">
        <v>984</v>
      </c>
      <c r="F77" s="317">
        <v>4100701</v>
      </c>
      <c r="G77" s="318"/>
      <c r="H77" s="319">
        <v>4100130101</v>
      </c>
      <c r="I77" s="320"/>
      <c r="J77" s="337">
        <v>0</v>
      </c>
      <c r="K77" s="321">
        <v>0</v>
      </c>
      <c r="L77" s="321">
        <v>0</v>
      </c>
      <c r="M77" s="321">
        <v>0</v>
      </c>
      <c r="N77" s="321">
        <v>0</v>
      </c>
      <c r="O77" s="321">
        <v>0</v>
      </c>
      <c r="P77" s="321">
        <v>0</v>
      </c>
      <c r="Q77" s="321">
        <v>0</v>
      </c>
      <c r="R77" s="321">
        <v>0</v>
      </c>
      <c r="S77" s="321">
        <v>0</v>
      </c>
      <c r="T77" s="321">
        <v>0</v>
      </c>
      <c r="U77" s="322">
        <v>0</v>
      </c>
      <c r="V77" s="323">
        <v>0</v>
      </c>
      <c r="W77" s="303"/>
      <c r="X77" s="324">
        <v>0</v>
      </c>
      <c r="Y77" s="325">
        <v>0</v>
      </c>
    </row>
    <row r="78" spans="1:25" x14ac:dyDescent="0.3">
      <c r="E78" s="250" t="s">
        <v>985</v>
      </c>
      <c r="F78" s="317">
        <v>4100702</v>
      </c>
      <c r="G78" s="318"/>
      <c r="H78" s="319"/>
      <c r="I78" s="320"/>
      <c r="J78" s="337">
        <v>0</v>
      </c>
      <c r="K78" s="321">
        <v>0</v>
      </c>
      <c r="L78" s="321">
        <v>0</v>
      </c>
      <c r="M78" s="321">
        <v>0</v>
      </c>
      <c r="N78" s="321">
        <v>0</v>
      </c>
      <c r="O78" s="321">
        <v>0</v>
      </c>
      <c r="P78" s="321">
        <v>0</v>
      </c>
      <c r="Q78" s="321">
        <v>0</v>
      </c>
      <c r="R78" s="321">
        <v>0</v>
      </c>
      <c r="S78" s="321">
        <v>0</v>
      </c>
      <c r="T78" s="321">
        <v>0</v>
      </c>
      <c r="U78" s="322">
        <v>0</v>
      </c>
      <c r="V78" s="323">
        <v>0</v>
      </c>
      <c r="W78" s="303"/>
      <c r="X78" s="324">
        <v>0</v>
      </c>
      <c r="Y78" s="325">
        <v>0</v>
      </c>
    </row>
    <row r="79" spans="1:25" x14ac:dyDescent="0.3">
      <c r="E79" s="250" t="s">
        <v>986</v>
      </c>
      <c r="F79" s="317">
        <v>4100703</v>
      </c>
      <c r="G79" s="318"/>
      <c r="H79" s="319"/>
      <c r="I79" s="320"/>
      <c r="J79" s="337">
        <v>0</v>
      </c>
      <c r="K79" s="321">
        <v>0</v>
      </c>
      <c r="L79" s="321">
        <v>0</v>
      </c>
      <c r="M79" s="321">
        <v>0</v>
      </c>
      <c r="N79" s="321">
        <v>0</v>
      </c>
      <c r="O79" s="321">
        <v>0</v>
      </c>
      <c r="P79" s="321">
        <v>0</v>
      </c>
      <c r="Q79" s="321">
        <v>0</v>
      </c>
      <c r="R79" s="321">
        <v>0</v>
      </c>
      <c r="S79" s="321">
        <v>0</v>
      </c>
      <c r="T79" s="321">
        <v>0</v>
      </c>
      <c r="U79" s="322">
        <v>0</v>
      </c>
      <c r="V79" s="323">
        <v>0</v>
      </c>
      <c r="W79" s="303"/>
      <c r="X79" s="324">
        <v>0</v>
      </c>
      <c r="Y79" s="325">
        <v>0</v>
      </c>
    </row>
    <row r="80" spans="1:25" x14ac:dyDescent="0.3">
      <c r="E80" s="250" t="s">
        <v>987</v>
      </c>
      <c r="F80" s="317">
        <v>4100704</v>
      </c>
      <c r="G80" s="318"/>
      <c r="H80" s="319"/>
      <c r="I80" s="320"/>
      <c r="J80" s="337">
        <v>0</v>
      </c>
      <c r="K80" s="321">
        <v>0</v>
      </c>
      <c r="L80" s="321">
        <v>0</v>
      </c>
      <c r="M80" s="321">
        <v>0</v>
      </c>
      <c r="N80" s="321">
        <v>0</v>
      </c>
      <c r="O80" s="321">
        <v>0</v>
      </c>
      <c r="P80" s="321">
        <v>0</v>
      </c>
      <c r="Q80" s="321">
        <v>0</v>
      </c>
      <c r="R80" s="321">
        <v>0</v>
      </c>
      <c r="S80" s="321">
        <v>0</v>
      </c>
      <c r="T80" s="321">
        <v>0</v>
      </c>
      <c r="U80" s="322">
        <v>0</v>
      </c>
      <c r="V80" s="323">
        <v>0</v>
      </c>
      <c r="W80" s="303"/>
      <c r="X80" s="324">
        <v>0</v>
      </c>
      <c r="Y80" s="325">
        <v>0</v>
      </c>
    </row>
    <row r="81" spans="1:25" x14ac:dyDescent="0.3">
      <c r="E81" s="250" t="s">
        <v>988</v>
      </c>
      <c r="F81" s="317">
        <v>4100705</v>
      </c>
      <c r="G81" s="318"/>
      <c r="H81" s="319"/>
      <c r="I81" s="320"/>
      <c r="J81" s="337">
        <v>0</v>
      </c>
      <c r="K81" s="321">
        <v>0</v>
      </c>
      <c r="L81" s="321">
        <v>0</v>
      </c>
      <c r="M81" s="321">
        <v>0</v>
      </c>
      <c r="N81" s="321">
        <v>0</v>
      </c>
      <c r="O81" s="321">
        <v>0</v>
      </c>
      <c r="P81" s="321">
        <v>0</v>
      </c>
      <c r="Q81" s="321">
        <v>0</v>
      </c>
      <c r="R81" s="321">
        <v>0</v>
      </c>
      <c r="S81" s="321">
        <v>0</v>
      </c>
      <c r="T81" s="321">
        <v>0</v>
      </c>
      <c r="U81" s="322">
        <v>0</v>
      </c>
      <c r="V81" s="323">
        <v>0</v>
      </c>
      <c r="W81" s="303"/>
      <c r="X81" s="324">
        <v>0</v>
      </c>
      <c r="Y81" s="325">
        <v>0</v>
      </c>
    </row>
    <row r="82" spans="1:25" x14ac:dyDescent="0.3">
      <c r="E82" s="250" t="s">
        <v>989</v>
      </c>
      <c r="F82" s="317">
        <v>4100706</v>
      </c>
      <c r="G82" s="318"/>
      <c r="H82" s="319"/>
      <c r="I82" s="320"/>
      <c r="J82" s="337">
        <v>0</v>
      </c>
      <c r="K82" s="321">
        <v>0</v>
      </c>
      <c r="L82" s="321">
        <v>0</v>
      </c>
      <c r="M82" s="321">
        <v>0</v>
      </c>
      <c r="N82" s="321">
        <v>0</v>
      </c>
      <c r="O82" s="321">
        <v>0</v>
      </c>
      <c r="P82" s="321">
        <v>0</v>
      </c>
      <c r="Q82" s="321">
        <v>0</v>
      </c>
      <c r="R82" s="321">
        <v>0</v>
      </c>
      <c r="S82" s="321">
        <v>0</v>
      </c>
      <c r="T82" s="321">
        <v>0</v>
      </c>
      <c r="U82" s="322">
        <v>0</v>
      </c>
      <c r="V82" s="323">
        <v>0</v>
      </c>
      <c r="W82" s="303"/>
      <c r="X82" s="324">
        <v>0</v>
      </c>
      <c r="Y82" s="325">
        <v>0</v>
      </c>
    </row>
    <row r="83" spans="1:25" x14ac:dyDescent="0.3">
      <c r="E83" s="250" t="s">
        <v>990</v>
      </c>
      <c r="F83" s="317">
        <v>4100707</v>
      </c>
      <c r="G83" s="318"/>
      <c r="H83" s="319"/>
      <c r="I83" s="320"/>
      <c r="J83" s="337">
        <v>0</v>
      </c>
      <c r="K83" s="321">
        <v>0</v>
      </c>
      <c r="L83" s="321">
        <v>0</v>
      </c>
      <c r="M83" s="321">
        <v>0</v>
      </c>
      <c r="N83" s="321">
        <v>0</v>
      </c>
      <c r="O83" s="321">
        <v>0</v>
      </c>
      <c r="P83" s="321">
        <v>0</v>
      </c>
      <c r="Q83" s="321">
        <v>0</v>
      </c>
      <c r="R83" s="321">
        <v>0</v>
      </c>
      <c r="S83" s="321">
        <v>0</v>
      </c>
      <c r="T83" s="321">
        <v>0</v>
      </c>
      <c r="U83" s="322">
        <v>0</v>
      </c>
      <c r="V83" s="323">
        <v>0</v>
      </c>
      <c r="W83" s="303"/>
      <c r="X83" s="324">
        <v>0</v>
      </c>
      <c r="Y83" s="325">
        <v>0</v>
      </c>
    </row>
    <row r="84" spans="1:25" x14ac:dyDescent="0.3">
      <c r="E84" s="250" t="s">
        <v>991</v>
      </c>
      <c r="F84" s="317">
        <v>4100709</v>
      </c>
      <c r="G84" s="318"/>
      <c r="H84" s="319"/>
      <c r="I84" s="320"/>
      <c r="J84" s="337">
        <v>0</v>
      </c>
      <c r="K84" s="321">
        <v>0</v>
      </c>
      <c r="L84" s="321">
        <v>0</v>
      </c>
      <c r="M84" s="321">
        <v>0</v>
      </c>
      <c r="N84" s="321">
        <v>0</v>
      </c>
      <c r="O84" s="321">
        <v>0</v>
      </c>
      <c r="P84" s="321">
        <v>0</v>
      </c>
      <c r="Q84" s="321">
        <v>0</v>
      </c>
      <c r="R84" s="321">
        <v>0</v>
      </c>
      <c r="S84" s="321">
        <v>0</v>
      </c>
      <c r="T84" s="321">
        <v>0</v>
      </c>
      <c r="U84" s="322">
        <v>0</v>
      </c>
      <c r="V84" s="323">
        <v>0</v>
      </c>
      <c r="W84" s="303"/>
      <c r="X84" s="324">
        <v>0</v>
      </c>
      <c r="Y84" s="325">
        <v>0</v>
      </c>
    </row>
    <row r="85" spans="1:25" x14ac:dyDescent="0.3">
      <c r="E85" s="250" t="s">
        <v>992</v>
      </c>
      <c r="F85" s="317">
        <v>4100793</v>
      </c>
      <c r="G85" s="318"/>
      <c r="H85" s="319"/>
      <c r="I85" s="320"/>
      <c r="J85" s="337">
        <v>0</v>
      </c>
      <c r="K85" s="321">
        <v>0</v>
      </c>
      <c r="L85" s="321">
        <v>0</v>
      </c>
      <c r="M85" s="321">
        <v>0</v>
      </c>
      <c r="N85" s="321">
        <v>0</v>
      </c>
      <c r="O85" s="321">
        <v>0</v>
      </c>
      <c r="P85" s="321">
        <v>0</v>
      </c>
      <c r="Q85" s="321">
        <v>0</v>
      </c>
      <c r="R85" s="321">
        <v>0</v>
      </c>
      <c r="S85" s="321">
        <v>0</v>
      </c>
      <c r="T85" s="321">
        <v>0</v>
      </c>
      <c r="U85" s="322">
        <v>0</v>
      </c>
      <c r="V85" s="323">
        <v>0</v>
      </c>
      <c r="W85" s="303"/>
      <c r="X85" s="324">
        <v>0</v>
      </c>
      <c r="Y85" s="325">
        <v>0</v>
      </c>
    </row>
    <row r="86" spans="1:25" x14ac:dyDescent="0.3">
      <c r="E86" s="250" t="s">
        <v>993</v>
      </c>
      <c r="F86" s="317">
        <v>4100799</v>
      </c>
      <c r="G86" s="318"/>
      <c r="H86" s="319"/>
      <c r="I86" s="320"/>
      <c r="J86" s="337">
        <v>0</v>
      </c>
      <c r="K86" s="321">
        <v>0</v>
      </c>
      <c r="L86" s="321">
        <v>0</v>
      </c>
      <c r="M86" s="321">
        <v>0</v>
      </c>
      <c r="N86" s="321">
        <v>0</v>
      </c>
      <c r="O86" s="321">
        <v>0</v>
      </c>
      <c r="P86" s="321">
        <v>0</v>
      </c>
      <c r="Q86" s="321">
        <v>0</v>
      </c>
      <c r="R86" s="321">
        <v>0</v>
      </c>
      <c r="S86" s="321">
        <v>0</v>
      </c>
      <c r="T86" s="321">
        <v>0</v>
      </c>
      <c r="U86" s="322">
        <v>0</v>
      </c>
      <c r="V86" s="323">
        <v>0</v>
      </c>
      <c r="W86" s="303"/>
      <c r="X86" s="324">
        <v>0</v>
      </c>
      <c r="Y86" s="325">
        <v>0</v>
      </c>
    </row>
    <row r="87" spans="1:25" x14ac:dyDescent="0.3">
      <c r="A87" s="361"/>
      <c r="B87" s="361"/>
      <c r="C87" s="361"/>
      <c r="D87" s="361"/>
      <c r="E87" s="326" t="s">
        <v>994</v>
      </c>
      <c r="F87" s="351"/>
      <c r="G87" s="352"/>
      <c r="H87" s="353"/>
      <c r="I87" s="354"/>
      <c r="J87" s="337">
        <v>0</v>
      </c>
      <c r="K87" s="355">
        <v>0</v>
      </c>
      <c r="L87" s="355">
        <v>0</v>
      </c>
      <c r="M87" s="355">
        <v>0</v>
      </c>
      <c r="N87" s="355">
        <v>0</v>
      </c>
      <c r="O87" s="355">
        <v>0</v>
      </c>
      <c r="P87" s="355">
        <v>0</v>
      </c>
      <c r="Q87" s="355">
        <v>0</v>
      </c>
      <c r="R87" s="355">
        <v>0</v>
      </c>
      <c r="S87" s="355">
        <v>0</v>
      </c>
      <c r="T87" s="355">
        <v>0</v>
      </c>
      <c r="U87" s="356">
        <v>0</v>
      </c>
      <c r="V87" s="357">
        <v>0</v>
      </c>
      <c r="W87" s="358"/>
      <c r="X87" s="359">
        <v>0</v>
      </c>
      <c r="Y87" s="360">
        <v>0</v>
      </c>
    </row>
    <row r="88" spans="1:25" x14ac:dyDescent="0.3">
      <c r="A88" s="361"/>
      <c r="B88" s="361"/>
      <c r="C88" s="361"/>
      <c r="D88" s="361"/>
      <c r="E88" s="326" t="s">
        <v>995</v>
      </c>
      <c r="F88" s="351"/>
      <c r="G88" s="352"/>
      <c r="H88" s="353"/>
      <c r="I88" s="354"/>
      <c r="J88" s="337">
        <v>0</v>
      </c>
      <c r="K88" s="355">
        <v>0</v>
      </c>
      <c r="L88" s="355">
        <v>0</v>
      </c>
      <c r="M88" s="355">
        <v>0</v>
      </c>
      <c r="N88" s="355">
        <v>0</v>
      </c>
      <c r="O88" s="355">
        <v>0</v>
      </c>
      <c r="P88" s="355">
        <v>0</v>
      </c>
      <c r="Q88" s="355">
        <v>0</v>
      </c>
      <c r="R88" s="355">
        <v>0</v>
      </c>
      <c r="S88" s="355">
        <v>0</v>
      </c>
      <c r="T88" s="355">
        <v>0</v>
      </c>
      <c r="U88" s="356">
        <v>0</v>
      </c>
      <c r="V88" s="357">
        <v>0</v>
      </c>
      <c r="W88" s="358"/>
      <c r="X88" s="359">
        <v>0</v>
      </c>
      <c r="Y88" s="360">
        <v>0</v>
      </c>
    </row>
    <row r="89" spans="1:25" x14ac:dyDescent="0.3">
      <c r="A89" s="361"/>
      <c r="B89" s="361"/>
      <c r="C89" s="361"/>
      <c r="D89" s="361"/>
      <c r="E89" s="326" t="s">
        <v>996</v>
      </c>
      <c r="F89" s="351"/>
      <c r="G89" s="352"/>
      <c r="H89" s="353"/>
      <c r="I89" s="354"/>
      <c r="J89" s="337">
        <v>0</v>
      </c>
      <c r="K89" s="355">
        <v>0</v>
      </c>
      <c r="L89" s="355">
        <v>0</v>
      </c>
      <c r="M89" s="355">
        <v>0</v>
      </c>
      <c r="N89" s="355">
        <v>0</v>
      </c>
      <c r="O89" s="355">
        <v>0</v>
      </c>
      <c r="P89" s="355">
        <v>0</v>
      </c>
      <c r="Q89" s="355">
        <v>0</v>
      </c>
      <c r="R89" s="355">
        <v>0</v>
      </c>
      <c r="S89" s="355">
        <v>0</v>
      </c>
      <c r="T89" s="355">
        <v>0</v>
      </c>
      <c r="U89" s="356">
        <v>0</v>
      </c>
      <c r="V89" s="357">
        <v>0</v>
      </c>
      <c r="W89" s="358"/>
      <c r="X89" s="359">
        <v>0</v>
      </c>
      <c r="Y89" s="360">
        <v>0</v>
      </c>
    </row>
    <row r="90" spans="1:25" x14ac:dyDescent="0.3">
      <c r="A90" s="233"/>
      <c r="B90" s="234" t="s">
        <v>5</v>
      </c>
      <c r="D90" s="293" t="s">
        <v>997</v>
      </c>
      <c r="E90" s="294"/>
      <c r="F90" s="295" t="s">
        <v>998</v>
      </c>
      <c r="G90" s="296"/>
      <c r="H90" s="297"/>
      <c r="I90" s="298"/>
      <c r="J90" s="299">
        <v>0</v>
      </c>
      <c r="K90" s="300">
        <v>0</v>
      </c>
      <c r="L90" s="300">
        <v>0</v>
      </c>
      <c r="M90" s="300">
        <v>0</v>
      </c>
      <c r="N90" s="300">
        <v>0</v>
      </c>
      <c r="O90" s="300">
        <v>0</v>
      </c>
      <c r="P90" s="300">
        <v>0</v>
      </c>
      <c r="Q90" s="300">
        <v>0</v>
      </c>
      <c r="R90" s="300">
        <v>0</v>
      </c>
      <c r="S90" s="300">
        <v>0</v>
      </c>
      <c r="T90" s="300">
        <v>0</v>
      </c>
      <c r="U90" s="301">
        <v>0</v>
      </c>
      <c r="V90" s="302">
        <v>0</v>
      </c>
      <c r="W90" s="303"/>
      <c r="X90" s="304">
        <v>0</v>
      </c>
      <c r="Y90" s="305">
        <v>0</v>
      </c>
    </row>
    <row r="91" spans="1:25" x14ac:dyDescent="0.3">
      <c r="E91" s="250" t="s">
        <v>999</v>
      </c>
      <c r="F91" s="317">
        <v>4100798</v>
      </c>
      <c r="G91" s="318"/>
      <c r="H91" s="319"/>
      <c r="I91" s="320"/>
      <c r="J91" s="337">
        <v>0</v>
      </c>
      <c r="K91" s="321">
        <v>0</v>
      </c>
      <c r="L91" s="321">
        <v>0</v>
      </c>
      <c r="M91" s="321">
        <v>0</v>
      </c>
      <c r="N91" s="321">
        <v>0</v>
      </c>
      <c r="O91" s="321">
        <v>0</v>
      </c>
      <c r="P91" s="321">
        <v>0</v>
      </c>
      <c r="Q91" s="321">
        <v>0</v>
      </c>
      <c r="R91" s="321">
        <v>0</v>
      </c>
      <c r="S91" s="321">
        <v>0</v>
      </c>
      <c r="T91" s="321">
        <v>0</v>
      </c>
      <c r="U91" s="322">
        <v>0</v>
      </c>
      <c r="V91" s="323">
        <v>0</v>
      </c>
      <c r="W91" s="303"/>
      <c r="X91" s="324">
        <v>0</v>
      </c>
      <c r="Y91" s="325">
        <v>0</v>
      </c>
    </row>
    <row r="92" spans="1:25" x14ac:dyDescent="0.3">
      <c r="E92" s="250" t="s">
        <v>1000</v>
      </c>
      <c r="F92" s="317">
        <v>4100796</v>
      </c>
      <c r="G92" s="318"/>
      <c r="H92" s="319"/>
      <c r="I92" s="320"/>
      <c r="J92" s="337">
        <v>0</v>
      </c>
      <c r="K92" s="321">
        <v>0</v>
      </c>
      <c r="L92" s="321">
        <v>0</v>
      </c>
      <c r="M92" s="321">
        <v>0</v>
      </c>
      <c r="N92" s="321">
        <v>0</v>
      </c>
      <c r="O92" s="321">
        <v>0</v>
      </c>
      <c r="P92" s="321">
        <v>0</v>
      </c>
      <c r="Q92" s="321">
        <v>0</v>
      </c>
      <c r="R92" s="321">
        <v>0</v>
      </c>
      <c r="S92" s="321">
        <v>0</v>
      </c>
      <c r="T92" s="321">
        <v>0</v>
      </c>
      <c r="U92" s="322">
        <v>0</v>
      </c>
      <c r="V92" s="323">
        <v>0</v>
      </c>
      <c r="W92" s="303"/>
      <c r="X92" s="324">
        <v>0</v>
      </c>
      <c r="Y92" s="325">
        <v>0</v>
      </c>
    </row>
    <row r="93" spans="1:25" x14ac:dyDescent="0.3">
      <c r="E93" s="250" t="s">
        <v>1001</v>
      </c>
      <c r="F93" s="317">
        <v>4100795</v>
      </c>
      <c r="G93" s="318"/>
      <c r="H93" s="319"/>
      <c r="I93" s="320"/>
      <c r="J93" s="337">
        <v>0</v>
      </c>
      <c r="K93" s="321">
        <v>0</v>
      </c>
      <c r="L93" s="321">
        <v>0</v>
      </c>
      <c r="M93" s="321">
        <v>0</v>
      </c>
      <c r="N93" s="321">
        <v>0</v>
      </c>
      <c r="O93" s="321">
        <v>0</v>
      </c>
      <c r="P93" s="321">
        <v>0</v>
      </c>
      <c r="Q93" s="321">
        <v>0</v>
      </c>
      <c r="R93" s="321">
        <v>0</v>
      </c>
      <c r="S93" s="321">
        <v>0</v>
      </c>
      <c r="T93" s="321">
        <v>0</v>
      </c>
      <c r="U93" s="322">
        <v>0</v>
      </c>
      <c r="V93" s="323">
        <v>0</v>
      </c>
      <c r="W93" s="303"/>
      <c r="X93" s="324">
        <v>0</v>
      </c>
      <c r="Y93" s="325">
        <v>0</v>
      </c>
    </row>
    <row r="94" spans="1:25" x14ac:dyDescent="0.3">
      <c r="E94" s="250" t="s">
        <v>1002</v>
      </c>
      <c r="F94" s="317">
        <v>4100794</v>
      </c>
      <c r="G94" s="318"/>
      <c r="H94" s="319"/>
      <c r="I94" s="320"/>
      <c r="J94" s="337">
        <v>0</v>
      </c>
      <c r="K94" s="321">
        <v>0</v>
      </c>
      <c r="L94" s="321">
        <v>0</v>
      </c>
      <c r="M94" s="321">
        <v>0</v>
      </c>
      <c r="N94" s="321">
        <v>0</v>
      </c>
      <c r="O94" s="321">
        <v>0</v>
      </c>
      <c r="P94" s="321">
        <v>0</v>
      </c>
      <c r="Q94" s="321">
        <v>0</v>
      </c>
      <c r="R94" s="321">
        <v>0</v>
      </c>
      <c r="S94" s="321">
        <v>0</v>
      </c>
      <c r="T94" s="321">
        <v>0</v>
      </c>
      <c r="U94" s="322">
        <v>0</v>
      </c>
      <c r="V94" s="323">
        <v>0</v>
      </c>
      <c r="W94" s="303"/>
      <c r="X94" s="324">
        <v>0</v>
      </c>
      <c r="Y94" s="325">
        <v>0</v>
      </c>
    </row>
    <row r="95" spans="1:25" x14ac:dyDescent="0.3">
      <c r="E95" s="250" t="s">
        <v>1003</v>
      </c>
      <c r="F95" s="317">
        <v>4100797</v>
      </c>
      <c r="G95" s="318"/>
      <c r="H95" s="319"/>
      <c r="I95" s="320"/>
      <c r="J95" s="337">
        <v>0</v>
      </c>
      <c r="K95" s="321">
        <v>0</v>
      </c>
      <c r="L95" s="321">
        <v>0</v>
      </c>
      <c r="M95" s="321">
        <v>0</v>
      </c>
      <c r="N95" s="321">
        <v>0</v>
      </c>
      <c r="O95" s="321">
        <v>0</v>
      </c>
      <c r="P95" s="321">
        <v>0</v>
      </c>
      <c r="Q95" s="321">
        <v>0</v>
      </c>
      <c r="R95" s="321">
        <v>0</v>
      </c>
      <c r="S95" s="321">
        <v>0</v>
      </c>
      <c r="T95" s="321">
        <v>0</v>
      </c>
      <c r="U95" s="322">
        <v>0</v>
      </c>
      <c r="V95" s="323">
        <v>0</v>
      </c>
      <c r="W95" s="303"/>
      <c r="X95" s="324">
        <v>0</v>
      </c>
      <c r="Y95" s="325">
        <v>0</v>
      </c>
    </row>
    <row r="96" spans="1:25" x14ac:dyDescent="0.3">
      <c r="A96" s="361"/>
      <c r="B96" s="361"/>
      <c r="C96" s="361"/>
      <c r="D96" s="361"/>
      <c r="E96" s="350" t="s">
        <v>1004</v>
      </c>
      <c r="F96" s="306">
        <v>4100792</v>
      </c>
      <c r="G96" s="307"/>
      <c r="H96" s="308"/>
      <c r="I96" s="309"/>
      <c r="J96" s="310">
        <v>0</v>
      </c>
      <c r="K96" s="311">
        <v>0</v>
      </c>
      <c r="L96" s="311">
        <v>0</v>
      </c>
      <c r="M96" s="311">
        <v>0</v>
      </c>
      <c r="N96" s="311">
        <v>0</v>
      </c>
      <c r="O96" s="311">
        <v>0</v>
      </c>
      <c r="P96" s="311">
        <v>0</v>
      </c>
      <c r="Q96" s="311">
        <v>0</v>
      </c>
      <c r="R96" s="311">
        <v>0</v>
      </c>
      <c r="S96" s="311">
        <v>0</v>
      </c>
      <c r="T96" s="311">
        <v>0</v>
      </c>
      <c r="U96" s="312">
        <v>0</v>
      </c>
      <c r="V96" s="313">
        <v>0</v>
      </c>
      <c r="W96" s="314"/>
      <c r="X96" s="315">
        <v>0</v>
      </c>
      <c r="Y96" s="316">
        <v>0</v>
      </c>
    </row>
    <row r="97" spans="1:25" x14ac:dyDescent="0.3">
      <c r="A97" s="350"/>
      <c r="B97" s="350"/>
      <c r="C97" s="350"/>
      <c r="D97" s="350"/>
      <c r="E97" s="350" t="s">
        <v>1005</v>
      </c>
      <c r="F97" s="306">
        <v>4100791</v>
      </c>
      <c r="G97" s="307"/>
      <c r="H97" s="308"/>
      <c r="I97" s="309"/>
      <c r="J97" s="310">
        <v>0</v>
      </c>
      <c r="K97" s="311">
        <v>0</v>
      </c>
      <c r="L97" s="311">
        <v>0</v>
      </c>
      <c r="M97" s="311">
        <v>0</v>
      </c>
      <c r="N97" s="311">
        <v>0</v>
      </c>
      <c r="O97" s="311">
        <v>0</v>
      </c>
      <c r="P97" s="311">
        <v>0</v>
      </c>
      <c r="Q97" s="311">
        <v>0</v>
      </c>
      <c r="R97" s="311">
        <v>0</v>
      </c>
      <c r="S97" s="311">
        <v>0</v>
      </c>
      <c r="T97" s="311">
        <v>0</v>
      </c>
      <c r="U97" s="312">
        <v>0</v>
      </c>
      <c r="V97" s="313">
        <v>0</v>
      </c>
      <c r="W97" s="314"/>
      <c r="X97" s="315">
        <v>0</v>
      </c>
      <c r="Y97" s="316">
        <v>0</v>
      </c>
    </row>
    <row r="98" spans="1:25" x14ac:dyDescent="0.3">
      <c r="A98" s="350"/>
      <c r="B98" s="350"/>
      <c r="C98" s="350"/>
      <c r="D98" s="350"/>
      <c r="E98" s="350" t="s">
        <v>1006</v>
      </c>
      <c r="F98" s="306">
        <v>4100781</v>
      </c>
      <c r="G98" s="307">
        <v>4100783</v>
      </c>
      <c r="H98" s="308"/>
      <c r="I98" s="309"/>
      <c r="J98" s="310">
        <v>0</v>
      </c>
      <c r="K98" s="311">
        <v>0</v>
      </c>
      <c r="L98" s="311">
        <v>0</v>
      </c>
      <c r="M98" s="311">
        <v>0</v>
      </c>
      <c r="N98" s="311">
        <v>0</v>
      </c>
      <c r="O98" s="311">
        <v>0</v>
      </c>
      <c r="P98" s="311">
        <v>0</v>
      </c>
      <c r="Q98" s="311">
        <v>0</v>
      </c>
      <c r="R98" s="311">
        <v>0</v>
      </c>
      <c r="S98" s="311">
        <v>0</v>
      </c>
      <c r="T98" s="311">
        <v>0</v>
      </c>
      <c r="U98" s="312">
        <v>0</v>
      </c>
      <c r="V98" s="313">
        <v>0</v>
      </c>
      <c r="W98" s="314"/>
      <c r="X98" s="315">
        <v>0</v>
      </c>
      <c r="Y98" s="316">
        <v>0</v>
      </c>
    </row>
    <row r="99" spans="1:25" x14ac:dyDescent="0.3">
      <c r="A99" s="233"/>
      <c r="B99" s="234" t="s">
        <v>61</v>
      </c>
      <c r="D99" s="293" t="s">
        <v>1007</v>
      </c>
      <c r="E99" s="294"/>
      <c r="F99" s="295" t="s">
        <v>1008</v>
      </c>
      <c r="G99" s="296"/>
      <c r="H99" s="297"/>
      <c r="I99" s="298"/>
      <c r="J99" s="299">
        <v>0</v>
      </c>
      <c r="K99" s="300">
        <v>0</v>
      </c>
      <c r="L99" s="300">
        <v>0</v>
      </c>
      <c r="M99" s="300">
        <v>0</v>
      </c>
      <c r="N99" s="300">
        <v>0</v>
      </c>
      <c r="O99" s="300">
        <v>0</v>
      </c>
      <c r="P99" s="300">
        <v>0</v>
      </c>
      <c r="Q99" s="300">
        <v>0</v>
      </c>
      <c r="R99" s="300">
        <v>0</v>
      </c>
      <c r="S99" s="300">
        <v>0</v>
      </c>
      <c r="T99" s="300">
        <v>0</v>
      </c>
      <c r="U99" s="301">
        <v>0</v>
      </c>
      <c r="V99" s="302">
        <v>0</v>
      </c>
      <c r="W99" s="303"/>
      <c r="X99" s="304">
        <v>0</v>
      </c>
      <c r="Y99" s="305">
        <v>0</v>
      </c>
    </row>
    <row r="100" spans="1:25" x14ac:dyDescent="0.3">
      <c r="E100" s="250" t="s">
        <v>1009</v>
      </c>
      <c r="F100" s="317">
        <v>4100801</v>
      </c>
      <c r="G100" s="318"/>
      <c r="H100" s="319">
        <v>4100070101</v>
      </c>
      <c r="I100" s="320"/>
      <c r="J100" s="337">
        <v>0</v>
      </c>
      <c r="K100" s="321">
        <v>0</v>
      </c>
      <c r="L100" s="321">
        <v>0</v>
      </c>
      <c r="M100" s="321">
        <v>0</v>
      </c>
      <c r="N100" s="321">
        <v>0</v>
      </c>
      <c r="O100" s="321">
        <v>0</v>
      </c>
      <c r="P100" s="321">
        <v>0</v>
      </c>
      <c r="Q100" s="321">
        <v>0</v>
      </c>
      <c r="R100" s="321">
        <v>0</v>
      </c>
      <c r="S100" s="321">
        <v>0</v>
      </c>
      <c r="T100" s="321">
        <v>0</v>
      </c>
      <c r="U100" s="322">
        <v>0</v>
      </c>
      <c r="V100" s="323">
        <v>0</v>
      </c>
      <c r="W100" s="303"/>
      <c r="X100" s="324">
        <v>0</v>
      </c>
      <c r="Y100" s="325">
        <v>0</v>
      </c>
    </row>
    <row r="101" spans="1:25" x14ac:dyDescent="0.3">
      <c r="A101" s="326"/>
      <c r="B101" s="326"/>
      <c r="C101" s="326"/>
      <c r="D101" s="326"/>
      <c r="E101" s="326" t="s">
        <v>1010</v>
      </c>
      <c r="F101" s="336"/>
      <c r="G101" s="327"/>
      <c r="H101" s="328"/>
      <c r="I101" s="329"/>
      <c r="J101" s="337">
        <v>0</v>
      </c>
      <c r="K101" s="330">
        <v>0</v>
      </c>
      <c r="L101" s="330">
        <v>0</v>
      </c>
      <c r="M101" s="330">
        <v>0</v>
      </c>
      <c r="N101" s="330">
        <v>0</v>
      </c>
      <c r="O101" s="330">
        <v>0</v>
      </c>
      <c r="P101" s="330">
        <v>0</v>
      </c>
      <c r="Q101" s="330">
        <v>0</v>
      </c>
      <c r="R101" s="330">
        <v>0</v>
      </c>
      <c r="S101" s="330">
        <v>0</v>
      </c>
      <c r="T101" s="330">
        <v>0</v>
      </c>
      <c r="U101" s="331">
        <v>0</v>
      </c>
      <c r="V101" s="332">
        <v>0</v>
      </c>
      <c r="W101" s="333"/>
      <c r="X101" s="334">
        <v>0</v>
      </c>
      <c r="Y101" s="335">
        <v>0</v>
      </c>
    </row>
    <row r="102" spans="1:25" x14ac:dyDescent="0.3">
      <c r="A102" s="326"/>
      <c r="B102" s="326"/>
      <c r="C102" s="326"/>
      <c r="D102" s="326"/>
      <c r="E102" s="326" t="s">
        <v>1011</v>
      </c>
      <c r="F102" s="336"/>
      <c r="G102" s="327"/>
      <c r="H102" s="328"/>
      <c r="I102" s="329"/>
      <c r="J102" s="337">
        <v>0</v>
      </c>
      <c r="K102" s="330">
        <v>0</v>
      </c>
      <c r="L102" s="330">
        <v>0</v>
      </c>
      <c r="M102" s="330">
        <v>0</v>
      </c>
      <c r="N102" s="330">
        <v>0</v>
      </c>
      <c r="O102" s="330">
        <v>0</v>
      </c>
      <c r="P102" s="330">
        <v>0</v>
      </c>
      <c r="Q102" s="330">
        <v>0</v>
      </c>
      <c r="R102" s="330">
        <v>0</v>
      </c>
      <c r="S102" s="330">
        <v>0</v>
      </c>
      <c r="T102" s="330">
        <v>0</v>
      </c>
      <c r="U102" s="331">
        <v>0</v>
      </c>
      <c r="V102" s="332">
        <v>0</v>
      </c>
      <c r="W102" s="333"/>
      <c r="X102" s="334">
        <v>0</v>
      </c>
      <c r="Y102" s="335">
        <v>0</v>
      </c>
    </row>
    <row r="103" spans="1:25" x14ac:dyDescent="0.3">
      <c r="A103" s="326"/>
      <c r="B103" s="326"/>
      <c r="C103" s="326"/>
      <c r="D103" s="326"/>
      <c r="E103" s="326" t="s">
        <v>1012</v>
      </c>
      <c r="F103" s="336"/>
      <c r="G103" s="327"/>
      <c r="H103" s="328"/>
      <c r="I103" s="329"/>
      <c r="J103" s="337">
        <v>0</v>
      </c>
      <c r="K103" s="330">
        <v>0</v>
      </c>
      <c r="L103" s="330">
        <v>0</v>
      </c>
      <c r="M103" s="330">
        <v>0</v>
      </c>
      <c r="N103" s="330">
        <v>0</v>
      </c>
      <c r="O103" s="330">
        <v>0</v>
      </c>
      <c r="P103" s="330">
        <v>0</v>
      </c>
      <c r="Q103" s="330">
        <v>0</v>
      </c>
      <c r="R103" s="330">
        <v>0</v>
      </c>
      <c r="S103" s="330">
        <v>0</v>
      </c>
      <c r="T103" s="330">
        <v>0</v>
      </c>
      <c r="U103" s="331">
        <v>0</v>
      </c>
      <c r="V103" s="332">
        <v>0</v>
      </c>
      <c r="W103" s="333"/>
      <c r="X103" s="334">
        <v>0</v>
      </c>
      <c r="Y103" s="335">
        <v>0</v>
      </c>
    </row>
    <row r="104" spans="1:25" x14ac:dyDescent="0.3">
      <c r="A104" s="233"/>
      <c r="B104" s="234" t="s">
        <v>4</v>
      </c>
      <c r="D104" s="294" t="s">
        <v>1013</v>
      </c>
      <c r="E104" s="294"/>
      <c r="F104" s="295" t="s">
        <v>1014</v>
      </c>
      <c r="G104" s="296"/>
      <c r="H104" s="297"/>
      <c r="I104" s="298"/>
      <c r="J104" s="299">
        <v>0</v>
      </c>
      <c r="K104" s="300">
        <v>0</v>
      </c>
      <c r="L104" s="300">
        <v>0</v>
      </c>
      <c r="M104" s="300">
        <v>0</v>
      </c>
      <c r="N104" s="300">
        <v>0</v>
      </c>
      <c r="O104" s="300">
        <v>0</v>
      </c>
      <c r="P104" s="300">
        <v>0</v>
      </c>
      <c r="Q104" s="300">
        <v>0</v>
      </c>
      <c r="R104" s="300">
        <v>0</v>
      </c>
      <c r="S104" s="300">
        <v>0</v>
      </c>
      <c r="T104" s="300">
        <v>0</v>
      </c>
      <c r="U104" s="301">
        <v>0</v>
      </c>
      <c r="V104" s="302">
        <v>0</v>
      </c>
      <c r="W104" s="303"/>
      <c r="X104" s="304">
        <v>0</v>
      </c>
      <c r="Y104" s="305">
        <v>0</v>
      </c>
    </row>
    <row r="105" spans="1:25" x14ac:dyDescent="0.3">
      <c r="E105" s="250" t="s">
        <v>1015</v>
      </c>
      <c r="F105" s="317">
        <v>4101001</v>
      </c>
      <c r="G105" s="318"/>
      <c r="H105" s="319">
        <v>4100050101</v>
      </c>
      <c r="I105" s="320"/>
      <c r="J105" s="337">
        <v>0</v>
      </c>
      <c r="K105" s="321">
        <v>0</v>
      </c>
      <c r="L105" s="321">
        <v>0</v>
      </c>
      <c r="M105" s="321">
        <v>0</v>
      </c>
      <c r="N105" s="321">
        <v>0</v>
      </c>
      <c r="O105" s="321">
        <v>0</v>
      </c>
      <c r="P105" s="321">
        <v>0</v>
      </c>
      <c r="Q105" s="321">
        <v>0</v>
      </c>
      <c r="R105" s="321">
        <v>0</v>
      </c>
      <c r="S105" s="321">
        <v>0</v>
      </c>
      <c r="T105" s="321">
        <v>0</v>
      </c>
      <c r="U105" s="322">
        <v>0</v>
      </c>
      <c r="V105" s="323">
        <v>0</v>
      </c>
      <c r="W105" s="303"/>
      <c r="X105" s="324">
        <v>0</v>
      </c>
      <c r="Y105" s="325">
        <v>0</v>
      </c>
    </row>
    <row r="106" spans="1:25" x14ac:dyDescent="0.3">
      <c r="E106" s="250" t="s">
        <v>1016</v>
      </c>
      <c r="F106" s="317">
        <v>4101002</v>
      </c>
      <c r="G106" s="318"/>
      <c r="H106" s="319"/>
      <c r="I106" s="320"/>
      <c r="J106" s="337">
        <v>0</v>
      </c>
      <c r="K106" s="321">
        <v>0</v>
      </c>
      <c r="L106" s="321">
        <v>0</v>
      </c>
      <c r="M106" s="321">
        <v>0</v>
      </c>
      <c r="N106" s="321">
        <v>0</v>
      </c>
      <c r="O106" s="321">
        <v>0</v>
      </c>
      <c r="P106" s="321">
        <v>0</v>
      </c>
      <c r="Q106" s="321">
        <v>0</v>
      </c>
      <c r="R106" s="321">
        <v>0</v>
      </c>
      <c r="S106" s="321">
        <v>0</v>
      </c>
      <c r="T106" s="321">
        <v>0</v>
      </c>
      <c r="U106" s="322">
        <v>0</v>
      </c>
      <c r="V106" s="323">
        <v>0</v>
      </c>
      <c r="W106" s="303"/>
      <c r="X106" s="324">
        <v>0</v>
      </c>
      <c r="Y106" s="325">
        <v>0</v>
      </c>
    </row>
    <row r="107" spans="1:25" x14ac:dyDescent="0.3">
      <c r="E107" s="250" t="s">
        <v>1017</v>
      </c>
      <c r="F107" s="317">
        <v>4101003</v>
      </c>
      <c r="G107" s="318"/>
      <c r="H107" s="319">
        <v>4100050103</v>
      </c>
      <c r="I107" s="320"/>
      <c r="J107" s="337">
        <v>0</v>
      </c>
      <c r="K107" s="321">
        <v>0</v>
      </c>
      <c r="L107" s="321">
        <v>0</v>
      </c>
      <c r="M107" s="321">
        <v>0</v>
      </c>
      <c r="N107" s="321">
        <v>0</v>
      </c>
      <c r="O107" s="321">
        <v>0</v>
      </c>
      <c r="P107" s="321">
        <v>0</v>
      </c>
      <c r="Q107" s="321">
        <v>0</v>
      </c>
      <c r="R107" s="321">
        <v>0</v>
      </c>
      <c r="S107" s="321">
        <v>0</v>
      </c>
      <c r="T107" s="321">
        <v>0</v>
      </c>
      <c r="U107" s="322">
        <v>0</v>
      </c>
      <c r="V107" s="323">
        <v>0</v>
      </c>
      <c r="W107" s="303"/>
      <c r="X107" s="324">
        <v>0</v>
      </c>
      <c r="Y107" s="325">
        <v>0</v>
      </c>
    </row>
    <row r="108" spans="1:25" x14ac:dyDescent="0.3">
      <c r="E108" s="250" t="s">
        <v>1018</v>
      </c>
      <c r="F108" s="317">
        <v>4101099</v>
      </c>
      <c r="G108" s="318"/>
      <c r="H108" s="319">
        <v>4100050105</v>
      </c>
      <c r="I108" s="320"/>
      <c r="J108" s="337">
        <v>0</v>
      </c>
      <c r="K108" s="321">
        <v>0</v>
      </c>
      <c r="L108" s="321">
        <v>0</v>
      </c>
      <c r="M108" s="321">
        <v>0</v>
      </c>
      <c r="N108" s="321">
        <v>0</v>
      </c>
      <c r="O108" s="321">
        <v>0</v>
      </c>
      <c r="P108" s="321">
        <v>0</v>
      </c>
      <c r="Q108" s="321">
        <v>0</v>
      </c>
      <c r="R108" s="321">
        <v>0</v>
      </c>
      <c r="S108" s="321">
        <v>0</v>
      </c>
      <c r="T108" s="321">
        <v>0</v>
      </c>
      <c r="U108" s="322">
        <v>0</v>
      </c>
      <c r="V108" s="323">
        <v>0</v>
      </c>
      <c r="W108" s="303"/>
      <c r="X108" s="324">
        <v>0</v>
      </c>
      <c r="Y108" s="325">
        <v>0</v>
      </c>
    </row>
    <row r="109" spans="1:25" x14ac:dyDescent="0.3">
      <c r="A109" s="361"/>
      <c r="B109" s="361"/>
      <c r="C109" s="361"/>
      <c r="D109" s="361"/>
      <c r="E109" s="326" t="s">
        <v>1019</v>
      </c>
      <c r="F109" s="351"/>
      <c r="G109" s="352"/>
      <c r="H109" s="353"/>
      <c r="I109" s="354"/>
      <c r="J109" s="337">
        <v>0</v>
      </c>
      <c r="K109" s="355">
        <v>0</v>
      </c>
      <c r="L109" s="355">
        <v>0</v>
      </c>
      <c r="M109" s="355">
        <v>0</v>
      </c>
      <c r="N109" s="355">
        <v>0</v>
      </c>
      <c r="O109" s="355">
        <v>0</v>
      </c>
      <c r="P109" s="355">
        <v>0</v>
      </c>
      <c r="Q109" s="355">
        <v>0</v>
      </c>
      <c r="R109" s="355">
        <v>0</v>
      </c>
      <c r="S109" s="355">
        <v>0</v>
      </c>
      <c r="T109" s="355">
        <v>0</v>
      </c>
      <c r="U109" s="356">
        <v>0</v>
      </c>
      <c r="V109" s="357">
        <v>0</v>
      </c>
      <c r="W109" s="358"/>
      <c r="X109" s="359">
        <v>0</v>
      </c>
      <c r="Y109" s="360">
        <v>0</v>
      </c>
    </row>
    <row r="110" spans="1:25" x14ac:dyDescent="0.3">
      <c r="A110" s="361"/>
      <c r="B110" s="361"/>
      <c r="C110" s="361"/>
      <c r="D110" s="361"/>
      <c r="E110" s="326" t="s">
        <v>1020</v>
      </c>
      <c r="F110" s="351"/>
      <c r="G110" s="352"/>
      <c r="H110" s="353"/>
      <c r="I110" s="354"/>
      <c r="J110" s="337">
        <v>0</v>
      </c>
      <c r="K110" s="355">
        <v>0</v>
      </c>
      <c r="L110" s="355">
        <v>0</v>
      </c>
      <c r="M110" s="355">
        <v>0</v>
      </c>
      <c r="N110" s="355">
        <v>0</v>
      </c>
      <c r="O110" s="355">
        <v>0</v>
      </c>
      <c r="P110" s="355">
        <v>0</v>
      </c>
      <c r="Q110" s="355">
        <v>0</v>
      </c>
      <c r="R110" s="355">
        <v>0</v>
      </c>
      <c r="S110" s="355">
        <v>0</v>
      </c>
      <c r="T110" s="355">
        <v>0</v>
      </c>
      <c r="U110" s="356">
        <v>0</v>
      </c>
      <c r="V110" s="357">
        <v>0</v>
      </c>
      <c r="W110" s="358"/>
      <c r="X110" s="359">
        <v>0</v>
      </c>
      <c r="Y110" s="360">
        <v>0</v>
      </c>
    </row>
    <row r="111" spans="1:25" x14ac:dyDescent="0.3">
      <c r="A111" s="361"/>
      <c r="B111" s="361"/>
      <c r="C111" s="361"/>
      <c r="D111" s="361"/>
      <c r="E111" s="326" t="s">
        <v>1021</v>
      </c>
      <c r="F111" s="351"/>
      <c r="G111" s="352"/>
      <c r="H111" s="353"/>
      <c r="I111" s="354"/>
      <c r="J111" s="337">
        <v>0</v>
      </c>
      <c r="K111" s="355">
        <v>0</v>
      </c>
      <c r="L111" s="355">
        <v>0</v>
      </c>
      <c r="M111" s="355">
        <v>0</v>
      </c>
      <c r="N111" s="355">
        <v>0</v>
      </c>
      <c r="O111" s="355">
        <v>0</v>
      </c>
      <c r="P111" s="355">
        <v>0</v>
      </c>
      <c r="Q111" s="355">
        <v>0</v>
      </c>
      <c r="R111" s="355">
        <v>0</v>
      </c>
      <c r="S111" s="355">
        <v>0</v>
      </c>
      <c r="T111" s="355">
        <v>0</v>
      </c>
      <c r="U111" s="356">
        <v>0</v>
      </c>
      <c r="V111" s="357">
        <v>0</v>
      </c>
      <c r="W111" s="358"/>
      <c r="X111" s="359">
        <v>0</v>
      </c>
      <c r="Y111" s="360">
        <v>0</v>
      </c>
    </row>
    <row r="112" spans="1:25" x14ac:dyDescent="0.3">
      <c r="A112" s="361"/>
      <c r="B112" s="361"/>
      <c r="C112" s="361"/>
      <c r="D112" s="361"/>
      <c r="E112" s="326" t="s">
        <v>1022</v>
      </c>
      <c r="F112" s="351"/>
      <c r="G112" s="352"/>
      <c r="H112" s="353"/>
      <c r="I112" s="354"/>
      <c r="J112" s="337">
        <v>0</v>
      </c>
      <c r="K112" s="355">
        <v>0</v>
      </c>
      <c r="L112" s="355">
        <v>0</v>
      </c>
      <c r="M112" s="355">
        <v>0</v>
      </c>
      <c r="N112" s="355">
        <v>0</v>
      </c>
      <c r="O112" s="355">
        <v>0</v>
      </c>
      <c r="P112" s="355">
        <v>0</v>
      </c>
      <c r="Q112" s="355">
        <v>0</v>
      </c>
      <c r="R112" s="355">
        <v>0</v>
      </c>
      <c r="S112" s="355">
        <v>0</v>
      </c>
      <c r="T112" s="355">
        <v>0</v>
      </c>
      <c r="U112" s="356">
        <v>0</v>
      </c>
      <c r="V112" s="357">
        <v>0</v>
      </c>
      <c r="W112" s="358"/>
      <c r="X112" s="359">
        <v>0</v>
      </c>
      <c r="Y112" s="360">
        <v>0</v>
      </c>
    </row>
    <row r="113" spans="1:25" x14ac:dyDescent="0.3">
      <c r="A113" s="361"/>
      <c r="B113" s="361"/>
      <c r="C113" s="361"/>
      <c r="D113" s="361"/>
      <c r="E113" s="326" t="s">
        <v>1023</v>
      </c>
      <c r="F113" s="351"/>
      <c r="G113" s="352"/>
      <c r="H113" s="353"/>
      <c r="I113" s="354"/>
      <c r="J113" s="337">
        <v>0</v>
      </c>
      <c r="K113" s="355">
        <v>0</v>
      </c>
      <c r="L113" s="355">
        <v>0</v>
      </c>
      <c r="M113" s="355">
        <v>0</v>
      </c>
      <c r="N113" s="355">
        <v>0</v>
      </c>
      <c r="O113" s="355">
        <v>0</v>
      </c>
      <c r="P113" s="355">
        <v>0</v>
      </c>
      <c r="Q113" s="355">
        <v>0</v>
      </c>
      <c r="R113" s="355">
        <v>0</v>
      </c>
      <c r="S113" s="355">
        <v>0</v>
      </c>
      <c r="T113" s="355">
        <v>0</v>
      </c>
      <c r="U113" s="356">
        <v>0</v>
      </c>
      <c r="V113" s="357">
        <v>0</v>
      </c>
      <c r="W113" s="358"/>
      <c r="X113" s="359">
        <v>0</v>
      </c>
      <c r="Y113" s="360">
        <v>0</v>
      </c>
    </row>
    <row r="114" spans="1:25" x14ac:dyDescent="0.3">
      <c r="A114" s="233"/>
      <c r="B114" s="234" t="s">
        <v>4</v>
      </c>
      <c r="D114" s="293" t="s">
        <v>1024</v>
      </c>
      <c r="E114" s="294"/>
      <c r="F114" s="295" t="s">
        <v>1025</v>
      </c>
      <c r="G114" s="296"/>
      <c r="H114" s="297"/>
      <c r="I114" s="298"/>
      <c r="J114" s="299">
        <v>0</v>
      </c>
      <c r="K114" s="300">
        <v>0</v>
      </c>
      <c r="L114" s="300">
        <v>0</v>
      </c>
      <c r="M114" s="300">
        <v>0</v>
      </c>
      <c r="N114" s="300">
        <v>0</v>
      </c>
      <c r="O114" s="300">
        <v>0</v>
      </c>
      <c r="P114" s="300">
        <v>0</v>
      </c>
      <c r="Q114" s="300">
        <v>0</v>
      </c>
      <c r="R114" s="300">
        <v>0</v>
      </c>
      <c r="S114" s="300">
        <v>0</v>
      </c>
      <c r="T114" s="300">
        <v>0</v>
      </c>
      <c r="U114" s="301">
        <v>0</v>
      </c>
      <c r="V114" s="302">
        <v>0</v>
      </c>
      <c r="W114" s="303"/>
      <c r="X114" s="304">
        <v>0</v>
      </c>
      <c r="Y114" s="305">
        <v>0</v>
      </c>
    </row>
    <row r="115" spans="1:25" x14ac:dyDescent="0.3">
      <c r="E115" s="250" t="s">
        <v>1026</v>
      </c>
      <c r="F115" s="317">
        <v>4409882</v>
      </c>
      <c r="G115" s="318"/>
      <c r="H115" s="319">
        <v>4100050107</v>
      </c>
      <c r="I115" s="320"/>
      <c r="J115" s="337">
        <v>0</v>
      </c>
      <c r="K115" s="321">
        <v>0</v>
      </c>
      <c r="L115" s="321">
        <v>0</v>
      </c>
      <c r="M115" s="321">
        <v>0</v>
      </c>
      <c r="N115" s="321">
        <v>0</v>
      </c>
      <c r="O115" s="321">
        <v>0</v>
      </c>
      <c r="P115" s="321">
        <v>0</v>
      </c>
      <c r="Q115" s="321">
        <v>0</v>
      </c>
      <c r="R115" s="321">
        <v>0</v>
      </c>
      <c r="S115" s="321">
        <v>0</v>
      </c>
      <c r="T115" s="321">
        <v>0</v>
      </c>
      <c r="U115" s="322">
        <v>0</v>
      </c>
      <c r="V115" s="323">
        <v>0</v>
      </c>
      <c r="W115" s="303"/>
      <c r="X115" s="324">
        <v>0</v>
      </c>
      <c r="Y115" s="325">
        <v>0</v>
      </c>
    </row>
    <row r="116" spans="1:25" x14ac:dyDescent="0.3">
      <c r="A116" s="326"/>
      <c r="B116" s="326"/>
      <c r="C116" s="326"/>
      <c r="D116" s="326"/>
      <c r="E116" s="326" t="s">
        <v>1027</v>
      </c>
      <c r="F116" s="336"/>
      <c r="G116" s="327"/>
      <c r="H116" s="328"/>
      <c r="I116" s="329"/>
      <c r="J116" s="337">
        <v>0</v>
      </c>
      <c r="K116" s="330">
        <v>0</v>
      </c>
      <c r="L116" s="330">
        <v>0</v>
      </c>
      <c r="M116" s="330">
        <v>0</v>
      </c>
      <c r="N116" s="330">
        <v>0</v>
      </c>
      <c r="O116" s="330">
        <v>0</v>
      </c>
      <c r="P116" s="330">
        <v>0</v>
      </c>
      <c r="Q116" s="330">
        <v>0</v>
      </c>
      <c r="R116" s="330">
        <v>0</v>
      </c>
      <c r="S116" s="330">
        <v>0</v>
      </c>
      <c r="T116" s="330">
        <v>0</v>
      </c>
      <c r="U116" s="331">
        <v>0</v>
      </c>
      <c r="V116" s="332">
        <v>0</v>
      </c>
      <c r="W116" s="333"/>
      <c r="X116" s="334">
        <v>0</v>
      </c>
      <c r="Y116" s="335">
        <v>0</v>
      </c>
    </row>
    <row r="117" spans="1:25" x14ac:dyDescent="0.3">
      <c r="A117" s="326"/>
      <c r="B117" s="326"/>
      <c r="C117" s="326"/>
      <c r="D117" s="326"/>
      <c r="E117" s="326" t="s">
        <v>1028</v>
      </c>
      <c r="F117" s="336"/>
      <c r="G117" s="327"/>
      <c r="H117" s="328"/>
      <c r="I117" s="329"/>
      <c r="J117" s="337">
        <v>0</v>
      </c>
      <c r="K117" s="330">
        <v>0</v>
      </c>
      <c r="L117" s="330">
        <v>0</v>
      </c>
      <c r="M117" s="330">
        <v>0</v>
      </c>
      <c r="N117" s="330">
        <v>0</v>
      </c>
      <c r="O117" s="330">
        <v>0</v>
      </c>
      <c r="P117" s="330">
        <v>0</v>
      </c>
      <c r="Q117" s="330">
        <v>0</v>
      </c>
      <c r="R117" s="330">
        <v>0</v>
      </c>
      <c r="S117" s="330">
        <v>0</v>
      </c>
      <c r="T117" s="330">
        <v>0</v>
      </c>
      <c r="U117" s="331">
        <v>0</v>
      </c>
      <c r="V117" s="332">
        <v>0</v>
      </c>
      <c r="W117" s="333"/>
      <c r="X117" s="334">
        <v>0</v>
      </c>
      <c r="Y117" s="335">
        <v>0</v>
      </c>
    </row>
    <row r="118" spans="1:25" x14ac:dyDescent="0.3">
      <c r="A118" s="326"/>
      <c r="B118" s="326"/>
      <c r="C118" s="326"/>
      <c r="D118" s="326"/>
      <c r="E118" s="326" t="s">
        <v>1029</v>
      </c>
      <c r="F118" s="336"/>
      <c r="G118" s="327"/>
      <c r="H118" s="328"/>
      <c r="I118" s="329"/>
      <c r="J118" s="337">
        <v>0</v>
      </c>
      <c r="K118" s="330">
        <v>0</v>
      </c>
      <c r="L118" s="330">
        <v>0</v>
      </c>
      <c r="M118" s="330">
        <v>0</v>
      </c>
      <c r="N118" s="330">
        <v>0</v>
      </c>
      <c r="O118" s="330">
        <v>0</v>
      </c>
      <c r="P118" s="330">
        <v>0</v>
      </c>
      <c r="Q118" s="330">
        <v>0</v>
      </c>
      <c r="R118" s="330">
        <v>0</v>
      </c>
      <c r="S118" s="330">
        <v>0</v>
      </c>
      <c r="T118" s="330">
        <v>0</v>
      </c>
      <c r="U118" s="331">
        <v>0</v>
      </c>
      <c r="V118" s="332">
        <v>0</v>
      </c>
      <c r="W118" s="333"/>
      <c r="X118" s="334">
        <v>0</v>
      </c>
      <c r="Y118" s="335">
        <v>0</v>
      </c>
    </row>
    <row r="119" spans="1:25" x14ac:dyDescent="0.3">
      <c r="A119" s="233"/>
      <c r="B119" s="234" t="s">
        <v>5</v>
      </c>
      <c r="D119" s="294" t="s">
        <v>1030</v>
      </c>
      <c r="E119" s="294"/>
      <c r="F119" s="295" t="s">
        <v>1031</v>
      </c>
      <c r="G119" s="296"/>
      <c r="H119" s="297"/>
      <c r="I119" s="298"/>
      <c r="J119" s="299">
        <v>0</v>
      </c>
      <c r="K119" s="300">
        <v>0</v>
      </c>
      <c r="L119" s="300">
        <v>0</v>
      </c>
      <c r="M119" s="300">
        <v>0</v>
      </c>
      <c r="N119" s="300">
        <v>0</v>
      </c>
      <c r="O119" s="300">
        <v>0</v>
      </c>
      <c r="P119" s="300">
        <v>0</v>
      </c>
      <c r="Q119" s="300">
        <v>0</v>
      </c>
      <c r="R119" s="300">
        <v>0</v>
      </c>
      <c r="S119" s="300">
        <v>0</v>
      </c>
      <c r="T119" s="300">
        <v>0</v>
      </c>
      <c r="U119" s="301">
        <v>0</v>
      </c>
      <c r="V119" s="302">
        <v>0</v>
      </c>
      <c r="W119" s="303"/>
      <c r="X119" s="304">
        <v>0</v>
      </c>
      <c r="Y119" s="305">
        <v>0</v>
      </c>
    </row>
    <row r="120" spans="1:25" x14ac:dyDescent="0.3">
      <c r="E120" s="250" t="s">
        <v>1032</v>
      </c>
      <c r="F120" s="317">
        <v>4109001</v>
      </c>
      <c r="G120" s="318"/>
      <c r="H120" s="319">
        <v>4100990109</v>
      </c>
      <c r="I120" s="320"/>
      <c r="J120" s="337">
        <v>0</v>
      </c>
      <c r="K120" s="321">
        <v>0</v>
      </c>
      <c r="L120" s="321">
        <v>0</v>
      </c>
      <c r="M120" s="321">
        <v>0</v>
      </c>
      <c r="N120" s="321">
        <v>0</v>
      </c>
      <c r="O120" s="321">
        <v>0</v>
      </c>
      <c r="P120" s="321">
        <v>0</v>
      </c>
      <c r="Q120" s="321">
        <v>0</v>
      </c>
      <c r="R120" s="321">
        <v>0</v>
      </c>
      <c r="S120" s="321">
        <v>0</v>
      </c>
      <c r="T120" s="321">
        <v>0</v>
      </c>
      <c r="U120" s="322">
        <v>0</v>
      </c>
      <c r="V120" s="323">
        <v>0</v>
      </c>
      <c r="W120" s="303"/>
      <c r="X120" s="324">
        <v>0</v>
      </c>
      <c r="Y120" s="325">
        <v>0</v>
      </c>
    </row>
    <row r="121" spans="1:25" x14ac:dyDescent="0.3">
      <c r="E121" s="250" t="s">
        <v>1033</v>
      </c>
      <c r="F121" s="317">
        <v>4109002</v>
      </c>
      <c r="G121" s="318">
        <v>4109022</v>
      </c>
      <c r="H121" s="319"/>
      <c r="I121" s="320"/>
      <c r="J121" s="337">
        <v>0</v>
      </c>
      <c r="K121" s="321">
        <v>0</v>
      </c>
      <c r="L121" s="321">
        <v>0</v>
      </c>
      <c r="M121" s="321">
        <v>0</v>
      </c>
      <c r="N121" s="321">
        <v>0</v>
      </c>
      <c r="O121" s="321">
        <v>0</v>
      </c>
      <c r="P121" s="321">
        <v>0</v>
      </c>
      <c r="Q121" s="321">
        <v>0</v>
      </c>
      <c r="R121" s="321">
        <v>0</v>
      </c>
      <c r="S121" s="321">
        <v>0</v>
      </c>
      <c r="T121" s="321">
        <v>0</v>
      </c>
      <c r="U121" s="322">
        <v>0</v>
      </c>
      <c r="V121" s="323">
        <v>0</v>
      </c>
      <c r="W121" s="303"/>
      <c r="X121" s="324">
        <v>0</v>
      </c>
      <c r="Y121" s="325">
        <v>0</v>
      </c>
    </row>
    <row r="122" spans="1:25" x14ac:dyDescent="0.3">
      <c r="E122" s="250" t="s">
        <v>1034</v>
      </c>
      <c r="F122" s="317">
        <v>4109003</v>
      </c>
      <c r="G122" s="318"/>
      <c r="H122" s="319">
        <v>4100990101</v>
      </c>
      <c r="I122" s="320"/>
      <c r="J122" s="337">
        <v>0</v>
      </c>
      <c r="K122" s="321">
        <v>0</v>
      </c>
      <c r="L122" s="321">
        <v>0</v>
      </c>
      <c r="M122" s="321">
        <v>0</v>
      </c>
      <c r="N122" s="321">
        <v>0</v>
      </c>
      <c r="O122" s="321">
        <v>0</v>
      </c>
      <c r="P122" s="321">
        <v>0</v>
      </c>
      <c r="Q122" s="321">
        <v>0</v>
      </c>
      <c r="R122" s="321">
        <v>0</v>
      </c>
      <c r="S122" s="321">
        <v>0</v>
      </c>
      <c r="T122" s="321">
        <v>0</v>
      </c>
      <c r="U122" s="322">
        <v>0</v>
      </c>
      <c r="V122" s="323">
        <v>0</v>
      </c>
      <c r="W122" s="303"/>
      <c r="X122" s="324">
        <v>0</v>
      </c>
      <c r="Y122" s="325">
        <v>0</v>
      </c>
    </row>
    <row r="123" spans="1:25" x14ac:dyDescent="0.3">
      <c r="E123" s="250" t="s">
        <v>1035</v>
      </c>
      <c r="F123" s="317">
        <v>4109004</v>
      </c>
      <c r="G123" s="318"/>
      <c r="H123" s="319"/>
      <c r="I123" s="320"/>
      <c r="J123" s="337">
        <v>0</v>
      </c>
      <c r="K123" s="321">
        <v>0</v>
      </c>
      <c r="L123" s="321">
        <v>0</v>
      </c>
      <c r="M123" s="321">
        <v>0</v>
      </c>
      <c r="N123" s="321">
        <v>0</v>
      </c>
      <c r="O123" s="321">
        <v>0</v>
      </c>
      <c r="P123" s="321">
        <v>0</v>
      </c>
      <c r="Q123" s="321">
        <v>0</v>
      </c>
      <c r="R123" s="321">
        <v>0</v>
      </c>
      <c r="S123" s="321">
        <v>0</v>
      </c>
      <c r="T123" s="321">
        <v>0</v>
      </c>
      <c r="U123" s="322">
        <v>0</v>
      </c>
      <c r="V123" s="323">
        <v>0</v>
      </c>
      <c r="W123" s="303"/>
      <c r="X123" s="324">
        <v>0</v>
      </c>
      <c r="Y123" s="325">
        <v>0</v>
      </c>
    </row>
    <row r="124" spans="1:25" x14ac:dyDescent="0.3">
      <c r="E124" s="250" t="s">
        <v>1036</v>
      </c>
      <c r="F124" s="317">
        <v>4109005</v>
      </c>
      <c r="G124" s="318"/>
      <c r="H124" s="319"/>
      <c r="I124" s="320"/>
      <c r="J124" s="337">
        <v>0</v>
      </c>
      <c r="K124" s="321">
        <v>0</v>
      </c>
      <c r="L124" s="321">
        <v>0</v>
      </c>
      <c r="M124" s="321">
        <v>0</v>
      </c>
      <c r="N124" s="321">
        <v>0</v>
      </c>
      <c r="O124" s="321">
        <v>0</v>
      </c>
      <c r="P124" s="321">
        <v>0</v>
      </c>
      <c r="Q124" s="321">
        <v>0</v>
      </c>
      <c r="R124" s="321">
        <v>0</v>
      </c>
      <c r="S124" s="321">
        <v>0</v>
      </c>
      <c r="T124" s="321">
        <v>0</v>
      </c>
      <c r="U124" s="322">
        <v>0</v>
      </c>
      <c r="V124" s="323">
        <v>0</v>
      </c>
      <c r="W124" s="303"/>
      <c r="X124" s="324">
        <v>0</v>
      </c>
      <c r="Y124" s="325">
        <v>0</v>
      </c>
    </row>
    <row r="125" spans="1:25" x14ac:dyDescent="0.3">
      <c r="E125" s="250" t="s">
        <v>1037</v>
      </c>
      <c r="F125" s="317">
        <v>4109006</v>
      </c>
      <c r="G125" s="318"/>
      <c r="H125" s="319"/>
      <c r="I125" s="320"/>
      <c r="J125" s="337">
        <v>0</v>
      </c>
      <c r="K125" s="321">
        <v>0</v>
      </c>
      <c r="L125" s="321">
        <v>0</v>
      </c>
      <c r="M125" s="321">
        <v>0</v>
      </c>
      <c r="N125" s="321">
        <v>0</v>
      </c>
      <c r="O125" s="321">
        <v>0</v>
      </c>
      <c r="P125" s="321">
        <v>0</v>
      </c>
      <c r="Q125" s="321">
        <v>0</v>
      </c>
      <c r="R125" s="321">
        <v>0</v>
      </c>
      <c r="S125" s="321">
        <v>0</v>
      </c>
      <c r="T125" s="321">
        <v>0</v>
      </c>
      <c r="U125" s="322">
        <v>0</v>
      </c>
      <c r="V125" s="323">
        <v>0</v>
      </c>
      <c r="W125" s="303"/>
      <c r="X125" s="324">
        <v>0</v>
      </c>
      <c r="Y125" s="325">
        <v>0</v>
      </c>
    </row>
    <row r="126" spans="1:25" x14ac:dyDescent="0.3">
      <c r="E126" s="250" t="s">
        <v>1038</v>
      </c>
      <c r="F126" s="317">
        <v>4109008</v>
      </c>
      <c r="G126" s="318"/>
      <c r="H126" s="319"/>
      <c r="I126" s="320"/>
      <c r="J126" s="337">
        <v>0</v>
      </c>
      <c r="K126" s="321">
        <v>0</v>
      </c>
      <c r="L126" s="321">
        <v>0</v>
      </c>
      <c r="M126" s="321">
        <v>0</v>
      </c>
      <c r="N126" s="321">
        <v>0</v>
      </c>
      <c r="O126" s="321">
        <v>0</v>
      </c>
      <c r="P126" s="321">
        <v>0</v>
      </c>
      <c r="Q126" s="321">
        <v>0</v>
      </c>
      <c r="R126" s="321">
        <v>0</v>
      </c>
      <c r="S126" s="321">
        <v>0</v>
      </c>
      <c r="T126" s="321">
        <v>0</v>
      </c>
      <c r="U126" s="322">
        <v>0</v>
      </c>
      <c r="V126" s="323">
        <v>0</v>
      </c>
      <c r="W126" s="303"/>
      <c r="X126" s="324">
        <v>0</v>
      </c>
      <c r="Y126" s="325">
        <v>0</v>
      </c>
    </row>
    <row r="127" spans="1:25" x14ac:dyDescent="0.3">
      <c r="E127" s="250" t="s">
        <v>1039</v>
      </c>
      <c r="F127" s="317">
        <v>4109010</v>
      </c>
      <c r="G127" s="318"/>
      <c r="H127" s="319"/>
      <c r="I127" s="320"/>
      <c r="J127" s="337">
        <v>0</v>
      </c>
      <c r="K127" s="321">
        <v>0</v>
      </c>
      <c r="L127" s="321">
        <v>0</v>
      </c>
      <c r="M127" s="321">
        <v>0</v>
      </c>
      <c r="N127" s="321">
        <v>0</v>
      </c>
      <c r="O127" s="321">
        <v>0</v>
      </c>
      <c r="P127" s="321">
        <v>0</v>
      </c>
      <c r="Q127" s="321">
        <v>0</v>
      </c>
      <c r="R127" s="321">
        <v>0</v>
      </c>
      <c r="S127" s="321">
        <v>0</v>
      </c>
      <c r="T127" s="321">
        <v>0</v>
      </c>
      <c r="U127" s="322">
        <v>0</v>
      </c>
      <c r="V127" s="323">
        <v>0</v>
      </c>
      <c r="W127" s="303"/>
      <c r="X127" s="324">
        <v>0</v>
      </c>
      <c r="Y127" s="325">
        <v>0</v>
      </c>
    </row>
    <row r="128" spans="1:25" x14ac:dyDescent="0.3">
      <c r="E128" s="250" t="s">
        <v>1040</v>
      </c>
      <c r="F128" s="317">
        <v>4109011</v>
      </c>
      <c r="G128" s="318"/>
      <c r="H128" s="319"/>
      <c r="I128" s="320"/>
      <c r="J128" s="337">
        <v>0</v>
      </c>
      <c r="K128" s="321">
        <v>0</v>
      </c>
      <c r="L128" s="321">
        <v>0</v>
      </c>
      <c r="M128" s="321">
        <v>0</v>
      </c>
      <c r="N128" s="321">
        <v>0</v>
      </c>
      <c r="O128" s="321">
        <v>0</v>
      </c>
      <c r="P128" s="321">
        <v>0</v>
      </c>
      <c r="Q128" s="321">
        <v>0</v>
      </c>
      <c r="R128" s="321">
        <v>0</v>
      </c>
      <c r="S128" s="321">
        <v>0</v>
      </c>
      <c r="T128" s="321">
        <v>0</v>
      </c>
      <c r="U128" s="322">
        <v>0</v>
      </c>
      <c r="V128" s="323">
        <v>0</v>
      </c>
      <c r="W128" s="303"/>
      <c r="X128" s="324">
        <v>0</v>
      </c>
      <c r="Y128" s="325">
        <v>0</v>
      </c>
    </row>
    <row r="129" spans="1:25" x14ac:dyDescent="0.3">
      <c r="E129" s="250" t="s">
        <v>1041</v>
      </c>
      <c r="F129" s="317">
        <v>4109012</v>
      </c>
      <c r="G129" s="318"/>
      <c r="H129" s="319"/>
      <c r="I129" s="320"/>
      <c r="J129" s="337">
        <v>0</v>
      </c>
      <c r="K129" s="321">
        <v>0</v>
      </c>
      <c r="L129" s="321">
        <v>0</v>
      </c>
      <c r="M129" s="321">
        <v>0</v>
      </c>
      <c r="N129" s="321">
        <v>0</v>
      </c>
      <c r="O129" s="321">
        <v>0</v>
      </c>
      <c r="P129" s="321">
        <v>0</v>
      </c>
      <c r="Q129" s="321">
        <v>0</v>
      </c>
      <c r="R129" s="321">
        <v>0</v>
      </c>
      <c r="S129" s="321">
        <v>0</v>
      </c>
      <c r="T129" s="321">
        <v>0</v>
      </c>
      <c r="U129" s="322">
        <v>0</v>
      </c>
      <c r="V129" s="323">
        <v>0</v>
      </c>
      <c r="W129" s="303"/>
      <c r="X129" s="324">
        <v>0</v>
      </c>
      <c r="Y129" s="325">
        <v>0</v>
      </c>
    </row>
    <row r="130" spans="1:25" x14ac:dyDescent="0.3">
      <c r="E130" s="250" t="s">
        <v>1042</v>
      </c>
      <c r="F130" s="317">
        <v>4109013</v>
      </c>
      <c r="G130" s="318"/>
      <c r="H130" s="319">
        <v>4100990105</v>
      </c>
      <c r="I130" s="320"/>
      <c r="J130" s="337">
        <v>0</v>
      </c>
      <c r="K130" s="321">
        <v>0</v>
      </c>
      <c r="L130" s="321">
        <v>0</v>
      </c>
      <c r="M130" s="321">
        <v>0</v>
      </c>
      <c r="N130" s="321">
        <v>0</v>
      </c>
      <c r="O130" s="321">
        <v>0</v>
      </c>
      <c r="P130" s="321">
        <v>0</v>
      </c>
      <c r="Q130" s="321">
        <v>0</v>
      </c>
      <c r="R130" s="321">
        <v>0</v>
      </c>
      <c r="S130" s="321">
        <v>0</v>
      </c>
      <c r="T130" s="321">
        <v>0</v>
      </c>
      <c r="U130" s="322">
        <v>0</v>
      </c>
      <c r="V130" s="323">
        <v>0</v>
      </c>
      <c r="W130" s="303"/>
      <c r="X130" s="324">
        <v>0</v>
      </c>
      <c r="Y130" s="325">
        <v>0</v>
      </c>
    </row>
    <row r="131" spans="1:25" x14ac:dyDescent="0.3">
      <c r="E131" s="250" t="s">
        <v>1043</v>
      </c>
      <c r="F131" s="317">
        <v>4109014</v>
      </c>
      <c r="G131" s="318"/>
      <c r="H131" s="319"/>
      <c r="I131" s="320"/>
      <c r="J131" s="337">
        <v>0</v>
      </c>
      <c r="K131" s="321">
        <v>0</v>
      </c>
      <c r="L131" s="321">
        <v>0</v>
      </c>
      <c r="M131" s="321">
        <v>0</v>
      </c>
      <c r="N131" s="321">
        <v>0</v>
      </c>
      <c r="O131" s="321">
        <v>0</v>
      </c>
      <c r="P131" s="321">
        <v>0</v>
      </c>
      <c r="Q131" s="321">
        <v>0</v>
      </c>
      <c r="R131" s="321">
        <v>0</v>
      </c>
      <c r="S131" s="321">
        <v>0</v>
      </c>
      <c r="T131" s="321">
        <v>0</v>
      </c>
      <c r="U131" s="322">
        <v>0</v>
      </c>
      <c r="V131" s="323">
        <v>0</v>
      </c>
      <c r="W131" s="303"/>
      <c r="X131" s="324">
        <v>0</v>
      </c>
      <c r="Y131" s="325">
        <v>0</v>
      </c>
    </row>
    <row r="132" spans="1:25" x14ac:dyDescent="0.3">
      <c r="E132" s="250" t="s">
        <v>1044</v>
      </c>
      <c r="F132" s="317">
        <v>4109016</v>
      </c>
      <c r="G132" s="318"/>
      <c r="H132" s="319">
        <v>4100990107</v>
      </c>
      <c r="I132" s="320"/>
      <c r="J132" s="337">
        <v>0</v>
      </c>
      <c r="K132" s="321">
        <v>0</v>
      </c>
      <c r="L132" s="321">
        <v>0</v>
      </c>
      <c r="M132" s="321">
        <v>0</v>
      </c>
      <c r="N132" s="321">
        <v>0</v>
      </c>
      <c r="O132" s="321">
        <v>0</v>
      </c>
      <c r="P132" s="321">
        <v>0</v>
      </c>
      <c r="Q132" s="321">
        <v>0</v>
      </c>
      <c r="R132" s="321">
        <v>0</v>
      </c>
      <c r="S132" s="321">
        <v>0</v>
      </c>
      <c r="T132" s="321">
        <v>0</v>
      </c>
      <c r="U132" s="322">
        <v>0</v>
      </c>
      <c r="V132" s="323">
        <v>0</v>
      </c>
      <c r="W132" s="303"/>
      <c r="X132" s="324">
        <v>0</v>
      </c>
      <c r="Y132" s="325">
        <v>0</v>
      </c>
    </row>
    <row r="133" spans="1:25" x14ac:dyDescent="0.3">
      <c r="E133" s="250" t="s">
        <v>1045</v>
      </c>
      <c r="F133" s="317">
        <v>4109017</v>
      </c>
      <c r="G133" s="318"/>
      <c r="H133" s="319"/>
      <c r="I133" s="320"/>
      <c r="J133" s="337">
        <v>0</v>
      </c>
      <c r="K133" s="321">
        <v>0</v>
      </c>
      <c r="L133" s="321">
        <v>0</v>
      </c>
      <c r="M133" s="321">
        <v>0</v>
      </c>
      <c r="N133" s="321">
        <v>0</v>
      </c>
      <c r="O133" s="321">
        <v>0</v>
      </c>
      <c r="P133" s="321">
        <v>0</v>
      </c>
      <c r="Q133" s="321">
        <v>0</v>
      </c>
      <c r="R133" s="321">
        <v>0</v>
      </c>
      <c r="S133" s="321">
        <v>0</v>
      </c>
      <c r="T133" s="321">
        <v>0</v>
      </c>
      <c r="U133" s="322">
        <v>0</v>
      </c>
      <c r="V133" s="323">
        <v>0</v>
      </c>
      <c r="W133" s="303"/>
      <c r="X133" s="324">
        <v>0</v>
      </c>
      <c r="Y133" s="325">
        <v>0</v>
      </c>
    </row>
    <row r="134" spans="1:25" x14ac:dyDescent="0.3">
      <c r="E134" s="250" t="s">
        <v>1046</v>
      </c>
      <c r="F134" s="317">
        <v>4109019</v>
      </c>
      <c r="G134" s="318"/>
      <c r="H134" s="319"/>
      <c r="I134" s="320"/>
      <c r="J134" s="337">
        <v>0</v>
      </c>
      <c r="K134" s="321">
        <v>0</v>
      </c>
      <c r="L134" s="321">
        <v>0</v>
      </c>
      <c r="M134" s="321">
        <v>0</v>
      </c>
      <c r="N134" s="321">
        <v>0</v>
      </c>
      <c r="O134" s="321">
        <v>0</v>
      </c>
      <c r="P134" s="321">
        <v>0</v>
      </c>
      <c r="Q134" s="321">
        <v>0</v>
      </c>
      <c r="R134" s="321">
        <v>0</v>
      </c>
      <c r="S134" s="321">
        <v>0</v>
      </c>
      <c r="T134" s="321">
        <v>0</v>
      </c>
      <c r="U134" s="322">
        <v>0</v>
      </c>
      <c r="V134" s="323">
        <v>0</v>
      </c>
      <c r="W134" s="303"/>
      <c r="X134" s="324">
        <v>0</v>
      </c>
      <c r="Y134" s="325">
        <v>0</v>
      </c>
    </row>
    <row r="135" spans="1:25" x14ac:dyDescent="0.3">
      <c r="E135" s="250" t="s">
        <v>1047</v>
      </c>
      <c r="F135" s="317">
        <v>4109021</v>
      </c>
      <c r="G135" s="318"/>
      <c r="H135" s="319"/>
      <c r="I135" s="320"/>
      <c r="J135" s="337">
        <v>0</v>
      </c>
      <c r="K135" s="321">
        <v>0</v>
      </c>
      <c r="L135" s="321">
        <v>0</v>
      </c>
      <c r="M135" s="321">
        <v>0</v>
      </c>
      <c r="N135" s="321">
        <v>0</v>
      </c>
      <c r="O135" s="321">
        <v>0</v>
      </c>
      <c r="P135" s="321">
        <v>0</v>
      </c>
      <c r="Q135" s="321">
        <v>0</v>
      </c>
      <c r="R135" s="321">
        <v>0</v>
      </c>
      <c r="S135" s="321">
        <v>0</v>
      </c>
      <c r="T135" s="321">
        <v>0</v>
      </c>
      <c r="U135" s="322">
        <v>0</v>
      </c>
      <c r="V135" s="323">
        <v>0</v>
      </c>
      <c r="W135" s="303"/>
      <c r="X135" s="324">
        <v>0</v>
      </c>
      <c r="Y135" s="325">
        <v>0</v>
      </c>
    </row>
    <row r="136" spans="1:25" x14ac:dyDescent="0.3">
      <c r="E136" s="250" t="s">
        <v>1048</v>
      </c>
      <c r="F136" s="317">
        <v>4109080</v>
      </c>
      <c r="G136" s="318"/>
      <c r="H136" s="319">
        <v>4100990111</v>
      </c>
      <c r="I136" s="320"/>
      <c r="J136" s="337">
        <v>0</v>
      </c>
      <c r="K136" s="321">
        <v>0</v>
      </c>
      <c r="L136" s="321">
        <v>0</v>
      </c>
      <c r="M136" s="321">
        <v>0</v>
      </c>
      <c r="N136" s="321">
        <v>0</v>
      </c>
      <c r="O136" s="321">
        <v>0</v>
      </c>
      <c r="P136" s="321">
        <v>0</v>
      </c>
      <c r="Q136" s="321">
        <v>0</v>
      </c>
      <c r="R136" s="321">
        <v>0</v>
      </c>
      <c r="S136" s="321">
        <v>0</v>
      </c>
      <c r="T136" s="321">
        <v>0</v>
      </c>
      <c r="U136" s="322">
        <v>0</v>
      </c>
      <c r="V136" s="323">
        <v>0</v>
      </c>
      <c r="W136" s="303"/>
      <c r="X136" s="324">
        <v>0</v>
      </c>
      <c r="Y136" s="325">
        <v>0</v>
      </c>
    </row>
    <row r="137" spans="1:25" x14ac:dyDescent="0.3">
      <c r="E137" s="250" t="s">
        <v>1049</v>
      </c>
      <c r="F137" s="317">
        <v>4109099</v>
      </c>
      <c r="G137" s="318"/>
      <c r="H137" s="319"/>
      <c r="I137" s="320"/>
      <c r="J137" s="337">
        <v>0</v>
      </c>
      <c r="K137" s="321">
        <v>0</v>
      </c>
      <c r="L137" s="321">
        <v>0</v>
      </c>
      <c r="M137" s="321">
        <v>0</v>
      </c>
      <c r="N137" s="321">
        <v>0</v>
      </c>
      <c r="O137" s="321">
        <v>0</v>
      </c>
      <c r="P137" s="321">
        <v>0</v>
      </c>
      <c r="Q137" s="321">
        <v>0</v>
      </c>
      <c r="R137" s="321">
        <v>0</v>
      </c>
      <c r="S137" s="321">
        <v>0</v>
      </c>
      <c r="T137" s="321">
        <v>0</v>
      </c>
      <c r="U137" s="322">
        <v>0</v>
      </c>
      <c r="V137" s="323">
        <v>0</v>
      </c>
      <c r="W137" s="303"/>
      <c r="X137" s="324">
        <v>0</v>
      </c>
      <c r="Y137" s="325">
        <v>0</v>
      </c>
    </row>
    <row r="138" spans="1:25" x14ac:dyDescent="0.3">
      <c r="E138" s="250" t="s">
        <v>1050</v>
      </c>
      <c r="F138" s="317">
        <v>4409883</v>
      </c>
      <c r="G138" s="318"/>
      <c r="H138" s="319">
        <v>4100990113</v>
      </c>
      <c r="I138" s="320"/>
      <c r="J138" s="337">
        <v>0</v>
      </c>
      <c r="K138" s="321">
        <v>0</v>
      </c>
      <c r="L138" s="321">
        <v>0</v>
      </c>
      <c r="M138" s="321">
        <v>0</v>
      </c>
      <c r="N138" s="321">
        <v>0</v>
      </c>
      <c r="O138" s="321">
        <v>0</v>
      </c>
      <c r="P138" s="321">
        <v>0</v>
      </c>
      <c r="Q138" s="321">
        <v>0</v>
      </c>
      <c r="R138" s="321">
        <v>0</v>
      </c>
      <c r="S138" s="321">
        <v>0</v>
      </c>
      <c r="T138" s="321">
        <v>0</v>
      </c>
      <c r="U138" s="322">
        <v>0</v>
      </c>
      <c r="V138" s="323">
        <v>0</v>
      </c>
      <c r="W138" s="303"/>
      <c r="X138" s="324">
        <v>0</v>
      </c>
      <c r="Y138" s="325">
        <v>0</v>
      </c>
    </row>
    <row r="139" spans="1:25" x14ac:dyDescent="0.3">
      <c r="A139" s="361"/>
      <c r="B139" s="361"/>
      <c r="C139" s="361"/>
      <c r="D139" s="361"/>
      <c r="E139" s="350" t="s">
        <v>1051</v>
      </c>
      <c r="F139" s="306"/>
      <c r="G139" s="307"/>
      <c r="H139" s="308">
        <v>4100110100</v>
      </c>
      <c r="I139" s="309"/>
      <c r="J139" s="310">
        <v>0</v>
      </c>
      <c r="K139" s="311">
        <v>0</v>
      </c>
      <c r="L139" s="311">
        <v>0</v>
      </c>
      <c r="M139" s="311">
        <v>0</v>
      </c>
      <c r="N139" s="311">
        <v>0</v>
      </c>
      <c r="O139" s="311">
        <v>0</v>
      </c>
      <c r="P139" s="311">
        <v>0</v>
      </c>
      <c r="Q139" s="311">
        <v>0</v>
      </c>
      <c r="R139" s="311">
        <v>0</v>
      </c>
      <c r="S139" s="311">
        <v>0</v>
      </c>
      <c r="T139" s="311">
        <v>0</v>
      </c>
      <c r="U139" s="312">
        <v>0</v>
      </c>
      <c r="V139" s="313">
        <v>0</v>
      </c>
      <c r="W139" s="314"/>
      <c r="X139" s="315">
        <v>0</v>
      </c>
      <c r="Y139" s="316">
        <v>0</v>
      </c>
    </row>
    <row r="140" spans="1:25" x14ac:dyDescent="0.3">
      <c r="A140" s="361"/>
      <c r="B140" s="361"/>
      <c r="C140" s="361"/>
      <c r="D140" s="361"/>
      <c r="E140" s="350" t="s">
        <v>1052</v>
      </c>
      <c r="F140" s="306"/>
      <c r="G140" s="307"/>
      <c r="H140" s="308">
        <v>4100090101</v>
      </c>
      <c r="I140" s="309"/>
      <c r="J140" s="310">
        <v>0</v>
      </c>
      <c r="K140" s="311">
        <v>0</v>
      </c>
      <c r="L140" s="311">
        <v>0</v>
      </c>
      <c r="M140" s="311">
        <v>0</v>
      </c>
      <c r="N140" s="311">
        <v>0</v>
      </c>
      <c r="O140" s="311">
        <v>0</v>
      </c>
      <c r="P140" s="311">
        <v>0</v>
      </c>
      <c r="Q140" s="311">
        <v>0</v>
      </c>
      <c r="R140" s="311">
        <v>0</v>
      </c>
      <c r="S140" s="311">
        <v>0</v>
      </c>
      <c r="T140" s="311">
        <v>0</v>
      </c>
      <c r="U140" s="312">
        <v>0</v>
      </c>
      <c r="V140" s="313">
        <v>0</v>
      </c>
      <c r="W140" s="314"/>
      <c r="X140" s="315">
        <v>0</v>
      </c>
      <c r="Y140" s="316">
        <v>0</v>
      </c>
    </row>
    <row r="141" spans="1:25" x14ac:dyDescent="0.3">
      <c r="A141" s="361"/>
      <c r="B141" s="361"/>
      <c r="C141" s="361"/>
      <c r="D141" s="361"/>
      <c r="E141" s="326" t="s">
        <v>1053</v>
      </c>
      <c r="F141" s="351"/>
      <c r="G141" s="352"/>
      <c r="H141" s="353"/>
      <c r="I141" s="354"/>
      <c r="J141" s="337">
        <v>0</v>
      </c>
      <c r="K141" s="355">
        <v>0</v>
      </c>
      <c r="L141" s="355">
        <v>0</v>
      </c>
      <c r="M141" s="355">
        <v>0</v>
      </c>
      <c r="N141" s="355">
        <v>0</v>
      </c>
      <c r="O141" s="355">
        <v>0</v>
      </c>
      <c r="P141" s="355">
        <v>0</v>
      </c>
      <c r="Q141" s="355">
        <v>0</v>
      </c>
      <c r="R141" s="355">
        <v>0</v>
      </c>
      <c r="S141" s="355">
        <v>0</v>
      </c>
      <c r="T141" s="355">
        <v>0</v>
      </c>
      <c r="U141" s="356">
        <v>0</v>
      </c>
      <c r="V141" s="357">
        <v>0</v>
      </c>
      <c r="W141" s="358"/>
      <c r="X141" s="359">
        <v>0</v>
      </c>
      <c r="Y141" s="360">
        <v>0</v>
      </c>
    </row>
    <row r="142" spans="1:25" x14ac:dyDescent="0.3">
      <c r="A142" s="233"/>
      <c r="B142" s="234" t="s">
        <v>5</v>
      </c>
      <c r="D142" s="293" t="s">
        <v>1054</v>
      </c>
      <c r="E142" s="294"/>
      <c r="F142" s="295" t="s">
        <v>1055</v>
      </c>
      <c r="G142" s="296"/>
      <c r="H142" s="297"/>
      <c r="I142" s="298"/>
      <c r="J142" s="299">
        <v>0</v>
      </c>
      <c r="K142" s="300">
        <v>0</v>
      </c>
      <c r="L142" s="300">
        <v>0</v>
      </c>
      <c r="M142" s="300">
        <v>0</v>
      </c>
      <c r="N142" s="300">
        <v>0</v>
      </c>
      <c r="O142" s="300">
        <v>0</v>
      </c>
      <c r="P142" s="300">
        <v>0</v>
      </c>
      <c r="Q142" s="300">
        <v>0</v>
      </c>
      <c r="R142" s="300">
        <v>0</v>
      </c>
      <c r="S142" s="300">
        <v>0</v>
      </c>
      <c r="T142" s="300">
        <v>0</v>
      </c>
      <c r="U142" s="301">
        <v>0</v>
      </c>
      <c r="V142" s="302">
        <v>0</v>
      </c>
      <c r="W142" s="303"/>
      <c r="X142" s="304">
        <v>0</v>
      </c>
      <c r="Y142" s="305">
        <v>0</v>
      </c>
    </row>
    <row r="143" spans="1:25" x14ac:dyDescent="0.3">
      <c r="E143" s="250" t="s">
        <v>1056</v>
      </c>
      <c r="F143" s="317">
        <v>4109098</v>
      </c>
      <c r="G143" s="318"/>
      <c r="H143" s="319">
        <v>4100990115</v>
      </c>
      <c r="I143" s="320"/>
      <c r="J143" s="337">
        <v>0</v>
      </c>
      <c r="K143" s="321">
        <v>0</v>
      </c>
      <c r="L143" s="321">
        <v>0</v>
      </c>
      <c r="M143" s="321">
        <v>0</v>
      </c>
      <c r="N143" s="321">
        <v>0</v>
      </c>
      <c r="O143" s="321">
        <v>0</v>
      </c>
      <c r="P143" s="321">
        <v>0</v>
      </c>
      <c r="Q143" s="321">
        <v>0</v>
      </c>
      <c r="R143" s="321">
        <v>0</v>
      </c>
      <c r="S143" s="321">
        <v>0</v>
      </c>
      <c r="T143" s="321">
        <v>0</v>
      </c>
      <c r="U143" s="322">
        <v>0</v>
      </c>
      <c r="V143" s="323">
        <v>0</v>
      </c>
      <c r="W143" s="303"/>
      <c r="X143" s="324">
        <v>0</v>
      </c>
      <c r="Y143" s="325">
        <v>0</v>
      </c>
    </row>
    <row r="144" spans="1:25" x14ac:dyDescent="0.3">
      <c r="A144" s="326"/>
      <c r="B144" s="326"/>
      <c r="C144" s="326"/>
      <c r="D144" s="326"/>
      <c r="E144" s="326" t="s">
        <v>1057</v>
      </c>
      <c r="F144" s="336"/>
      <c r="G144" s="327"/>
      <c r="H144" s="328"/>
      <c r="I144" s="329"/>
      <c r="J144" s="338">
        <v>0</v>
      </c>
      <c r="K144" s="330">
        <v>0</v>
      </c>
      <c r="L144" s="330">
        <v>0</v>
      </c>
      <c r="M144" s="330">
        <v>0</v>
      </c>
      <c r="N144" s="330">
        <v>0</v>
      </c>
      <c r="O144" s="330">
        <v>0</v>
      </c>
      <c r="P144" s="330">
        <v>0</v>
      </c>
      <c r="Q144" s="330">
        <v>0</v>
      </c>
      <c r="R144" s="330">
        <v>0</v>
      </c>
      <c r="S144" s="330">
        <v>0</v>
      </c>
      <c r="T144" s="330">
        <v>0</v>
      </c>
      <c r="U144" s="331">
        <v>0</v>
      </c>
      <c r="V144" s="332">
        <v>0</v>
      </c>
      <c r="W144" s="333"/>
      <c r="X144" s="334">
        <v>0</v>
      </c>
      <c r="Y144" s="335">
        <v>0</v>
      </c>
    </row>
    <row r="145" spans="1:25" x14ac:dyDescent="0.3">
      <c r="A145" s="326"/>
      <c r="B145" s="326"/>
      <c r="C145" s="326"/>
      <c r="D145" s="326"/>
      <c r="E145" s="326" t="s">
        <v>1058</v>
      </c>
      <c r="F145" s="336"/>
      <c r="G145" s="327"/>
      <c r="H145" s="328"/>
      <c r="I145" s="329"/>
      <c r="J145" s="338">
        <v>0</v>
      </c>
      <c r="K145" s="330">
        <v>0</v>
      </c>
      <c r="L145" s="330">
        <v>0</v>
      </c>
      <c r="M145" s="330">
        <v>0</v>
      </c>
      <c r="N145" s="330">
        <v>0</v>
      </c>
      <c r="O145" s="330">
        <v>0</v>
      </c>
      <c r="P145" s="330">
        <v>0</v>
      </c>
      <c r="Q145" s="330">
        <v>0</v>
      </c>
      <c r="R145" s="330">
        <v>0</v>
      </c>
      <c r="S145" s="330">
        <v>0</v>
      </c>
      <c r="T145" s="330">
        <v>0</v>
      </c>
      <c r="U145" s="331">
        <v>0</v>
      </c>
      <c r="V145" s="332">
        <v>0</v>
      </c>
      <c r="W145" s="333"/>
      <c r="X145" s="334">
        <v>0</v>
      </c>
      <c r="Y145" s="335">
        <v>0</v>
      </c>
    </row>
    <row r="146" spans="1:25" x14ac:dyDescent="0.3">
      <c r="A146" s="326"/>
      <c r="B146" s="326"/>
      <c r="C146" s="326"/>
      <c r="D146" s="326"/>
      <c r="E146" s="326" t="s">
        <v>1059</v>
      </c>
      <c r="F146" s="336"/>
      <c r="G146" s="327"/>
      <c r="H146" s="328"/>
      <c r="I146" s="329"/>
      <c r="J146" s="338">
        <v>0</v>
      </c>
      <c r="K146" s="330">
        <v>0</v>
      </c>
      <c r="L146" s="330">
        <v>0</v>
      </c>
      <c r="M146" s="330">
        <v>0</v>
      </c>
      <c r="N146" s="330">
        <v>0</v>
      </c>
      <c r="O146" s="330">
        <v>0</v>
      </c>
      <c r="P146" s="330">
        <v>0</v>
      </c>
      <c r="Q146" s="330">
        <v>0</v>
      </c>
      <c r="R146" s="330">
        <v>0</v>
      </c>
      <c r="S146" s="330">
        <v>0</v>
      </c>
      <c r="T146" s="330">
        <v>0</v>
      </c>
      <c r="U146" s="331">
        <v>0</v>
      </c>
      <c r="V146" s="332">
        <v>0</v>
      </c>
      <c r="W146" s="333"/>
      <c r="X146" s="334">
        <v>0</v>
      </c>
      <c r="Y146" s="335">
        <v>0</v>
      </c>
    </row>
    <row r="147" spans="1:25" x14ac:dyDescent="0.3">
      <c r="A147" s="326"/>
      <c r="B147" s="326"/>
      <c r="C147" s="326"/>
      <c r="D147" s="326"/>
      <c r="E147" s="326" t="s">
        <v>1060</v>
      </c>
      <c r="F147" s="336"/>
      <c r="G147" s="327"/>
      <c r="H147" s="328"/>
      <c r="I147" s="329"/>
      <c r="J147" s="338">
        <v>0</v>
      </c>
      <c r="K147" s="330">
        <v>0</v>
      </c>
      <c r="L147" s="330">
        <v>0</v>
      </c>
      <c r="M147" s="330">
        <v>0</v>
      </c>
      <c r="N147" s="330">
        <v>0</v>
      </c>
      <c r="O147" s="330">
        <v>0</v>
      </c>
      <c r="P147" s="330">
        <v>0</v>
      </c>
      <c r="Q147" s="330">
        <v>0</v>
      </c>
      <c r="R147" s="330">
        <v>0</v>
      </c>
      <c r="S147" s="330">
        <v>0</v>
      </c>
      <c r="T147" s="330">
        <v>0</v>
      </c>
      <c r="U147" s="331">
        <v>0</v>
      </c>
      <c r="V147" s="332">
        <v>0</v>
      </c>
      <c r="W147" s="333"/>
      <c r="X147" s="334">
        <v>0</v>
      </c>
      <c r="Y147" s="335">
        <v>0</v>
      </c>
    </row>
    <row r="148" spans="1:25" x14ac:dyDescent="0.3">
      <c r="A148" s="326"/>
      <c r="B148" s="326"/>
      <c r="C148" s="326"/>
      <c r="D148" s="326"/>
      <c r="E148" s="326" t="s">
        <v>1061</v>
      </c>
      <c r="F148" s="336"/>
      <c r="G148" s="327"/>
      <c r="H148" s="328"/>
      <c r="I148" s="329"/>
      <c r="J148" s="338">
        <v>0</v>
      </c>
      <c r="K148" s="330">
        <v>0</v>
      </c>
      <c r="L148" s="330">
        <v>0</v>
      </c>
      <c r="M148" s="330">
        <v>0</v>
      </c>
      <c r="N148" s="330">
        <v>0</v>
      </c>
      <c r="O148" s="330">
        <v>0</v>
      </c>
      <c r="P148" s="330">
        <v>0</v>
      </c>
      <c r="Q148" s="330">
        <v>0</v>
      </c>
      <c r="R148" s="330">
        <v>0</v>
      </c>
      <c r="S148" s="330">
        <v>0</v>
      </c>
      <c r="T148" s="330">
        <v>0</v>
      </c>
      <c r="U148" s="331">
        <v>0</v>
      </c>
      <c r="V148" s="332">
        <v>0</v>
      </c>
      <c r="W148" s="333"/>
      <c r="X148" s="334">
        <v>0</v>
      </c>
      <c r="Y148" s="335">
        <v>0</v>
      </c>
    </row>
    <row r="149" spans="1:25" ht="33" x14ac:dyDescent="0.3">
      <c r="A149" s="248" t="s">
        <v>6</v>
      </c>
      <c r="B149" s="248"/>
      <c r="C149" s="280" t="s">
        <v>1062</v>
      </c>
      <c r="D149" s="281"/>
      <c r="E149" s="282"/>
      <c r="F149" s="283" t="s">
        <v>1063</v>
      </c>
      <c r="G149" s="284"/>
      <c r="H149" s="285"/>
      <c r="I149" s="286"/>
      <c r="J149" s="287">
        <v>0</v>
      </c>
      <c r="K149" s="288">
        <v>0</v>
      </c>
      <c r="L149" s="288">
        <v>0</v>
      </c>
      <c r="M149" s="288">
        <v>0</v>
      </c>
      <c r="N149" s="288">
        <v>0</v>
      </c>
      <c r="O149" s="288">
        <v>0</v>
      </c>
      <c r="P149" s="288">
        <v>0</v>
      </c>
      <c r="Q149" s="288">
        <v>0</v>
      </c>
      <c r="R149" s="288">
        <v>0</v>
      </c>
      <c r="S149" s="288">
        <v>0</v>
      </c>
      <c r="T149" s="288">
        <v>0</v>
      </c>
      <c r="U149" s="289">
        <v>0</v>
      </c>
      <c r="V149" s="290">
        <v>0</v>
      </c>
      <c r="W149" s="277"/>
      <c r="X149" s="291">
        <v>0</v>
      </c>
      <c r="Y149" s="292">
        <v>0</v>
      </c>
    </row>
    <row r="150" spans="1:25" x14ac:dyDescent="0.3">
      <c r="A150" s="233"/>
      <c r="B150" s="234" t="s">
        <v>7</v>
      </c>
      <c r="D150" s="293" t="s">
        <v>1064</v>
      </c>
      <c r="E150" s="294"/>
      <c r="F150" s="295" t="s">
        <v>1065</v>
      </c>
      <c r="G150" s="296"/>
      <c r="H150" s="297"/>
      <c r="I150" s="298"/>
      <c r="J150" s="299">
        <v>0</v>
      </c>
      <c r="K150" s="300">
        <v>0</v>
      </c>
      <c r="L150" s="300">
        <v>0</v>
      </c>
      <c r="M150" s="300">
        <v>0</v>
      </c>
      <c r="N150" s="300">
        <v>0</v>
      </c>
      <c r="O150" s="300">
        <v>0</v>
      </c>
      <c r="P150" s="300">
        <v>0</v>
      </c>
      <c r="Q150" s="300">
        <v>0</v>
      </c>
      <c r="R150" s="300">
        <v>0</v>
      </c>
      <c r="S150" s="300">
        <v>0</v>
      </c>
      <c r="T150" s="300">
        <v>0</v>
      </c>
      <c r="U150" s="301">
        <v>0</v>
      </c>
      <c r="V150" s="302">
        <v>0</v>
      </c>
      <c r="W150" s="303"/>
      <c r="X150" s="304">
        <v>0</v>
      </c>
      <c r="Y150" s="305">
        <v>0</v>
      </c>
    </row>
    <row r="151" spans="1:25" x14ac:dyDescent="0.3">
      <c r="E151" s="250" t="s">
        <v>1066</v>
      </c>
      <c r="F151" s="317">
        <v>4201001</v>
      </c>
      <c r="G151" s="318"/>
      <c r="H151" s="319">
        <v>4500010101</v>
      </c>
      <c r="I151" s="320"/>
      <c r="J151" s="337">
        <v>0</v>
      </c>
      <c r="K151" s="321">
        <v>0</v>
      </c>
      <c r="L151" s="321">
        <v>0</v>
      </c>
      <c r="M151" s="321">
        <v>0</v>
      </c>
      <c r="N151" s="321">
        <v>0</v>
      </c>
      <c r="O151" s="321">
        <v>0</v>
      </c>
      <c r="P151" s="321">
        <v>0</v>
      </c>
      <c r="Q151" s="321">
        <v>0</v>
      </c>
      <c r="R151" s="321">
        <v>0</v>
      </c>
      <c r="S151" s="321">
        <v>0</v>
      </c>
      <c r="T151" s="321">
        <v>0</v>
      </c>
      <c r="U151" s="322">
        <v>0</v>
      </c>
      <c r="V151" s="323">
        <v>0</v>
      </c>
      <c r="W151" s="303"/>
      <c r="X151" s="324">
        <v>0</v>
      </c>
      <c r="Y151" s="325">
        <v>0</v>
      </c>
    </row>
    <row r="152" spans="1:25" x14ac:dyDescent="0.3">
      <c r="E152" s="250" t="s">
        <v>1067</v>
      </c>
      <c r="F152" s="317">
        <v>4201002</v>
      </c>
      <c r="G152" s="318"/>
      <c r="H152" s="319">
        <v>4500010105</v>
      </c>
      <c r="I152" s="320"/>
      <c r="J152" s="337">
        <v>0</v>
      </c>
      <c r="K152" s="321">
        <v>0</v>
      </c>
      <c r="L152" s="321">
        <v>0</v>
      </c>
      <c r="M152" s="321">
        <v>0</v>
      </c>
      <c r="N152" s="321">
        <v>0</v>
      </c>
      <c r="O152" s="321">
        <v>0</v>
      </c>
      <c r="P152" s="321">
        <v>0</v>
      </c>
      <c r="Q152" s="321">
        <v>0</v>
      </c>
      <c r="R152" s="321">
        <v>0</v>
      </c>
      <c r="S152" s="321">
        <v>0</v>
      </c>
      <c r="T152" s="321">
        <v>0</v>
      </c>
      <c r="U152" s="322">
        <v>0</v>
      </c>
      <c r="V152" s="323">
        <v>0</v>
      </c>
      <c r="W152" s="303"/>
      <c r="X152" s="324">
        <v>0</v>
      </c>
      <c r="Y152" s="325">
        <v>0</v>
      </c>
    </row>
    <row r="153" spans="1:25" x14ac:dyDescent="0.3">
      <c r="E153" s="250" t="s">
        <v>1068</v>
      </c>
      <c r="F153" s="317">
        <v>4201004</v>
      </c>
      <c r="G153" s="318"/>
      <c r="H153" s="319">
        <v>4500010103</v>
      </c>
      <c r="I153" s="320"/>
      <c r="J153" s="337">
        <v>0</v>
      </c>
      <c r="K153" s="321">
        <v>0</v>
      </c>
      <c r="L153" s="321">
        <v>0</v>
      </c>
      <c r="M153" s="321">
        <v>0</v>
      </c>
      <c r="N153" s="321">
        <v>0</v>
      </c>
      <c r="O153" s="321">
        <v>0</v>
      </c>
      <c r="P153" s="321">
        <v>0</v>
      </c>
      <c r="Q153" s="321">
        <v>0</v>
      </c>
      <c r="R153" s="321">
        <v>0</v>
      </c>
      <c r="S153" s="321">
        <v>0</v>
      </c>
      <c r="T153" s="321">
        <v>0</v>
      </c>
      <c r="U153" s="322">
        <v>0</v>
      </c>
      <c r="V153" s="323">
        <v>0</v>
      </c>
      <c r="W153" s="303"/>
      <c r="X153" s="324">
        <v>0</v>
      </c>
      <c r="Y153" s="325">
        <v>0</v>
      </c>
    </row>
    <row r="154" spans="1:25" x14ac:dyDescent="0.3">
      <c r="E154" s="250" t="s">
        <v>1069</v>
      </c>
      <c r="F154" s="317">
        <v>4201005</v>
      </c>
      <c r="G154" s="318"/>
      <c r="H154" s="319"/>
      <c r="I154" s="320"/>
      <c r="J154" s="337">
        <v>0</v>
      </c>
      <c r="K154" s="321">
        <v>0</v>
      </c>
      <c r="L154" s="321">
        <v>0</v>
      </c>
      <c r="M154" s="321">
        <v>0</v>
      </c>
      <c r="N154" s="321">
        <v>0</v>
      </c>
      <c r="O154" s="321">
        <v>0</v>
      </c>
      <c r="P154" s="321">
        <v>0</v>
      </c>
      <c r="Q154" s="321">
        <v>0</v>
      </c>
      <c r="R154" s="321">
        <v>0</v>
      </c>
      <c r="S154" s="321">
        <v>0</v>
      </c>
      <c r="T154" s="321">
        <v>0</v>
      </c>
      <c r="U154" s="322">
        <v>0</v>
      </c>
      <c r="V154" s="323">
        <v>0</v>
      </c>
      <c r="W154" s="303"/>
      <c r="X154" s="324">
        <v>0</v>
      </c>
      <c r="Y154" s="325">
        <v>0</v>
      </c>
    </row>
    <row r="155" spans="1:25" x14ac:dyDescent="0.3">
      <c r="E155" s="250" t="s">
        <v>1070</v>
      </c>
      <c r="F155" s="317">
        <v>4201007</v>
      </c>
      <c r="G155" s="318"/>
      <c r="H155" s="319">
        <v>4500010107</v>
      </c>
      <c r="I155" s="320"/>
      <c r="J155" s="337">
        <v>0</v>
      </c>
      <c r="K155" s="321">
        <v>0</v>
      </c>
      <c r="L155" s="321">
        <v>0</v>
      </c>
      <c r="M155" s="321">
        <v>0</v>
      </c>
      <c r="N155" s="321">
        <v>0</v>
      </c>
      <c r="O155" s="321">
        <v>0</v>
      </c>
      <c r="P155" s="321">
        <v>0</v>
      </c>
      <c r="Q155" s="321">
        <v>0</v>
      </c>
      <c r="R155" s="321">
        <v>0</v>
      </c>
      <c r="S155" s="321">
        <v>0</v>
      </c>
      <c r="T155" s="321">
        <v>0</v>
      </c>
      <c r="U155" s="322">
        <v>0</v>
      </c>
      <c r="V155" s="323">
        <v>0</v>
      </c>
      <c r="W155" s="303"/>
      <c r="X155" s="324">
        <v>0</v>
      </c>
      <c r="Y155" s="325">
        <v>0</v>
      </c>
    </row>
    <row r="156" spans="1:25" x14ac:dyDescent="0.3">
      <c r="E156" s="250" t="s">
        <v>1071</v>
      </c>
      <c r="F156" s="317">
        <v>4201008</v>
      </c>
      <c r="G156" s="318"/>
      <c r="H156" s="319"/>
      <c r="I156" s="320"/>
      <c r="J156" s="337">
        <v>0</v>
      </c>
      <c r="K156" s="321">
        <v>0</v>
      </c>
      <c r="L156" s="321">
        <v>0</v>
      </c>
      <c r="M156" s="321">
        <v>0</v>
      </c>
      <c r="N156" s="321">
        <v>0</v>
      </c>
      <c r="O156" s="321">
        <v>0</v>
      </c>
      <c r="P156" s="321">
        <v>0</v>
      </c>
      <c r="Q156" s="321">
        <v>0</v>
      </c>
      <c r="R156" s="321">
        <v>0</v>
      </c>
      <c r="S156" s="321">
        <v>0</v>
      </c>
      <c r="T156" s="321">
        <v>0</v>
      </c>
      <c r="U156" s="322">
        <v>0</v>
      </c>
      <c r="V156" s="323">
        <v>0</v>
      </c>
      <c r="W156" s="303"/>
      <c r="X156" s="324">
        <v>0</v>
      </c>
      <c r="Y156" s="325">
        <v>0</v>
      </c>
    </row>
    <row r="157" spans="1:25" x14ac:dyDescent="0.3">
      <c r="E157" s="250" t="s">
        <v>1072</v>
      </c>
      <c r="F157" s="317">
        <v>4201091</v>
      </c>
      <c r="G157" s="318"/>
      <c r="H157" s="319">
        <v>4500010109</v>
      </c>
      <c r="I157" s="320"/>
      <c r="J157" s="337">
        <v>0</v>
      </c>
      <c r="K157" s="321">
        <v>0</v>
      </c>
      <c r="L157" s="321">
        <v>0</v>
      </c>
      <c r="M157" s="321">
        <v>0</v>
      </c>
      <c r="N157" s="321">
        <v>0</v>
      </c>
      <c r="O157" s="321">
        <v>0</v>
      </c>
      <c r="P157" s="321">
        <v>0</v>
      </c>
      <c r="Q157" s="321">
        <v>0</v>
      </c>
      <c r="R157" s="321">
        <v>0</v>
      </c>
      <c r="S157" s="321">
        <v>0</v>
      </c>
      <c r="T157" s="321">
        <v>0</v>
      </c>
      <c r="U157" s="322">
        <v>0</v>
      </c>
      <c r="V157" s="323">
        <v>0</v>
      </c>
      <c r="W157" s="303"/>
      <c r="X157" s="324">
        <v>0</v>
      </c>
      <c r="Y157" s="325">
        <v>0</v>
      </c>
    </row>
    <row r="158" spans="1:25" x14ac:dyDescent="0.3">
      <c r="E158" s="250" t="s">
        <v>1073</v>
      </c>
      <c r="F158" s="317">
        <v>4201095</v>
      </c>
      <c r="G158" s="318"/>
      <c r="H158" s="319"/>
      <c r="I158" s="320"/>
      <c r="J158" s="337">
        <v>0</v>
      </c>
      <c r="K158" s="321">
        <v>0</v>
      </c>
      <c r="L158" s="321">
        <v>0</v>
      </c>
      <c r="M158" s="321">
        <v>0</v>
      </c>
      <c r="N158" s="321">
        <v>0</v>
      </c>
      <c r="O158" s="321">
        <v>0</v>
      </c>
      <c r="P158" s="321">
        <v>0</v>
      </c>
      <c r="Q158" s="321">
        <v>0</v>
      </c>
      <c r="R158" s="321">
        <v>0</v>
      </c>
      <c r="S158" s="321">
        <v>0</v>
      </c>
      <c r="T158" s="321">
        <v>0</v>
      </c>
      <c r="U158" s="322">
        <v>0</v>
      </c>
      <c r="V158" s="323">
        <v>0</v>
      </c>
      <c r="W158" s="303"/>
      <c r="X158" s="324">
        <v>0</v>
      </c>
      <c r="Y158" s="325">
        <v>0</v>
      </c>
    </row>
    <row r="159" spans="1:25" x14ac:dyDescent="0.3">
      <c r="E159" s="250" t="s">
        <v>1074</v>
      </c>
      <c r="F159" s="317">
        <v>4201096</v>
      </c>
      <c r="G159" s="318"/>
      <c r="H159" s="319"/>
      <c r="I159" s="320"/>
      <c r="J159" s="337">
        <v>0</v>
      </c>
      <c r="K159" s="321">
        <v>0</v>
      </c>
      <c r="L159" s="321">
        <v>0</v>
      </c>
      <c r="M159" s="321">
        <v>0</v>
      </c>
      <c r="N159" s="321">
        <v>0</v>
      </c>
      <c r="O159" s="321">
        <v>0</v>
      </c>
      <c r="P159" s="321">
        <v>0</v>
      </c>
      <c r="Q159" s="321">
        <v>0</v>
      </c>
      <c r="R159" s="321">
        <v>0</v>
      </c>
      <c r="S159" s="321">
        <v>0</v>
      </c>
      <c r="T159" s="321">
        <v>0</v>
      </c>
      <c r="U159" s="322">
        <v>0</v>
      </c>
      <c r="V159" s="323">
        <v>0</v>
      </c>
      <c r="W159" s="303"/>
      <c r="X159" s="324">
        <v>0</v>
      </c>
      <c r="Y159" s="325">
        <v>0</v>
      </c>
    </row>
    <row r="160" spans="1:25" x14ac:dyDescent="0.3">
      <c r="E160" s="250" t="s">
        <v>1075</v>
      </c>
      <c r="F160" s="317">
        <v>4201097</v>
      </c>
      <c r="G160" s="318"/>
      <c r="H160" s="319"/>
      <c r="I160" s="320"/>
      <c r="J160" s="337">
        <v>0</v>
      </c>
      <c r="K160" s="321">
        <v>0</v>
      </c>
      <c r="L160" s="321">
        <v>0</v>
      </c>
      <c r="M160" s="321">
        <v>0</v>
      </c>
      <c r="N160" s="321">
        <v>0</v>
      </c>
      <c r="O160" s="321">
        <v>0</v>
      </c>
      <c r="P160" s="321">
        <v>0</v>
      </c>
      <c r="Q160" s="321">
        <v>0</v>
      </c>
      <c r="R160" s="321">
        <v>0</v>
      </c>
      <c r="S160" s="321">
        <v>0</v>
      </c>
      <c r="T160" s="321">
        <v>0</v>
      </c>
      <c r="U160" s="322">
        <v>0</v>
      </c>
      <c r="V160" s="323">
        <v>0</v>
      </c>
      <c r="W160" s="303"/>
      <c r="X160" s="324">
        <v>0</v>
      </c>
      <c r="Y160" s="325">
        <v>0</v>
      </c>
    </row>
    <row r="161" spans="1:25" x14ac:dyDescent="0.3">
      <c r="E161" s="250" t="s">
        <v>1076</v>
      </c>
      <c r="F161" s="317">
        <v>4201098</v>
      </c>
      <c r="G161" s="318"/>
      <c r="H161" s="319"/>
      <c r="I161" s="320"/>
      <c r="J161" s="337">
        <v>0</v>
      </c>
      <c r="K161" s="321">
        <v>0</v>
      </c>
      <c r="L161" s="321">
        <v>0</v>
      </c>
      <c r="M161" s="321">
        <v>0</v>
      </c>
      <c r="N161" s="321">
        <v>0</v>
      </c>
      <c r="O161" s="321">
        <v>0</v>
      </c>
      <c r="P161" s="321">
        <v>0</v>
      </c>
      <c r="Q161" s="321">
        <v>0</v>
      </c>
      <c r="R161" s="321">
        <v>0</v>
      </c>
      <c r="S161" s="321">
        <v>0</v>
      </c>
      <c r="T161" s="321">
        <v>0</v>
      </c>
      <c r="U161" s="322">
        <v>0</v>
      </c>
      <c r="V161" s="323">
        <v>0</v>
      </c>
      <c r="W161" s="303"/>
      <c r="X161" s="324">
        <v>0</v>
      </c>
      <c r="Y161" s="325">
        <v>0</v>
      </c>
    </row>
    <row r="162" spans="1:25" x14ac:dyDescent="0.3">
      <c r="A162" s="250"/>
      <c r="B162" s="250"/>
      <c r="C162" s="250"/>
      <c r="D162" s="250"/>
      <c r="E162" s="250" t="s">
        <v>1077</v>
      </c>
      <c r="F162" s="306">
        <v>4201094</v>
      </c>
      <c r="G162" s="307"/>
      <c r="H162" s="308"/>
      <c r="I162" s="309"/>
      <c r="J162" s="310">
        <v>0</v>
      </c>
      <c r="K162" s="311">
        <v>0</v>
      </c>
      <c r="L162" s="311">
        <v>0</v>
      </c>
      <c r="M162" s="311">
        <v>0</v>
      </c>
      <c r="N162" s="311">
        <v>0</v>
      </c>
      <c r="O162" s="311">
        <v>0</v>
      </c>
      <c r="P162" s="311">
        <v>0</v>
      </c>
      <c r="Q162" s="311">
        <v>0</v>
      </c>
      <c r="R162" s="311">
        <v>0</v>
      </c>
      <c r="S162" s="311">
        <v>0</v>
      </c>
      <c r="T162" s="311">
        <v>0</v>
      </c>
      <c r="U162" s="312">
        <v>0</v>
      </c>
      <c r="V162" s="313">
        <v>0</v>
      </c>
      <c r="W162" s="314"/>
      <c r="X162" s="315">
        <v>0</v>
      </c>
      <c r="Y162" s="316">
        <v>0</v>
      </c>
    </row>
    <row r="163" spans="1:25" x14ac:dyDescent="0.3">
      <c r="A163" s="326"/>
      <c r="B163" s="326"/>
      <c r="C163" s="326"/>
      <c r="D163" s="326"/>
      <c r="E163" s="326" t="s">
        <v>1078</v>
      </c>
      <c r="F163" s="336"/>
      <c r="G163" s="327"/>
      <c r="H163" s="328"/>
      <c r="I163" s="329"/>
      <c r="J163" s="338">
        <v>0</v>
      </c>
      <c r="K163" s="330">
        <v>0</v>
      </c>
      <c r="L163" s="330">
        <v>0</v>
      </c>
      <c r="M163" s="330">
        <v>0</v>
      </c>
      <c r="N163" s="330">
        <v>0</v>
      </c>
      <c r="O163" s="330">
        <v>0</v>
      </c>
      <c r="P163" s="330">
        <v>0</v>
      </c>
      <c r="Q163" s="330">
        <v>0</v>
      </c>
      <c r="R163" s="330">
        <v>0</v>
      </c>
      <c r="S163" s="330">
        <v>0</v>
      </c>
      <c r="T163" s="330">
        <v>0</v>
      </c>
      <c r="U163" s="331">
        <v>0</v>
      </c>
      <c r="V163" s="332">
        <v>0</v>
      </c>
      <c r="W163" s="333"/>
      <c r="X163" s="334">
        <v>0</v>
      </c>
      <c r="Y163" s="335">
        <v>0</v>
      </c>
    </row>
    <row r="164" spans="1:25" x14ac:dyDescent="0.3">
      <c r="A164" s="326"/>
      <c r="B164" s="326"/>
      <c r="C164" s="326"/>
      <c r="D164" s="326"/>
      <c r="E164" s="326" t="s">
        <v>1079</v>
      </c>
      <c r="F164" s="336"/>
      <c r="G164" s="327"/>
      <c r="H164" s="328"/>
      <c r="I164" s="329"/>
      <c r="J164" s="338">
        <v>0</v>
      </c>
      <c r="K164" s="330">
        <v>0</v>
      </c>
      <c r="L164" s="330">
        <v>0</v>
      </c>
      <c r="M164" s="330">
        <v>0</v>
      </c>
      <c r="N164" s="330">
        <v>0</v>
      </c>
      <c r="O164" s="330">
        <v>0</v>
      </c>
      <c r="P164" s="330">
        <v>0</v>
      </c>
      <c r="Q164" s="330">
        <v>0</v>
      </c>
      <c r="R164" s="330">
        <v>0</v>
      </c>
      <c r="S164" s="330">
        <v>0</v>
      </c>
      <c r="T164" s="330">
        <v>0</v>
      </c>
      <c r="U164" s="331">
        <v>0</v>
      </c>
      <c r="V164" s="332">
        <v>0</v>
      </c>
      <c r="W164" s="333"/>
      <c r="X164" s="334">
        <v>0</v>
      </c>
      <c r="Y164" s="335">
        <v>0</v>
      </c>
    </row>
    <row r="165" spans="1:25" x14ac:dyDescent="0.3">
      <c r="A165" s="326"/>
      <c r="B165" s="326"/>
      <c r="C165" s="326"/>
      <c r="D165" s="326"/>
      <c r="E165" s="326" t="s">
        <v>1080</v>
      </c>
      <c r="F165" s="336"/>
      <c r="G165" s="327"/>
      <c r="H165" s="328"/>
      <c r="I165" s="329"/>
      <c r="J165" s="338">
        <v>0</v>
      </c>
      <c r="K165" s="330">
        <v>0</v>
      </c>
      <c r="L165" s="330">
        <v>0</v>
      </c>
      <c r="M165" s="330">
        <v>0</v>
      </c>
      <c r="N165" s="330">
        <v>0</v>
      </c>
      <c r="O165" s="330">
        <v>0</v>
      </c>
      <c r="P165" s="330">
        <v>0</v>
      </c>
      <c r="Q165" s="330">
        <v>0</v>
      </c>
      <c r="R165" s="330">
        <v>0</v>
      </c>
      <c r="S165" s="330">
        <v>0</v>
      </c>
      <c r="T165" s="330">
        <v>0</v>
      </c>
      <c r="U165" s="331">
        <v>0</v>
      </c>
      <c r="V165" s="332">
        <v>0</v>
      </c>
      <c r="W165" s="333"/>
      <c r="X165" s="334">
        <v>0</v>
      </c>
      <c r="Y165" s="335">
        <v>0</v>
      </c>
    </row>
    <row r="166" spans="1:25" x14ac:dyDescent="0.3">
      <c r="A166" s="233"/>
      <c r="B166" s="234" t="s">
        <v>62</v>
      </c>
      <c r="D166" s="293" t="s">
        <v>1081</v>
      </c>
      <c r="E166" s="294"/>
      <c r="F166" s="295" t="s">
        <v>1082</v>
      </c>
      <c r="G166" s="296"/>
      <c r="H166" s="297"/>
      <c r="I166" s="298"/>
      <c r="J166" s="299">
        <v>0</v>
      </c>
      <c r="K166" s="300">
        <v>0</v>
      </c>
      <c r="L166" s="300">
        <v>0</v>
      </c>
      <c r="M166" s="300">
        <v>0</v>
      </c>
      <c r="N166" s="300">
        <v>0</v>
      </c>
      <c r="O166" s="300">
        <v>0</v>
      </c>
      <c r="P166" s="300">
        <v>0</v>
      </c>
      <c r="Q166" s="300">
        <v>0</v>
      </c>
      <c r="R166" s="300">
        <v>0</v>
      </c>
      <c r="S166" s="300">
        <v>0</v>
      </c>
      <c r="T166" s="300">
        <v>0</v>
      </c>
      <c r="U166" s="301">
        <v>0</v>
      </c>
      <c r="V166" s="302">
        <v>0</v>
      </c>
      <c r="W166" s="303"/>
      <c r="X166" s="304">
        <v>0</v>
      </c>
      <c r="Y166" s="305">
        <v>0</v>
      </c>
    </row>
    <row r="167" spans="1:25" x14ac:dyDescent="0.3">
      <c r="A167" s="326"/>
      <c r="B167" s="326"/>
      <c r="E167" s="339" t="s">
        <v>1083</v>
      </c>
      <c r="F167" s="340" t="s">
        <v>1084</v>
      </c>
      <c r="G167" s="341"/>
      <c r="H167" s="342"/>
      <c r="I167" s="343"/>
      <c r="J167" s="344">
        <v>0</v>
      </c>
      <c r="K167" s="345">
        <v>0</v>
      </c>
      <c r="L167" s="345">
        <v>0</v>
      </c>
      <c r="M167" s="345">
        <v>0</v>
      </c>
      <c r="N167" s="345">
        <v>0</v>
      </c>
      <c r="O167" s="345">
        <v>0</v>
      </c>
      <c r="P167" s="345">
        <v>0</v>
      </c>
      <c r="Q167" s="345">
        <v>0</v>
      </c>
      <c r="R167" s="345">
        <v>0</v>
      </c>
      <c r="S167" s="345">
        <v>0</v>
      </c>
      <c r="T167" s="345">
        <v>0</v>
      </c>
      <c r="U167" s="346">
        <v>0</v>
      </c>
      <c r="V167" s="347">
        <v>0</v>
      </c>
      <c r="W167" s="303"/>
      <c r="X167" s="348">
        <v>0</v>
      </c>
      <c r="Y167" s="349">
        <v>0</v>
      </c>
    </row>
    <row r="168" spans="1:25" x14ac:dyDescent="0.3">
      <c r="E168" s="250" t="s">
        <v>1085</v>
      </c>
      <c r="F168" s="317">
        <v>4201401</v>
      </c>
      <c r="G168" s="318"/>
      <c r="H168" s="319">
        <v>4500010111</v>
      </c>
      <c r="I168" s="320"/>
      <c r="J168" s="337">
        <v>0</v>
      </c>
      <c r="K168" s="321">
        <v>0</v>
      </c>
      <c r="L168" s="321">
        <v>0</v>
      </c>
      <c r="M168" s="321">
        <v>0</v>
      </c>
      <c r="N168" s="321">
        <v>0</v>
      </c>
      <c r="O168" s="321">
        <v>0</v>
      </c>
      <c r="P168" s="321">
        <v>0</v>
      </c>
      <c r="Q168" s="321">
        <v>0</v>
      </c>
      <c r="R168" s="321">
        <v>0</v>
      </c>
      <c r="S168" s="321">
        <v>0</v>
      </c>
      <c r="T168" s="321">
        <v>0</v>
      </c>
      <c r="U168" s="322">
        <v>0</v>
      </c>
      <c r="V168" s="323">
        <v>0</v>
      </c>
      <c r="W168" s="303"/>
      <c r="X168" s="324">
        <v>0</v>
      </c>
      <c r="Y168" s="325">
        <v>0</v>
      </c>
    </row>
    <row r="169" spans="1:25" x14ac:dyDescent="0.3">
      <c r="E169" s="250" t="s">
        <v>1086</v>
      </c>
      <c r="F169" s="317">
        <v>4201402</v>
      </c>
      <c r="G169" s="318"/>
      <c r="H169" s="319"/>
      <c r="I169" s="320"/>
      <c r="J169" s="337">
        <v>0</v>
      </c>
      <c r="K169" s="321">
        <v>0</v>
      </c>
      <c r="L169" s="321">
        <v>0</v>
      </c>
      <c r="M169" s="321">
        <v>0</v>
      </c>
      <c r="N169" s="321">
        <v>0</v>
      </c>
      <c r="O169" s="321">
        <v>0</v>
      </c>
      <c r="P169" s="321">
        <v>0</v>
      </c>
      <c r="Q169" s="321">
        <v>0</v>
      </c>
      <c r="R169" s="321">
        <v>0</v>
      </c>
      <c r="S169" s="321">
        <v>0</v>
      </c>
      <c r="T169" s="321">
        <v>0</v>
      </c>
      <c r="U169" s="322">
        <v>0</v>
      </c>
      <c r="V169" s="323">
        <v>0</v>
      </c>
      <c r="W169" s="303"/>
      <c r="X169" s="324">
        <v>0</v>
      </c>
      <c r="Y169" s="325">
        <v>0</v>
      </c>
    </row>
    <row r="170" spans="1:25" x14ac:dyDescent="0.3">
      <c r="E170" s="250" t="s">
        <v>1087</v>
      </c>
      <c r="F170" s="317">
        <v>4201403</v>
      </c>
      <c r="G170" s="318"/>
      <c r="H170" s="319"/>
      <c r="I170" s="320"/>
      <c r="J170" s="337">
        <v>0</v>
      </c>
      <c r="K170" s="321">
        <v>0</v>
      </c>
      <c r="L170" s="321">
        <v>0</v>
      </c>
      <c r="M170" s="321">
        <v>0</v>
      </c>
      <c r="N170" s="321">
        <v>0</v>
      </c>
      <c r="O170" s="321">
        <v>0</v>
      </c>
      <c r="P170" s="321">
        <v>0</v>
      </c>
      <c r="Q170" s="321">
        <v>0</v>
      </c>
      <c r="R170" s="321">
        <v>0</v>
      </c>
      <c r="S170" s="321">
        <v>0</v>
      </c>
      <c r="T170" s="321">
        <v>0</v>
      </c>
      <c r="U170" s="322">
        <v>0</v>
      </c>
      <c r="V170" s="323">
        <v>0</v>
      </c>
      <c r="W170" s="303"/>
      <c r="X170" s="324">
        <v>0</v>
      </c>
      <c r="Y170" s="325">
        <v>0</v>
      </c>
    </row>
    <row r="171" spans="1:25" x14ac:dyDescent="0.3">
      <c r="E171" s="250" t="s">
        <v>1088</v>
      </c>
      <c r="F171" s="317">
        <v>4201404</v>
      </c>
      <c r="G171" s="318"/>
      <c r="H171" s="319"/>
      <c r="I171" s="320"/>
      <c r="J171" s="337">
        <v>0</v>
      </c>
      <c r="K171" s="321">
        <v>0</v>
      </c>
      <c r="L171" s="321">
        <v>0</v>
      </c>
      <c r="M171" s="321">
        <v>0</v>
      </c>
      <c r="N171" s="321">
        <v>0</v>
      </c>
      <c r="O171" s="321">
        <v>0</v>
      </c>
      <c r="P171" s="321">
        <v>0</v>
      </c>
      <c r="Q171" s="321">
        <v>0</v>
      </c>
      <c r="R171" s="321">
        <v>0</v>
      </c>
      <c r="S171" s="321">
        <v>0</v>
      </c>
      <c r="T171" s="321">
        <v>0</v>
      </c>
      <c r="U171" s="322">
        <v>0</v>
      </c>
      <c r="V171" s="323">
        <v>0</v>
      </c>
      <c r="W171" s="303"/>
      <c r="X171" s="324">
        <v>0</v>
      </c>
      <c r="Y171" s="325">
        <v>0</v>
      </c>
    </row>
    <row r="172" spans="1:25" x14ac:dyDescent="0.3">
      <c r="E172" s="250" t="s">
        <v>1089</v>
      </c>
      <c r="F172" s="317">
        <v>4201405</v>
      </c>
      <c r="G172" s="318"/>
      <c r="H172" s="319"/>
      <c r="I172" s="320"/>
      <c r="J172" s="337">
        <v>0</v>
      </c>
      <c r="K172" s="321">
        <v>0</v>
      </c>
      <c r="L172" s="321">
        <v>0</v>
      </c>
      <c r="M172" s="321">
        <v>0</v>
      </c>
      <c r="N172" s="321">
        <v>0</v>
      </c>
      <c r="O172" s="321">
        <v>0</v>
      </c>
      <c r="P172" s="321">
        <v>0</v>
      </c>
      <c r="Q172" s="321">
        <v>0</v>
      </c>
      <c r="R172" s="321">
        <v>0</v>
      </c>
      <c r="S172" s="321">
        <v>0</v>
      </c>
      <c r="T172" s="321">
        <v>0</v>
      </c>
      <c r="U172" s="322">
        <v>0</v>
      </c>
      <c r="V172" s="323">
        <v>0</v>
      </c>
      <c r="W172" s="303"/>
      <c r="X172" s="324">
        <v>0</v>
      </c>
      <c r="Y172" s="325">
        <v>0</v>
      </c>
    </row>
    <row r="173" spans="1:25" x14ac:dyDescent="0.3">
      <c r="E173" s="250" t="s">
        <v>1090</v>
      </c>
      <c r="F173" s="317">
        <v>4201406</v>
      </c>
      <c r="G173" s="318"/>
      <c r="H173" s="319"/>
      <c r="I173" s="320"/>
      <c r="J173" s="337">
        <v>0</v>
      </c>
      <c r="K173" s="321">
        <v>0</v>
      </c>
      <c r="L173" s="321">
        <v>0</v>
      </c>
      <c r="M173" s="321">
        <v>0</v>
      </c>
      <c r="N173" s="321">
        <v>0</v>
      </c>
      <c r="O173" s="321">
        <v>0</v>
      </c>
      <c r="P173" s="321">
        <v>0</v>
      </c>
      <c r="Q173" s="321">
        <v>0</v>
      </c>
      <c r="R173" s="321">
        <v>0</v>
      </c>
      <c r="S173" s="321">
        <v>0</v>
      </c>
      <c r="T173" s="321">
        <v>0</v>
      </c>
      <c r="U173" s="322">
        <v>0</v>
      </c>
      <c r="V173" s="323">
        <v>0</v>
      </c>
      <c r="W173" s="303"/>
      <c r="X173" s="324">
        <v>0</v>
      </c>
      <c r="Y173" s="325">
        <v>0</v>
      </c>
    </row>
    <row r="174" spans="1:25" x14ac:dyDescent="0.3">
      <c r="E174" s="250" t="s">
        <v>1091</v>
      </c>
      <c r="F174" s="317">
        <v>4201407</v>
      </c>
      <c r="G174" s="318"/>
      <c r="H174" s="319"/>
      <c r="I174" s="320"/>
      <c r="J174" s="337">
        <v>0</v>
      </c>
      <c r="K174" s="321">
        <v>0</v>
      </c>
      <c r="L174" s="321">
        <v>0</v>
      </c>
      <c r="M174" s="321">
        <v>0</v>
      </c>
      <c r="N174" s="321">
        <v>0</v>
      </c>
      <c r="O174" s="321">
        <v>0</v>
      </c>
      <c r="P174" s="321">
        <v>0</v>
      </c>
      <c r="Q174" s="321">
        <v>0</v>
      </c>
      <c r="R174" s="321">
        <v>0</v>
      </c>
      <c r="S174" s="321">
        <v>0</v>
      </c>
      <c r="T174" s="321">
        <v>0</v>
      </c>
      <c r="U174" s="322">
        <v>0</v>
      </c>
      <c r="V174" s="323">
        <v>0</v>
      </c>
      <c r="W174" s="303"/>
      <c r="X174" s="324">
        <v>0</v>
      </c>
      <c r="Y174" s="325">
        <v>0</v>
      </c>
    </row>
    <row r="175" spans="1:25" x14ac:dyDescent="0.3">
      <c r="A175" s="361"/>
      <c r="B175" s="361"/>
      <c r="C175" s="361"/>
      <c r="D175" s="361"/>
      <c r="E175" s="326" t="s">
        <v>1092</v>
      </c>
      <c r="F175" s="351"/>
      <c r="G175" s="352"/>
      <c r="H175" s="353"/>
      <c r="I175" s="354"/>
      <c r="J175" s="362">
        <v>0</v>
      </c>
      <c r="K175" s="355">
        <v>0</v>
      </c>
      <c r="L175" s="355">
        <v>0</v>
      </c>
      <c r="M175" s="355">
        <v>0</v>
      </c>
      <c r="N175" s="355">
        <v>0</v>
      </c>
      <c r="O175" s="355">
        <v>0</v>
      </c>
      <c r="P175" s="355">
        <v>0</v>
      </c>
      <c r="Q175" s="355">
        <v>0</v>
      </c>
      <c r="R175" s="355">
        <v>0</v>
      </c>
      <c r="S175" s="355">
        <v>0</v>
      </c>
      <c r="T175" s="355">
        <v>0</v>
      </c>
      <c r="U175" s="356">
        <v>0</v>
      </c>
      <c r="V175" s="357">
        <v>0</v>
      </c>
      <c r="W175" s="358"/>
      <c r="X175" s="359">
        <v>0</v>
      </c>
      <c r="Y175" s="360">
        <v>0</v>
      </c>
    </row>
    <row r="176" spans="1:25" x14ac:dyDescent="0.3">
      <c r="A176" s="361"/>
      <c r="B176" s="361"/>
      <c r="C176" s="361"/>
      <c r="D176" s="361"/>
      <c r="E176" s="326" t="s">
        <v>1093</v>
      </c>
      <c r="F176" s="351"/>
      <c r="G176" s="352"/>
      <c r="H176" s="353"/>
      <c r="I176" s="354"/>
      <c r="J176" s="362">
        <v>0</v>
      </c>
      <c r="K176" s="355">
        <v>0</v>
      </c>
      <c r="L176" s="355">
        <v>0</v>
      </c>
      <c r="M176" s="355">
        <v>0</v>
      </c>
      <c r="N176" s="355">
        <v>0</v>
      </c>
      <c r="O176" s="355">
        <v>0</v>
      </c>
      <c r="P176" s="355">
        <v>0</v>
      </c>
      <c r="Q176" s="355">
        <v>0</v>
      </c>
      <c r="R176" s="355">
        <v>0</v>
      </c>
      <c r="S176" s="355">
        <v>0</v>
      </c>
      <c r="T176" s="355">
        <v>0</v>
      </c>
      <c r="U176" s="356">
        <v>0</v>
      </c>
      <c r="V176" s="357">
        <v>0</v>
      </c>
      <c r="W176" s="358"/>
      <c r="X176" s="359">
        <v>0</v>
      </c>
      <c r="Y176" s="360">
        <v>0</v>
      </c>
    </row>
    <row r="177" spans="1:25" x14ac:dyDescent="0.3">
      <c r="A177" s="361"/>
      <c r="B177" s="361"/>
      <c r="C177" s="361"/>
      <c r="D177" s="361"/>
      <c r="E177" s="326" t="s">
        <v>1094</v>
      </c>
      <c r="F177" s="351"/>
      <c r="G177" s="352"/>
      <c r="H177" s="353"/>
      <c r="I177" s="354"/>
      <c r="J177" s="362">
        <v>0</v>
      </c>
      <c r="K177" s="355">
        <v>0</v>
      </c>
      <c r="L177" s="355">
        <v>0</v>
      </c>
      <c r="M177" s="355">
        <v>0</v>
      </c>
      <c r="N177" s="355">
        <v>0</v>
      </c>
      <c r="O177" s="355">
        <v>0</v>
      </c>
      <c r="P177" s="355">
        <v>0</v>
      </c>
      <c r="Q177" s="355">
        <v>0</v>
      </c>
      <c r="R177" s="355">
        <v>0</v>
      </c>
      <c r="S177" s="355">
        <v>0</v>
      </c>
      <c r="T177" s="355">
        <v>0</v>
      </c>
      <c r="U177" s="356">
        <v>0</v>
      </c>
      <c r="V177" s="357">
        <v>0</v>
      </c>
      <c r="W177" s="358"/>
      <c r="X177" s="359">
        <v>0</v>
      </c>
      <c r="Y177" s="360">
        <v>0</v>
      </c>
    </row>
    <row r="178" spans="1:25" x14ac:dyDescent="0.3">
      <c r="A178" s="233"/>
      <c r="B178" s="234" t="s">
        <v>8</v>
      </c>
      <c r="D178" s="293" t="s">
        <v>1095</v>
      </c>
      <c r="E178" s="294"/>
      <c r="F178" s="295" t="s">
        <v>1096</v>
      </c>
      <c r="G178" s="296"/>
      <c r="H178" s="297"/>
      <c r="I178" s="298"/>
      <c r="J178" s="299">
        <v>0</v>
      </c>
      <c r="K178" s="300">
        <v>0</v>
      </c>
      <c r="L178" s="300">
        <v>0</v>
      </c>
      <c r="M178" s="300">
        <v>0</v>
      </c>
      <c r="N178" s="300">
        <v>0</v>
      </c>
      <c r="O178" s="300">
        <v>0</v>
      </c>
      <c r="P178" s="300">
        <v>0</v>
      </c>
      <c r="Q178" s="300">
        <v>0</v>
      </c>
      <c r="R178" s="300">
        <v>0</v>
      </c>
      <c r="S178" s="300">
        <v>0</v>
      </c>
      <c r="T178" s="300">
        <v>0</v>
      </c>
      <c r="U178" s="301">
        <v>0</v>
      </c>
      <c r="V178" s="302">
        <v>0</v>
      </c>
      <c r="W178" s="303"/>
      <c r="X178" s="304">
        <v>0</v>
      </c>
      <c r="Y178" s="305">
        <v>0</v>
      </c>
    </row>
    <row r="179" spans="1:25" x14ac:dyDescent="0.3">
      <c r="A179" s="361"/>
      <c r="B179" s="361"/>
      <c r="E179" s="250" t="s">
        <v>1097</v>
      </c>
      <c r="F179" s="317">
        <v>4203001</v>
      </c>
      <c r="G179" s="318"/>
      <c r="H179" s="319">
        <v>4500030101</v>
      </c>
      <c r="I179" s="320"/>
      <c r="J179" s="337">
        <v>0</v>
      </c>
      <c r="K179" s="321">
        <v>0</v>
      </c>
      <c r="L179" s="321">
        <v>0</v>
      </c>
      <c r="M179" s="321">
        <v>0</v>
      </c>
      <c r="N179" s="321">
        <v>0</v>
      </c>
      <c r="O179" s="321">
        <v>0</v>
      </c>
      <c r="P179" s="321">
        <v>0</v>
      </c>
      <c r="Q179" s="321">
        <v>0</v>
      </c>
      <c r="R179" s="321">
        <v>0</v>
      </c>
      <c r="S179" s="321">
        <v>0</v>
      </c>
      <c r="T179" s="321">
        <v>0</v>
      </c>
      <c r="U179" s="322">
        <v>0</v>
      </c>
      <c r="V179" s="323">
        <v>0</v>
      </c>
      <c r="W179" s="303"/>
      <c r="X179" s="324">
        <v>0</v>
      </c>
      <c r="Y179" s="325">
        <v>0</v>
      </c>
    </row>
    <row r="180" spans="1:25" x14ac:dyDescent="0.3">
      <c r="A180" s="326"/>
      <c r="B180" s="326"/>
      <c r="C180" s="326"/>
      <c r="D180" s="326"/>
      <c r="E180" s="326" t="s">
        <v>1098</v>
      </c>
      <c r="F180" s="336"/>
      <c r="G180" s="327"/>
      <c r="H180" s="328"/>
      <c r="I180" s="329"/>
      <c r="J180" s="338">
        <v>0</v>
      </c>
      <c r="K180" s="330">
        <v>0</v>
      </c>
      <c r="L180" s="330">
        <v>0</v>
      </c>
      <c r="M180" s="330">
        <v>0</v>
      </c>
      <c r="N180" s="330">
        <v>0</v>
      </c>
      <c r="O180" s="330">
        <v>0</v>
      </c>
      <c r="P180" s="330">
        <v>0</v>
      </c>
      <c r="Q180" s="330">
        <v>0</v>
      </c>
      <c r="R180" s="330">
        <v>0</v>
      </c>
      <c r="S180" s="330">
        <v>0</v>
      </c>
      <c r="T180" s="330">
        <v>0</v>
      </c>
      <c r="U180" s="331">
        <v>0</v>
      </c>
      <c r="V180" s="332">
        <v>0</v>
      </c>
      <c r="W180" s="333"/>
      <c r="X180" s="334">
        <v>0</v>
      </c>
      <c r="Y180" s="335">
        <v>0</v>
      </c>
    </row>
    <row r="181" spans="1:25" x14ac:dyDescent="0.3">
      <c r="A181" s="326"/>
      <c r="B181" s="326"/>
      <c r="C181" s="326"/>
      <c r="D181" s="326"/>
      <c r="E181" s="326" t="s">
        <v>1099</v>
      </c>
      <c r="F181" s="336"/>
      <c r="G181" s="327"/>
      <c r="H181" s="328"/>
      <c r="I181" s="329"/>
      <c r="J181" s="338">
        <v>0</v>
      </c>
      <c r="K181" s="330">
        <v>0</v>
      </c>
      <c r="L181" s="330">
        <v>0</v>
      </c>
      <c r="M181" s="330">
        <v>0</v>
      </c>
      <c r="N181" s="330">
        <v>0</v>
      </c>
      <c r="O181" s="330">
        <v>0</v>
      </c>
      <c r="P181" s="330">
        <v>0</v>
      </c>
      <c r="Q181" s="330">
        <v>0</v>
      </c>
      <c r="R181" s="330">
        <v>0</v>
      </c>
      <c r="S181" s="330">
        <v>0</v>
      </c>
      <c r="T181" s="330">
        <v>0</v>
      </c>
      <c r="U181" s="331">
        <v>0</v>
      </c>
      <c r="V181" s="332">
        <v>0</v>
      </c>
      <c r="W181" s="333"/>
      <c r="X181" s="334">
        <v>0</v>
      </c>
      <c r="Y181" s="335">
        <v>0</v>
      </c>
    </row>
    <row r="182" spans="1:25" x14ac:dyDescent="0.3">
      <c r="A182" s="326"/>
      <c r="B182" s="326"/>
      <c r="C182" s="326"/>
      <c r="D182" s="326"/>
      <c r="E182" s="326" t="s">
        <v>1100</v>
      </c>
      <c r="F182" s="336"/>
      <c r="G182" s="327"/>
      <c r="H182" s="328"/>
      <c r="I182" s="329"/>
      <c r="J182" s="338">
        <v>0</v>
      </c>
      <c r="K182" s="330">
        <v>0</v>
      </c>
      <c r="L182" s="330">
        <v>0</v>
      </c>
      <c r="M182" s="330">
        <v>0</v>
      </c>
      <c r="N182" s="330">
        <v>0</v>
      </c>
      <c r="O182" s="330">
        <v>0</v>
      </c>
      <c r="P182" s="330">
        <v>0</v>
      </c>
      <c r="Q182" s="330">
        <v>0</v>
      </c>
      <c r="R182" s="330">
        <v>0</v>
      </c>
      <c r="S182" s="330">
        <v>0</v>
      </c>
      <c r="T182" s="330">
        <v>0</v>
      </c>
      <c r="U182" s="331">
        <v>0</v>
      </c>
      <c r="V182" s="332">
        <v>0</v>
      </c>
      <c r="W182" s="333"/>
      <c r="X182" s="334">
        <v>0</v>
      </c>
      <c r="Y182" s="335">
        <v>0</v>
      </c>
    </row>
    <row r="183" spans="1:25" x14ac:dyDescent="0.3">
      <c r="A183" s="233"/>
      <c r="B183" s="234" t="s">
        <v>10</v>
      </c>
      <c r="D183" s="293" t="s">
        <v>1101</v>
      </c>
      <c r="E183" s="294"/>
      <c r="F183" s="295" t="s">
        <v>1102</v>
      </c>
      <c r="G183" s="296"/>
      <c r="H183" s="297"/>
      <c r="I183" s="298"/>
      <c r="J183" s="299">
        <v>0</v>
      </c>
      <c r="K183" s="300">
        <v>0</v>
      </c>
      <c r="L183" s="300">
        <v>0</v>
      </c>
      <c r="M183" s="300">
        <v>0</v>
      </c>
      <c r="N183" s="300">
        <v>0</v>
      </c>
      <c r="O183" s="300">
        <v>0</v>
      </c>
      <c r="P183" s="300">
        <v>0</v>
      </c>
      <c r="Q183" s="300">
        <v>0</v>
      </c>
      <c r="R183" s="300">
        <v>0</v>
      </c>
      <c r="S183" s="300">
        <v>0</v>
      </c>
      <c r="T183" s="300">
        <v>0</v>
      </c>
      <c r="U183" s="301">
        <v>0</v>
      </c>
      <c r="V183" s="302">
        <v>0</v>
      </c>
      <c r="W183" s="303"/>
      <c r="X183" s="304">
        <v>0</v>
      </c>
      <c r="Y183" s="305">
        <v>0</v>
      </c>
    </row>
    <row r="184" spans="1:25" x14ac:dyDescent="0.3">
      <c r="E184" s="250" t="s">
        <v>1103</v>
      </c>
      <c r="F184" s="317">
        <v>4204001</v>
      </c>
      <c r="G184" s="318"/>
      <c r="H184" s="319">
        <v>4500130101</v>
      </c>
      <c r="I184" s="320"/>
      <c r="J184" s="337">
        <v>0</v>
      </c>
      <c r="K184" s="321">
        <v>0</v>
      </c>
      <c r="L184" s="321">
        <v>0</v>
      </c>
      <c r="M184" s="321">
        <v>0</v>
      </c>
      <c r="N184" s="321">
        <v>0</v>
      </c>
      <c r="O184" s="321">
        <v>0</v>
      </c>
      <c r="P184" s="321">
        <v>0</v>
      </c>
      <c r="Q184" s="321">
        <v>0</v>
      </c>
      <c r="R184" s="321">
        <v>0</v>
      </c>
      <c r="S184" s="321">
        <v>0</v>
      </c>
      <c r="T184" s="321">
        <v>0</v>
      </c>
      <c r="U184" s="322">
        <v>0</v>
      </c>
      <c r="V184" s="323">
        <v>0</v>
      </c>
      <c r="W184" s="303"/>
      <c r="X184" s="324">
        <v>0</v>
      </c>
      <c r="Y184" s="325">
        <v>0</v>
      </c>
    </row>
    <row r="185" spans="1:25" x14ac:dyDescent="0.3">
      <c r="E185" s="250" t="s">
        <v>1104</v>
      </c>
      <c r="F185" s="317">
        <v>4204002</v>
      </c>
      <c r="G185" s="318"/>
      <c r="H185" s="319"/>
      <c r="I185" s="320"/>
      <c r="J185" s="337">
        <v>0</v>
      </c>
      <c r="K185" s="321">
        <v>0</v>
      </c>
      <c r="L185" s="321">
        <v>0</v>
      </c>
      <c r="M185" s="321">
        <v>0</v>
      </c>
      <c r="N185" s="321">
        <v>0</v>
      </c>
      <c r="O185" s="321">
        <v>0</v>
      </c>
      <c r="P185" s="321">
        <v>0</v>
      </c>
      <c r="Q185" s="321">
        <v>0</v>
      </c>
      <c r="R185" s="321">
        <v>0</v>
      </c>
      <c r="S185" s="321">
        <v>0</v>
      </c>
      <c r="T185" s="321">
        <v>0</v>
      </c>
      <c r="U185" s="322">
        <v>0</v>
      </c>
      <c r="V185" s="323">
        <v>0</v>
      </c>
      <c r="W185" s="303"/>
      <c r="X185" s="324">
        <v>0</v>
      </c>
      <c r="Y185" s="325">
        <v>0</v>
      </c>
    </row>
    <row r="186" spans="1:25" x14ac:dyDescent="0.3">
      <c r="E186" s="250" t="s">
        <v>1105</v>
      </c>
      <c r="F186" s="317">
        <v>4204004</v>
      </c>
      <c r="G186" s="318"/>
      <c r="H186" s="319"/>
      <c r="I186" s="320"/>
      <c r="J186" s="337">
        <v>0</v>
      </c>
      <c r="K186" s="321">
        <v>0</v>
      </c>
      <c r="L186" s="321">
        <v>0</v>
      </c>
      <c r="M186" s="321">
        <v>0</v>
      </c>
      <c r="N186" s="321">
        <v>0</v>
      </c>
      <c r="O186" s="321">
        <v>0</v>
      </c>
      <c r="P186" s="321">
        <v>0</v>
      </c>
      <c r="Q186" s="321">
        <v>0</v>
      </c>
      <c r="R186" s="321">
        <v>0</v>
      </c>
      <c r="S186" s="321">
        <v>0</v>
      </c>
      <c r="T186" s="321">
        <v>0</v>
      </c>
      <c r="U186" s="322">
        <v>0</v>
      </c>
      <c r="V186" s="323">
        <v>0</v>
      </c>
      <c r="W186" s="303"/>
      <c r="X186" s="324">
        <v>0</v>
      </c>
      <c r="Y186" s="325">
        <v>0</v>
      </c>
    </row>
    <row r="187" spans="1:25" x14ac:dyDescent="0.3">
      <c r="E187" s="250" t="s">
        <v>1106</v>
      </c>
      <c r="F187" s="317">
        <v>4204005</v>
      </c>
      <c r="G187" s="318"/>
      <c r="H187" s="319"/>
      <c r="I187" s="320"/>
      <c r="J187" s="337">
        <v>0</v>
      </c>
      <c r="K187" s="321">
        <v>0</v>
      </c>
      <c r="L187" s="321">
        <v>0</v>
      </c>
      <c r="M187" s="321">
        <v>0</v>
      </c>
      <c r="N187" s="321">
        <v>0</v>
      </c>
      <c r="O187" s="321">
        <v>0</v>
      </c>
      <c r="P187" s="321">
        <v>0</v>
      </c>
      <c r="Q187" s="321">
        <v>0</v>
      </c>
      <c r="R187" s="321">
        <v>0</v>
      </c>
      <c r="S187" s="321">
        <v>0</v>
      </c>
      <c r="T187" s="321">
        <v>0</v>
      </c>
      <c r="U187" s="322">
        <v>0</v>
      </c>
      <c r="V187" s="323">
        <v>0</v>
      </c>
      <c r="W187" s="303"/>
      <c r="X187" s="324">
        <v>0</v>
      </c>
      <c r="Y187" s="325">
        <v>0</v>
      </c>
    </row>
    <row r="188" spans="1:25" x14ac:dyDescent="0.3">
      <c r="E188" s="250" t="s">
        <v>1107</v>
      </c>
      <c r="F188" s="317">
        <v>4204003</v>
      </c>
      <c r="G188" s="318"/>
      <c r="H188" s="319"/>
      <c r="I188" s="320"/>
      <c r="J188" s="337">
        <v>0</v>
      </c>
      <c r="K188" s="321">
        <v>0</v>
      </c>
      <c r="L188" s="321">
        <v>0</v>
      </c>
      <c r="M188" s="321">
        <v>0</v>
      </c>
      <c r="N188" s="321">
        <v>0</v>
      </c>
      <c r="O188" s="321">
        <v>0</v>
      </c>
      <c r="P188" s="321">
        <v>0</v>
      </c>
      <c r="Q188" s="321">
        <v>0</v>
      </c>
      <c r="R188" s="321">
        <v>0</v>
      </c>
      <c r="S188" s="321">
        <v>0</v>
      </c>
      <c r="T188" s="321">
        <v>0</v>
      </c>
      <c r="U188" s="322">
        <v>0</v>
      </c>
      <c r="V188" s="323">
        <v>0</v>
      </c>
      <c r="W188" s="303"/>
      <c r="X188" s="324">
        <v>0</v>
      </c>
      <c r="Y188" s="325">
        <v>0</v>
      </c>
    </row>
    <row r="189" spans="1:25" x14ac:dyDescent="0.3">
      <c r="A189" s="326"/>
      <c r="B189" s="326"/>
      <c r="C189" s="326"/>
      <c r="D189" s="326"/>
      <c r="E189" s="326" t="s">
        <v>1108</v>
      </c>
      <c r="F189" s="336"/>
      <c r="G189" s="327"/>
      <c r="H189" s="328"/>
      <c r="I189" s="329"/>
      <c r="J189" s="338">
        <v>0</v>
      </c>
      <c r="K189" s="330">
        <v>0</v>
      </c>
      <c r="L189" s="330">
        <v>0</v>
      </c>
      <c r="M189" s="330">
        <v>0</v>
      </c>
      <c r="N189" s="330">
        <v>0</v>
      </c>
      <c r="O189" s="330">
        <v>0</v>
      </c>
      <c r="P189" s="330">
        <v>0</v>
      </c>
      <c r="Q189" s="330">
        <v>0</v>
      </c>
      <c r="R189" s="330">
        <v>0</v>
      </c>
      <c r="S189" s="330">
        <v>0</v>
      </c>
      <c r="T189" s="330">
        <v>0</v>
      </c>
      <c r="U189" s="331">
        <v>0</v>
      </c>
      <c r="V189" s="332">
        <v>0</v>
      </c>
      <c r="W189" s="333"/>
      <c r="X189" s="334">
        <v>0</v>
      </c>
      <c r="Y189" s="335">
        <v>0</v>
      </c>
    </row>
    <row r="190" spans="1:25" x14ac:dyDescent="0.3">
      <c r="A190" s="326"/>
      <c r="B190" s="326"/>
      <c r="C190" s="326"/>
      <c r="D190" s="326"/>
      <c r="E190" s="326" t="s">
        <v>1109</v>
      </c>
      <c r="F190" s="336"/>
      <c r="G190" s="327"/>
      <c r="H190" s="328"/>
      <c r="I190" s="329"/>
      <c r="J190" s="338">
        <v>0</v>
      </c>
      <c r="K190" s="330">
        <v>0</v>
      </c>
      <c r="L190" s="330">
        <v>0</v>
      </c>
      <c r="M190" s="330">
        <v>0</v>
      </c>
      <c r="N190" s="330">
        <v>0</v>
      </c>
      <c r="O190" s="330">
        <v>0</v>
      </c>
      <c r="P190" s="330">
        <v>0</v>
      </c>
      <c r="Q190" s="330">
        <v>0</v>
      </c>
      <c r="R190" s="330">
        <v>0</v>
      </c>
      <c r="S190" s="330">
        <v>0</v>
      </c>
      <c r="T190" s="330">
        <v>0</v>
      </c>
      <c r="U190" s="331">
        <v>0</v>
      </c>
      <c r="V190" s="332">
        <v>0</v>
      </c>
      <c r="W190" s="333"/>
      <c r="X190" s="334">
        <v>0</v>
      </c>
      <c r="Y190" s="335">
        <v>0</v>
      </c>
    </row>
    <row r="191" spans="1:25" x14ac:dyDescent="0.3">
      <c r="A191" s="326"/>
      <c r="B191" s="326"/>
      <c r="C191" s="326"/>
      <c r="D191" s="326"/>
      <c r="E191" s="326" t="s">
        <v>1110</v>
      </c>
      <c r="F191" s="336"/>
      <c r="G191" s="327"/>
      <c r="H191" s="328"/>
      <c r="I191" s="329"/>
      <c r="J191" s="338">
        <v>0</v>
      </c>
      <c r="K191" s="330">
        <v>0</v>
      </c>
      <c r="L191" s="330">
        <v>0</v>
      </c>
      <c r="M191" s="330">
        <v>0</v>
      </c>
      <c r="N191" s="330">
        <v>0</v>
      </c>
      <c r="O191" s="330">
        <v>0</v>
      </c>
      <c r="P191" s="330">
        <v>0</v>
      </c>
      <c r="Q191" s="330">
        <v>0</v>
      </c>
      <c r="R191" s="330">
        <v>0</v>
      </c>
      <c r="S191" s="330">
        <v>0</v>
      </c>
      <c r="T191" s="330">
        <v>0</v>
      </c>
      <c r="U191" s="331">
        <v>0</v>
      </c>
      <c r="V191" s="332">
        <v>0</v>
      </c>
      <c r="W191" s="333"/>
      <c r="X191" s="334">
        <v>0</v>
      </c>
      <c r="Y191" s="335">
        <v>0</v>
      </c>
    </row>
    <row r="192" spans="1:25" x14ac:dyDescent="0.3">
      <c r="A192" s="233"/>
      <c r="B192" s="234" t="s">
        <v>9</v>
      </c>
      <c r="D192" s="293" t="s">
        <v>1111</v>
      </c>
      <c r="E192" s="294"/>
      <c r="F192" s="295" t="s">
        <v>1112</v>
      </c>
      <c r="G192" s="296"/>
      <c r="H192" s="297"/>
      <c r="I192" s="298"/>
      <c r="J192" s="299">
        <v>0</v>
      </c>
      <c r="K192" s="300">
        <v>0</v>
      </c>
      <c r="L192" s="300">
        <v>0</v>
      </c>
      <c r="M192" s="300">
        <v>0</v>
      </c>
      <c r="N192" s="300">
        <v>0</v>
      </c>
      <c r="O192" s="300">
        <v>0</v>
      </c>
      <c r="P192" s="300">
        <v>0</v>
      </c>
      <c r="Q192" s="300">
        <v>0</v>
      </c>
      <c r="R192" s="300">
        <v>0</v>
      </c>
      <c r="S192" s="300">
        <v>0</v>
      </c>
      <c r="T192" s="300">
        <v>0</v>
      </c>
      <c r="U192" s="301">
        <v>0</v>
      </c>
      <c r="V192" s="302">
        <v>0</v>
      </c>
      <c r="W192" s="303"/>
      <c r="X192" s="304">
        <v>0</v>
      </c>
      <c r="Y192" s="305">
        <v>0</v>
      </c>
    </row>
    <row r="193" spans="1:25" x14ac:dyDescent="0.3">
      <c r="E193" s="250" t="s">
        <v>1113</v>
      </c>
      <c r="F193" s="317">
        <v>4205004</v>
      </c>
      <c r="G193" s="318"/>
      <c r="H193" s="319"/>
      <c r="I193" s="320"/>
      <c r="J193" s="337">
        <v>0</v>
      </c>
      <c r="K193" s="321">
        <v>0</v>
      </c>
      <c r="L193" s="321">
        <v>0</v>
      </c>
      <c r="M193" s="321">
        <v>0</v>
      </c>
      <c r="N193" s="321">
        <v>0</v>
      </c>
      <c r="O193" s="321">
        <v>0</v>
      </c>
      <c r="P193" s="321">
        <v>0</v>
      </c>
      <c r="Q193" s="321">
        <v>0</v>
      </c>
      <c r="R193" s="321">
        <v>0</v>
      </c>
      <c r="S193" s="321">
        <v>0</v>
      </c>
      <c r="T193" s="321">
        <v>0</v>
      </c>
      <c r="U193" s="322">
        <v>0</v>
      </c>
      <c r="V193" s="323">
        <v>0</v>
      </c>
      <c r="W193" s="303"/>
      <c r="X193" s="324">
        <v>0</v>
      </c>
      <c r="Y193" s="325">
        <v>0</v>
      </c>
    </row>
    <row r="194" spans="1:25" x14ac:dyDescent="0.3">
      <c r="E194" s="350" t="s">
        <v>1114</v>
      </c>
      <c r="F194" s="317">
        <v>4205001</v>
      </c>
      <c r="G194" s="318"/>
      <c r="H194" s="319">
        <v>4500050101</v>
      </c>
      <c r="I194" s="320"/>
      <c r="J194" s="337">
        <v>0</v>
      </c>
      <c r="K194" s="321">
        <v>0</v>
      </c>
      <c r="L194" s="321">
        <v>0</v>
      </c>
      <c r="M194" s="321">
        <v>0</v>
      </c>
      <c r="N194" s="321">
        <v>0</v>
      </c>
      <c r="O194" s="321">
        <v>0</v>
      </c>
      <c r="P194" s="321">
        <v>0</v>
      </c>
      <c r="Q194" s="321">
        <v>0</v>
      </c>
      <c r="R194" s="321">
        <v>0</v>
      </c>
      <c r="S194" s="321">
        <v>0</v>
      </c>
      <c r="T194" s="321">
        <v>0</v>
      </c>
      <c r="U194" s="322">
        <v>0</v>
      </c>
      <c r="V194" s="323">
        <v>0</v>
      </c>
      <c r="W194" s="303"/>
      <c r="X194" s="324">
        <v>0</v>
      </c>
      <c r="Y194" s="325">
        <v>0</v>
      </c>
    </row>
    <row r="195" spans="1:25" x14ac:dyDescent="0.3">
      <c r="E195" s="350" t="s">
        <v>1115</v>
      </c>
      <c r="F195" s="317">
        <v>4205002</v>
      </c>
      <c r="G195" s="318"/>
      <c r="H195" s="319"/>
      <c r="I195" s="320"/>
      <c r="J195" s="337">
        <v>0</v>
      </c>
      <c r="K195" s="321">
        <v>0</v>
      </c>
      <c r="L195" s="321">
        <v>0</v>
      </c>
      <c r="M195" s="321">
        <v>0</v>
      </c>
      <c r="N195" s="321">
        <v>0</v>
      </c>
      <c r="O195" s="321">
        <v>0</v>
      </c>
      <c r="P195" s="321">
        <v>0</v>
      </c>
      <c r="Q195" s="321">
        <v>0</v>
      </c>
      <c r="R195" s="321">
        <v>0</v>
      </c>
      <c r="S195" s="321">
        <v>0</v>
      </c>
      <c r="T195" s="321">
        <v>0</v>
      </c>
      <c r="U195" s="322">
        <v>0</v>
      </c>
      <c r="V195" s="323">
        <v>0</v>
      </c>
      <c r="W195" s="303"/>
      <c r="X195" s="324">
        <v>0</v>
      </c>
      <c r="Y195" s="325">
        <v>0</v>
      </c>
    </row>
    <row r="196" spans="1:25" x14ac:dyDescent="0.3">
      <c r="E196" s="350" t="s">
        <v>1116</v>
      </c>
      <c r="F196" s="317">
        <v>4205083</v>
      </c>
      <c r="G196" s="318"/>
      <c r="H196" s="319"/>
      <c r="I196" s="320"/>
      <c r="J196" s="337">
        <v>0</v>
      </c>
      <c r="K196" s="321">
        <v>0</v>
      </c>
      <c r="L196" s="321">
        <v>0</v>
      </c>
      <c r="M196" s="321">
        <v>0</v>
      </c>
      <c r="N196" s="321">
        <v>0</v>
      </c>
      <c r="O196" s="321">
        <v>0</v>
      </c>
      <c r="P196" s="321">
        <v>0</v>
      </c>
      <c r="Q196" s="321">
        <v>0</v>
      </c>
      <c r="R196" s="321">
        <v>0</v>
      </c>
      <c r="S196" s="321">
        <v>0</v>
      </c>
      <c r="T196" s="321">
        <v>0</v>
      </c>
      <c r="U196" s="322">
        <v>0</v>
      </c>
      <c r="V196" s="323">
        <v>0</v>
      </c>
      <c r="W196" s="303"/>
      <c r="X196" s="324">
        <v>0</v>
      </c>
      <c r="Y196" s="325">
        <v>0</v>
      </c>
    </row>
    <row r="197" spans="1:25" x14ac:dyDescent="0.3">
      <c r="E197" s="350" t="s">
        <v>1117</v>
      </c>
      <c r="F197" s="317">
        <v>4205084</v>
      </c>
      <c r="G197" s="318"/>
      <c r="H197" s="319"/>
      <c r="I197" s="320"/>
      <c r="J197" s="337">
        <v>0</v>
      </c>
      <c r="K197" s="321">
        <v>0</v>
      </c>
      <c r="L197" s="321">
        <v>0</v>
      </c>
      <c r="M197" s="321">
        <v>0</v>
      </c>
      <c r="N197" s="321">
        <v>0</v>
      </c>
      <c r="O197" s="321">
        <v>0</v>
      </c>
      <c r="P197" s="321">
        <v>0</v>
      </c>
      <c r="Q197" s="321">
        <v>0</v>
      </c>
      <c r="R197" s="321">
        <v>0</v>
      </c>
      <c r="S197" s="321">
        <v>0</v>
      </c>
      <c r="T197" s="321">
        <v>0</v>
      </c>
      <c r="U197" s="322">
        <v>0</v>
      </c>
      <c r="V197" s="323">
        <v>0</v>
      </c>
      <c r="W197" s="303"/>
      <c r="X197" s="324">
        <v>0</v>
      </c>
      <c r="Y197" s="325">
        <v>0</v>
      </c>
    </row>
    <row r="198" spans="1:25" x14ac:dyDescent="0.3">
      <c r="A198" s="326"/>
      <c r="B198" s="326"/>
      <c r="C198" s="326"/>
      <c r="D198" s="326"/>
      <c r="E198" s="326" t="s">
        <v>1118</v>
      </c>
      <c r="F198" s="336"/>
      <c r="G198" s="327"/>
      <c r="H198" s="328"/>
      <c r="I198" s="329"/>
      <c r="J198" s="338">
        <v>0</v>
      </c>
      <c r="K198" s="330">
        <v>0</v>
      </c>
      <c r="L198" s="330">
        <v>0</v>
      </c>
      <c r="M198" s="330">
        <v>0</v>
      </c>
      <c r="N198" s="330">
        <v>0</v>
      </c>
      <c r="O198" s="330">
        <v>0</v>
      </c>
      <c r="P198" s="330">
        <v>0</v>
      </c>
      <c r="Q198" s="330">
        <v>0</v>
      </c>
      <c r="R198" s="330">
        <v>0</v>
      </c>
      <c r="S198" s="330">
        <v>0</v>
      </c>
      <c r="T198" s="330">
        <v>0</v>
      </c>
      <c r="U198" s="331">
        <v>0</v>
      </c>
      <c r="V198" s="332">
        <v>0</v>
      </c>
      <c r="W198" s="333"/>
      <c r="X198" s="334">
        <v>0</v>
      </c>
      <c r="Y198" s="335">
        <v>0</v>
      </c>
    </row>
    <row r="199" spans="1:25" x14ac:dyDescent="0.3">
      <c r="A199" s="326"/>
      <c r="B199" s="326"/>
      <c r="C199" s="326"/>
      <c r="D199" s="326"/>
      <c r="E199" s="326" t="s">
        <v>1119</v>
      </c>
      <c r="F199" s="336"/>
      <c r="G199" s="327"/>
      <c r="H199" s="328"/>
      <c r="I199" s="329"/>
      <c r="J199" s="338">
        <v>0</v>
      </c>
      <c r="K199" s="330">
        <v>0</v>
      </c>
      <c r="L199" s="330">
        <v>0</v>
      </c>
      <c r="M199" s="330">
        <v>0</v>
      </c>
      <c r="N199" s="330">
        <v>0</v>
      </c>
      <c r="O199" s="330">
        <v>0</v>
      </c>
      <c r="P199" s="330">
        <v>0</v>
      </c>
      <c r="Q199" s="330">
        <v>0</v>
      </c>
      <c r="R199" s="330">
        <v>0</v>
      </c>
      <c r="S199" s="330">
        <v>0</v>
      </c>
      <c r="T199" s="330">
        <v>0</v>
      </c>
      <c r="U199" s="331">
        <v>0</v>
      </c>
      <c r="V199" s="332">
        <v>0</v>
      </c>
      <c r="W199" s="333"/>
      <c r="X199" s="334">
        <v>0</v>
      </c>
      <c r="Y199" s="335">
        <v>0</v>
      </c>
    </row>
    <row r="200" spans="1:25" x14ac:dyDescent="0.3">
      <c r="A200" s="326"/>
      <c r="B200" s="326"/>
      <c r="C200" s="326"/>
      <c r="D200" s="326"/>
      <c r="E200" s="326" t="s">
        <v>1120</v>
      </c>
      <c r="F200" s="336"/>
      <c r="G200" s="327"/>
      <c r="H200" s="328"/>
      <c r="I200" s="329"/>
      <c r="J200" s="338">
        <v>0</v>
      </c>
      <c r="K200" s="330">
        <v>0</v>
      </c>
      <c r="L200" s="330">
        <v>0</v>
      </c>
      <c r="M200" s="330">
        <v>0</v>
      </c>
      <c r="N200" s="330">
        <v>0</v>
      </c>
      <c r="O200" s="330">
        <v>0</v>
      </c>
      <c r="P200" s="330">
        <v>0</v>
      </c>
      <c r="Q200" s="330">
        <v>0</v>
      </c>
      <c r="R200" s="330">
        <v>0</v>
      </c>
      <c r="S200" s="330">
        <v>0</v>
      </c>
      <c r="T200" s="330">
        <v>0</v>
      </c>
      <c r="U200" s="331">
        <v>0</v>
      </c>
      <c r="V200" s="332">
        <v>0</v>
      </c>
      <c r="W200" s="333"/>
      <c r="X200" s="334">
        <v>0</v>
      </c>
      <c r="Y200" s="335">
        <v>0</v>
      </c>
    </row>
    <row r="201" spans="1:25" x14ac:dyDescent="0.3">
      <c r="A201" s="233"/>
      <c r="B201" s="234" t="s">
        <v>10</v>
      </c>
      <c r="D201" s="293" t="s">
        <v>1121</v>
      </c>
      <c r="E201" s="294"/>
      <c r="F201" s="295" t="s">
        <v>1122</v>
      </c>
      <c r="G201" s="296"/>
      <c r="H201" s="297"/>
      <c r="I201" s="298"/>
      <c r="J201" s="299">
        <v>0</v>
      </c>
      <c r="K201" s="300">
        <v>0</v>
      </c>
      <c r="L201" s="300">
        <v>0</v>
      </c>
      <c r="M201" s="300">
        <v>0</v>
      </c>
      <c r="N201" s="300">
        <v>0</v>
      </c>
      <c r="O201" s="300">
        <v>0</v>
      </c>
      <c r="P201" s="300">
        <v>0</v>
      </c>
      <c r="Q201" s="300">
        <v>0</v>
      </c>
      <c r="R201" s="300">
        <v>0</v>
      </c>
      <c r="S201" s="300">
        <v>0</v>
      </c>
      <c r="T201" s="300">
        <v>0</v>
      </c>
      <c r="U201" s="301">
        <v>0</v>
      </c>
      <c r="V201" s="302">
        <v>0</v>
      </c>
      <c r="W201" s="303"/>
      <c r="X201" s="304">
        <v>0</v>
      </c>
      <c r="Y201" s="305">
        <v>0</v>
      </c>
    </row>
    <row r="202" spans="1:25" x14ac:dyDescent="0.3">
      <c r="E202" s="250" t="s">
        <v>1123</v>
      </c>
      <c r="F202" s="317">
        <v>4209001</v>
      </c>
      <c r="G202" s="318"/>
      <c r="H202" s="319"/>
      <c r="I202" s="320"/>
      <c r="J202" s="337">
        <v>0</v>
      </c>
      <c r="K202" s="321">
        <v>0</v>
      </c>
      <c r="L202" s="321">
        <v>0</v>
      </c>
      <c r="M202" s="321">
        <v>0</v>
      </c>
      <c r="N202" s="321">
        <v>0</v>
      </c>
      <c r="O202" s="321">
        <v>0</v>
      </c>
      <c r="P202" s="321">
        <v>0</v>
      </c>
      <c r="Q202" s="321">
        <v>0</v>
      </c>
      <c r="R202" s="321">
        <v>0</v>
      </c>
      <c r="S202" s="321">
        <v>0</v>
      </c>
      <c r="T202" s="321">
        <v>0</v>
      </c>
      <c r="U202" s="322">
        <v>0</v>
      </c>
      <c r="V202" s="323">
        <v>0</v>
      </c>
      <c r="W202" s="303"/>
      <c r="X202" s="324">
        <v>0</v>
      </c>
      <c r="Y202" s="325">
        <v>0</v>
      </c>
    </row>
    <row r="203" spans="1:25" x14ac:dyDescent="0.3">
      <c r="E203" s="250" t="s">
        <v>1124</v>
      </c>
      <c r="F203" s="317">
        <v>4209002</v>
      </c>
      <c r="G203" s="318">
        <v>4209022</v>
      </c>
      <c r="H203" s="319">
        <v>4500090101</v>
      </c>
      <c r="I203" s="320"/>
      <c r="J203" s="337">
        <v>0</v>
      </c>
      <c r="K203" s="321">
        <v>0</v>
      </c>
      <c r="L203" s="321">
        <v>0</v>
      </c>
      <c r="M203" s="321">
        <v>0</v>
      </c>
      <c r="N203" s="321">
        <v>0</v>
      </c>
      <c r="O203" s="321">
        <v>0</v>
      </c>
      <c r="P203" s="321">
        <v>0</v>
      </c>
      <c r="Q203" s="321">
        <v>0</v>
      </c>
      <c r="R203" s="321">
        <v>0</v>
      </c>
      <c r="S203" s="321">
        <v>0</v>
      </c>
      <c r="T203" s="321">
        <v>0</v>
      </c>
      <c r="U203" s="322">
        <v>0</v>
      </c>
      <c r="V203" s="323">
        <v>0</v>
      </c>
      <c r="W203" s="303"/>
      <c r="X203" s="324">
        <v>0</v>
      </c>
      <c r="Y203" s="325">
        <v>0</v>
      </c>
    </row>
    <row r="204" spans="1:25" x14ac:dyDescent="0.3">
      <c r="E204" s="250" t="s">
        <v>1125</v>
      </c>
      <c r="F204" s="317">
        <v>4209003</v>
      </c>
      <c r="G204" s="318"/>
      <c r="H204" s="319">
        <v>4500990101</v>
      </c>
      <c r="I204" s="320"/>
      <c r="J204" s="337">
        <v>0</v>
      </c>
      <c r="K204" s="321">
        <v>0</v>
      </c>
      <c r="L204" s="321">
        <v>0</v>
      </c>
      <c r="M204" s="321">
        <v>0</v>
      </c>
      <c r="N204" s="321">
        <v>0</v>
      </c>
      <c r="O204" s="321">
        <v>0</v>
      </c>
      <c r="P204" s="321">
        <v>0</v>
      </c>
      <c r="Q204" s="321">
        <v>0</v>
      </c>
      <c r="R204" s="321">
        <v>0</v>
      </c>
      <c r="S204" s="321">
        <v>0</v>
      </c>
      <c r="T204" s="321">
        <v>0</v>
      </c>
      <c r="U204" s="322">
        <v>0</v>
      </c>
      <c r="V204" s="323">
        <v>0</v>
      </c>
      <c r="W204" s="303"/>
      <c r="X204" s="324">
        <v>0</v>
      </c>
      <c r="Y204" s="325">
        <v>0</v>
      </c>
    </row>
    <row r="205" spans="1:25" x14ac:dyDescent="0.3">
      <c r="E205" s="250" t="s">
        <v>1126</v>
      </c>
      <c r="F205" s="317">
        <v>4209006</v>
      </c>
      <c r="G205" s="318"/>
      <c r="H205" s="319">
        <v>4500070101</v>
      </c>
      <c r="I205" s="320"/>
      <c r="J205" s="337">
        <v>0</v>
      </c>
      <c r="K205" s="321">
        <v>0</v>
      </c>
      <c r="L205" s="321">
        <v>0</v>
      </c>
      <c r="M205" s="321">
        <v>0</v>
      </c>
      <c r="N205" s="321">
        <v>0</v>
      </c>
      <c r="O205" s="321">
        <v>0</v>
      </c>
      <c r="P205" s="321">
        <v>0</v>
      </c>
      <c r="Q205" s="321">
        <v>0</v>
      </c>
      <c r="R205" s="321">
        <v>0</v>
      </c>
      <c r="S205" s="321">
        <v>0</v>
      </c>
      <c r="T205" s="321">
        <v>0</v>
      </c>
      <c r="U205" s="322">
        <v>0</v>
      </c>
      <c r="V205" s="323">
        <v>0</v>
      </c>
      <c r="W205" s="303"/>
      <c r="X205" s="324">
        <v>0</v>
      </c>
      <c r="Y205" s="325">
        <v>0</v>
      </c>
    </row>
    <row r="206" spans="1:25" x14ac:dyDescent="0.3">
      <c r="E206" s="250" t="s">
        <v>1127</v>
      </c>
      <c r="F206" s="317">
        <v>4209007</v>
      </c>
      <c r="G206" s="318"/>
      <c r="H206" s="319"/>
      <c r="I206" s="320"/>
      <c r="J206" s="337">
        <v>0</v>
      </c>
      <c r="K206" s="321">
        <v>0</v>
      </c>
      <c r="L206" s="321">
        <v>0</v>
      </c>
      <c r="M206" s="321">
        <v>0</v>
      </c>
      <c r="N206" s="321">
        <v>0</v>
      </c>
      <c r="O206" s="321">
        <v>0</v>
      </c>
      <c r="P206" s="321">
        <v>0</v>
      </c>
      <c r="Q206" s="321">
        <v>0</v>
      </c>
      <c r="R206" s="321">
        <v>0</v>
      </c>
      <c r="S206" s="321">
        <v>0</v>
      </c>
      <c r="T206" s="321">
        <v>0</v>
      </c>
      <c r="U206" s="322">
        <v>0</v>
      </c>
      <c r="V206" s="323">
        <v>0</v>
      </c>
      <c r="W206" s="303"/>
      <c r="X206" s="324">
        <v>0</v>
      </c>
      <c r="Y206" s="325">
        <v>0</v>
      </c>
    </row>
    <row r="207" spans="1:25" x14ac:dyDescent="0.3">
      <c r="E207" s="250" t="s">
        <v>1128</v>
      </c>
      <c r="F207" s="317">
        <v>4209008</v>
      </c>
      <c r="G207" s="318"/>
      <c r="H207" s="319"/>
      <c r="I207" s="320"/>
      <c r="J207" s="337">
        <v>0</v>
      </c>
      <c r="K207" s="321">
        <v>0</v>
      </c>
      <c r="L207" s="321">
        <v>0</v>
      </c>
      <c r="M207" s="321">
        <v>0</v>
      </c>
      <c r="N207" s="321">
        <v>0</v>
      </c>
      <c r="O207" s="321">
        <v>0</v>
      </c>
      <c r="P207" s="321">
        <v>0</v>
      </c>
      <c r="Q207" s="321">
        <v>0</v>
      </c>
      <c r="R207" s="321">
        <v>0</v>
      </c>
      <c r="S207" s="321">
        <v>0</v>
      </c>
      <c r="T207" s="321">
        <v>0</v>
      </c>
      <c r="U207" s="322">
        <v>0</v>
      </c>
      <c r="V207" s="323">
        <v>0</v>
      </c>
      <c r="W207" s="303"/>
      <c r="X207" s="324">
        <v>0</v>
      </c>
      <c r="Y207" s="325">
        <v>0</v>
      </c>
    </row>
    <row r="208" spans="1:25" x14ac:dyDescent="0.3">
      <c r="E208" s="250" t="s">
        <v>1129</v>
      </c>
      <c r="F208" s="317">
        <v>4209011</v>
      </c>
      <c r="G208" s="318"/>
      <c r="H208" s="319"/>
      <c r="I208" s="320"/>
      <c r="J208" s="337">
        <v>0</v>
      </c>
      <c r="K208" s="321">
        <v>0</v>
      </c>
      <c r="L208" s="321">
        <v>0</v>
      </c>
      <c r="M208" s="321">
        <v>0</v>
      </c>
      <c r="N208" s="321">
        <v>0</v>
      </c>
      <c r="O208" s="321">
        <v>0</v>
      </c>
      <c r="P208" s="321">
        <v>0</v>
      </c>
      <c r="Q208" s="321">
        <v>0</v>
      </c>
      <c r="R208" s="321">
        <v>0</v>
      </c>
      <c r="S208" s="321">
        <v>0</v>
      </c>
      <c r="T208" s="321">
        <v>0</v>
      </c>
      <c r="U208" s="322">
        <v>0</v>
      </c>
      <c r="V208" s="323">
        <v>0</v>
      </c>
      <c r="W208" s="303"/>
      <c r="X208" s="324">
        <v>0</v>
      </c>
      <c r="Y208" s="325">
        <v>0</v>
      </c>
    </row>
    <row r="209" spans="1:25" x14ac:dyDescent="0.3">
      <c r="E209" s="250" t="s">
        <v>1130</v>
      </c>
      <c r="F209" s="317">
        <v>4209012</v>
      </c>
      <c r="G209" s="318"/>
      <c r="H209" s="319"/>
      <c r="I209" s="320"/>
      <c r="J209" s="337">
        <v>0</v>
      </c>
      <c r="K209" s="321">
        <v>0</v>
      </c>
      <c r="L209" s="321">
        <v>0</v>
      </c>
      <c r="M209" s="321">
        <v>0</v>
      </c>
      <c r="N209" s="321">
        <v>0</v>
      </c>
      <c r="O209" s="321">
        <v>0</v>
      </c>
      <c r="P209" s="321">
        <v>0</v>
      </c>
      <c r="Q209" s="321">
        <v>0</v>
      </c>
      <c r="R209" s="321">
        <v>0</v>
      </c>
      <c r="S209" s="321">
        <v>0</v>
      </c>
      <c r="T209" s="321">
        <v>0</v>
      </c>
      <c r="U209" s="322">
        <v>0</v>
      </c>
      <c r="V209" s="323">
        <v>0</v>
      </c>
      <c r="W209" s="303"/>
      <c r="X209" s="324">
        <v>0</v>
      </c>
      <c r="Y209" s="325">
        <v>0</v>
      </c>
    </row>
    <row r="210" spans="1:25" x14ac:dyDescent="0.3">
      <c r="E210" s="250" t="s">
        <v>1131</v>
      </c>
      <c r="F210" s="317">
        <v>4209014</v>
      </c>
      <c r="G210" s="318"/>
      <c r="H210" s="319">
        <v>4500990109</v>
      </c>
      <c r="I210" s="320"/>
      <c r="J210" s="337">
        <v>0</v>
      </c>
      <c r="K210" s="321">
        <v>0</v>
      </c>
      <c r="L210" s="321">
        <v>0</v>
      </c>
      <c r="M210" s="321">
        <v>0</v>
      </c>
      <c r="N210" s="321">
        <v>0</v>
      </c>
      <c r="O210" s="321">
        <v>0</v>
      </c>
      <c r="P210" s="321">
        <v>0</v>
      </c>
      <c r="Q210" s="321">
        <v>0</v>
      </c>
      <c r="R210" s="321">
        <v>0</v>
      </c>
      <c r="S210" s="321">
        <v>0</v>
      </c>
      <c r="T210" s="321">
        <v>0</v>
      </c>
      <c r="U210" s="322">
        <v>0</v>
      </c>
      <c r="V210" s="323">
        <v>0</v>
      </c>
      <c r="W210" s="303"/>
      <c r="X210" s="324">
        <v>0</v>
      </c>
      <c r="Y210" s="325">
        <v>0</v>
      </c>
    </row>
    <row r="211" spans="1:25" x14ac:dyDescent="0.3">
      <c r="E211" s="250" t="s">
        <v>1132</v>
      </c>
      <c r="F211" s="317">
        <v>4209016</v>
      </c>
      <c r="G211" s="318"/>
      <c r="H211" s="319"/>
      <c r="I211" s="320"/>
      <c r="J211" s="337">
        <v>0</v>
      </c>
      <c r="K211" s="321">
        <v>0</v>
      </c>
      <c r="L211" s="321">
        <v>0</v>
      </c>
      <c r="M211" s="321">
        <v>0</v>
      </c>
      <c r="N211" s="321">
        <v>0</v>
      </c>
      <c r="O211" s="321">
        <v>0</v>
      </c>
      <c r="P211" s="321">
        <v>0</v>
      </c>
      <c r="Q211" s="321">
        <v>0</v>
      </c>
      <c r="R211" s="321">
        <v>0</v>
      </c>
      <c r="S211" s="321">
        <v>0</v>
      </c>
      <c r="T211" s="321">
        <v>0</v>
      </c>
      <c r="U211" s="322">
        <v>0</v>
      </c>
      <c r="V211" s="323">
        <v>0</v>
      </c>
      <c r="W211" s="303"/>
      <c r="X211" s="324">
        <v>0</v>
      </c>
      <c r="Y211" s="325">
        <v>0</v>
      </c>
    </row>
    <row r="212" spans="1:25" x14ac:dyDescent="0.3">
      <c r="E212" s="250" t="s">
        <v>1133</v>
      </c>
      <c r="F212" s="317">
        <v>4209017</v>
      </c>
      <c r="G212" s="318"/>
      <c r="H212" s="319"/>
      <c r="I212" s="320"/>
      <c r="J212" s="337">
        <v>0</v>
      </c>
      <c r="K212" s="321">
        <v>0</v>
      </c>
      <c r="L212" s="321">
        <v>0</v>
      </c>
      <c r="M212" s="321">
        <v>0</v>
      </c>
      <c r="N212" s="321">
        <v>0</v>
      </c>
      <c r="O212" s="321">
        <v>0</v>
      </c>
      <c r="P212" s="321">
        <v>0</v>
      </c>
      <c r="Q212" s="321">
        <v>0</v>
      </c>
      <c r="R212" s="321">
        <v>0</v>
      </c>
      <c r="S212" s="321">
        <v>0</v>
      </c>
      <c r="T212" s="321">
        <v>0</v>
      </c>
      <c r="U212" s="322">
        <v>0</v>
      </c>
      <c r="V212" s="323">
        <v>0</v>
      </c>
      <c r="W212" s="303"/>
      <c r="X212" s="324">
        <v>0</v>
      </c>
      <c r="Y212" s="325">
        <v>0</v>
      </c>
    </row>
    <row r="213" spans="1:25" x14ac:dyDescent="0.3">
      <c r="E213" s="250" t="s">
        <v>1134</v>
      </c>
      <c r="F213" s="317">
        <v>4209019</v>
      </c>
      <c r="G213" s="318"/>
      <c r="H213" s="319"/>
      <c r="I213" s="320"/>
      <c r="J213" s="337">
        <v>0</v>
      </c>
      <c r="K213" s="321">
        <v>0</v>
      </c>
      <c r="L213" s="321">
        <v>0</v>
      </c>
      <c r="M213" s="321">
        <v>0</v>
      </c>
      <c r="N213" s="321">
        <v>0</v>
      </c>
      <c r="O213" s="321">
        <v>0</v>
      </c>
      <c r="P213" s="321">
        <v>0</v>
      </c>
      <c r="Q213" s="321">
        <v>0</v>
      </c>
      <c r="R213" s="321">
        <v>0</v>
      </c>
      <c r="S213" s="321">
        <v>0</v>
      </c>
      <c r="T213" s="321">
        <v>0</v>
      </c>
      <c r="U213" s="322">
        <v>0</v>
      </c>
      <c r="V213" s="323">
        <v>0</v>
      </c>
      <c r="W213" s="303"/>
      <c r="X213" s="324">
        <v>0</v>
      </c>
      <c r="Y213" s="325">
        <v>0</v>
      </c>
    </row>
    <row r="214" spans="1:25" x14ac:dyDescent="0.3">
      <c r="E214" s="250" t="s">
        <v>1135</v>
      </c>
      <c r="F214" s="317">
        <v>4209099</v>
      </c>
      <c r="G214" s="318"/>
      <c r="H214" s="319">
        <v>4500990199</v>
      </c>
      <c r="I214" s="320"/>
      <c r="J214" s="337">
        <v>0</v>
      </c>
      <c r="K214" s="321">
        <v>0</v>
      </c>
      <c r="L214" s="321">
        <v>0</v>
      </c>
      <c r="M214" s="321">
        <v>0</v>
      </c>
      <c r="N214" s="321">
        <v>0</v>
      </c>
      <c r="O214" s="321">
        <v>0</v>
      </c>
      <c r="P214" s="321">
        <v>0</v>
      </c>
      <c r="Q214" s="321">
        <v>0</v>
      </c>
      <c r="R214" s="321">
        <v>0</v>
      </c>
      <c r="S214" s="321">
        <v>0</v>
      </c>
      <c r="T214" s="321">
        <v>0</v>
      </c>
      <c r="U214" s="322">
        <v>0</v>
      </c>
      <c r="V214" s="323">
        <v>0</v>
      </c>
      <c r="W214" s="303"/>
      <c r="X214" s="324">
        <v>0</v>
      </c>
      <c r="Y214" s="325">
        <v>0</v>
      </c>
    </row>
    <row r="215" spans="1:25" x14ac:dyDescent="0.3">
      <c r="A215" s="361"/>
      <c r="B215" s="361"/>
      <c r="C215" s="361"/>
      <c r="D215" s="361"/>
      <c r="E215" s="350" t="s">
        <v>1136</v>
      </c>
      <c r="F215" s="306"/>
      <c r="G215" s="307"/>
      <c r="H215" s="308">
        <v>4500110101</v>
      </c>
      <c r="I215" s="309"/>
      <c r="J215" s="310">
        <v>0</v>
      </c>
      <c r="K215" s="311">
        <v>0</v>
      </c>
      <c r="L215" s="311">
        <v>0</v>
      </c>
      <c r="M215" s="311">
        <v>0</v>
      </c>
      <c r="N215" s="311">
        <v>0</v>
      </c>
      <c r="O215" s="311">
        <v>0</v>
      </c>
      <c r="P215" s="311">
        <v>0</v>
      </c>
      <c r="Q215" s="311">
        <v>0</v>
      </c>
      <c r="R215" s="311">
        <v>0</v>
      </c>
      <c r="S215" s="311">
        <v>0</v>
      </c>
      <c r="T215" s="311">
        <v>0</v>
      </c>
      <c r="U215" s="312">
        <v>0</v>
      </c>
      <c r="V215" s="313">
        <v>0</v>
      </c>
      <c r="W215" s="314"/>
      <c r="X215" s="315">
        <v>0</v>
      </c>
      <c r="Y215" s="316">
        <v>0</v>
      </c>
    </row>
    <row r="216" spans="1:25" x14ac:dyDescent="0.3">
      <c r="A216" s="361"/>
      <c r="B216" s="361"/>
      <c r="C216" s="361"/>
      <c r="D216" s="361"/>
      <c r="E216" s="326" t="s">
        <v>1137</v>
      </c>
      <c r="F216" s="351"/>
      <c r="G216" s="352"/>
      <c r="H216" s="353"/>
      <c r="I216" s="354"/>
      <c r="J216" s="362">
        <v>0</v>
      </c>
      <c r="K216" s="355">
        <v>0</v>
      </c>
      <c r="L216" s="355">
        <v>0</v>
      </c>
      <c r="M216" s="355">
        <v>0</v>
      </c>
      <c r="N216" s="355">
        <v>0</v>
      </c>
      <c r="O216" s="355">
        <v>0</v>
      </c>
      <c r="P216" s="355">
        <v>0</v>
      </c>
      <c r="Q216" s="355">
        <v>0</v>
      </c>
      <c r="R216" s="355">
        <v>0</v>
      </c>
      <c r="S216" s="355">
        <v>0</v>
      </c>
      <c r="T216" s="355">
        <v>0</v>
      </c>
      <c r="U216" s="356">
        <v>0</v>
      </c>
      <c r="V216" s="357">
        <v>0</v>
      </c>
      <c r="W216" s="358"/>
      <c r="X216" s="359">
        <v>0</v>
      </c>
      <c r="Y216" s="360">
        <v>0</v>
      </c>
    </row>
    <row r="217" spans="1:25" x14ac:dyDescent="0.3">
      <c r="A217" s="361"/>
      <c r="B217" s="361"/>
      <c r="C217" s="361"/>
      <c r="D217" s="361"/>
      <c r="E217" s="326" t="s">
        <v>1138</v>
      </c>
      <c r="F217" s="351"/>
      <c r="G217" s="352"/>
      <c r="H217" s="353"/>
      <c r="I217" s="354"/>
      <c r="J217" s="362">
        <v>0</v>
      </c>
      <c r="K217" s="355">
        <v>0</v>
      </c>
      <c r="L217" s="355">
        <v>0</v>
      </c>
      <c r="M217" s="355">
        <v>0</v>
      </c>
      <c r="N217" s="355">
        <v>0</v>
      </c>
      <c r="O217" s="355">
        <v>0</v>
      </c>
      <c r="P217" s="355">
        <v>0</v>
      </c>
      <c r="Q217" s="355">
        <v>0</v>
      </c>
      <c r="R217" s="355">
        <v>0</v>
      </c>
      <c r="S217" s="355">
        <v>0</v>
      </c>
      <c r="T217" s="355">
        <v>0</v>
      </c>
      <c r="U217" s="356">
        <v>0</v>
      </c>
      <c r="V217" s="357">
        <v>0</v>
      </c>
      <c r="W217" s="358"/>
      <c r="X217" s="359">
        <v>0</v>
      </c>
      <c r="Y217" s="360">
        <v>0</v>
      </c>
    </row>
    <row r="218" spans="1:25" ht="49.5" x14ac:dyDescent="0.3">
      <c r="A218" s="248" t="s">
        <v>11</v>
      </c>
      <c r="B218" s="248"/>
      <c r="C218" s="280" t="s">
        <v>1139</v>
      </c>
      <c r="D218" s="281"/>
      <c r="E218" s="282"/>
      <c r="F218" s="283" t="s">
        <v>1140</v>
      </c>
      <c r="G218" s="284"/>
      <c r="H218" s="285"/>
      <c r="I218" s="286"/>
      <c r="J218" s="287">
        <v>0</v>
      </c>
      <c r="K218" s="288">
        <v>0</v>
      </c>
      <c r="L218" s="288">
        <v>0</v>
      </c>
      <c r="M218" s="288">
        <v>0</v>
      </c>
      <c r="N218" s="288">
        <v>0</v>
      </c>
      <c r="O218" s="288">
        <v>0</v>
      </c>
      <c r="P218" s="288">
        <v>0</v>
      </c>
      <c r="Q218" s="288">
        <v>0</v>
      </c>
      <c r="R218" s="288">
        <v>0</v>
      </c>
      <c r="S218" s="288">
        <v>0</v>
      </c>
      <c r="T218" s="288">
        <v>0</v>
      </c>
      <c r="U218" s="289">
        <v>0</v>
      </c>
      <c r="V218" s="290">
        <v>0</v>
      </c>
      <c r="W218" s="277"/>
      <c r="X218" s="291">
        <v>0</v>
      </c>
      <c r="Y218" s="292">
        <v>0</v>
      </c>
    </row>
    <row r="219" spans="1:25" ht="49.5" x14ac:dyDescent="0.3">
      <c r="A219" s="248" t="s">
        <v>12</v>
      </c>
      <c r="B219" s="248"/>
      <c r="C219" s="280" t="s">
        <v>1141</v>
      </c>
      <c r="D219" s="281"/>
      <c r="E219" s="282"/>
      <c r="F219" s="283" t="s">
        <v>1142</v>
      </c>
      <c r="G219" s="284"/>
      <c r="H219" s="285"/>
      <c r="I219" s="286"/>
      <c r="J219" s="287">
        <v>35098.505000000005</v>
      </c>
      <c r="K219" s="288">
        <v>11542.917000000001</v>
      </c>
      <c r="L219" s="288">
        <v>51406.322</v>
      </c>
      <c r="M219" s="288">
        <v>37269.923000000003</v>
      </c>
      <c r="N219" s="288">
        <v>37200.755000000005</v>
      </c>
      <c r="O219" s="288">
        <v>34088.237999999998</v>
      </c>
      <c r="P219" s="288">
        <v>35043.262000000002</v>
      </c>
      <c r="Q219" s="288">
        <v>34347.262999999999</v>
      </c>
      <c r="R219" s="288">
        <v>29867.645000000004</v>
      </c>
      <c r="S219" s="288">
        <v>22788.343000000001</v>
      </c>
      <c r="T219" s="288">
        <v>23101.406000000003</v>
      </c>
      <c r="U219" s="289">
        <v>24076.560000000001</v>
      </c>
      <c r="V219" s="290">
        <v>375831.13900000008</v>
      </c>
      <c r="W219" s="277"/>
      <c r="X219" s="291">
        <v>24076.560000000001</v>
      </c>
      <c r="Y219" s="292">
        <v>375831.13900000008</v>
      </c>
    </row>
    <row r="220" spans="1:25" x14ac:dyDescent="0.3">
      <c r="A220" s="3"/>
      <c r="B220" s="240" t="s">
        <v>66</v>
      </c>
      <c r="C220" s="3"/>
      <c r="D220" s="363" t="s">
        <v>1143</v>
      </c>
      <c r="E220" s="364"/>
      <c r="F220" s="365"/>
      <c r="G220" s="366"/>
      <c r="H220" s="367"/>
      <c r="I220" s="368"/>
      <c r="J220" s="369">
        <v>33575.915000000001</v>
      </c>
      <c r="K220" s="370">
        <v>1285.0040000000022</v>
      </c>
      <c r="L220" s="370">
        <v>34713.226000000002</v>
      </c>
      <c r="M220" s="370">
        <v>31203.101000000002</v>
      </c>
      <c r="N220" s="370">
        <v>31448.800000000003</v>
      </c>
      <c r="O220" s="370">
        <v>29096.36</v>
      </c>
      <c r="P220" s="370">
        <v>31204.47</v>
      </c>
      <c r="Q220" s="370">
        <v>31168.47</v>
      </c>
      <c r="R220" s="370">
        <v>28045.173000000003</v>
      </c>
      <c r="S220" s="370">
        <v>21185.155000000002</v>
      </c>
      <c r="T220" s="370">
        <v>21285.155000000002</v>
      </c>
      <c r="U220" s="371">
        <v>22694.254000000001</v>
      </c>
      <c r="V220" s="372">
        <v>316905.08300000004</v>
      </c>
      <c r="W220" s="277"/>
      <c r="X220" s="373">
        <v>22694.254000000001</v>
      </c>
      <c r="Y220" s="374">
        <v>316905.08300000004</v>
      </c>
    </row>
    <row r="221" spans="1:25" x14ac:dyDescent="0.3">
      <c r="A221" s="233"/>
      <c r="B221" s="234" t="s">
        <v>13</v>
      </c>
      <c r="D221" s="293" t="s">
        <v>1144</v>
      </c>
      <c r="E221" s="294"/>
      <c r="F221" s="295" t="s">
        <v>1145</v>
      </c>
      <c r="G221" s="296"/>
      <c r="H221" s="297"/>
      <c r="I221" s="298"/>
      <c r="J221" s="299">
        <v>26408</v>
      </c>
      <c r="K221" s="300">
        <v>26408</v>
      </c>
      <c r="L221" s="300">
        <v>27080</v>
      </c>
      <c r="M221" s="300">
        <v>27080</v>
      </c>
      <c r="N221" s="300">
        <v>27080</v>
      </c>
      <c r="O221" s="300">
        <v>27080</v>
      </c>
      <c r="P221" s="300">
        <v>27080</v>
      </c>
      <c r="Q221" s="300">
        <v>27080</v>
      </c>
      <c r="R221" s="300">
        <v>20335.378000000001</v>
      </c>
      <c r="S221" s="300">
        <v>18516</v>
      </c>
      <c r="T221" s="300">
        <v>18516</v>
      </c>
      <c r="U221" s="301">
        <v>8667</v>
      </c>
      <c r="V221" s="302">
        <v>281330.37800000003</v>
      </c>
      <c r="W221" s="303"/>
      <c r="X221" s="304">
        <v>8667</v>
      </c>
      <c r="Y221" s="305">
        <v>281330.37800000003</v>
      </c>
    </row>
    <row r="222" spans="1:25" x14ac:dyDescent="0.3">
      <c r="E222" s="250" t="s">
        <v>1146</v>
      </c>
      <c r="F222" s="317">
        <v>4300101</v>
      </c>
      <c r="G222" s="318"/>
      <c r="H222" s="319">
        <v>5101010101</v>
      </c>
      <c r="I222" s="320"/>
      <c r="J222" s="337">
        <v>0</v>
      </c>
      <c r="K222" s="321">
        <v>0</v>
      </c>
      <c r="L222" s="321">
        <v>0</v>
      </c>
      <c r="M222" s="321">
        <v>0</v>
      </c>
      <c r="N222" s="321">
        <v>0</v>
      </c>
      <c r="O222" s="321">
        <v>0</v>
      </c>
      <c r="P222" s="321">
        <v>0</v>
      </c>
      <c r="Q222" s="321">
        <v>0</v>
      </c>
      <c r="R222" s="321">
        <v>0</v>
      </c>
      <c r="S222" s="321">
        <v>0</v>
      </c>
      <c r="T222" s="321">
        <v>0</v>
      </c>
      <c r="U222" s="322">
        <v>0</v>
      </c>
      <c r="V222" s="323">
        <v>0</v>
      </c>
      <c r="W222" s="303"/>
      <c r="X222" s="324">
        <v>0</v>
      </c>
      <c r="Y222" s="325">
        <v>0</v>
      </c>
    </row>
    <row r="223" spans="1:25" x14ac:dyDescent="0.3">
      <c r="E223" s="250" t="s">
        <v>1147</v>
      </c>
      <c r="F223" s="317">
        <v>4300102</v>
      </c>
      <c r="G223" s="318"/>
      <c r="H223" s="319">
        <v>5101010103</v>
      </c>
      <c r="I223" s="320"/>
      <c r="J223" s="337">
        <v>26408</v>
      </c>
      <c r="K223" s="321">
        <v>26408</v>
      </c>
      <c r="L223" s="321">
        <v>27080</v>
      </c>
      <c r="M223" s="321">
        <v>27080</v>
      </c>
      <c r="N223" s="321">
        <v>27080</v>
      </c>
      <c r="O223" s="321">
        <v>27080</v>
      </c>
      <c r="P223" s="321">
        <v>27080</v>
      </c>
      <c r="Q223" s="321">
        <v>27080</v>
      </c>
      <c r="R223" s="321">
        <v>20335.378000000001</v>
      </c>
      <c r="S223" s="321">
        <v>18516</v>
      </c>
      <c r="T223" s="321">
        <v>18516</v>
      </c>
      <c r="U223" s="322">
        <v>8667</v>
      </c>
      <c r="V223" s="323">
        <v>281330.37800000003</v>
      </c>
      <c r="W223" s="303"/>
      <c r="X223" s="324">
        <v>8667</v>
      </c>
      <c r="Y223" s="325">
        <v>281330.37800000003</v>
      </c>
    </row>
    <row r="224" spans="1:25" x14ac:dyDescent="0.3">
      <c r="E224" s="250" t="s">
        <v>1148</v>
      </c>
      <c r="F224" s="317">
        <v>4300103</v>
      </c>
      <c r="G224" s="318"/>
      <c r="H224" s="319">
        <v>5101010105</v>
      </c>
      <c r="I224" s="320"/>
      <c r="J224" s="337">
        <v>0</v>
      </c>
      <c r="K224" s="321">
        <v>0</v>
      </c>
      <c r="L224" s="321">
        <v>0</v>
      </c>
      <c r="M224" s="321">
        <v>0</v>
      </c>
      <c r="N224" s="321">
        <v>0</v>
      </c>
      <c r="O224" s="321">
        <v>0</v>
      </c>
      <c r="P224" s="321">
        <v>0</v>
      </c>
      <c r="Q224" s="321">
        <v>0</v>
      </c>
      <c r="R224" s="321">
        <v>0</v>
      </c>
      <c r="S224" s="321">
        <v>0</v>
      </c>
      <c r="T224" s="321">
        <v>0</v>
      </c>
      <c r="U224" s="322">
        <v>0</v>
      </c>
      <c r="V224" s="323">
        <v>0</v>
      </c>
      <c r="W224" s="303"/>
      <c r="X224" s="324">
        <v>0</v>
      </c>
      <c r="Y224" s="325">
        <v>0</v>
      </c>
    </row>
    <row r="225" spans="1:25" x14ac:dyDescent="0.3">
      <c r="E225" s="250" t="s">
        <v>1149</v>
      </c>
      <c r="F225" s="317">
        <v>4300104</v>
      </c>
      <c r="G225" s="318"/>
      <c r="H225" s="319"/>
      <c r="I225" s="320"/>
      <c r="J225" s="337">
        <v>0</v>
      </c>
      <c r="K225" s="321">
        <v>0</v>
      </c>
      <c r="L225" s="321">
        <v>0</v>
      </c>
      <c r="M225" s="321">
        <v>0</v>
      </c>
      <c r="N225" s="321">
        <v>0</v>
      </c>
      <c r="O225" s="321">
        <v>0</v>
      </c>
      <c r="P225" s="321">
        <v>0</v>
      </c>
      <c r="Q225" s="321">
        <v>0</v>
      </c>
      <c r="R225" s="321">
        <v>0</v>
      </c>
      <c r="S225" s="321">
        <v>0</v>
      </c>
      <c r="T225" s="321">
        <v>0</v>
      </c>
      <c r="U225" s="322">
        <v>0</v>
      </c>
      <c r="V225" s="323">
        <v>0</v>
      </c>
      <c r="W225" s="303"/>
      <c r="X225" s="324">
        <v>0</v>
      </c>
      <c r="Y225" s="325">
        <v>0</v>
      </c>
    </row>
    <row r="226" spans="1:25" x14ac:dyDescent="0.3">
      <c r="E226" s="250" t="s">
        <v>1150</v>
      </c>
      <c r="F226" s="317">
        <v>4300105</v>
      </c>
      <c r="G226" s="318"/>
      <c r="H226" s="319"/>
      <c r="I226" s="320"/>
      <c r="J226" s="337">
        <v>0</v>
      </c>
      <c r="K226" s="321">
        <v>0</v>
      </c>
      <c r="L226" s="321">
        <v>0</v>
      </c>
      <c r="M226" s="321">
        <v>0</v>
      </c>
      <c r="N226" s="321">
        <v>0</v>
      </c>
      <c r="O226" s="321">
        <v>0</v>
      </c>
      <c r="P226" s="321">
        <v>0</v>
      </c>
      <c r="Q226" s="321">
        <v>0</v>
      </c>
      <c r="R226" s="321">
        <v>0</v>
      </c>
      <c r="S226" s="321">
        <v>0</v>
      </c>
      <c r="T226" s="321">
        <v>0</v>
      </c>
      <c r="U226" s="322">
        <v>0</v>
      </c>
      <c r="V226" s="323">
        <v>0</v>
      </c>
      <c r="W226" s="303"/>
      <c r="X226" s="324">
        <v>0</v>
      </c>
      <c r="Y226" s="325">
        <v>0</v>
      </c>
    </row>
    <row r="227" spans="1:25" x14ac:dyDescent="0.3">
      <c r="E227" s="250" t="s">
        <v>1151</v>
      </c>
      <c r="F227" s="317">
        <v>4300106</v>
      </c>
      <c r="G227" s="318"/>
      <c r="H227" s="319"/>
      <c r="I227" s="320"/>
      <c r="J227" s="337">
        <v>0</v>
      </c>
      <c r="K227" s="321">
        <v>0</v>
      </c>
      <c r="L227" s="321">
        <v>0</v>
      </c>
      <c r="M227" s="321">
        <v>0</v>
      </c>
      <c r="N227" s="321">
        <v>0</v>
      </c>
      <c r="O227" s="321">
        <v>0</v>
      </c>
      <c r="P227" s="321">
        <v>0</v>
      </c>
      <c r="Q227" s="321">
        <v>0</v>
      </c>
      <c r="R227" s="321">
        <v>0</v>
      </c>
      <c r="S227" s="321">
        <v>0</v>
      </c>
      <c r="T227" s="321">
        <v>0</v>
      </c>
      <c r="U227" s="322">
        <v>0</v>
      </c>
      <c r="V227" s="323">
        <v>0</v>
      </c>
      <c r="W227" s="303"/>
      <c r="X227" s="324">
        <v>0</v>
      </c>
      <c r="Y227" s="325">
        <v>0</v>
      </c>
    </row>
    <row r="228" spans="1:25" x14ac:dyDescent="0.3">
      <c r="E228" s="250" t="s">
        <v>1152</v>
      </c>
      <c r="F228" s="317">
        <v>4300107</v>
      </c>
      <c r="G228" s="318"/>
      <c r="H228" s="319"/>
      <c r="I228" s="320"/>
      <c r="J228" s="337">
        <v>0</v>
      </c>
      <c r="K228" s="321">
        <v>0</v>
      </c>
      <c r="L228" s="321">
        <v>0</v>
      </c>
      <c r="M228" s="321">
        <v>0</v>
      </c>
      <c r="N228" s="321">
        <v>0</v>
      </c>
      <c r="O228" s="321">
        <v>0</v>
      </c>
      <c r="P228" s="321">
        <v>0</v>
      </c>
      <c r="Q228" s="321">
        <v>0</v>
      </c>
      <c r="R228" s="321">
        <v>0</v>
      </c>
      <c r="S228" s="321">
        <v>0</v>
      </c>
      <c r="T228" s="321">
        <v>0</v>
      </c>
      <c r="U228" s="322">
        <v>0</v>
      </c>
      <c r="V228" s="323">
        <v>0</v>
      </c>
      <c r="W228" s="303"/>
      <c r="X228" s="324">
        <v>0</v>
      </c>
      <c r="Y228" s="325">
        <v>0</v>
      </c>
    </row>
    <row r="229" spans="1:25" x14ac:dyDescent="0.3">
      <c r="E229" s="250" t="s">
        <v>1153</v>
      </c>
      <c r="F229" s="317">
        <v>4300199</v>
      </c>
      <c r="G229" s="318"/>
      <c r="H229" s="319"/>
      <c r="I229" s="320"/>
      <c r="J229" s="337">
        <v>0</v>
      </c>
      <c r="K229" s="321">
        <v>0</v>
      </c>
      <c r="L229" s="321">
        <v>0</v>
      </c>
      <c r="M229" s="321">
        <v>0</v>
      </c>
      <c r="N229" s="321">
        <v>0</v>
      </c>
      <c r="O229" s="321">
        <v>0</v>
      </c>
      <c r="P229" s="321">
        <v>0</v>
      </c>
      <c r="Q229" s="321">
        <v>0</v>
      </c>
      <c r="R229" s="321">
        <v>0</v>
      </c>
      <c r="S229" s="321">
        <v>0</v>
      </c>
      <c r="T229" s="321">
        <v>0</v>
      </c>
      <c r="U229" s="322">
        <v>0</v>
      </c>
      <c r="V229" s="323">
        <v>0</v>
      </c>
      <c r="W229" s="303"/>
      <c r="X229" s="324">
        <v>0</v>
      </c>
      <c r="Y229" s="325">
        <v>0</v>
      </c>
    </row>
    <row r="230" spans="1:25" x14ac:dyDescent="0.3">
      <c r="A230" s="326"/>
      <c r="B230" s="326"/>
      <c r="C230" s="326"/>
      <c r="D230" s="326"/>
      <c r="E230" s="326" t="s">
        <v>1154</v>
      </c>
      <c r="F230" s="336"/>
      <c r="G230" s="327"/>
      <c r="H230" s="328"/>
      <c r="I230" s="329"/>
      <c r="J230" s="338">
        <v>0</v>
      </c>
      <c r="K230" s="330">
        <v>0</v>
      </c>
      <c r="L230" s="330">
        <v>0</v>
      </c>
      <c r="M230" s="330">
        <v>0</v>
      </c>
      <c r="N230" s="330">
        <v>0</v>
      </c>
      <c r="O230" s="330">
        <v>0</v>
      </c>
      <c r="P230" s="330">
        <v>0</v>
      </c>
      <c r="Q230" s="330">
        <v>0</v>
      </c>
      <c r="R230" s="330">
        <v>0</v>
      </c>
      <c r="S230" s="330">
        <v>0</v>
      </c>
      <c r="T230" s="330">
        <v>0</v>
      </c>
      <c r="U230" s="331">
        <v>0</v>
      </c>
      <c r="V230" s="332">
        <v>0</v>
      </c>
      <c r="W230" s="333"/>
      <c r="X230" s="334">
        <v>0</v>
      </c>
      <c r="Y230" s="335">
        <v>0</v>
      </c>
    </row>
    <row r="231" spans="1:25" x14ac:dyDescent="0.3">
      <c r="A231" s="326"/>
      <c r="B231" s="326"/>
      <c r="C231" s="326"/>
      <c r="D231" s="326"/>
      <c r="E231" s="326" t="s">
        <v>1155</v>
      </c>
      <c r="F231" s="336"/>
      <c r="G231" s="327"/>
      <c r="H231" s="328"/>
      <c r="I231" s="329"/>
      <c r="J231" s="338">
        <v>0</v>
      </c>
      <c r="K231" s="330">
        <v>0</v>
      </c>
      <c r="L231" s="330">
        <v>0</v>
      </c>
      <c r="M231" s="330">
        <v>0</v>
      </c>
      <c r="N231" s="330">
        <v>0</v>
      </c>
      <c r="O231" s="330">
        <v>0</v>
      </c>
      <c r="P231" s="330">
        <v>0</v>
      </c>
      <c r="Q231" s="330">
        <v>0</v>
      </c>
      <c r="R231" s="330">
        <v>0</v>
      </c>
      <c r="S231" s="330">
        <v>0</v>
      </c>
      <c r="T231" s="330">
        <v>0</v>
      </c>
      <c r="U231" s="331">
        <v>0</v>
      </c>
      <c r="V231" s="332">
        <v>0</v>
      </c>
      <c r="W231" s="333"/>
      <c r="X231" s="334">
        <v>0</v>
      </c>
      <c r="Y231" s="335">
        <v>0</v>
      </c>
    </row>
    <row r="232" spans="1:25" x14ac:dyDescent="0.3">
      <c r="A232" s="326"/>
      <c r="B232" s="326"/>
      <c r="C232" s="326"/>
      <c r="D232" s="326"/>
      <c r="E232" s="326" t="s">
        <v>1156</v>
      </c>
      <c r="F232" s="336"/>
      <c r="G232" s="327"/>
      <c r="H232" s="328"/>
      <c r="I232" s="329"/>
      <c r="J232" s="338">
        <v>0</v>
      </c>
      <c r="K232" s="330">
        <v>0</v>
      </c>
      <c r="L232" s="330">
        <v>0</v>
      </c>
      <c r="M232" s="330">
        <v>0</v>
      </c>
      <c r="N232" s="330">
        <v>0</v>
      </c>
      <c r="O232" s="330">
        <v>0</v>
      </c>
      <c r="P232" s="330">
        <v>0</v>
      </c>
      <c r="Q232" s="330">
        <v>0</v>
      </c>
      <c r="R232" s="330">
        <v>0</v>
      </c>
      <c r="S232" s="330">
        <v>0</v>
      </c>
      <c r="T232" s="330">
        <v>0</v>
      </c>
      <c r="U232" s="331">
        <v>0</v>
      </c>
      <c r="V232" s="332">
        <v>0</v>
      </c>
      <c r="W232" s="333"/>
      <c r="X232" s="334">
        <v>0</v>
      </c>
      <c r="Y232" s="335">
        <v>0</v>
      </c>
    </row>
    <row r="233" spans="1:25" x14ac:dyDescent="0.3">
      <c r="A233" s="233"/>
      <c r="B233" s="234" t="s">
        <v>67</v>
      </c>
      <c r="D233" s="293" t="s">
        <v>1157</v>
      </c>
      <c r="E233" s="294"/>
      <c r="F233" s="295" t="s">
        <v>1158</v>
      </c>
      <c r="G233" s="296"/>
      <c r="H233" s="297"/>
      <c r="I233" s="298"/>
      <c r="J233" s="299">
        <v>0</v>
      </c>
      <c r="K233" s="300">
        <v>-29372.545999999998</v>
      </c>
      <c r="L233" s="300">
        <v>0</v>
      </c>
      <c r="M233" s="300">
        <v>0</v>
      </c>
      <c r="N233" s="300">
        <v>0</v>
      </c>
      <c r="O233" s="300">
        <v>0</v>
      </c>
      <c r="P233" s="300">
        <v>0</v>
      </c>
      <c r="Q233" s="300">
        <v>0</v>
      </c>
      <c r="R233" s="300">
        <v>0</v>
      </c>
      <c r="S233" s="300">
        <v>0</v>
      </c>
      <c r="T233" s="300">
        <v>0</v>
      </c>
      <c r="U233" s="301">
        <v>0</v>
      </c>
      <c r="V233" s="302">
        <v>-29372.545999999998</v>
      </c>
      <c r="W233" s="303"/>
      <c r="X233" s="304">
        <v>0</v>
      </c>
      <c r="Y233" s="305">
        <v>-29372.545999999998</v>
      </c>
    </row>
    <row r="234" spans="1:25" x14ac:dyDescent="0.3">
      <c r="E234" s="250" t="s">
        <v>1159</v>
      </c>
      <c r="F234" s="317">
        <v>4300201</v>
      </c>
      <c r="G234" s="318"/>
      <c r="H234" s="319">
        <v>5101010301</v>
      </c>
      <c r="I234" s="320"/>
      <c r="J234" s="337">
        <v>0</v>
      </c>
      <c r="K234" s="321">
        <v>0</v>
      </c>
      <c r="L234" s="321">
        <v>0</v>
      </c>
      <c r="M234" s="321">
        <v>0</v>
      </c>
      <c r="N234" s="321">
        <v>0</v>
      </c>
      <c r="O234" s="321">
        <v>0</v>
      </c>
      <c r="P234" s="321">
        <v>0</v>
      </c>
      <c r="Q234" s="321">
        <v>0</v>
      </c>
      <c r="R234" s="321">
        <v>0</v>
      </c>
      <c r="S234" s="321">
        <v>0</v>
      </c>
      <c r="T234" s="321">
        <v>0</v>
      </c>
      <c r="U234" s="322">
        <v>0</v>
      </c>
      <c r="V234" s="323">
        <v>0</v>
      </c>
      <c r="W234" s="303"/>
      <c r="X234" s="324">
        <v>0</v>
      </c>
      <c r="Y234" s="325">
        <v>0</v>
      </c>
    </row>
    <row r="235" spans="1:25" x14ac:dyDescent="0.3">
      <c r="E235" s="250" t="s">
        <v>1160</v>
      </c>
      <c r="F235" s="317">
        <v>4300202</v>
      </c>
      <c r="G235" s="318"/>
      <c r="H235" s="319">
        <v>5101010303</v>
      </c>
      <c r="I235" s="320"/>
      <c r="J235" s="337">
        <v>0</v>
      </c>
      <c r="K235" s="321">
        <v>0</v>
      </c>
      <c r="L235" s="321">
        <v>0</v>
      </c>
      <c r="M235" s="321">
        <v>0</v>
      </c>
      <c r="N235" s="321">
        <v>0</v>
      </c>
      <c r="O235" s="321">
        <v>0</v>
      </c>
      <c r="P235" s="321">
        <v>0</v>
      </c>
      <c r="Q235" s="321">
        <v>0</v>
      </c>
      <c r="R235" s="321">
        <v>0</v>
      </c>
      <c r="S235" s="321">
        <v>0</v>
      </c>
      <c r="T235" s="321">
        <v>0</v>
      </c>
      <c r="U235" s="322">
        <v>0</v>
      </c>
      <c r="V235" s="323">
        <v>0</v>
      </c>
      <c r="W235" s="303"/>
      <c r="X235" s="324">
        <v>0</v>
      </c>
      <c r="Y235" s="325">
        <v>0</v>
      </c>
    </row>
    <row r="236" spans="1:25" x14ac:dyDescent="0.3">
      <c r="E236" s="250" t="s">
        <v>1161</v>
      </c>
      <c r="F236" s="317">
        <v>4300203</v>
      </c>
      <c r="G236" s="318"/>
      <c r="H236" s="319">
        <v>5101010305</v>
      </c>
      <c r="I236" s="320"/>
      <c r="J236" s="337">
        <v>0</v>
      </c>
      <c r="K236" s="321">
        <v>0</v>
      </c>
      <c r="L236" s="321">
        <v>0</v>
      </c>
      <c r="M236" s="321">
        <v>0</v>
      </c>
      <c r="N236" s="321">
        <v>0</v>
      </c>
      <c r="O236" s="321">
        <v>0</v>
      </c>
      <c r="P236" s="321">
        <v>0</v>
      </c>
      <c r="Q236" s="321">
        <v>0</v>
      </c>
      <c r="R236" s="321">
        <v>0</v>
      </c>
      <c r="S236" s="321">
        <v>0</v>
      </c>
      <c r="T236" s="321">
        <v>0</v>
      </c>
      <c r="U236" s="322">
        <v>0</v>
      </c>
      <c r="V236" s="323">
        <v>0</v>
      </c>
      <c r="W236" s="303"/>
      <c r="X236" s="324">
        <v>0</v>
      </c>
      <c r="Y236" s="325">
        <v>0</v>
      </c>
    </row>
    <row r="237" spans="1:25" x14ac:dyDescent="0.3">
      <c r="E237" s="250" t="s">
        <v>1162</v>
      </c>
      <c r="F237" s="317">
        <v>4300204</v>
      </c>
      <c r="G237" s="318"/>
      <c r="H237" s="319">
        <v>5101010307</v>
      </c>
      <c r="I237" s="320"/>
      <c r="J237" s="337">
        <v>0</v>
      </c>
      <c r="K237" s="321">
        <v>-29372.545999999998</v>
      </c>
      <c r="L237" s="321">
        <v>0</v>
      </c>
      <c r="M237" s="321">
        <v>0</v>
      </c>
      <c r="N237" s="321">
        <v>0</v>
      </c>
      <c r="O237" s="321">
        <v>0</v>
      </c>
      <c r="P237" s="321">
        <v>0</v>
      </c>
      <c r="Q237" s="321">
        <v>0</v>
      </c>
      <c r="R237" s="321">
        <v>0</v>
      </c>
      <c r="S237" s="321">
        <v>0</v>
      </c>
      <c r="T237" s="321">
        <v>0</v>
      </c>
      <c r="U237" s="322">
        <v>0</v>
      </c>
      <c r="V237" s="323">
        <v>-29372.545999999998</v>
      </c>
      <c r="W237" s="303"/>
      <c r="X237" s="324">
        <v>0</v>
      </c>
      <c r="Y237" s="325">
        <v>-29372.545999999998</v>
      </c>
    </row>
    <row r="238" spans="1:25" x14ac:dyDescent="0.3">
      <c r="E238" s="250" t="s">
        <v>1163</v>
      </c>
      <c r="F238" s="317">
        <v>4300205</v>
      </c>
      <c r="G238" s="318"/>
      <c r="H238" s="319"/>
      <c r="I238" s="320"/>
      <c r="J238" s="337">
        <v>0</v>
      </c>
      <c r="K238" s="321">
        <v>0</v>
      </c>
      <c r="L238" s="321">
        <v>0</v>
      </c>
      <c r="M238" s="321">
        <v>0</v>
      </c>
      <c r="N238" s="321">
        <v>0</v>
      </c>
      <c r="O238" s="321">
        <v>0</v>
      </c>
      <c r="P238" s="321">
        <v>0</v>
      </c>
      <c r="Q238" s="321">
        <v>0</v>
      </c>
      <c r="R238" s="321">
        <v>0</v>
      </c>
      <c r="S238" s="321">
        <v>0</v>
      </c>
      <c r="T238" s="321">
        <v>0</v>
      </c>
      <c r="U238" s="322">
        <v>0</v>
      </c>
      <c r="V238" s="323">
        <v>0</v>
      </c>
      <c r="W238" s="303"/>
      <c r="X238" s="324">
        <v>0</v>
      </c>
      <c r="Y238" s="325">
        <v>0</v>
      </c>
    </row>
    <row r="239" spans="1:25" x14ac:dyDescent="0.3">
      <c r="E239" s="250" t="s">
        <v>1164</v>
      </c>
      <c r="F239" s="317">
        <v>4300206</v>
      </c>
      <c r="G239" s="318"/>
      <c r="H239" s="319"/>
      <c r="I239" s="320"/>
      <c r="J239" s="337">
        <v>0</v>
      </c>
      <c r="K239" s="321">
        <v>0</v>
      </c>
      <c r="L239" s="321">
        <v>0</v>
      </c>
      <c r="M239" s="321">
        <v>0</v>
      </c>
      <c r="N239" s="321">
        <v>0</v>
      </c>
      <c r="O239" s="321">
        <v>0</v>
      </c>
      <c r="P239" s="321">
        <v>0</v>
      </c>
      <c r="Q239" s="321">
        <v>0</v>
      </c>
      <c r="R239" s="321">
        <v>0</v>
      </c>
      <c r="S239" s="321">
        <v>0</v>
      </c>
      <c r="T239" s="321">
        <v>0</v>
      </c>
      <c r="U239" s="322">
        <v>0</v>
      </c>
      <c r="V239" s="323">
        <v>0</v>
      </c>
      <c r="W239" s="303"/>
      <c r="X239" s="324">
        <v>0</v>
      </c>
      <c r="Y239" s="325">
        <v>0</v>
      </c>
    </row>
    <row r="240" spans="1:25" x14ac:dyDescent="0.3">
      <c r="A240" s="350"/>
      <c r="B240" s="350"/>
      <c r="C240" s="350"/>
      <c r="D240" s="350"/>
      <c r="E240" s="350" t="s">
        <v>1165</v>
      </c>
      <c r="F240" s="306">
        <v>4300207</v>
      </c>
      <c r="G240" s="307"/>
      <c r="H240" s="308"/>
      <c r="I240" s="309"/>
      <c r="J240" s="310">
        <v>0</v>
      </c>
      <c r="K240" s="311">
        <v>0</v>
      </c>
      <c r="L240" s="311">
        <v>0</v>
      </c>
      <c r="M240" s="311">
        <v>0</v>
      </c>
      <c r="N240" s="311">
        <v>0</v>
      </c>
      <c r="O240" s="311">
        <v>0</v>
      </c>
      <c r="P240" s="311">
        <v>0</v>
      </c>
      <c r="Q240" s="311">
        <v>0</v>
      </c>
      <c r="R240" s="311">
        <v>0</v>
      </c>
      <c r="S240" s="311">
        <v>0</v>
      </c>
      <c r="T240" s="311">
        <v>0</v>
      </c>
      <c r="U240" s="312">
        <v>0</v>
      </c>
      <c r="V240" s="313">
        <v>0</v>
      </c>
      <c r="W240" s="314"/>
      <c r="X240" s="315">
        <v>0</v>
      </c>
      <c r="Y240" s="316">
        <v>0</v>
      </c>
    </row>
    <row r="241" spans="1:25" x14ac:dyDescent="0.3">
      <c r="A241" s="326"/>
      <c r="B241" s="326"/>
      <c r="C241" s="326"/>
      <c r="D241" s="326"/>
      <c r="E241" s="326" t="s">
        <v>1166</v>
      </c>
      <c r="F241" s="336"/>
      <c r="G241" s="327"/>
      <c r="H241" s="328"/>
      <c r="I241" s="329"/>
      <c r="J241" s="338">
        <v>0</v>
      </c>
      <c r="K241" s="330">
        <v>0</v>
      </c>
      <c r="L241" s="330">
        <v>0</v>
      </c>
      <c r="M241" s="330">
        <v>0</v>
      </c>
      <c r="N241" s="330">
        <v>0</v>
      </c>
      <c r="O241" s="330">
        <v>0</v>
      </c>
      <c r="P241" s="330">
        <v>0</v>
      </c>
      <c r="Q241" s="330">
        <v>0</v>
      </c>
      <c r="R241" s="330">
        <v>0</v>
      </c>
      <c r="S241" s="330">
        <v>0</v>
      </c>
      <c r="T241" s="330">
        <v>0</v>
      </c>
      <c r="U241" s="331">
        <v>0</v>
      </c>
      <c r="V241" s="332">
        <v>0</v>
      </c>
      <c r="W241" s="333"/>
      <c r="X241" s="334">
        <v>0</v>
      </c>
      <c r="Y241" s="335">
        <v>0</v>
      </c>
    </row>
    <row r="242" spans="1:25" x14ac:dyDescent="0.3">
      <c r="A242" s="326"/>
      <c r="B242" s="326"/>
      <c r="C242" s="326"/>
      <c r="D242" s="326"/>
      <c r="E242" s="326" t="s">
        <v>1167</v>
      </c>
      <c r="F242" s="336"/>
      <c r="G242" s="327"/>
      <c r="H242" s="328"/>
      <c r="I242" s="329"/>
      <c r="J242" s="338">
        <v>0</v>
      </c>
      <c r="K242" s="330">
        <v>0</v>
      </c>
      <c r="L242" s="330">
        <v>0</v>
      </c>
      <c r="M242" s="330">
        <v>0</v>
      </c>
      <c r="N242" s="330">
        <v>0</v>
      </c>
      <c r="O242" s="330">
        <v>0</v>
      </c>
      <c r="P242" s="330">
        <v>0</v>
      </c>
      <c r="Q242" s="330">
        <v>0</v>
      </c>
      <c r="R242" s="330">
        <v>0</v>
      </c>
      <c r="S242" s="330">
        <v>0</v>
      </c>
      <c r="T242" s="330">
        <v>0</v>
      </c>
      <c r="U242" s="331">
        <v>0</v>
      </c>
      <c r="V242" s="332">
        <v>0</v>
      </c>
      <c r="W242" s="333"/>
      <c r="X242" s="334">
        <v>0</v>
      </c>
      <c r="Y242" s="335">
        <v>0</v>
      </c>
    </row>
    <row r="243" spans="1:25" x14ac:dyDescent="0.3">
      <c r="A243" s="233"/>
      <c r="B243" s="234" t="s">
        <v>68</v>
      </c>
      <c r="D243" s="293" t="s">
        <v>1168</v>
      </c>
      <c r="E243" s="294"/>
      <c r="F243" s="295" t="s">
        <v>1169</v>
      </c>
      <c r="G243" s="296"/>
      <c r="H243" s="297"/>
      <c r="I243" s="298"/>
      <c r="J243" s="299">
        <v>1670.2890000000007</v>
      </c>
      <c r="K243" s="300">
        <v>1670.2890000000007</v>
      </c>
      <c r="L243" s="300">
        <v>1670.2890000000007</v>
      </c>
      <c r="M243" s="300">
        <v>1670.2890000000007</v>
      </c>
      <c r="N243" s="300">
        <v>1670.2890000000007</v>
      </c>
      <c r="O243" s="300">
        <v>1670.2890000000007</v>
      </c>
      <c r="P243" s="300">
        <v>1670.2890000000007</v>
      </c>
      <c r="Q243" s="300">
        <v>1670.2890000000007</v>
      </c>
      <c r="R243" s="300">
        <v>1062.8450000000003</v>
      </c>
      <c r="S243" s="300">
        <v>1062.8450000000003</v>
      </c>
      <c r="T243" s="300">
        <v>1062.8450000000003</v>
      </c>
      <c r="U243" s="301">
        <v>1062.8450000000003</v>
      </c>
      <c r="V243" s="302">
        <v>17613.69200000001</v>
      </c>
      <c r="W243" s="303"/>
      <c r="X243" s="304">
        <v>1062.8450000000003</v>
      </c>
      <c r="Y243" s="305">
        <v>17613.69200000001</v>
      </c>
    </row>
    <row r="244" spans="1:25" x14ac:dyDescent="0.3">
      <c r="E244" s="250" t="s">
        <v>1170</v>
      </c>
      <c r="F244" s="317">
        <v>4300481</v>
      </c>
      <c r="G244" s="318"/>
      <c r="H244" s="319">
        <v>5101030101</v>
      </c>
      <c r="I244" s="320"/>
      <c r="J244" s="337">
        <v>2085.3020000000001</v>
      </c>
      <c r="K244" s="321">
        <v>2085.3020000000001</v>
      </c>
      <c r="L244" s="321">
        <v>2085.3020000000001</v>
      </c>
      <c r="M244" s="321">
        <v>2085.3020000000001</v>
      </c>
      <c r="N244" s="321">
        <v>2085.3020000000001</v>
      </c>
      <c r="O244" s="321">
        <v>2085.3020000000001</v>
      </c>
      <c r="P244" s="321">
        <v>2085.3020000000001</v>
      </c>
      <c r="Q244" s="321">
        <v>2085.3020000000001</v>
      </c>
      <c r="R244" s="321">
        <v>1380.5170000000001</v>
      </c>
      <c r="S244" s="321">
        <v>1380.5170000000001</v>
      </c>
      <c r="T244" s="321">
        <v>1380.5170000000001</v>
      </c>
      <c r="U244" s="322">
        <v>1380.5170000000001</v>
      </c>
      <c r="V244" s="323">
        <v>22204.484</v>
      </c>
      <c r="W244" s="303"/>
      <c r="X244" s="324">
        <v>1380.5170000000001</v>
      </c>
      <c r="Y244" s="325">
        <v>22204.484</v>
      </c>
    </row>
    <row r="245" spans="1:25" x14ac:dyDescent="0.3">
      <c r="E245" s="250" t="s">
        <v>1171</v>
      </c>
      <c r="F245" s="317">
        <v>4300482</v>
      </c>
      <c r="G245" s="318"/>
      <c r="H245" s="319">
        <v>5101030103</v>
      </c>
      <c r="I245" s="320"/>
      <c r="J245" s="337">
        <v>1745.1110000000001</v>
      </c>
      <c r="K245" s="321">
        <v>1745.1110000000001</v>
      </c>
      <c r="L245" s="321">
        <v>1745.1110000000001</v>
      </c>
      <c r="M245" s="321">
        <v>1745.1110000000001</v>
      </c>
      <c r="N245" s="321">
        <v>1745.1110000000001</v>
      </c>
      <c r="O245" s="321">
        <v>1745.1110000000001</v>
      </c>
      <c r="P245" s="321">
        <v>1745.1110000000001</v>
      </c>
      <c r="Q245" s="321">
        <v>1745.1110000000001</v>
      </c>
      <c r="R245" s="321">
        <v>1334.587</v>
      </c>
      <c r="S245" s="321">
        <v>1334.587</v>
      </c>
      <c r="T245" s="321">
        <v>1334.587</v>
      </c>
      <c r="U245" s="322">
        <v>1334.587</v>
      </c>
      <c r="V245" s="323">
        <v>19299.236000000001</v>
      </c>
      <c r="W245" s="303"/>
      <c r="X245" s="324">
        <v>1334.587</v>
      </c>
      <c r="Y245" s="325">
        <v>19299.236000000001</v>
      </c>
    </row>
    <row r="246" spans="1:25" x14ac:dyDescent="0.3">
      <c r="E246" s="250" t="s">
        <v>1172</v>
      </c>
      <c r="F246" s="317">
        <v>4300483</v>
      </c>
      <c r="G246" s="318"/>
      <c r="H246" s="319">
        <v>5101030105</v>
      </c>
      <c r="I246" s="320"/>
      <c r="J246" s="337">
        <v>-2160.1239999999998</v>
      </c>
      <c r="K246" s="321">
        <v>-2160.1239999999998</v>
      </c>
      <c r="L246" s="321">
        <v>-2160.1239999999998</v>
      </c>
      <c r="M246" s="321">
        <v>-2160.1239999999998</v>
      </c>
      <c r="N246" s="321">
        <v>-2160.1239999999998</v>
      </c>
      <c r="O246" s="321">
        <v>-2160.1239999999998</v>
      </c>
      <c r="P246" s="321">
        <v>-2160.1239999999998</v>
      </c>
      <c r="Q246" s="321">
        <v>-2160.1239999999998</v>
      </c>
      <c r="R246" s="321">
        <v>-1652.259</v>
      </c>
      <c r="S246" s="321">
        <v>-1652.259</v>
      </c>
      <c r="T246" s="321">
        <v>-1652.259</v>
      </c>
      <c r="U246" s="322">
        <v>-1652.259</v>
      </c>
      <c r="V246" s="323">
        <v>-23890.027999999991</v>
      </c>
      <c r="W246" s="303"/>
      <c r="X246" s="324">
        <v>-1652.259</v>
      </c>
      <c r="Y246" s="325">
        <v>-23890.027999999991</v>
      </c>
    </row>
    <row r="247" spans="1:25" x14ac:dyDescent="0.3">
      <c r="E247" s="250" t="s">
        <v>1173</v>
      </c>
      <c r="F247" s="317">
        <v>4300484</v>
      </c>
      <c r="G247" s="318"/>
      <c r="H247" s="319"/>
      <c r="I247" s="320"/>
      <c r="J247" s="337">
        <v>0</v>
      </c>
      <c r="K247" s="321">
        <v>0</v>
      </c>
      <c r="L247" s="321">
        <v>0</v>
      </c>
      <c r="M247" s="321">
        <v>0</v>
      </c>
      <c r="N247" s="321">
        <v>0</v>
      </c>
      <c r="O247" s="321">
        <v>0</v>
      </c>
      <c r="P247" s="321">
        <v>0</v>
      </c>
      <c r="Q247" s="321">
        <v>0</v>
      </c>
      <c r="R247" s="321">
        <v>0</v>
      </c>
      <c r="S247" s="321">
        <v>0</v>
      </c>
      <c r="T247" s="321">
        <v>0</v>
      </c>
      <c r="U247" s="322">
        <v>0</v>
      </c>
      <c r="V247" s="323">
        <v>0</v>
      </c>
      <c r="W247" s="303"/>
      <c r="X247" s="324">
        <v>0</v>
      </c>
      <c r="Y247" s="325">
        <v>0</v>
      </c>
    </row>
    <row r="248" spans="1:25" x14ac:dyDescent="0.3">
      <c r="A248" s="326"/>
      <c r="B248" s="326"/>
      <c r="C248" s="326"/>
      <c r="D248" s="326"/>
      <c r="E248" s="326" t="s">
        <v>1174</v>
      </c>
      <c r="F248" s="336"/>
      <c r="G248" s="327"/>
      <c r="H248" s="328"/>
      <c r="I248" s="329"/>
      <c r="J248" s="338">
        <v>0</v>
      </c>
      <c r="K248" s="330">
        <v>0</v>
      </c>
      <c r="L248" s="330">
        <v>0</v>
      </c>
      <c r="M248" s="330">
        <v>0</v>
      </c>
      <c r="N248" s="330">
        <v>0</v>
      </c>
      <c r="O248" s="330">
        <v>0</v>
      </c>
      <c r="P248" s="330">
        <v>0</v>
      </c>
      <c r="Q248" s="330">
        <v>0</v>
      </c>
      <c r="R248" s="330">
        <v>0</v>
      </c>
      <c r="S248" s="330">
        <v>0</v>
      </c>
      <c r="T248" s="330">
        <v>0</v>
      </c>
      <c r="U248" s="331">
        <v>0</v>
      </c>
      <c r="V248" s="332">
        <v>0</v>
      </c>
      <c r="W248" s="333"/>
      <c r="X248" s="334">
        <v>0</v>
      </c>
      <c r="Y248" s="335">
        <v>0</v>
      </c>
    </row>
    <row r="249" spans="1:25" x14ac:dyDescent="0.3">
      <c r="A249" s="326"/>
      <c r="B249" s="326"/>
      <c r="C249" s="326"/>
      <c r="D249" s="326"/>
      <c r="E249" s="326" t="s">
        <v>1175</v>
      </c>
      <c r="F249" s="336"/>
      <c r="G249" s="327"/>
      <c r="H249" s="328"/>
      <c r="I249" s="329"/>
      <c r="J249" s="338">
        <v>0</v>
      </c>
      <c r="K249" s="330">
        <v>0</v>
      </c>
      <c r="L249" s="330">
        <v>0</v>
      </c>
      <c r="M249" s="330">
        <v>0</v>
      </c>
      <c r="N249" s="330">
        <v>0</v>
      </c>
      <c r="O249" s="330">
        <v>0</v>
      </c>
      <c r="P249" s="330">
        <v>0</v>
      </c>
      <c r="Q249" s="330">
        <v>0</v>
      </c>
      <c r="R249" s="330">
        <v>0</v>
      </c>
      <c r="S249" s="330">
        <v>0</v>
      </c>
      <c r="T249" s="330">
        <v>0</v>
      </c>
      <c r="U249" s="331">
        <v>0</v>
      </c>
      <c r="V249" s="332">
        <v>0</v>
      </c>
      <c r="W249" s="333"/>
      <c r="X249" s="334">
        <v>0</v>
      </c>
      <c r="Y249" s="335">
        <v>0</v>
      </c>
    </row>
    <row r="250" spans="1:25" x14ac:dyDescent="0.3">
      <c r="A250" s="326"/>
      <c r="B250" s="326"/>
      <c r="C250" s="326"/>
      <c r="D250" s="326"/>
      <c r="E250" s="326" t="s">
        <v>1176</v>
      </c>
      <c r="F250" s="336"/>
      <c r="G250" s="327"/>
      <c r="H250" s="328"/>
      <c r="I250" s="329"/>
      <c r="J250" s="338">
        <v>0</v>
      </c>
      <c r="K250" s="330">
        <v>0</v>
      </c>
      <c r="L250" s="330">
        <v>0</v>
      </c>
      <c r="M250" s="330">
        <v>0</v>
      </c>
      <c r="N250" s="330">
        <v>0</v>
      </c>
      <c r="O250" s="330">
        <v>0</v>
      </c>
      <c r="P250" s="330">
        <v>0</v>
      </c>
      <c r="Q250" s="330">
        <v>0</v>
      </c>
      <c r="R250" s="330">
        <v>0</v>
      </c>
      <c r="S250" s="330">
        <v>0</v>
      </c>
      <c r="T250" s="330">
        <v>0</v>
      </c>
      <c r="U250" s="331">
        <v>0</v>
      </c>
      <c r="V250" s="332">
        <v>0</v>
      </c>
      <c r="W250" s="333"/>
      <c r="X250" s="334">
        <v>0</v>
      </c>
      <c r="Y250" s="335">
        <v>0</v>
      </c>
    </row>
    <row r="251" spans="1:25" x14ac:dyDescent="0.3">
      <c r="A251" s="233"/>
      <c r="B251" s="234" t="s">
        <v>15</v>
      </c>
      <c r="D251" s="293" t="s">
        <v>1177</v>
      </c>
      <c r="E251" s="294"/>
      <c r="F251" s="295" t="s">
        <v>1178</v>
      </c>
      <c r="G251" s="296"/>
      <c r="H251" s="297"/>
      <c r="I251" s="298"/>
      <c r="J251" s="299">
        <v>5497.6260000000002</v>
      </c>
      <c r="K251" s="300">
        <v>2579.261</v>
      </c>
      <c r="L251" s="300">
        <v>5962.9370000000008</v>
      </c>
      <c r="M251" s="300">
        <v>2452.8119999999999</v>
      </c>
      <c r="N251" s="300">
        <v>2698.5110000000004</v>
      </c>
      <c r="O251" s="300">
        <v>346.07100000000003</v>
      </c>
      <c r="P251" s="300">
        <v>2454.181</v>
      </c>
      <c r="Q251" s="300">
        <v>2418.181</v>
      </c>
      <c r="R251" s="300">
        <v>6646.95</v>
      </c>
      <c r="S251" s="300">
        <v>1606.3100000000002</v>
      </c>
      <c r="T251" s="300">
        <v>1706.3100000000002</v>
      </c>
      <c r="U251" s="301">
        <v>12964.409</v>
      </c>
      <c r="V251" s="302">
        <v>47333.558999999994</v>
      </c>
      <c r="W251" s="303"/>
      <c r="X251" s="304">
        <v>12964.409</v>
      </c>
      <c r="Y251" s="305">
        <v>47333.558999999994</v>
      </c>
    </row>
    <row r="252" spans="1:25" x14ac:dyDescent="0.3">
      <c r="E252" s="250" t="s">
        <v>1179</v>
      </c>
      <c r="F252" s="317">
        <v>4300601</v>
      </c>
      <c r="G252" s="318"/>
      <c r="H252" s="319">
        <v>5101050101</v>
      </c>
      <c r="I252" s="320"/>
      <c r="J252" s="337">
        <v>0</v>
      </c>
      <c r="K252" s="321">
        <v>0</v>
      </c>
      <c r="L252" s="321">
        <v>0</v>
      </c>
      <c r="M252" s="321">
        <v>0</v>
      </c>
      <c r="N252" s="321">
        <v>0</v>
      </c>
      <c r="O252" s="321">
        <v>0</v>
      </c>
      <c r="P252" s="321">
        <v>0</v>
      </c>
      <c r="Q252" s="321">
        <v>0</v>
      </c>
      <c r="R252" s="321">
        <v>0</v>
      </c>
      <c r="S252" s="321">
        <v>0</v>
      </c>
      <c r="T252" s="321">
        <v>0</v>
      </c>
      <c r="U252" s="322">
        <v>0</v>
      </c>
      <c r="V252" s="323">
        <v>0</v>
      </c>
      <c r="W252" s="303"/>
      <c r="X252" s="324">
        <v>0</v>
      </c>
      <c r="Y252" s="325">
        <v>0</v>
      </c>
    </row>
    <row r="253" spans="1:25" x14ac:dyDescent="0.3">
      <c r="E253" s="250" t="s">
        <v>1180</v>
      </c>
      <c r="F253" s="317">
        <v>4300602</v>
      </c>
      <c r="G253" s="318"/>
      <c r="H253" s="319">
        <v>5101050103</v>
      </c>
      <c r="I253" s="320"/>
      <c r="J253" s="337">
        <v>0</v>
      </c>
      <c r="K253" s="321">
        <v>0</v>
      </c>
      <c r="L253" s="321">
        <v>0</v>
      </c>
      <c r="M253" s="321">
        <v>0</v>
      </c>
      <c r="N253" s="321">
        <v>0</v>
      </c>
      <c r="O253" s="321">
        <v>0</v>
      </c>
      <c r="P253" s="321">
        <v>0</v>
      </c>
      <c r="Q253" s="321">
        <v>0</v>
      </c>
      <c r="R253" s="321">
        <v>0</v>
      </c>
      <c r="S253" s="321">
        <v>0</v>
      </c>
      <c r="T253" s="321">
        <v>0</v>
      </c>
      <c r="U253" s="322">
        <v>0</v>
      </c>
      <c r="V253" s="323">
        <v>0</v>
      </c>
      <c r="W253" s="303"/>
      <c r="X253" s="324">
        <v>0</v>
      </c>
      <c r="Y253" s="325">
        <v>0</v>
      </c>
    </row>
    <row r="254" spans="1:25" x14ac:dyDescent="0.3">
      <c r="E254" s="250" t="s">
        <v>1181</v>
      </c>
      <c r="F254" s="317">
        <v>4300603</v>
      </c>
      <c r="G254" s="318"/>
      <c r="H254" s="319">
        <v>5101050105</v>
      </c>
      <c r="I254" s="320"/>
      <c r="J254" s="337">
        <v>0</v>
      </c>
      <c r="K254" s="321">
        <v>0</v>
      </c>
      <c r="L254" s="321">
        <v>4617</v>
      </c>
      <c r="M254" s="321">
        <v>0</v>
      </c>
      <c r="N254" s="321">
        <v>0</v>
      </c>
      <c r="O254" s="321">
        <v>0</v>
      </c>
      <c r="P254" s="321">
        <v>0</v>
      </c>
      <c r="Q254" s="321">
        <v>0</v>
      </c>
      <c r="R254" s="321">
        <v>4627</v>
      </c>
      <c r="S254" s="321">
        <v>0</v>
      </c>
      <c r="T254" s="321">
        <v>0</v>
      </c>
      <c r="U254" s="322">
        <v>0</v>
      </c>
      <c r="V254" s="323">
        <v>9244</v>
      </c>
      <c r="W254" s="303"/>
      <c r="X254" s="324">
        <v>0</v>
      </c>
      <c r="Y254" s="325">
        <v>9244</v>
      </c>
    </row>
    <row r="255" spans="1:25" x14ac:dyDescent="0.3">
      <c r="E255" s="250" t="s">
        <v>1182</v>
      </c>
      <c r="F255" s="317">
        <v>4300604</v>
      </c>
      <c r="G255" s="318"/>
      <c r="H255" s="319">
        <v>5101050199</v>
      </c>
      <c r="I255" s="320"/>
      <c r="J255" s="337">
        <v>0</v>
      </c>
      <c r="K255" s="321">
        <v>0</v>
      </c>
      <c r="L255" s="321">
        <v>0</v>
      </c>
      <c r="M255" s="321">
        <v>0</v>
      </c>
      <c r="N255" s="321">
        <v>0</v>
      </c>
      <c r="O255" s="321">
        <v>0</v>
      </c>
      <c r="P255" s="321">
        <v>0</v>
      </c>
      <c r="Q255" s="321">
        <v>0</v>
      </c>
      <c r="R255" s="321">
        <v>0</v>
      </c>
      <c r="S255" s="321">
        <v>0</v>
      </c>
      <c r="T255" s="321">
        <v>0</v>
      </c>
      <c r="U255" s="322">
        <v>0</v>
      </c>
      <c r="V255" s="323">
        <v>0</v>
      </c>
      <c r="W255" s="303"/>
      <c r="X255" s="324">
        <v>0</v>
      </c>
      <c r="Y255" s="325">
        <v>0</v>
      </c>
    </row>
    <row r="256" spans="1:25" x14ac:dyDescent="0.3">
      <c r="E256" s="250" t="s">
        <v>1183</v>
      </c>
      <c r="F256" s="317">
        <v>4300605</v>
      </c>
      <c r="G256" s="318"/>
      <c r="H256" s="319">
        <v>5101050119</v>
      </c>
      <c r="I256" s="320"/>
      <c r="J256" s="337">
        <v>0</v>
      </c>
      <c r="K256" s="321">
        <v>0</v>
      </c>
      <c r="L256" s="321">
        <v>0</v>
      </c>
      <c r="M256" s="321">
        <v>0</v>
      </c>
      <c r="N256" s="321">
        <v>0</v>
      </c>
      <c r="O256" s="321">
        <v>0</v>
      </c>
      <c r="P256" s="321">
        <v>0</v>
      </c>
      <c r="Q256" s="321">
        <v>0</v>
      </c>
      <c r="R256" s="321">
        <v>0</v>
      </c>
      <c r="S256" s="321">
        <v>0</v>
      </c>
      <c r="T256" s="321">
        <v>0</v>
      </c>
      <c r="U256" s="322">
        <v>0</v>
      </c>
      <c r="V256" s="323">
        <v>0</v>
      </c>
      <c r="W256" s="303"/>
      <c r="X256" s="324">
        <v>0</v>
      </c>
      <c r="Y256" s="325">
        <v>0</v>
      </c>
    </row>
    <row r="257" spans="5:25" x14ac:dyDescent="0.3">
      <c r="E257" s="250" t="s">
        <v>1184</v>
      </c>
      <c r="F257" s="317">
        <v>4300606</v>
      </c>
      <c r="G257" s="318"/>
      <c r="H257" s="319">
        <v>5101050107</v>
      </c>
      <c r="I257" s="320"/>
      <c r="J257" s="337">
        <v>0</v>
      </c>
      <c r="K257" s="321">
        <v>0</v>
      </c>
      <c r="L257" s="321">
        <v>0</v>
      </c>
      <c r="M257" s="321">
        <v>0</v>
      </c>
      <c r="N257" s="321">
        <v>0</v>
      </c>
      <c r="O257" s="321">
        <v>0</v>
      </c>
      <c r="P257" s="321">
        <v>0</v>
      </c>
      <c r="Q257" s="321">
        <v>0</v>
      </c>
      <c r="R257" s="321">
        <v>0</v>
      </c>
      <c r="S257" s="321">
        <v>0</v>
      </c>
      <c r="T257" s="321">
        <v>0</v>
      </c>
      <c r="U257" s="322">
        <v>235.45500000000001</v>
      </c>
      <c r="V257" s="323">
        <v>235.45500000000001</v>
      </c>
      <c r="W257" s="303"/>
      <c r="X257" s="324">
        <v>235.45500000000001</v>
      </c>
      <c r="Y257" s="325">
        <v>235.45500000000001</v>
      </c>
    </row>
    <row r="258" spans="5:25" x14ac:dyDescent="0.3">
      <c r="E258" s="250" t="s">
        <v>1185</v>
      </c>
      <c r="F258" s="317">
        <v>4300607</v>
      </c>
      <c r="G258" s="318"/>
      <c r="H258" s="319"/>
      <c r="I258" s="320"/>
      <c r="J258" s="337">
        <v>0</v>
      </c>
      <c r="K258" s="321">
        <v>0</v>
      </c>
      <c r="L258" s="321">
        <v>0</v>
      </c>
      <c r="M258" s="321">
        <v>0</v>
      </c>
      <c r="N258" s="321">
        <v>0</v>
      </c>
      <c r="O258" s="321">
        <v>0</v>
      </c>
      <c r="P258" s="321">
        <v>0</v>
      </c>
      <c r="Q258" s="321">
        <v>0</v>
      </c>
      <c r="R258" s="321">
        <v>0</v>
      </c>
      <c r="S258" s="321">
        <v>0</v>
      </c>
      <c r="T258" s="321">
        <v>0</v>
      </c>
      <c r="U258" s="322">
        <v>0</v>
      </c>
      <c r="V258" s="323">
        <v>0</v>
      </c>
      <c r="W258" s="303"/>
      <c r="X258" s="324">
        <v>0</v>
      </c>
      <c r="Y258" s="325">
        <v>0</v>
      </c>
    </row>
    <row r="259" spans="5:25" x14ac:dyDescent="0.3">
      <c r="E259" s="250" t="s">
        <v>1186</v>
      </c>
      <c r="F259" s="317">
        <v>4300608</v>
      </c>
      <c r="G259" s="318"/>
      <c r="H259" s="319">
        <v>5101050113</v>
      </c>
      <c r="I259" s="320"/>
      <c r="J259" s="337">
        <v>300</v>
      </c>
      <c r="K259" s="321">
        <v>0</v>
      </c>
      <c r="L259" s="321">
        <v>0</v>
      </c>
      <c r="M259" s="321">
        <v>0</v>
      </c>
      <c r="N259" s="321">
        <v>0</v>
      </c>
      <c r="O259" s="321">
        <v>0</v>
      </c>
      <c r="P259" s="321">
        <v>0</v>
      </c>
      <c r="Q259" s="321">
        <v>0</v>
      </c>
      <c r="R259" s="321">
        <v>200</v>
      </c>
      <c r="S259" s="321">
        <v>0</v>
      </c>
      <c r="T259" s="321">
        <v>0</v>
      </c>
      <c r="U259" s="322">
        <v>0</v>
      </c>
      <c r="V259" s="323">
        <v>500</v>
      </c>
      <c r="W259" s="303"/>
      <c r="X259" s="324">
        <v>0</v>
      </c>
      <c r="Y259" s="325">
        <v>500</v>
      </c>
    </row>
    <row r="260" spans="5:25" x14ac:dyDescent="0.3">
      <c r="E260" s="250" t="s">
        <v>1187</v>
      </c>
      <c r="F260" s="317">
        <v>4300609</v>
      </c>
      <c r="G260" s="318"/>
      <c r="H260" s="319">
        <v>5101050121</v>
      </c>
      <c r="I260" s="320"/>
      <c r="J260" s="337">
        <v>0</v>
      </c>
      <c r="K260" s="321">
        <v>0</v>
      </c>
      <c r="L260" s="321">
        <v>0</v>
      </c>
      <c r="M260" s="321">
        <v>0</v>
      </c>
      <c r="N260" s="321">
        <v>0</v>
      </c>
      <c r="O260" s="321">
        <v>0</v>
      </c>
      <c r="P260" s="321">
        <v>0</v>
      </c>
      <c r="Q260" s="321">
        <v>0</v>
      </c>
      <c r="R260" s="321">
        <v>0</v>
      </c>
      <c r="S260" s="321">
        <v>0</v>
      </c>
      <c r="T260" s="321">
        <v>0</v>
      </c>
      <c r="U260" s="322">
        <v>0</v>
      </c>
      <c r="V260" s="323">
        <v>0</v>
      </c>
      <c r="W260" s="303"/>
      <c r="X260" s="324">
        <v>0</v>
      </c>
      <c r="Y260" s="325">
        <v>0</v>
      </c>
    </row>
    <row r="261" spans="5:25" x14ac:dyDescent="0.3">
      <c r="E261" s="250" t="s">
        <v>1188</v>
      </c>
      <c r="F261" s="317">
        <v>4300610</v>
      </c>
      <c r="G261" s="318"/>
      <c r="H261" s="319">
        <v>5101050115</v>
      </c>
      <c r="I261" s="320"/>
      <c r="J261" s="337">
        <v>359.81</v>
      </c>
      <c r="K261" s="321">
        <v>359.81</v>
      </c>
      <c r="L261" s="321">
        <v>359.81</v>
      </c>
      <c r="M261" s="321">
        <v>1408.25</v>
      </c>
      <c r="N261" s="321">
        <v>1011.85</v>
      </c>
      <c r="O261" s="321">
        <v>691.5</v>
      </c>
      <c r="P261" s="321">
        <v>691.5</v>
      </c>
      <c r="Q261" s="321">
        <v>691.5</v>
      </c>
      <c r="R261" s="321">
        <v>516.86</v>
      </c>
      <c r="S261" s="321">
        <v>516.86</v>
      </c>
      <c r="T261" s="321">
        <v>516.86</v>
      </c>
      <c r="U261" s="322">
        <v>447.61</v>
      </c>
      <c r="V261" s="323">
        <v>7572.2199999999993</v>
      </c>
      <c r="W261" s="303"/>
      <c r="X261" s="324">
        <v>447.61</v>
      </c>
      <c r="Y261" s="325">
        <v>7572.2199999999993</v>
      </c>
    </row>
    <row r="262" spans="5:25" x14ac:dyDescent="0.3">
      <c r="E262" s="250" t="s">
        <v>1189</v>
      </c>
      <c r="F262" s="317">
        <v>4300611</v>
      </c>
      <c r="G262" s="318"/>
      <c r="H262" s="319"/>
      <c r="I262" s="320"/>
      <c r="J262" s="337">
        <v>303.24299999999999</v>
      </c>
      <c r="K262" s="321">
        <v>237.44300000000001</v>
      </c>
      <c r="L262" s="321">
        <v>244.666</v>
      </c>
      <c r="M262" s="321">
        <v>243.732</v>
      </c>
      <c r="N262" s="321">
        <v>190.03</v>
      </c>
      <c r="O262" s="321">
        <v>-1874.1</v>
      </c>
      <c r="P262" s="321">
        <v>190.03</v>
      </c>
      <c r="Q262" s="321">
        <v>190.03</v>
      </c>
      <c r="R262" s="321">
        <v>162.81</v>
      </c>
      <c r="S262" s="321">
        <v>130.13999999999999</v>
      </c>
      <c r="T262" s="321">
        <v>130.13999999999999</v>
      </c>
      <c r="U262" s="322">
        <v>95.46</v>
      </c>
      <c r="V262" s="323">
        <v>243.62400000000002</v>
      </c>
      <c r="W262" s="303"/>
      <c r="X262" s="324">
        <v>95.46</v>
      </c>
      <c r="Y262" s="325">
        <v>243.62400000000002</v>
      </c>
    </row>
    <row r="263" spans="5:25" x14ac:dyDescent="0.3">
      <c r="E263" s="250" t="s">
        <v>1190</v>
      </c>
      <c r="F263" s="317">
        <v>4300612</v>
      </c>
      <c r="G263" s="318"/>
      <c r="H263" s="319"/>
      <c r="I263" s="320"/>
      <c r="J263" s="337">
        <v>590.65499999999997</v>
      </c>
      <c r="K263" s="321">
        <v>462.49</v>
      </c>
      <c r="L263" s="321">
        <v>476.56</v>
      </c>
      <c r="M263" s="321">
        <v>474.74</v>
      </c>
      <c r="N263" s="321">
        <v>471.05</v>
      </c>
      <c r="O263" s="321">
        <v>471.09</v>
      </c>
      <c r="P263" s="321">
        <v>471.07</v>
      </c>
      <c r="Q263" s="321">
        <v>471.07</v>
      </c>
      <c r="R263" s="321">
        <v>403.58</v>
      </c>
      <c r="S263" s="321">
        <v>322.61</v>
      </c>
      <c r="T263" s="321">
        <v>322.61</v>
      </c>
      <c r="U263" s="322">
        <v>236.63</v>
      </c>
      <c r="V263" s="323">
        <v>5174.1549999999997</v>
      </c>
      <c r="W263" s="303"/>
      <c r="X263" s="324">
        <v>236.63</v>
      </c>
      <c r="Y263" s="325">
        <v>5174.1549999999997</v>
      </c>
    </row>
    <row r="264" spans="5:25" x14ac:dyDescent="0.3">
      <c r="E264" s="250" t="s">
        <v>1191</v>
      </c>
      <c r="F264" s="317">
        <v>4300613</v>
      </c>
      <c r="G264" s="318"/>
      <c r="H264" s="319">
        <v>5101050117</v>
      </c>
      <c r="I264" s="320"/>
      <c r="J264" s="337">
        <v>2207.7260000000001</v>
      </c>
      <c r="K264" s="321">
        <v>0</v>
      </c>
      <c r="L264" s="321">
        <v>0</v>
      </c>
      <c r="M264" s="321">
        <v>0</v>
      </c>
      <c r="N264" s="321">
        <v>0</v>
      </c>
      <c r="O264" s="321">
        <v>0</v>
      </c>
      <c r="P264" s="321">
        <v>0</v>
      </c>
      <c r="Q264" s="321">
        <v>0</v>
      </c>
      <c r="R264" s="321">
        <v>0</v>
      </c>
      <c r="S264" s="321">
        <v>0</v>
      </c>
      <c r="T264" s="321">
        <v>0</v>
      </c>
      <c r="U264" s="322">
        <v>1855.278</v>
      </c>
      <c r="V264" s="323">
        <v>4063.0039999999999</v>
      </c>
      <c r="W264" s="303"/>
      <c r="X264" s="324">
        <v>1855.278</v>
      </c>
      <c r="Y264" s="325">
        <v>4063.0039999999999</v>
      </c>
    </row>
    <row r="265" spans="5:25" x14ac:dyDescent="0.3">
      <c r="E265" s="250" t="s">
        <v>1192</v>
      </c>
      <c r="F265" s="317">
        <v>4300614</v>
      </c>
      <c r="G265" s="318"/>
      <c r="H265" s="319"/>
      <c r="I265" s="320"/>
      <c r="J265" s="337">
        <v>0</v>
      </c>
      <c r="K265" s="321">
        <v>0</v>
      </c>
      <c r="L265" s="321">
        <v>0</v>
      </c>
      <c r="M265" s="321">
        <v>0</v>
      </c>
      <c r="N265" s="321">
        <v>0</v>
      </c>
      <c r="O265" s="321">
        <v>0</v>
      </c>
      <c r="P265" s="321">
        <v>0</v>
      </c>
      <c r="Q265" s="321">
        <v>0</v>
      </c>
      <c r="R265" s="321">
        <v>0</v>
      </c>
      <c r="S265" s="321">
        <v>0</v>
      </c>
      <c r="T265" s="321">
        <v>0</v>
      </c>
      <c r="U265" s="322">
        <v>1040</v>
      </c>
      <c r="V265" s="323">
        <v>1040</v>
      </c>
      <c r="W265" s="303"/>
      <c r="X265" s="324">
        <v>1040</v>
      </c>
      <c r="Y265" s="325">
        <v>1040</v>
      </c>
    </row>
    <row r="266" spans="5:25" x14ac:dyDescent="0.3">
      <c r="E266" s="250" t="s">
        <v>1193</v>
      </c>
      <c r="F266" s="317">
        <v>4300618</v>
      </c>
      <c r="G266" s="318"/>
      <c r="H266" s="319"/>
      <c r="I266" s="320"/>
      <c r="J266" s="337">
        <v>0</v>
      </c>
      <c r="K266" s="321">
        <v>0</v>
      </c>
      <c r="L266" s="321">
        <v>0</v>
      </c>
      <c r="M266" s="321">
        <v>0</v>
      </c>
      <c r="N266" s="321">
        <v>0</v>
      </c>
      <c r="O266" s="321">
        <v>0</v>
      </c>
      <c r="P266" s="321">
        <v>0</v>
      </c>
      <c r="Q266" s="321">
        <v>0</v>
      </c>
      <c r="R266" s="321">
        <v>0</v>
      </c>
      <c r="S266" s="321">
        <v>0</v>
      </c>
      <c r="T266" s="321">
        <v>0</v>
      </c>
      <c r="U266" s="322">
        <v>0</v>
      </c>
      <c r="V266" s="323">
        <v>0</v>
      </c>
      <c r="W266" s="303"/>
      <c r="X266" s="324">
        <v>0</v>
      </c>
      <c r="Y266" s="325">
        <v>0</v>
      </c>
    </row>
    <row r="267" spans="5:25" x14ac:dyDescent="0.3">
      <c r="E267" s="250" t="s">
        <v>1194</v>
      </c>
      <c r="F267" s="317">
        <v>4300620</v>
      </c>
      <c r="G267" s="318"/>
      <c r="H267" s="319"/>
      <c r="I267" s="320"/>
      <c r="J267" s="337">
        <v>0</v>
      </c>
      <c r="K267" s="321">
        <v>0</v>
      </c>
      <c r="L267" s="321">
        <v>0</v>
      </c>
      <c r="M267" s="321">
        <v>0</v>
      </c>
      <c r="N267" s="321">
        <v>0</v>
      </c>
      <c r="O267" s="321">
        <v>0</v>
      </c>
      <c r="P267" s="321">
        <v>0</v>
      </c>
      <c r="Q267" s="321">
        <v>0</v>
      </c>
      <c r="R267" s="321">
        <v>0</v>
      </c>
      <c r="S267" s="321">
        <v>0</v>
      </c>
      <c r="T267" s="321">
        <v>0</v>
      </c>
      <c r="U267" s="322">
        <v>0</v>
      </c>
      <c r="V267" s="323">
        <v>0</v>
      </c>
      <c r="W267" s="303"/>
      <c r="X267" s="324">
        <v>0</v>
      </c>
      <c r="Y267" s="325">
        <v>0</v>
      </c>
    </row>
    <row r="268" spans="5:25" x14ac:dyDescent="0.3">
      <c r="E268" s="250" t="s">
        <v>1195</v>
      </c>
      <c r="F268" s="317">
        <v>4300621</v>
      </c>
      <c r="G268" s="318"/>
      <c r="H268" s="319"/>
      <c r="I268" s="320"/>
      <c r="J268" s="337">
        <v>0</v>
      </c>
      <c r="K268" s="321">
        <v>0</v>
      </c>
      <c r="L268" s="321">
        <v>0</v>
      </c>
      <c r="M268" s="321">
        <v>0</v>
      </c>
      <c r="N268" s="321">
        <v>0</v>
      </c>
      <c r="O268" s="321">
        <v>0</v>
      </c>
      <c r="P268" s="321">
        <v>0</v>
      </c>
      <c r="Q268" s="321">
        <v>0</v>
      </c>
      <c r="R268" s="321">
        <v>0</v>
      </c>
      <c r="S268" s="321">
        <v>0</v>
      </c>
      <c r="T268" s="321">
        <v>0</v>
      </c>
      <c r="U268" s="322">
        <v>0</v>
      </c>
      <c r="V268" s="323">
        <v>0</v>
      </c>
      <c r="W268" s="303"/>
      <c r="X268" s="324">
        <v>0</v>
      </c>
      <c r="Y268" s="325">
        <v>0</v>
      </c>
    </row>
    <row r="269" spans="5:25" x14ac:dyDescent="0.3">
      <c r="E269" s="250" t="s">
        <v>1196</v>
      </c>
      <c r="F269" s="317">
        <v>4300622</v>
      </c>
      <c r="G269" s="318"/>
      <c r="H269" s="319">
        <v>5101050109</v>
      </c>
      <c r="I269" s="320"/>
      <c r="J269" s="337">
        <v>0</v>
      </c>
      <c r="K269" s="321">
        <v>0</v>
      </c>
      <c r="L269" s="321">
        <v>0</v>
      </c>
      <c r="M269" s="321">
        <v>0</v>
      </c>
      <c r="N269" s="321">
        <v>0</v>
      </c>
      <c r="O269" s="321">
        <v>0</v>
      </c>
      <c r="P269" s="321">
        <v>0</v>
      </c>
      <c r="Q269" s="321">
        <v>0</v>
      </c>
      <c r="R269" s="321">
        <v>0</v>
      </c>
      <c r="S269" s="321">
        <v>0</v>
      </c>
      <c r="T269" s="321">
        <v>0</v>
      </c>
      <c r="U269" s="322">
        <v>0</v>
      </c>
      <c r="V269" s="323">
        <v>0</v>
      </c>
      <c r="W269" s="303"/>
      <c r="X269" s="324">
        <v>0</v>
      </c>
      <c r="Y269" s="325">
        <v>0</v>
      </c>
    </row>
    <row r="270" spans="5:25" x14ac:dyDescent="0.3">
      <c r="E270" s="250" t="s">
        <v>1197</v>
      </c>
      <c r="F270" s="317">
        <v>4300623</v>
      </c>
      <c r="G270" s="318"/>
      <c r="H270" s="319"/>
      <c r="I270" s="320"/>
      <c r="J270" s="337">
        <v>0</v>
      </c>
      <c r="K270" s="321">
        <v>0</v>
      </c>
      <c r="L270" s="321">
        <v>0</v>
      </c>
      <c r="M270" s="321">
        <v>0</v>
      </c>
      <c r="N270" s="321">
        <v>0</v>
      </c>
      <c r="O270" s="321">
        <v>0</v>
      </c>
      <c r="P270" s="321">
        <v>0</v>
      </c>
      <c r="Q270" s="321">
        <v>0</v>
      </c>
      <c r="R270" s="321">
        <v>0</v>
      </c>
      <c r="S270" s="321">
        <v>0</v>
      </c>
      <c r="T270" s="321">
        <v>0</v>
      </c>
      <c r="U270" s="322">
        <v>0</v>
      </c>
      <c r="V270" s="323">
        <v>0</v>
      </c>
      <c r="W270" s="303"/>
      <c r="X270" s="324">
        <v>0</v>
      </c>
      <c r="Y270" s="325">
        <v>0</v>
      </c>
    </row>
    <row r="271" spans="5:25" x14ac:dyDescent="0.3">
      <c r="E271" s="250" t="s">
        <v>1198</v>
      </c>
      <c r="F271" s="317">
        <v>4300624</v>
      </c>
      <c r="G271" s="318"/>
      <c r="H271" s="319"/>
      <c r="I271" s="320"/>
      <c r="J271" s="337">
        <v>0</v>
      </c>
      <c r="K271" s="321">
        <v>0</v>
      </c>
      <c r="L271" s="321">
        <v>0</v>
      </c>
      <c r="M271" s="321">
        <v>0</v>
      </c>
      <c r="N271" s="321">
        <v>0</v>
      </c>
      <c r="O271" s="321">
        <v>0</v>
      </c>
      <c r="P271" s="321">
        <v>0</v>
      </c>
      <c r="Q271" s="321">
        <v>0</v>
      </c>
      <c r="R271" s="321">
        <v>0</v>
      </c>
      <c r="S271" s="321">
        <v>0</v>
      </c>
      <c r="T271" s="321">
        <v>0</v>
      </c>
      <c r="U271" s="322">
        <v>0</v>
      </c>
      <c r="V271" s="323">
        <v>0</v>
      </c>
      <c r="W271" s="303"/>
      <c r="X271" s="324">
        <v>0</v>
      </c>
      <c r="Y271" s="325">
        <v>0</v>
      </c>
    </row>
    <row r="272" spans="5:25" x14ac:dyDescent="0.3">
      <c r="E272" s="250" t="s">
        <v>1199</v>
      </c>
      <c r="F272" s="317">
        <v>4300626</v>
      </c>
      <c r="G272" s="318"/>
      <c r="H272" s="319">
        <v>5101050111</v>
      </c>
      <c r="I272" s="320"/>
      <c r="J272" s="337">
        <v>0</v>
      </c>
      <c r="K272" s="321">
        <v>0</v>
      </c>
      <c r="L272" s="321">
        <v>0</v>
      </c>
      <c r="M272" s="321">
        <v>0</v>
      </c>
      <c r="N272" s="321">
        <v>0</v>
      </c>
      <c r="O272" s="321">
        <v>0</v>
      </c>
      <c r="P272" s="321">
        <v>0</v>
      </c>
      <c r="Q272" s="321">
        <v>0</v>
      </c>
      <c r="R272" s="321">
        <v>0</v>
      </c>
      <c r="S272" s="321">
        <v>0</v>
      </c>
      <c r="T272" s="321">
        <v>0</v>
      </c>
      <c r="U272" s="322">
        <v>0</v>
      </c>
      <c r="V272" s="323">
        <v>0</v>
      </c>
      <c r="W272" s="303"/>
      <c r="X272" s="324">
        <v>0</v>
      </c>
      <c r="Y272" s="325">
        <v>0</v>
      </c>
    </row>
    <row r="273" spans="5:25" x14ac:dyDescent="0.3">
      <c r="E273" s="250" t="s">
        <v>1200</v>
      </c>
      <c r="F273" s="317">
        <v>4300627</v>
      </c>
      <c r="G273" s="318"/>
      <c r="H273" s="319"/>
      <c r="I273" s="320"/>
      <c r="J273" s="337">
        <v>0</v>
      </c>
      <c r="K273" s="321">
        <v>0</v>
      </c>
      <c r="L273" s="321">
        <v>0</v>
      </c>
      <c r="M273" s="321">
        <v>0</v>
      </c>
      <c r="N273" s="321">
        <v>0</v>
      </c>
      <c r="O273" s="321">
        <v>0</v>
      </c>
      <c r="P273" s="321">
        <v>0</v>
      </c>
      <c r="Q273" s="321">
        <v>0</v>
      </c>
      <c r="R273" s="321">
        <v>0</v>
      </c>
      <c r="S273" s="321">
        <v>0</v>
      </c>
      <c r="T273" s="321">
        <v>0</v>
      </c>
      <c r="U273" s="322">
        <v>0</v>
      </c>
      <c r="V273" s="323">
        <v>0</v>
      </c>
      <c r="W273" s="303"/>
      <c r="X273" s="324">
        <v>0</v>
      </c>
      <c r="Y273" s="325">
        <v>0</v>
      </c>
    </row>
    <row r="274" spans="5:25" x14ac:dyDescent="0.3">
      <c r="E274" s="250" t="s">
        <v>1201</v>
      </c>
      <c r="F274" s="317">
        <v>4300628</v>
      </c>
      <c r="G274" s="318"/>
      <c r="H274" s="319"/>
      <c r="I274" s="320"/>
      <c r="J274" s="337">
        <v>0</v>
      </c>
      <c r="K274" s="321">
        <v>0</v>
      </c>
      <c r="L274" s="321">
        <v>0</v>
      </c>
      <c r="M274" s="321">
        <v>0</v>
      </c>
      <c r="N274" s="321">
        <v>0</v>
      </c>
      <c r="O274" s="321">
        <v>0</v>
      </c>
      <c r="P274" s="321">
        <v>0</v>
      </c>
      <c r="Q274" s="321">
        <v>0</v>
      </c>
      <c r="R274" s="321">
        <v>0</v>
      </c>
      <c r="S274" s="321">
        <v>0</v>
      </c>
      <c r="T274" s="321">
        <v>0</v>
      </c>
      <c r="U274" s="322">
        <v>0</v>
      </c>
      <c r="V274" s="323">
        <v>0</v>
      </c>
      <c r="W274" s="303"/>
      <c r="X274" s="324">
        <v>0</v>
      </c>
      <c r="Y274" s="325">
        <v>0</v>
      </c>
    </row>
    <row r="275" spans="5:25" x14ac:dyDescent="0.3">
      <c r="E275" s="250" t="s">
        <v>1202</v>
      </c>
      <c r="F275" s="317">
        <v>4300629</v>
      </c>
      <c r="G275" s="318"/>
      <c r="H275" s="319"/>
      <c r="I275" s="320"/>
      <c r="J275" s="337">
        <v>0</v>
      </c>
      <c r="K275" s="321">
        <v>0</v>
      </c>
      <c r="L275" s="321">
        <v>0</v>
      </c>
      <c r="M275" s="321">
        <v>0</v>
      </c>
      <c r="N275" s="321">
        <v>0</v>
      </c>
      <c r="O275" s="321">
        <v>0</v>
      </c>
      <c r="P275" s="321">
        <v>0</v>
      </c>
      <c r="Q275" s="321">
        <v>0</v>
      </c>
      <c r="R275" s="321">
        <v>0</v>
      </c>
      <c r="S275" s="321">
        <v>0</v>
      </c>
      <c r="T275" s="321">
        <v>0</v>
      </c>
      <c r="U275" s="322">
        <v>0</v>
      </c>
      <c r="V275" s="323">
        <v>0</v>
      </c>
      <c r="W275" s="303"/>
      <c r="X275" s="324">
        <v>0</v>
      </c>
      <c r="Y275" s="325">
        <v>0</v>
      </c>
    </row>
    <row r="276" spans="5:25" x14ac:dyDescent="0.3">
      <c r="E276" s="250" t="s">
        <v>1203</v>
      </c>
      <c r="F276" s="317">
        <v>4300633</v>
      </c>
      <c r="G276" s="318"/>
      <c r="H276" s="319"/>
      <c r="I276" s="320"/>
      <c r="J276" s="337">
        <v>0</v>
      </c>
      <c r="K276" s="321">
        <v>0</v>
      </c>
      <c r="L276" s="321">
        <v>0</v>
      </c>
      <c r="M276" s="321">
        <v>0</v>
      </c>
      <c r="N276" s="321">
        <v>0</v>
      </c>
      <c r="O276" s="321">
        <v>0</v>
      </c>
      <c r="P276" s="321">
        <v>0</v>
      </c>
      <c r="Q276" s="321">
        <v>0</v>
      </c>
      <c r="R276" s="321">
        <v>0</v>
      </c>
      <c r="S276" s="321">
        <v>0</v>
      </c>
      <c r="T276" s="321">
        <v>0</v>
      </c>
      <c r="U276" s="322">
        <v>0</v>
      </c>
      <c r="V276" s="323">
        <v>0</v>
      </c>
      <c r="W276" s="303"/>
      <c r="X276" s="324">
        <v>0</v>
      </c>
      <c r="Y276" s="325">
        <v>0</v>
      </c>
    </row>
    <row r="277" spans="5:25" x14ac:dyDescent="0.3">
      <c r="E277" s="250" t="s">
        <v>1204</v>
      </c>
      <c r="F277" s="317">
        <v>4300640</v>
      </c>
      <c r="G277" s="318"/>
      <c r="H277" s="319"/>
      <c r="I277" s="320"/>
      <c r="J277" s="337">
        <v>0</v>
      </c>
      <c r="K277" s="321">
        <v>0</v>
      </c>
      <c r="L277" s="321">
        <v>0</v>
      </c>
      <c r="M277" s="321">
        <v>0</v>
      </c>
      <c r="N277" s="321">
        <v>0</v>
      </c>
      <c r="O277" s="321">
        <v>0</v>
      </c>
      <c r="P277" s="321">
        <v>0</v>
      </c>
      <c r="Q277" s="321">
        <v>0</v>
      </c>
      <c r="R277" s="321">
        <v>0</v>
      </c>
      <c r="S277" s="321">
        <v>0</v>
      </c>
      <c r="T277" s="321">
        <v>0</v>
      </c>
      <c r="U277" s="322">
        <v>0</v>
      </c>
      <c r="V277" s="323">
        <v>0</v>
      </c>
      <c r="W277" s="303"/>
      <c r="X277" s="324">
        <v>0</v>
      </c>
      <c r="Y277" s="325">
        <v>0</v>
      </c>
    </row>
    <row r="278" spans="5:25" x14ac:dyDescent="0.3">
      <c r="E278" s="250" t="s">
        <v>1205</v>
      </c>
      <c r="F278" s="317">
        <v>4300641</v>
      </c>
      <c r="G278" s="318"/>
      <c r="H278" s="319"/>
      <c r="I278" s="320"/>
      <c r="J278" s="337">
        <v>0</v>
      </c>
      <c r="K278" s="321">
        <v>0</v>
      </c>
      <c r="L278" s="321">
        <v>0</v>
      </c>
      <c r="M278" s="321">
        <v>0</v>
      </c>
      <c r="N278" s="321">
        <v>0</v>
      </c>
      <c r="O278" s="321">
        <v>0</v>
      </c>
      <c r="P278" s="321">
        <v>0</v>
      </c>
      <c r="Q278" s="321">
        <v>0</v>
      </c>
      <c r="R278" s="321">
        <v>0</v>
      </c>
      <c r="S278" s="321">
        <v>0</v>
      </c>
      <c r="T278" s="321">
        <v>0</v>
      </c>
      <c r="U278" s="322">
        <v>0</v>
      </c>
      <c r="V278" s="323">
        <v>0</v>
      </c>
      <c r="W278" s="303"/>
      <c r="X278" s="324">
        <v>0</v>
      </c>
      <c r="Y278" s="325">
        <v>0</v>
      </c>
    </row>
    <row r="279" spans="5:25" x14ac:dyDescent="0.3">
      <c r="E279" s="250" t="s">
        <v>1206</v>
      </c>
      <c r="F279" s="317">
        <v>4300642</v>
      </c>
      <c r="G279" s="318"/>
      <c r="H279" s="319"/>
      <c r="I279" s="320"/>
      <c r="J279" s="337">
        <v>496</v>
      </c>
      <c r="K279" s="321">
        <v>380</v>
      </c>
      <c r="L279" s="321">
        <v>392</v>
      </c>
      <c r="M279" s="321">
        <v>288</v>
      </c>
      <c r="N279" s="321">
        <v>380</v>
      </c>
      <c r="O279" s="321">
        <v>412</v>
      </c>
      <c r="P279" s="321">
        <v>456</v>
      </c>
      <c r="Q279" s="321">
        <v>420</v>
      </c>
      <c r="R279" s="321">
        <v>332</v>
      </c>
      <c r="S279" s="321">
        <v>232</v>
      </c>
      <c r="T279" s="321">
        <v>332</v>
      </c>
      <c r="U279" s="322">
        <v>144</v>
      </c>
      <c r="V279" s="323">
        <v>4264</v>
      </c>
      <c r="W279" s="303"/>
      <c r="X279" s="324">
        <v>144</v>
      </c>
      <c r="Y279" s="325">
        <v>4264</v>
      </c>
    </row>
    <row r="280" spans="5:25" x14ac:dyDescent="0.3">
      <c r="E280" s="250" t="s">
        <v>1207</v>
      </c>
      <c r="F280" s="317">
        <v>4300643</v>
      </c>
      <c r="G280" s="318"/>
      <c r="H280" s="319"/>
      <c r="I280" s="320"/>
      <c r="J280" s="337">
        <v>0</v>
      </c>
      <c r="K280" s="321">
        <v>0</v>
      </c>
      <c r="L280" s="321">
        <v>0</v>
      </c>
      <c r="M280" s="321">
        <v>0</v>
      </c>
      <c r="N280" s="321">
        <v>0</v>
      </c>
      <c r="O280" s="321">
        <v>0</v>
      </c>
      <c r="P280" s="321">
        <v>0</v>
      </c>
      <c r="Q280" s="321">
        <v>0</v>
      </c>
      <c r="R280" s="321">
        <v>0</v>
      </c>
      <c r="S280" s="321">
        <v>0</v>
      </c>
      <c r="T280" s="321">
        <v>0</v>
      </c>
      <c r="U280" s="322">
        <v>0</v>
      </c>
      <c r="V280" s="323">
        <v>0</v>
      </c>
      <c r="W280" s="303"/>
      <c r="X280" s="324">
        <v>0</v>
      </c>
      <c r="Y280" s="325">
        <v>0</v>
      </c>
    </row>
    <row r="281" spans="5:25" x14ac:dyDescent="0.3">
      <c r="E281" s="250" t="s">
        <v>1208</v>
      </c>
      <c r="F281" s="317">
        <v>4300644</v>
      </c>
      <c r="G281" s="318"/>
      <c r="H281" s="319"/>
      <c r="I281" s="320"/>
      <c r="J281" s="337">
        <v>0</v>
      </c>
      <c r="K281" s="321">
        <v>0</v>
      </c>
      <c r="L281" s="321">
        <v>0</v>
      </c>
      <c r="M281" s="321">
        <v>0</v>
      </c>
      <c r="N281" s="321">
        <v>0</v>
      </c>
      <c r="O281" s="321">
        <v>0</v>
      </c>
      <c r="P281" s="321">
        <v>0</v>
      </c>
      <c r="Q281" s="321">
        <v>0</v>
      </c>
      <c r="R281" s="321">
        <v>0</v>
      </c>
      <c r="S281" s="321">
        <v>0</v>
      </c>
      <c r="T281" s="321">
        <v>0</v>
      </c>
      <c r="U281" s="322">
        <v>0</v>
      </c>
      <c r="V281" s="323">
        <v>0</v>
      </c>
      <c r="W281" s="303"/>
      <c r="X281" s="324">
        <v>0</v>
      </c>
      <c r="Y281" s="325">
        <v>0</v>
      </c>
    </row>
    <row r="282" spans="5:25" x14ac:dyDescent="0.3">
      <c r="E282" s="250" t="s">
        <v>1209</v>
      </c>
      <c r="F282" s="317">
        <v>4300651</v>
      </c>
      <c r="G282" s="318"/>
      <c r="H282" s="319"/>
      <c r="I282" s="320"/>
      <c r="J282" s="337">
        <v>0</v>
      </c>
      <c r="K282" s="321">
        <v>0</v>
      </c>
      <c r="L282" s="321">
        <v>0</v>
      </c>
      <c r="M282" s="321">
        <v>0</v>
      </c>
      <c r="N282" s="321">
        <v>0</v>
      </c>
      <c r="O282" s="321">
        <v>0</v>
      </c>
      <c r="P282" s="321">
        <v>0</v>
      </c>
      <c r="Q282" s="321">
        <v>0</v>
      </c>
      <c r="R282" s="321">
        <v>0</v>
      </c>
      <c r="S282" s="321">
        <v>0</v>
      </c>
      <c r="T282" s="321">
        <v>0</v>
      </c>
      <c r="U282" s="322">
        <v>0</v>
      </c>
      <c r="V282" s="323">
        <v>0</v>
      </c>
      <c r="W282" s="303"/>
      <c r="X282" s="324">
        <v>0</v>
      </c>
      <c r="Y282" s="325">
        <v>0</v>
      </c>
    </row>
    <row r="283" spans="5:25" x14ac:dyDescent="0.3">
      <c r="E283" s="250" t="s">
        <v>1210</v>
      </c>
      <c r="F283" s="317">
        <v>4300652</v>
      </c>
      <c r="G283" s="318"/>
      <c r="H283" s="319"/>
      <c r="I283" s="320"/>
      <c r="J283" s="337">
        <v>0</v>
      </c>
      <c r="K283" s="321">
        <v>0</v>
      </c>
      <c r="L283" s="321">
        <v>0</v>
      </c>
      <c r="M283" s="321">
        <v>0</v>
      </c>
      <c r="N283" s="321">
        <v>0</v>
      </c>
      <c r="O283" s="321">
        <v>0</v>
      </c>
      <c r="P283" s="321">
        <v>0</v>
      </c>
      <c r="Q283" s="321">
        <v>0</v>
      </c>
      <c r="R283" s="321">
        <v>0</v>
      </c>
      <c r="S283" s="321">
        <v>0</v>
      </c>
      <c r="T283" s="321">
        <v>0</v>
      </c>
      <c r="U283" s="322">
        <v>0</v>
      </c>
      <c r="V283" s="323">
        <v>0</v>
      </c>
      <c r="W283" s="303"/>
      <c r="X283" s="324">
        <v>0</v>
      </c>
      <c r="Y283" s="325">
        <v>0</v>
      </c>
    </row>
    <row r="284" spans="5:25" x14ac:dyDescent="0.3">
      <c r="E284" s="250" t="s">
        <v>1211</v>
      </c>
      <c r="F284" s="317">
        <v>4300655</v>
      </c>
      <c r="G284" s="318"/>
      <c r="H284" s="319"/>
      <c r="I284" s="320"/>
      <c r="J284" s="337">
        <v>0</v>
      </c>
      <c r="K284" s="321">
        <v>0</v>
      </c>
      <c r="L284" s="321">
        <v>0</v>
      </c>
      <c r="M284" s="321">
        <v>0</v>
      </c>
      <c r="N284" s="321">
        <v>0</v>
      </c>
      <c r="O284" s="321">
        <v>0</v>
      </c>
      <c r="P284" s="321">
        <v>0</v>
      </c>
      <c r="Q284" s="321">
        <v>0</v>
      </c>
      <c r="R284" s="321">
        <v>0</v>
      </c>
      <c r="S284" s="321">
        <v>0</v>
      </c>
      <c r="T284" s="321">
        <v>0</v>
      </c>
      <c r="U284" s="322">
        <v>0</v>
      </c>
      <c r="V284" s="323">
        <v>0</v>
      </c>
      <c r="W284" s="303"/>
      <c r="X284" s="324">
        <v>0</v>
      </c>
      <c r="Y284" s="325">
        <v>0</v>
      </c>
    </row>
    <row r="285" spans="5:25" x14ac:dyDescent="0.3">
      <c r="E285" s="250" t="s">
        <v>1212</v>
      </c>
      <c r="F285" s="317">
        <v>4300656</v>
      </c>
      <c r="G285" s="318"/>
      <c r="H285" s="319"/>
      <c r="I285" s="320"/>
      <c r="J285" s="337">
        <v>0</v>
      </c>
      <c r="K285" s="321">
        <v>0</v>
      </c>
      <c r="L285" s="321">
        <v>0</v>
      </c>
      <c r="M285" s="321">
        <v>0</v>
      </c>
      <c r="N285" s="321">
        <v>0</v>
      </c>
      <c r="O285" s="321">
        <v>0</v>
      </c>
      <c r="P285" s="321">
        <v>0</v>
      </c>
      <c r="Q285" s="321">
        <v>0</v>
      </c>
      <c r="R285" s="321">
        <v>0</v>
      </c>
      <c r="S285" s="321">
        <v>0</v>
      </c>
      <c r="T285" s="321">
        <v>0</v>
      </c>
      <c r="U285" s="322">
        <v>0</v>
      </c>
      <c r="V285" s="323">
        <v>0</v>
      </c>
      <c r="W285" s="303"/>
      <c r="X285" s="324">
        <v>0</v>
      </c>
      <c r="Y285" s="325">
        <v>0</v>
      </c>
    </row>
    <row r="286" spans="5:25" x14ac:dyDescent="0.3">
      <c r="E286" s="250" t="s">
        <v>1213</v>
      </c>
      <c r="F286" s="317">
        <v>4300657</v>
      </c>
      <c r="G286" s="318"/>
      <c r="H286" s="319"/>
      <c r="I286" s="320"/>
      <c r="J286" s="337">
        <v>0</v>
      </c>
      <c r="K286" s="321">
        <v>0</v>
      </c>
      <c r="L286" s="321">
        <v>0</v>
      </c>
      <c r="M286" s="321">
        <v>0</v>
      </c>
      <c r="N286" s="321">
        <v>0</v>
      </c>
      <c r="O286" s="321">
        <v>0</v>
      </c>
      <c r="P286" s="321">
        <v>0</v>
      </c>
      <c r="Q286" s="321">
        <v>0</v>
      </c>
      <c r="R286" s="321">
        <v>0</v>
      </c>
      <c r="S286" s="321">
        <v>0</v>
      </c>
      <c r="T286" s="321">
        <v>0</v>
      </c>
      <c r="U286" s="322">
        <v>0</v>
      </c>
      <c r="V286" s="323">
        <v>0</v>
      </c>
      <c r="W286" s="303"/>
      <c r="X286" s="324">
        <v>0</v>
      </c>
      <c r="Y286" s="325">
        <v>0</v>
      </c>
    </row>
    <row r="287" spans="5:25" x14ac:dyDescent="0.3">
      <c r="E287" s="250" t="s">
        <v>1214</v>
      </c>
      <c r="F287" s="317">
        <v>4300658</v>
      </c>
      <c r="G287" s="318"/>
      <c r="H287" s="319"/>
      <c r="I287" s="320"/>
      <c r="J287" s="337">
        <v>0</v>
      </c>
      <c r="K287" s="321">
        <v>0</v>
      </c>
      <c r="L287" s="321">
        <v>0</v>
      </c>
      <c r="M287" s="321">
        <v>0</v>
      </c>
      <c r="N287" s="321">
        <v>0</v>
      </c>
      <c r="O287" s="321">
        <v>0</v>
      </c>
      <c r="P287" s="321">
        <v>0</v>
      </c>
      <c r="Q287" s="321">
        <v>0</v>
      </c>
      <c r="R287" s="321">
        <v>0</v>
      </c>
      <c r="S287" s="321">
        <v>0</v>
      </c>
      <c r="T287" s="321">
        <v>0</v>
      </c>
      <c r="U287" s="322">
        <v>0</v>
      </c>
      <c r="V287" s="323">
        <v>0</v>
      </c>
      <c r="W287" s="303"/>
      <c r="X287" s="324">
        <v>0</v>
      </c>
      <c r="Y287" s="325">
        <v>0</v>
      </c>
    </row>
    <row r="288" spans="5:25" x14ac:dyDescent="0.3">
      <c r="E288" s="250" t="s">
        <v>1215</v>
      </c>
      <c r="F288" s="317">
        <v>4300659</v>
      </c>
      <c r="G288" s="318"/>
      <c r="H288" s="319"/>
      <c r="I288" s="320"/>
      <c r="J288" s="337">
        <v>0</v>
      </c>
      <c r="K288" s="321">
        <v>0</v>
      </c>
      <c r="L288" s="321">
        <v>0</v>
      </c>
      <c r="M288" s="321">
        <v>0</v>
      </c>
      <c r="N288" s="321">
        <v>0</v>
      </c>
      <c r="O288" s="321">
        <v>0</v>
      </c>
      <c r="P288" s="321">
        <v>0</v>
      </c>
      <c r="Q288" s="321">
        <v>0</v>
      </c>
      <c r="R288" s="321">
        <v>0</v>
      </c>
      <c r="S288" s="321">
        <v>0</v>
      </c>
      <c r="T288" s="321">
        <v>0</v>
      </c>
      <c r="U288" s="322">
        <v>0</v>
      </c>
      <c r="V288" s="323">
        <v>0</v>
      </c>
      <c r="W288" s="303"/>
      <c r="X288" s="324">
        <v>0</v>
      </c>
      <c r="Y288" s="325">
        <v>0</v>
      </c>
    </row>
    <row r="289" spans="1:25" x14ac:dyDescent="0.3">
      <c r="E289" s="250" t="s">
        <v>1216</v>
      </c>
      <c r="F289" s="317">
        <v>4300681</v>
      </c>
      <c r="G289" s="318"/>
      <c r="H289" s="319"/>
      <c r="I289" s="320"/>
      <c r="J289" s="337">
        <v>1240.192</v>
      </c>
      <c r="K289" s="321">
        <v>1139.518</v>
      </c>
      <c r="L289" s="321">
        <v>-127.099</v>
      </c>
      <c r="M289" s="321">
        <v>38.090000000000003</v>
      </c>
      <c r="N289" s="321">
        <v>645.58100000000002</v>
      </c>
      <c r="O289" s="321">
        <v>645.58100000000002</v>
      </c>
      <c r="P289" s="321">
        <v>645.58100000000002</v>
      </c>
      <c r="Q289" s="321">
        <v>645.58100000000002</v>
      </c>
      <c r="R289" s="321">
        <v>404.7</v>
      </c>
      <c r="S289" s="321">
        <v>404.7</v>
      </c>
      <c r="T289" s="321">
        <v>404.7</v>
      </c>
      <c r="U289" s="322">
        <v>4807.5959999999995</v>
      </c>
      <c r="V289" s="323">
        <v>10894.721</v>
      </c>
      <c r="W289" s="303"/>
      <c r="X289" s="324">
        <v>4807.5959999999995</v>
      </c>
      <c r="Y289" s="325">
        <v>10894.721</v>
      </c>
    </row>
    <row r="290" spans="1:25" x14ac:dyDescent="0.3">
      <c r="E290" s="250" t="s">
        <v>1217</v>
      </c>
      <c r="F290" s="317">
        <v>4300682</v>
      </c>
      <c r="G290" s="318"/>
      <c r="H290" s="319"/>
      <c r="I290" s="320"/>
      <c r="J290" s="337">
        <v>0</v>
      </c>
      <c r="K290" s="321">
        <v>0</v>
      </c>
      <c r="L290" s="321">
        <v>0</v>
      </c>
      <c r="M290" s="321">
        <v>0</v>
      </c>
      <c r="N290" s="321">
        <v>0</v>
      </c>
      <c r="O290" s="321">
        <v>0</v>
      </c>
      <c r="P290" s="321">
        <v>0</v>
      </c>
      <c r="Q290" s="321">
        <v>0</v>
      </c>
      <c r="R290" s="321">
        <v>0</v>
      </c>
      <c r="S290" s="321">
        <v>0</v>
      </c>
      <c r="T290" s="321">
        <v>0</v>
      </c>
      <c r="U290" s="322">
        <v>0</v>
      </c>
      <c r="V290" s="323">
        <v>0</v>
      </c>
      <c r="W290" s="303"/>
      <c r="X290" s="324">
        <v>0</v>
      </c>
      <c r="Y290" s="325">
        <v>0</v>
      </c>
    </row>
    <row r="291" spans="1:25" x14ac:dyDescent="0.3">
      <c r="E291" s="250" t="s">
        <v>1218</v>
      </c>
      <c r="F291" s="317">
        <v>4300689</v>
      </c>
      <c r="G291" s="318"/>
      <c r="H291" s="319">
        <v>5101050123</v>
      </c>
      <c r="I291" s="320"/>
      <c r="J291" s="337">
        <v>0</v>
      </c>
      <c r="K291" s="321">
        <v>0</v>
      </c>
      <c r="L291" s="321">
        <v>0</v>
      </c>
      <c r="M291" s="321">
        <v>0</v>
      </c>
      <c r="N291" s="321">
        <v>0</v>
      </c>
      <c r="O291" s="321">
        <v>0</v>
      </c>
      <c r="P291" s="321">
        <v>0</v>
      </c>
      <c r="Q291" s="321">
        <v>0</v>
      </c>
      <c r="R291" s="321">
        <v>0</v>
      </c>
      <c r="S291" s="321">
        <v>0</v>
      </c>
      <c r="T291" s="321">
        <v>0</v>
      </c>
      <c r="U291" s="322">
        <v>4102.38</v>
      </c>
      <c r="V291" s="323">
        <v>4102.38</v>
      </c>
      <c r="W291" s="303"/>
      <c r="X291" s="324">
        <v>4102.38</v>
      </c>
      <c r="Y291" s="325">
        <v>4102.38</v>
      </c>
    </row>
    <row r="292" spans="1:25" x14ac:dyDescent="0.3">
      <c r="E292" s="250" t="s">
        <v>1219</v>
      </c>
      <c r="F292" s="317">
        <v>4300691</v>
      </c>
      <c r="G292" s="318"/>
      <c r="H292" s="319"/>
      <c r="I292" s="320"/>
      <c r="J292" s="337">
        <v>0</v>
      </c>
      <c r="K292" s="321">
        <v>0</v>
      </c>
      <c r="L292" s="321">
        <v>0</v>
      </c>
      <c r="M292" s="321">
        <v>0</v>
      </c>
      <c r="N292" s="321">
        <v>0</v>
      </c>
      <c r="O292" s="321">
        <v>0</v>
      </c>
      <c r="P292" s="321">
        <v>0</v>
      </c>
      <c r="Q292" s="321">
        <v>0</v>
      </c>
      <c r="R292" s="321">
        <v>0</v>
      </c>
      <c r="S292" s="321">
        <v>0</v>
      </c>
      <c r="T292" s="321">
        <v>0</v>
      </c>
      <c r="U292" s="322">
        <v>0</v>
      </c>
      <c r="V292" s="323">
        <v>0</v>
      </c>
      <c r="W292" s="303"/>
      <c r="X292" s="324">
        <v>0</v>
      </c>
      <c r="Y292" s="325">
        <v>0</v>
      </c>
    </row>
    <row r="293" spans="1:25" x14ac:dyDescent="0.3">
      <c r="E293" s="250" t="s">
        <v>1220</v>
      </c>
      <c r="F293" s="317">
        <v>4300698</v>
      </c>
      <c r="G293" s="318"/>
      <c r="H293" s="319"/>
      <c r="I293" s="320"/>
      <c r="J293" s="337">
        <v>0</v>
      </c>
      <c r="K293" s="321">
        <v>0</v>
      </c>
      <c r="L293" s="321">
        <v>0</v>
      </c>
      <c r="M293" s="321">
        <v>0</v>
      </c>
      <c r="N293" s="321">
        <v>0</v>
      </c>
      <c r="O293" s="321">
        <v>0</v>
      </c>
      <c r="P293" s="321">
        <v>0</v>
      </c>
      <c r="Q293" s="321">
        <v>0</v>
      </c>
      <c r="R293" s="321">
        <v>0</v>
      </c>
      <c r="S293" s="321">
        <v>0</v>
      </c>
      <c r="T293" s="321">
        <v>0</v>
      </c>
      <c r="U293" s="322">
        <v>0</v>
      </c>
      <c r="V293" s="323">
        <v>0</v>
      </c>
      <c r="W293" s="303"/>
      <c r="X293" s="324">
        <v>0</v>
      </c>
      <c r="Y293" s="325">
        <v>0</v>
      </c>
    </row>
    <row r="294" spans="1:25" x14ac:dyDescent="0.3">
      <c r="E294" s="250" t="s">
        <v>1221</v>
      </c>
      <c r="F294" s="317">
        <v>4300699</v>
      </c>
      <c r="G294" s="318"/>
      <c r="H294" s="319"/>
      <c r="I294" s="320"/>
      <c r="J294" s="337">
        <v>0</v>
      </c>
      <c r="K294" s="321">
        <v>0</v>
      </c>
      <c r="L294" s="321">
        <v>0</v>
      </c>
      <c r="M294" s="321">
        <v>0</v>
      </c>
      <c r="N294" s="321">
        <v>0</v>
      </c>
      <c r="O294" s="321">
        <v>0</v>
      </c>
      <c r="P294" s="321">
        <v>0</v>
      </c>
      <c r="Q294" s="321">
        <v>0</v>
      </c>
      <c r="R294" s="321">
        <v>0</v>
      </c>
      <c r="S294" s="321">
        <v>0</v>
      </c>
      <c r="T294" s="321">
        <v>0</v>
      </c>
      <c r="U294" s="322">
        <v>0</v>
      </c>
      <c r="V294" s="323">
        <v>0</v>
      </c>
      <c r="W294" s="303"/>
      <c r="X294" s="324">
        <v>0</v>
      </c>
      <c r="Y294" s="325">
        <v>0</v>
      </c>
    </row>
    <row r="295" spans="1:25" x14ac:dyDescent="0.3">
      <c r="A295" s="350"/>
      <c r="B295" s="350"/>
      <c r="C295" s="350"/>
      <c r="D295" s="350"/>
      <c r="E295" s="326" t="s">
        <v>1222</v>
      </c>
      <c r="F295" s="306"/>
      <c r="G295" s="307"/>
      <c r="H295" s="308"/>
      <c r="I295" s="309"/>
      <c r="J295" s="310">
        <v>0</v>
      </c>
      <c r="K295" s="311">
        <v>0</v>
      </c>
      <c r="L295" s="311">
        <v>0</v>
      </c>
      <c r="M295" s="311">
        <v>0</v>
      </c>
      <c r="N295" s="311">
        <v>0</v>
      </c>
      <c r="O295" s="311">
        <v>0</v>
      </c>
      <c r="P295" s="311">
        <v>0</v>
      </c>
      <c r="Q295" s="311">
        <v>0</v>
      </c>
      <c r="R295" s="311">
        <v>0</v>
      </c>
      <c r="S295" s="311">
        <v>0</v>
      </c>
      <c r="T295" s="311">
        <v>0</v>
      </c>
      <c r="U295" s="312">
        <v>0</v>
      </c>
      <c r="V295" s="313">
        <v>0</v>
      </c>
      <c r="W295" s="314"/>
      <c r="X295" s="315">
        <v>0</v>
      </c>
      <c r="Y295" s="316">
        <v>0</v>
      </c>
    </row>
    <row r="296" spans="1:25" x14ac:dyDescent="0.3">
      <c r="A296" s="361"/>
      <c r="B296" s="361"/>
      <c r="C296" s="361"/>
      <c r="D296" s="361"/>
      <c r="E296" s="326" t="s">
        <v>1223</v>
      </c>
      <c r="F296" s="351"/>
      <c r="G296" s="352"/>
      <c r="H296" s="353"/>
      <c r="I296" s="354"/>
      <c r="J296" s="362">
        <v>0</v>
      </c>
      <c r="K296" s="355">
        <v>0</v>
      </c>
      <c r="L296" s="355">
        <v>0</v>
      </c>
      <c r="M296" s="355">
        <v>0</v>
      </c>
      <c r="N296" s="355">
        <v>0</v>
      </c>
      <c r="O296" s="355">
        <v>0</v>
      </c>
      <c r="P296" s="355">
        <v>0</v>
      </c>
      <c r="Q296" s="355">
        <v>0</v>
      </c>
      <c r="R296" s="355">
        <v>0</v>
      </c>
      <c r="S296" s="355">
        <v>0</v>
      </c>
      <c r="T296" s="355">
        <v>0</v>
      </c>
      <c r="U296" s="356">
        <v>0</v>
      </c>
      <c r="V296" s="357">
        <v>0</v>
      </c>
      <c r="W296" s="358"/>
      <c r="X296" s="359">
        <v>0</v>
      </c>
      <c r="Y296" s="360">
        <v>0</v>
      </c>
    </row>
    <row r="297" spans="1:25" x14ac:dyDescent="0.3">
      <c r="A297" s="361"/>
      <c r="B297" s="361"/>
      <c r="C297" s="361"/>
      <c r="D297" s="361"/>
      <c r="E297" s="326" t="s">
        <v>1224</v>
      </c>
      <c r="F297" s="351"/>
      <c r="G297" s="352"/>
      <c r="H297" s="353"/>
      <c r="I297" s="354"/>
      <c r="J297" s="362">
        <v>0</v>
      </c>
      <c r="K297" s="355">
        <v>0</v>
      </c>
      <c r="L297" s="355">
        <v>0</v>
      </c>
      <c r="M297" s="355">
        <v>0</v>
      </c>
      <c r="N297" s="355">
        <v>0</v>
      </c>
      <c r="O297" s="355">
        <v>0</v>
      </c>
      <c r="P297" s="355">
        <v>0</v>
      </c>
      <c r="Q297" s="355">
        <v>0</v>
      </c>
      <c r="R297" s="355">
        <v>0</v>
      </c>
      <c r="S297" s="355">
        <v>0</v>
      </c>
      <c r="T297" s="355">
        <v>0</v>
      </c>
      <c r="U297" s="356">
        <v>0</v>
      </c>
      <c r="V297" s="357">
        <v>0</v>
      </c>
      <c r="W297" s="358"/>
      <c r="X297" s="359">
        <v>0</v>
      </c>
      <c r="Y297" s="360">
        <v>0</v>
      </c>
    </row>
    <row r="298" spans="1:25" x14ac:dyDescent="0.3">
      <c r="A298" s="3"/>
      <c r="B298" s="240" t="s">
        <v>69</v>
      </c>
      <c r="C298" s="3"/>
      <c r="D298" s="363" t="s">
        <v>1225</v>
      </c>
      <c r="E298" s="364"/>
      <c r="F298" s="365"/>
      <c r="G298" s="366"/>
      <c r="H298" s="367"/>
      <c r="I298" s="368"/>
      <c r="J298" s="369">
        <v>1522.5900000000001</v>
      </c>
      <c r="K298" s="370">
        <v>10257.912999999999</v>
      </c>
      <c r="L298" s="370">
        <v>16693.095999999998</v>
      </c>
      <c r="M298" s="370">
        <v>6066.8220000000001</v>
      </c>
      <c r="N298" s="370">
        <v>5751.9549999999999</v>
      </c>
      <c r="O298" s="370">
        <v>4991.8780000000006</v>
      </c>
      <c r="P298" s="370">
        <v>3838.7920000000004</v>
      </c>
      <c r="Q298" s="370">
        <v>3178.7930000000001</v>
      </c>
      <c r="R298" s="370">
        <v>1822.472</v>
      </c>
      <c r="S298" s="370">
        <v>1603.1880000000001</v>
      </c>
      <c r="T298" s="370">
        <v>1816.251</v>
      </c>
      <c r="U298" s="371">
        <v>1382.3059999999998</v>
      </c>
      <c r="V298" s="372">
        <v>58926.056000000011</v>
      </c>
      <c r="W298" s="277"/>
      <c r="X298" s="373">
        <v>1382.3059999999998</v>
      </c>
      <c r="Y298" s="374">
        <v>58926.056000000011</v>
      </c>
    </row>
    <row r="299" spans="1:25" x14ac:dyDescent="0.3">
      <c r="A299" s="233"/>
      <c r="B299" s="234" t="s">
        <v>31</v>
      </c>
      <c r="D299" s="293" t="s">
        <v>1226</v>
      </c>
      <c r="E299" s="294"/>
      <c r="F299" s="295" t="s">
        <v>1227</v>
      </c>
      <c r="G299" s="296"/>
      <c r="H299" s="297"/>
      <c r="I299" s="298"/>
      <c r="J299" s="299">
        <v>0</v>
      </c>
      <c r="K299" s="300">
        <v>0</v>
      </c>
      <c r="L299" s="300">
        <v>0</v>
      </c>
      <c r="M299" s="300">
        <v>0</v>
      </c>
      <c r="N299" s="300">
        <v>0</v>
      </c>
      <c r="O299" s="300">
        <v>0</v>
      </c>
      <c r="P299" s="300">
        <v>0</v>
      </c>
      <c r="Q299" s="300">
        <v>0</v>
      </c>
      <c r="R299" s="300">
        <v>0</v>
      </c>
      <c r="S299" s="300">
        <v>0</v>
      </c>
      <c r="T299" s="300">
        <v>0</v>
      </c>
      <c r="U299" s="301">
        <v>0</v>
      </c>
      <c r="V299" s="302">
        <v>0</v>
      </c>
      <c r="W299" s="303"/>
      <c r="X299" s="304">
        <v>0</v>
      </c>
      <c r="Y299" s="305">
        <v>0</v>
      </c>
    </row>
    <row r="300" spans="1:25" x14ac:dyDescent="0.3">
      <c r="E300" s="250" t="s">
        <v>1228</v>
      </c>
      <c r="F300" s="317">
        <v>4305001</v>
      </c>
      <c r="G300" s="318"/>
      <c r="H300" s="319">
        <v>5101070101</v>
      </c>
      <c r="I300" s="320"/>
      <c r="J300" s="337">
        <v>0</v>
      </c>
      <c r="K300" s="321">
        <v>0</v>
      </c>
      <c r="L300" s="321">
        <v>0</v>
      </c>
      <c r="M300" s="321">
        <v>0</v>
      </c>
      <c r="N300" s="321">
        <v>0</v>
      </c>
      <c r="O300" s="321">
        <v>0</v>
      </c>
      <c r="P300" s="321">
        <v>0</v>
      </c>
      <c r="Q300" s="321">
        <v>0</v>
      </c>
      <c r="R300" s="321">
        <v>0</v>
      </c>
      <c r="S300" s="321">
        <v>0</v>
      </c>
      <c r="T300" s="321">
        <v>0</v>
      </c>
      <c r="U300" s="322">
        <v>0</v>
      </c>
      <c r="V300" s="323">
        <v>0</v>
      </c>
      <c r="W300" s="303"/>
      <c r="X300" s="324">
        <v>0</v>
      </c>
      <c r="Y300" s="325">
        <v>0</v>
      </c>
    </row>
    <row r="301" spans="1:25" x14ac:dyDescent="0.3">
      <c r="E301" s="250" t="s">
        <v>1229</v>
      </c>
      <c r="F301" s="317">
        <v>4305002</v>
      </c>
      <c r="G301" s="318"/>
      <c r="H301" s="319"/>
      <c r="I301" s="320"/>
      <c r="J301" s="337">
        <v>0</v>
      </c>
      <c r="K301" s="321">
        <v>0</v>
      </c>
      <c r="L301" s="321">
        <v>0</v>
      </c>
      <c r="M301" s="321">
        <v>0</v>
      </c>
      <c r="N301" s="321">
        <v>0</v>
      </c>
      <c r="O301" s="321">
        <v>0</v>
      </c>
      <c r="P301" s="321">
        <v>0</v>
      </c>
      <c r="Q301" s="321">
        <v>0</v>
      </c>
      <c r="R301" s="321">
        <v>0</v>
      </c>
      <c r="S301" s="321">
        <v>0</v>
      </c>
      <c r="T301" s="321">
        <v>0</v>
      </c>
      <c r="U301" s="322">
        <v>0</v>
      </c>
      <c r="V301" s="323">
        <v>0</v>
      </c>
      <c r="W301" s="303"/>
      <c r="X301" s="324">
        <v>0</v>
      </c>
      <c r="Y301" s="325">
        <v>0</v>
      </c>
    </row>
    <row r="302" spans="1:25" x14ac:dyDescent="0.3">
      <c r="E302" s="250" t="s">
        <v>1230</v>
      </c>
      <c r="F302" s="317">
        <v>4305003</v>
      </c>
      <c r="G302" s="318"/>
      <c r="H302" s="319">
        <v>5101070103</v>
      </c>
      <c r="I302" s="320"/>
      <c r="J302" s="337">
        <v>0</v>
      </c>
      <c r="K302" s="321">
        <v>0</v>
      </c>
      <c r="L302" s="321">
        <v>0</v>
      </c>
      <c r="M302" s="321">
        <v>0</v>
      </c>
      <c r="N302" s="321">
        <v>0</v>
      </c>
      <c r="O302" s="321">
        <v>0</v>
      </c>
      <c r="P302" s="321">
        <v>0</v>
      </c>
      <c r="Q302" s="321">
        <v>0</v>
      </c>
      <c r="R302" s="321">
        <v>0</v>
      </c>
      <c r="S302" s="321">
        <v>0</v>
      </c>
      <c r="T302" s="321">
        <v>0</v>
      </c>
      <c r="U302" s="322">
        <v>0</v>
      </c>
      <c r="V302" s="323">
        <v>0</v>
      </c>
      <c r="W302" s="303"/>
      <c r="X302" s="324">
        <v>0</v>
      </c>
      <c r="Y302" s="325">
        <v>0</v>
      </c>
    </row>
    <row r="303" spans="1:25" x14ac:dyDescent="0.3">
      <c r="E303" s="250" t="s">
        <v>1231</v>
      </c>
      <c r="F303" s="317">
        <v>4305004</v>
      </c>
      <c r="G303" s="318"/>
      <c r="H303" s="319"/>
      <c r="I303" s="320"/>
      <c r="J303" s="337">
        <v>0</v>
      </c>
      <c r="K303" s="321">
        <v>0</v>
      </c>
      <c r="L303" s="321">
        <v>0</v>
      </c>
      <c r="M303" s="321">
        <v>0</v>
      </c>
      <c r="N303" s="321">
        <v>0</v>
      </c>
      <c r="O303" s="321">
        <v>0</v>
      </c>
      <c r="P303" s="321">
        <v>0</v>
      </c>
      <c r="Q303" s="321">
        <v>0</v>
      </c>
      <c r="R303" s="321">
        <v>0</v>
      </c>
      <c r="S303" s="321">
        <v>0</v>
      </c>
      <c r="T303" s="321">
        <v>0</v>
      </c>
      <c r="U303" s="322">
        <v>0</v>
      </c>
      <c r="V303" s="323">
        <v>0</v>
      </c>
      <c r="W303" s="303"/>
      <c r="X303" s="324">
        <v>0</v>
      </c>
      <c r="Y303" s="325">
        <v>0</v>
      </c>
    </row>
    <row r="304" spans="1:25" x14ac:dyDescent="0.3">
      <c r="E304" s="250" t="s">
        <v>1232</v>
      </c>
      <c r="F304" s="317">
        <v>4305005</v>
      </c>
      <c r="G304" s="318"/>
      <c r="H304" s="319">
        <v>5101070105</v>
      </c>
      <c r="I304" s="320"/>
      <c r="J304" s="337">
        <v>0</v>
      </c>
      <c r="K304" s="321">
        <v>0</v>
      </c>
      <c r="L304" s="321">
        <v>0</v>
      </c>
      <c r="M304" s="321">
        <v>0</v>
      </c>
      <c r="N304" s="321">
        <v>0</v>
      </c>
      <c r="O304" s="321">
        <v>0</v>
      </c>
      <c r="P304" s="321">
        <v>0</v>
      </c>
      <c r="Q304" s="321">
        <v>0</v>
      </c>
      <c r="R304" s="321">
        <v>0</v>
      </c>
      <c r="S304" s="321">
        <v>0</v>
      </c>
      <c r="T304" s="321">
        <v>0</v>
      </c>
      <c r="U304" s="322">
        <v>0</v>
      </c>
      <c r="V304" s="323">
        <v>0</v>
      </c>
      <c r="W304" s="303"/>
      <c r="X304" s="324">
        <v>0</v>
      </c>
      <c r="Y304" s="325">
        <v>0</v>
      </c>
    </row>
    <row r="305" spans="1:25" x14ac:dyDescent="0.3">
      <c r="E305" s="250" t="s">
        <v>1233</v>
      </c>
      <c r="F305" s="317">
        <v>4305006</v>
      </c>
      <c r="G305" s="318"/>
      <c r="H305" s="319">
        <v>5101070199</v>
      </c>
      <c r="I305" s="320"/>
      <c r="J305" s="337">
        <v>0</v>
      </c>
      <c r="K305" s="321">
        <v>0</v>
      </c>
      <c r="L305" s="321">
        <v>0</v>
      </c>
      <c r="M305" s="321">
        <v>0</v>
      </c>
      <c r="N305" s="321">
        <v>0</v>
      </c>
      <c r="O305" s="321">
        <v>0</v>
      </c>
      <c r="P305" s="321">
        <v>0</v>
      </c>
      <c r="Q305" s="321">
        <v>0</v>
      </c>
      <c r="R305" s="321">
        <v>0</v>
      </c>
      <c r="S305" s="321">
        <v>0</v>
      </c>
      <c r="T305" s="321">
        <v>0</v>
      </c>
      <c r="U305" s="322">
        <v>0</v>
      </c>
      <c r="V305" s="323">
        <v>0</v>
      </c>
      <c r="W305" s="303"/>
      <c r="X305" s="324">
        <v>0</v>
      </c>
      <c r="Y305" s="325">
        <v>0</v>
      </c>
    </row>
    <row r="306" spans="1:25" x14ac:dyDescent="0.3">
      <c r="E306" s="250" t="s">
        <v>1234</v>
      </c>
      <c r="F306" s="317">
        <v>4305010</v>
      </c>
      <c r="G306" s="318"/>
      <c r="H306" s="319">
        <v>5101070107</v>
      </c>
      <c r="I306" s="320"/>
      <c r="J306" s="337">
        <v>0</v>
      </c>
      <c r="K306" s="321">
        <v>0</v>
      </c>
      <c r="L306" s="321">
        <v>0</v>
      </c>
      <c r="M306" s="321">
        <v>0</v>
      </c>
      <c r="N306" s="321">
        <v>0</v>
      </c>
      <c r="O306" s="321">
        <v>0</v>
      </c>
      <c r="P306" s="321">
        <v>0</v>
      </c>
      <c r="Q306" s="321">
        <v>0</v>
      </c>
      <c r="R306" s="321">
        <v>0</v>
      </c>
      <c r="S306" s="321">
        <v>0</v>
      </c>
      <c r="T306" s="321">
        <v>0</v>
      </c>
      <c r="U306" s="322">
        <v>0</v>
      </c>
      <c r="V306" s="323">
        <v>0</v>
      </c>
      <c r="W306" s="303"/>
      <c r="X306" s="324">
        <v>0</v>
      </c>
      <c r="Y306" s="325">
        <v>0</v>
      </c>
    </row>
    <row r="307" spans="1:25" x14ac:dyDescent="0.3">
      <c r="E307" s="250" t="s">
        <v>1235</v>
      </c>
      <c r="F307" s="317">
        <v>4305013</v>
      </c>
      <c r="G307" s="318"/>
      <c r="H307" s="319">
        <v>5101070111</v>
      </c>
      <c r="I307" s="320"/>
      <c r="J307" s="337">
        <v>0</v>
      </c>
      <c r="K307" s="321">
        <v>0</v>
      </c>
      <c r="L307" s="321">
        <v>0</v>
      </c>
      <c r="M307" s="321">
        <v>0</v>
      </c>
      <c r="N307" s="321">
        <v>0</v>
      </c>
      <c r="O307" s="321">
        <v>0</v>
      </c>
      <c r="P307" s="321">
        <v>0</v>
      </c>
      <c r="Q307" s="321">
        <v>0</v>
      </c>
      <c r="R307" s="321">
        <v>0</v>
      </c>
      <c r="S307" s="321">
        <v>0</v>
      </c>
      <c r="T307" s="321">
        <v>0</v>
      </c>
      <c r="U307" s="322">
        <v>0</v>
      </c>
      <c r="V307" s="323">
        <v>0</v>
      </c>
      <c r="W307" s="303"/>
      <c r="X307" s="324">
        <v>0</v>
      </c>
      <c r="Y307" s="325">
        <v>0</v>
      </c>
    </row>
    <row r="308" spans="1:25" x14ac:dyDescent="0.3">
      <c r="E308" s="250" t="s">
        <v>1236</v>
      </c>
      <c r="F308" s="317">
        <v>4305014</v>
      </c>
      <c r="G308" s="318"/>
      <c r="H308" s="319">
        <v>5101070113</v>
      </c>
      <c r="I308" s="320"/>
      <c r="J308" s="337">
        <v>0</v>
      </c>
      <c r="K308" s="321">
        <v>0</v>
      </c>
      <c r="L308" s="321">
        <v>0</v>
      </c>
      <c r="M308" s="321">
        <v>0</v>
      </c>
      <c r="N308" s="321">
        <v>0</v>
      </c>
      <c r="O308" s="321">
        <v>0</v>
      </c>
      <c r="P308" s="321">
        <v>0</v>
      </c>
      <c r="Q308" s="321">
        <v>0</v>
      </c>
      <c r="R308" s="321">
        <v>0</v>
      </c>
      <c r="S308" s="321">
        <v>0</v>
      </c>
      <c r="T308" s="321">
        <v>0</v>
      </c>
      <c r="U308" s="322">
        <v>0</v>
      </c>
      <c r="V308" s="323">
        <v>0</v>
      </c>
      <c r="W308" s="303"/>
      <c r="X308" s="324">
        <v>0</v>
      </c>
      <c r="Y308" s="325">
        <v>0</v>
      </c>
    </row>
    <row r="309" spans="1:25" x14ac:dyDescent="0.3">
      <c r="E309" s="250" t="s">
        <v>1237</v>
      </c>
      <c r="F309" s="317">
        <v>4305015</v>
      </c>
      <c r="G309" s="318"/>
      <c r="H309" s="319"/>
      <c r="I309" s="320"/>
      <c r="J309" s="337">
        <v>0</v>
      </c>
      <c r="K309" s="321">
        <v>0</v>
      </c>
      <c r="L309" s="321">
        <v>0</v>
      </c>
      <c r="M309" s="321">
        <v>0</v>
      </c>
      <c r="N309" s="321">
        <v>0</v>
      </c>
      <c r="O309" s="321">
        <v>0</v>
      </c>
      <c r="P309" s="321">
        <v>0</v>
      </c>
      <c r="Q309" s="321">
        <v>0</v>
      </c>
      <c r="R309" s="321">
        <v>0</v>
      </c>
      <c r="S309" s="321">
        <v>0</v>
      </c>
      <c r="T309" s="321">
        <v>0</v>
      </c>
      <c r="U309" s="322">
        <v>0</v>
      </c>
      <c r="V309" s="323">
        <v>0</v>
      </c>
      <c r="W309" s="303"/>
      <c r="X309" s="324">
        <v>0</v>
      </c>
      <c r="Y309" s="325">
        <v>0</v>
      </c>
    </row>
    <row r="310" spans="1:25" x14ac:dyDescent="0.3">
      <c r="E310" s="250" t="s">
        <v>1238</v>
      </c>
      <c r="F310" s="317">
        <v>4305016</v>
      </c>
      <c r="G310" s="318"/>
      <c r="H310" s="319">
        <v>5101070115</v>
      </c>
      <c r="I310" s="320"/>
      <c r="J310" s="337">
        <v>0</v>
      </c>
      <c r="K310" s="321">
        <v>0</v>
      </c>
      <c r="L310" s="321">
        <v>0</v>
      </c>
      <c r="M310" s="321">
        <v>0</v>
      </c>
      <c r="N310" s="321">
        <v>0</v>
      </c>
      <c r="O310" s="321">
        <v>0</v>
      </c>
      <c r="P310" s="321">
        <v>0</v>
      </c>
      <c r="Q310" s="321">
        <v>0</v>
      </c>
      <c r="R310" s="321">
        <v>0</v>
      </c>
      <c r="S310" s="321">
        <v>0</v>
      </c>
      <c r="T310" s="321">
        <v>0</v>
      </c>
      <c r="U310" s="322">
        <v>0</v>
      </c>
      <c r="V310" s="323">
        <v>0</v>
      </c>
      <c r="W310" s="303"/>
      <c r="X310" s="324">
        <v>0</v>
      </c>
      <c r="Y310" s="325">
        <v>0</v>
      </c>
    </row>
    <row r="311" spans="1:25" x14ac:dyDescent="0.3">
      <c r="E311" s="250" t="s">
        <v>1239</v>
      </c>
      <c r="F311" s="317">
        <v>4305017</v>
      </c>
      <c r="G311" s="318"/>
      <c r="H311" s="319"/>
      <c r="I311" s="320"/>
      <c r="J311" s="337">
        <v>0</v>
      </c>
      <c r="K311" s="321">
        <v>0</v>
      </c>
      <c r="L311" s="321">
        <v>0</v>
      </c>
      <c r="M311" s="321">
        <v>0</v>
      </c>
      <c r="N311" s="321">
        <v>0</v>
      </c>
      <c r="O311" s="321">
        <v>0</v>
      </c>
      <c r="P311" s="321">
        <v>0</v>
      </c>
      <c r="Q311" s="321">
        <v>0</v>
      </c>
      <c r="R311" s="321">
        <v>0</v>
      </c>
      <c r="S311" s="321">
        <v>0</v>
      </c>
      <c r="T311" s="321">
        <v>0</v>
      </c>
      <c r="U311" s="322">
        <v>0</v>
      </c>
      <c r="V311" s="323">
        <v>0</v>
      </c>
      <c r="W311" s="303"/>
      <c r="X311" s="324">
        <v>0</v>
      </c>
      <c r="Y311" s="325">
        <v>0</v>
      </c>
    </row>
    <row r="312" spans="1:25" x14ac:dyDescent="0.3">
      <c r="E312" s="250" t="s">
        <v>1240</v>
      </c>
      <c r="F312" s="317">
        <v>4305018</v>
      </c>
      <c r="G312" s="318"/>
      <c r="H312" s="319"/>
      <c r="I312" s="320"/>
      <c r="J312" s="337">
        <v>0</v>
      </c>
      <c r="K312" s="321">
        <v>0</v>
      </c>
      <c r="L312" s="321">
        <v>0</v>
      </c>
      <c r="M312" s="321">
        <v>0</v>
      </c>
      <c r="N312" s="321">
        <v>0</v>
      </c>
      <c r="O312" s="321">
        <v>0</v>
      </c>
      <c r="P312" s="321">
        <v>0</v>
      </c>
      <c r="Q312" s="321">
        <v>0</v>
      </c>
      <c r="R312" s="321">
        <v>0</v>
      </c>
      <c r="S312" s="321">
        <v>0</v>
      </c>
      <c r="T312" s="321">
        <v>0</v>
      </c>
      <c r="U312" s="322">
        <v>0</v>
      </c>
      <c r="V312" s="323">
        <v>0</v>
      </c>
      <c r="W312" s="303"/>
      <c r="X312" s="324">
        <v>0</v>
      </c>
      <c r="Y312" s="325">
        <v>0</v>
      </c>
    </row>
    <row r="313" spans="1:25" x14ac:dyDescent="0.3">
      <c r="E313" s="250" t="s">
        <v>1241</v>
      </c>
      <c r="F313" s="317">
        <v>4305099</v>
      </c>
      <c r="G313" s="318"/>
      <c r="H313" s="319">
        <v>5101070109</v>
      </c>
      <c r="I313" s="320"/>
      <c r="J313" s="337">
        <v>0</v>
      </c>
      <c r="K313" s="321">
        <v>0</v>
      </c>
      <c r="L313" s="321">
        <v>0</v>
      </c>
      <c r="M313" s="321">
        <v>0</v>
      </c>
      <c r="N313" s="321">
        <v>0</v>
      </c>
      <c r="O313" s="321">
        <v>0</v>
      </c>
      <c r="P313" s="321">
        <v>0</v>
      </c>
      <c r="Q313" s="321">
        <v>0</v>
      </c>
      <c r="R313" s="321">
        <v>0</v>
      </c>
      <c r="S313" s="321">
        <v>0</v>
      </c>
      <c r="T313" s="321">
        <v>0</v>
      </c>
      <c r="U313" s="322">
        <v>0</v>
      </c>
      <c r="V313" s="323">
        <v>0</v>
      </c>
      <c r="W313" s="303"/>
      <c r="X313" s="324">
        <v>0</v>
      </c>
      <c r="Y313" s="325">
        <v>0</v>
      </c>
    </row>
    <row r="314" spans="1:25" x14ac:dyDescent="0.3">
      <c r="A314" s="361"/>
      <c r="B314" s="361"/>
      <c r="C314" s="361"/>
      <c r="D314" s="361"/>
      <c r="E314" s="350" t="s">
        <v>1242</v>
      </c>
      <c r="F314" s="306">
        <v>4305011</v>
      </c>
      <c r="G314" s="307"/>
      <c r="H314" s="308"/>
      <c r="I314" s="309"/>
      <c r="J314" s="310">
        <v>0</v>
      </c>
      <c r="K314" s="311">
        <v>0</v>
      </c>
      <c r="L314" s="311">
        <v>0</v>
      </c>
      <c r="M314" s="311">
        <v>0</v>
      </c>
      <c r="N314" s="311">
        <v>0</v>
      </c>
      <c r="O314" s="311">
        <v>0</v>
      </c>
      <c r="P314" s="311">
        <v>0</v>
      </c>
      <c r="Q314" s="311">
        <v>0</v>
      </c>
      <c r="R314" s="311">
        <v>0</v>
      </c>
      <c r="S314" s="311">
        <v>0</v>
      </c>
      <c r="T314" s="311">
        <v>0</v>
      </c>
      <c r="U314" s="312">
        <v>0</v>
      </c>
      <c r="V314" s="313">
        <v>0</v>
      </c>
      <c r="W314" s="314"/>
      <c r="X314" s="315">
        <v>0</v>
      </c>
      <c r="Y314" s="316">
        <v>0</v>
      </c>
    </row>
    <row r="315" spans="1:25" x14ac:dyDescent="0.3">
      <c r="A315" s="361"/>
      <c r="B315" s="361"/>
      <c r="C315" s="361"/>
      <c r="D315" s="361"/>
      <c r="E315" s="326" t="s">
        <v>1243</v>
      </c>
      <c r="F315" s="351"/>
      <c r="G315" s="352"/>
      <c r="H315" s="353"/>
      <c r="I315" s="354"/>
      <c r="J315" s="362">
        <v>0</v>
      </c>
      <c r="K315" s="355">
        <v>0</v>
      </c>
      <c r="L315" s="355">
        <v>0</v>
      </c>
      <c r="M315" s="355">
        <v>0</v>
      </c>
      <c r="N315" s="355">
        <v>0</v>
      </c>
      <c r="O315" s="355">
        <v>0</v>
      </c>
      <c r="P315" s="355">
        <v>0</v>
      </c>
      <c r="Q315" s="355">
        <v>0</v>
      </c>
      <c r="R315" s="355">
        <v>0</v>
      </c>
      <c r="S315" s="355">
        <v>0</v>
      </c>
      <c r="T315" s="355">
        <v>0</v>
      </c>
      <c r="U315" s="356">
        <v>0</v>
      </c>
      <c r="V315" s="357">
        <v>0</v>
      </c>
      <c r="W315" s="358"/>
      <c r="X315" s="359">
        <v>0</v>
      </c>
      <c r="Y315" s="360">
        <v>0</v>
      </c>
    </row>
    <row r="316" spans="1:25" x14ac:dyDescent="0.3">
      <c r="A316" s="361"/>
      <c r="B316" s="361"/>
      <c r="C316" s="361"/>
      <c r="D316" s="361"/>
      <c r="E316" s="326" t="s">
        <v>1244</v>
      </c>
      <c r="F316" s="351"/>
      <c r="G316" s="352"/>
      <c r="H316" s="353"/>
      <c r="I316" s="354"/>
      <c r="J316" s="362">
        <v>0</v>
      </c>
      <c r="K316" s="355">
        <v>0</v>
      </c>
      <c r="L316" s="355">
        <v>0</v>
      </c>
      <c r="M316" s="355">
        <v>0</v>
      </c>
      <c r="N316" s="355">
        <v>0</v>
      </c>
      <c r="O316" s="355">
        <v>0</v>
      </c>
      <c r="P316" s="355">
        <v>0</v>
      </c>
      <c r="Q316" s="355">
        <v>0</v>
      </c>
      <c r="R316" s="355">
        <v>0</v>
      </c>
      <c r="S316" s="355">
        <v>0</v>
      </c>
      <c r="T316" s="355">
        <v>0</v>
      </c>
      <c r="U316" s="356">
        <v>0</v>
      </c>
      <c r="V316" s="357">
        <v>0</v>
      </c>
      <c r="W316" s="358"/>
      <c r="X316" s="359">
        <v>0</v>
      </c>
      <c r="Y316" s="360">
        <v>0</v>
      </c>
    </row>
    <row r="317" spans="1:25" x14ac:dyDescent="0.3">
      <c r="A317" s="233"/>
      <c r="B317" s="234" t="s">
        <v>39</v>
      </c>
      <c r="D317" s="293" t="s">
        <v>1245</v>
      </c>
      <c r="E317" s="294"/>
      <c r="F317" s="295" t="s">
        <v>1246</v>
      </c>
      <c r="G317" s="296"/>
      <c r="H317" s="297"/>
      <c r="I317" s="298"/>
      <c r="J317" s="299">
        <v>0</v>
      </c>
      <c r="K317" s="300">
        <v>0</v>
      </c>
      <c r="L317" s="300">
        <v>0</v>
      </c>
      <c r="M317" s="300">
        <v>0</v>
      </c>
      <c r="N317" s="300">
        <v>0</v>
      </c>
      <c r="O317" s="300">
        <v>0</v>
      </c>
      <c r="P317" s="300">
        <v>0</v>
      </c>
      <c r="Q317" s="300">
        <v>0</v>
      </c>
      <c r="R317" s="300">
        <v>0</v>
      </c>
      <c r="S317" s="300">
        <v>0</v>
      </c>
      <c r="T317" s="300">
        <v>0</v>
      </c>
      <c r="U317" s="301">
        <v>0</v>
      </c>
      <c r="V317" s="302">
        <v>0</v>
      </c>
      <c r="W317" s="303"/>
      <c r="X317" s="304">
        <v>0</v>
      </c>
      <c r="Y317" s="305">
        <v>0</v>
      </c>
    </row>
    <row r="318" spans="1:25" x14ac:dyDescent="0.3">
      <c r="E318" s="250" t="s">
        <v>1247</v>
      </c>
      <c r="F318" s="317">
        <v>4307401</v>
      </c>
      <c r="G318" s="318"/>
      <c r="H318" s="319">
        <v>5101090101</v>
      </c>
      <c r="I318" s="320"/>
      <c r="J318" s="337">
        <v>0</v>
      </c>
      <c r="K318" s="321">
        <v>0</v>
      </c>
      <c r="L318" s="321">
        <v>0</v>
      </c>
      <c r="M318" s="321">
        <v>0</v>
      </c>
      <c r="N318" s="321">
        <v>0</v>
      </c>
      <c r="O318" s="321">
        <v>0</v>
      </c>
      <c r="P318" s="321">
        <v>0</v>
      </c>
      <c r="Q318" s="321">
        <v>0</v>
      </c>
      <c r="R318" s="321">
        <v>0</v>
      </c>
      <c r="S318" s="321">
        <v>0</v>
      </c>
      <c r="T318" s="321">
        <v>0</v>
      </c>
      <c r="U318" s="322">
        <v>0</v>
      </c>
      <c r="V318" s="323">
        <v>0</v>
      </c>
      <c r="W318" s="303"/>
      <c r="X318" s="324">
        <v>0</v>
      </c>
      <c r="Y318" s="325">
        <v>0</v>
      </c>
    </row>
    <row r="319" spans="1:25" x14ac:dyDescent="0.3">
      <c r="E319" s="250" t="s">
        <v>1248</v>
      </c>
      <c r="F319" s="317">
        <v>4307402</v>
      </c>
      <c r="G319" s="318"/>
      <c r="H319" s="319">
        <v>5101090103</v>
      </c>
      <c r="I319" s="320"/>
      <c r="J319" s="337">
        <v>0</v>
      </c>
      <c r="K319" s="321">
        <v>0</v>
      </c>
      <c r="L319" s="321">
        <v>0</v>
      </c>
      <c r="M319" s="321">
        <v>0</v>
      </c>
      <c r="N319" s="321">
        <v>0</v>
      </c>
      <c r="O319" s="321">
        <v>0</v>
      </c>
      <c r="P319" s="321">
        <v>0</v>
      </c>
      <c r="Q319" s="321">
        <v>0</v>
      </c>
      <c r="R319" s="321">
        <v>0</v>
      </c>
      <c r="S319" s="321">
        <v>0</v>
      </c>
      <c r="T319" s="321">
        <v>0</v>
      </c>
      <c r="U319" s="322">
        <v>0</v>
      </c>
      <c r="V319" s="323">
        <v>0</v>
      </c>
      <c r="W319" s="303"/>
      <c r="X319" s="324">
        <v>0</v>
      </c>
      <c r="Y319" s="325">
        <v>0</v>
      </c>
    </row>
    <row r="320" spans="1:25" x14ac:dyDescent="0.3">
      <c r="E320" s="250" t="s">
        <v>1249</v>
      </c>
      <c r="F320" s="317">
        <v>4307409</v>
      </c>
      <c r="G320" s="318"/>
      <c r="H320" s="319">
        <v>5101090199</v>
      </c>
      <c r="I320" s="320"/>
      <c r="J320" s="337">
        <v>0</v>
      </c>
      <c r="K320" s="321">
        <v>0</v>
      </c>
      <c r="L320" s="321">
        <v>0</v>
      </c>
      <c r="M320" s="321">
        <v>0</v>
      </c>
      <c r="N320" s="321">
        <v>0</v>
      </c>
      <c r="O320" s="321">
        <v>0</v>
      </c>
      <c r="P320" s="321">
        <v>0</v>
      </c>
      <c r="Q320" s="321">
        <v>0</v>
      </c>
      <c r="R320" s="321">
        <v>0</v>
      </c>
      <c r="S320" s="321">
        <v>0</v>
      </c>
      <c r="T320" s="321">
        <v>0</v>
      </c>
      <c r="U320" s="322">
        <v>0</v>
      </c>
      <c r="V320" s="323">
        <v>0</v>
      </c>
      <c r="W320" s="303"/>
      <c r="X320" s="324">
        <v>0</v>
      </c>
      <c r="Y320" s="325">
        <v>0</v>
      </c>
    </row>
    <row r="321" spans="1:25" x14ac:dyDescent="0.3">
      <c r="E321" s="250" t="s">
        <v>1250</v>
      </c>
      <c r="F321" s="317">
        <v>4307411</v>
      </c>
      <c r="G321" s="318"/>
      <c r="H321" s="319"/>
      <c r="I321" s="320"/>
      <c r="J321" s="337">
        <v>0</v>
      </c>
      <c r="K321" s="321">
        <v>0</v>
      </c>
      <c r="L321" s="321">
        <v>0</v>
      </c>
      <c r="M321" s="321">
        <v>0</v>
      </c>
      <c r="N321" s="321">
        <v>0</v>
      </c>
      <c r="O321" s="321">
        <v>0</v>
      </c>
      <c r="P321" s="321">
        <v>0</v>
      </c>
      <c r="Q321" s="321">
        <v>0</v>
      </c>
      <c r="R321" s="321">
        <v>0</v>
      </c>
      <c r="S321" s="321">
        <v>0</v>
      </c>
      <c r="T321" s="321">
        <v>0</v>
      </c>
      <c r="U321" s="322">
        <v>0</v>
      </c>
      <c r="V321" s="323">
        <v>0</v>
      </c>
      <c r="W321" s="303"/>
      <c r="X321" s="324">
        <v>0</v>
      </c>
      <c r="Y321" s="325">
        <v>0</v>
      </c>
    </row>
    <row r="322" spans="1:25" x14ac:dyDescent="0.3">
      <c r="A322" s="250"/>
      <c r="B322" s="250"/>
      <c r="C322" s="250"/>
      <c r="D322" s="250"/>
      <c r="E322" s="250" t="s">
        <v>1251</v>
      </c>
      <c r="F322" s="306">
        <v>4307412</v>
      </c>
      <c r="G322" s="307"/>
      <c r="H322" s="308"/>
      <c r="I322" s="309"/>
      <c r="J322" s="310">
        <v>0</v>
      </c>
      <c r="K322" s="311">
        <v>0</v>
      </c>
      <c r="L322" s="311">
        <v>0</v>
      </c>
      <c r="M322" s="311">
        <v>0</v>
      </c>
      <c r="N322" s="311">
        <v>0</v>
      </c>
      <c r="O322" s="311">
        <v>0</v>
      </c>
      <c r="P322" s="311">
        <v>0</v>
      </c>
      <c r="Q322" s="311">
        <v>0</v>
      </c>
      <c r="R322" s="311">
        <v>0</v>
      </c>
      <c r="S322" s="311">
        <v>0</v>
      </c>
      <c r="T322" s="311">
        <v>0</v>
      </c>
      <c r="U322" s="312">
        <v>0</v>
      </c>
      <c r="V322" s="313">
        <v>0</v>
      </c>
      <c r="W322" s="314"/>
      <c r="X322" s="315">
        <v>0</v>
      </c>
      <c r="Y322" s="316">
        <v>0</v>
      </c>
    </row>
    <row r="323" spans="1:25" x14ac:dyDescent="0.3">
      <c r="A323" s="326"/>
      <c r="B323" s="326"/>
      <c r="C323" s="326"/>
      <c r="D323" s="326"/>
      <c r="E323" s="326" t="s">
        <v>1252</v>
      </c>
      <c r="F323" s="336"/>
      <c r="G323" s="327"/>
      <c r="H323" s="328"/>
      <c r="I323" s="329"/>
      <c r="J323" s="338">
        <v>0</v>
      </c>
      <c r="K323" s="330">
        <v>0</v>
      </c>
      <c r="L323" s="330">
        <v>0</v>
      </c>
      <c r="M323" s="330">
        <v>0</v>
      </c>
      <c r="N323" s="330">
        <v>0</v>
      </c>
      <c r="O323" s="330">
        <v>0</v>
      </c>
      <c r="P323" s="330">
        <v>0</v>
      </c>
      <c r="Q323" s="330">
        <v>0</v>
      </c>
      <c r="R323" s="330">
        <v>0</v>
      </c>
      <c r="S323" s="330">
        <v>0</v>
      </c>
      <c r="T323" s="330">
        <v>0</v>
      </c>
      <c r="U323" s="331">
        <v>0</v>
      </c>
      <c r="V323" s="332">
        <v>0</v>
      </c>
      <c r="W323" s="333"/>
      <c r="X323" s="334">
        <v>0</v>
      </c>
      <c r="Y323" s="335">
        <v>0</v>
      </c>
    </row>
    <row r="324" spans="1:25" x14ac:dyDescent="0.3">
      <c r="A324" s="326"/>
      <c r="B324" s="326"/>
      <c r="C324" s="326"/>
      <c r="D324" s="326"/>
      <c r="E324" s="326" t="s">
        <v>1253</v>
      </c>
      <c r="F324" s="336"/>
      <c r="G324" s="327"/>
      <c r="H324" s="328"/>
      <c r="I324" s="329"/>
      <c r="J324" s="338">
        <v>0</v>
      </c>
      <c r="K324" s="330">
        <v>0</v>
      </c>
      <c r="L324" s="330">
        <v>0</v>
      </c>
      <c r="M324" s="330">
        <v>0</v>
      </c>
      <c r="N324" s="330">
        <v>0</v>
      </c>
      <c r="O324" s="330">
        <v>0</v>
      </c>
      <c r="P324" s="330">
        <v>0</v>
      </c>
      <c r="Q324" s="330">
        <v>0</v>
      </c>
      <c r="R324" s="330">
        <v>0</v>
      </c>
      <c r="S324" s="330">
        <v>0</v>
      </c>
      <c r="T324" s="330">
        <v>0</v>
      </c>
      <c r="U324" s="331">
        <v>0</v>
      </c>
      <c r="V324" s="332">
        <v>0</v>
      </c>
      <c r="W324" s="333"/>
      <c r="X324" s="334">
        <v>0</v>
      </c>
      <c r="Y324" s="335">
        <v>0</v>
      </c>
    </row>
    <row r="325" spans="1:25" x14ac:dyDescent="0.3">
      <c r="A325" s="326"/>
      <c r="B325" s="326"/>
      <c r="C325" s="326"/>
      <c r="D325" s="326"/>
      <c r="E325" s="326" t="s">
        <v>1254</v>
      </c>
      <c r="F325" s="336"/>
      <c r="G325" s="327"/>
      <c r="H325" s="328"/>
      <c r="I325" s="329"/>
      <c r="J325" s="338">
        <v>0</v>
      </c>
      <c r="K325" s="330">
        <v>0</v>
      </c>
      <c r="L325" s="330">
        <v>0</v>
      </c>
      <c r="M325" s="330">
        <v>0</v>
      </c>
      <c r="N325" s="330">
        <v>0</v>
      </c>
      <c r="O325" s="330">
        <v>0</v>
      </c>
      <c r="P325" s="330">
        <v>0</v>
      </c>
      <c r="Q325" s="330">
        <v>0</v>
      </c>
      <c r="R325" s="330">
        <v>0</v>
      </c>
      <c r="S325" s="330">
        <v>0</v>
      </c>
      <c r="T325" s="330">
        <v>0</v>
      </c>
      <c r="U325" s="331">
        <v>0</v>
      </c>
      <c r="V325" s="332">
        <v>0</v>
      </c>
      <c r="W325" s="333"/>
      <c r="X325" s="334">
        <v>0</v>
      </c>
      <c r="Y325" s="335">
        <v>0</v>
      </c>
    </row>
    <row r="326" spans="1:25" x14ac:dyDescent="0.3">
      <c r="A326" s="233"/>
      <c r="B326" s="234" t="s">
        <v>33</v>
      </c>
      <c r="D326" s="293" t="s">
        <v>1255</v>
      </c>
      <c r="E326" s="294"/>
      <c r="F326" s="295" t="s">
        <v>1256</v>
      </c>
      <c r="G326" s="296"/>
      <c r="H326" s="297"/>
      <c r="I326" s="298"/>
      <c r="J326" s="299">
        <v>0</v>
      </c>
      <c r="K326" s="300">
        <v>0</v>
      </c>
      <c r="L326" s="300">
        <v>0</v>
      </c>
      <c r="M326" s="300">
        <v>0</v>
      </c>
      <c r="N326" s="300">
        <v>0</v>
      </c>
      <c r="O326" s="300">
        <v>0</v>
      </c>
      <c r="P326" s="300">
        <v>0</v>
      </c>
      <c r="Q326" s="300">
        <v>0</v>
      </c>
      <c r="R326" s="300">
        <v>0</v>
      </c>
      <c r="S326" s="300">
        <v>0</v>
      </c>
      <c r="T326" s="300">
        <v>96.272000000000006</v>
      </c>
      <c r="U326" s="301">
        <v>0</v>
      </c>
      <c r="V326" s="302">
        <v>96.272000000000006</v>
      </c>
      <c r="W326" s="303"/>
      <c r="X326" s="304">
        <v>0</v>
      </c>
      <c r="Y326" s="305">
        <v>96.272000000000006</v>
      </c>
    </row>
    <row r="327" spans="1:25" x14ac:dyDescent="0.3">
      <c r="E327" s="250" t="s">
        <v>1257</v>
      </c>
      <c r="F327" s="317">
        <v>4305601</v>
      </c>
      <c r="G327" s="318"/>
      <c r="H327" s="319">
        <v>5101110101</v>
      </c>
      <c r="I327" s="320"/>
      <c r="J327" s="337">
        <v>0</v>
      </c>
      <c r="K327" s="321">
        <v>0</v>
      </c>
      <c r="L327" s="321">
        <v>0</v>
      </c>
      <c r="M327" s="321">
        <v>0</v>
      </c>
      <c r="N327" s="321">
        <v>0</v>
      </c>
      <c r="O327" s="321">
        <v>0</v>
      </c>
      <c r="P327" s="321">
        <v>0</v>
      </c>
      <c r="Q327" s="321">
        <v>0</v>
      </c>
      <c r="R327" s="321">
        <v>0</v>
      </c>
      <c r="S327" s="321">
        <v>0</v>
      </c>
      <c r="T327" s="321">
        <v>96.272000000000006</v>
      </c>
      <c r="U327" s="322">
        <v>0</v>
      </c>
      <c r="V327" s="323">
        <v>96.272000000000006</v>
      </c>
      <c r="W327" s="303"/>
      <c r="X327" s="324">
        <v>0</v>
      </c>
      <c r="Y327" s="325">
        <v>96.272000000000006</v>
      </c>
    </row>
    <row r="328" spans="1:25" x14ac:dyDescent="0.3">
      <c r="E328" s="250" t="s">
        <v>1258</v>
      </c>
      <c r="F328" s="317">
        <v>4305602</v>
      </c>
      <c r="G328" s="318"/>
      <c r="H328" s="319">
        <v>5101110103</v>
      </c>
      <c r="I328" s="320"/>
      <c r="J328" s="337">
        <v>0</v>
      </c>
      <c r="K328" s="321">
        <v>0</v>
      </c>
      <c r="L328" s="321">
        <v>0</v>
      </c>
      <c r="M328" s="321">
        <v>0</v>
      </c>
      <c r="N328" s="321">
        <v>0</v>
      </c>
      <c r="O328" s="321">
        <v>0</v>
      </c>
      <c r="P328" s="321">
        <v>0</v>
      </c>
      <c r="Q328" s="321">
        <v>0</v>
      </c>
      <c r="R328" s="321">
        <v>0</v>
      </c>
      <c r="S328" s="321">
        <v>0</v>
      </c>
      <c r="T328" s="321">
        <v>0</v>
      </c>
      <c r="U328" s="322">
        <v>0</v>
      </c>
      <c r="V328" s="323">
        <v>0</v>
      </c>
      <c r="W328" s="303"/>
      <c r="X328" s="324">
        <v>0</v>
      </c>
      <c r="Y328" s="325">
        <v>0</v>
      </c>
    </row>
    <row r="329" spans="1:25" x14ac:dyDescent="0.3">
      <c r="E329" s="250" t="s">
        <v>1259</v>
      </c>
      <c r="F329" s="317">
        <v>4305603</v>
      </c>
      <c r="G329" s="318"/>
      <c r="H329" s="319">
        <v>5101110105</v>
      </c>
      <c r="I329" s="320"/>
      <c r="J329" s="337">
        <v>0</v>
      </c>
      <c r="K329" s="321">
        <v>0</v>
      </c>
      <c r="L329" s="321">
        <v>0</v>
      </c>
      <c r="M329" s="321">
        <v>0</v>
      </c>
      <c r="N329" s="321">
        <v>0</v>
      </c>
      <c r="O329" s="321">
        <v>0</v>
      </c>
      <c r="P329" s="321">
        <v>0</v>
      </c>
      <c r="Q329" s="321">
        <v>0</v>
      </c>
      <c r="R329" s="321">
        <v>0</v>
      </c>
      <c r="S329" s="321">
        <v>0</v>
      </c>
      <c r="T329" s="321">
        <v>0</v>
      </c>
      <c r="U329" s="322">
        <v>0</v>
      </c>
      <c r="V329" s="323">
        <v>0</v>
      </c>
      <c r="W329" s="303"/>
      <c r="X329" s="324">
        <v>0</v>
      </c>
      <c r="Y329" s="325">
        <v>0</v>
      </c>
    </row>
    <row r="330" spans="1:25" x14ac:dyDescent="0.3">
      <c r="E330" s="250" t="s">
        <v>1260</v>
      </c>
      <c r="F330" s="317">
        <v>4305604</v>
      </c>
      <c r="G330" s="318"/>
      <c r="H330" s="319">
        <v>5101110107</v>
      </c>
      <c r="I330" s="320"/>
      <c r="J330" s="337">
        <v>0</v>
      </c>
      <c r="K330" s="321">
        <v>0</v>
      </c>
      <c r="L330" s="321">
        <v>0</v>
      </c>
      <c r="M330" s="321">
        <v>0</v>
      </c>
      <c r="N330" s="321">
        <v>0</v>
      </c>
      <c r="O330" s="321">
        <v>0</v>
      </c>
      <c r="P330" s="321">
        <v>0</v>
      </c>
      <c r="Q330" s="321">
        <v>0</v>
      </c>
      <c r="R330" s="321">
        <v>0</v>
      </c>
      <c r="S330" s="321">
        <v>0</v>
      </c>
      <c r="T330" s="321">
        <v>0</v>
      </c>
      <c r="U330" s="322">
        <v>0</v>
      </c>
      <c r="V330" s="323">
        <v>0</v>
      </c>
      <c r="W330" s="303"/>
      <c r="X330" s="324">
        <v>0</v>
      </c>
      <c r="Y330" s="325">
        <v>0</v>
      </c>
    </row>
    <row r="331" spans="1:25" x14ac:dyDescent="0.3">
      <c r="E331" s="250" t="s">
        <v>1261</v>
      </c>
      <c r="F331" s="317">
        <v>4305605</v>
      </c>
      <c r="G331" s="318"/>
      <c r="H331" s="319"/>
      <c r="I331" s="320"/>
      <c r="J331" s="337">
        <v>0</v>
      </c>
      <c r="K331" s="321">
        <v>0</v>
      </c>
      <c r="L331" s="321">
        <v>0</v>
      </c>
      <c r="M331" s="321">
        <v>0</v>
      </c>
      <c r="N331" s="321">
        <v>0</v>
      </c>
      <c r="O331" s="321">
        <v>0</v>
      </c>
      <c r="P331" s="321">
        <v>0</v>
      </c>
      <c r="Q331" s="321">
        <v>0</v>
      </c>
      <c r="R331" s="321">
        <v>0</v>
      </c>
      <c r="S331" s="321">
        <v>0</v>
      </c>
      <c r="T331" s="321">
        <v>0</v>
      </c>
      <c r="U331" s="322">
        <v>0</v>
      </c>
      <c r="V331" s="323">
        <v>0</v>
      </c>
      <c r="W331" s="303"/>
      <c r="X331" s="324">
        <v>0</v>
      </c>
      <c r="Y331" s="325">
        <v>0</v>
      </c>
    </row>
    <row r="332" spans="1:25" x14ac:dyDescent="0.3">
      <c r="E332" s="250" t="s">
        <v>1262</v>
      </c>
      <c r="F332" s="317">
        <v>4305606</v>
      </c>
      <c r="G332" s="318"/>
      <c r="H332" s="319">
        <v>5101110199</v>
      </c>
      <c r="I332" s="320"/>
      <c r="J332" s="337">
        <v>0</v>
      </c>
      <c r="K332" s="321">
        <v>0</v>
      </c>
      <c r="L332" s="321">
        <v>0</v>
      </c>
      <c r="M332" s="321">
        <v>0</v>
      </c>
      <c r="N332" s="321">
        <v>0</v>
      </c>
      <c r="O332" s="321">
        <v>0</v>
      </c>
      <c r="P332" s="321">
        <v>0</v>
      </c>
      <c r="Q332" s="321">
        <v>0</v>
      </c>
      <c r="R332" s="321">
        <v>0</v>
      </c>
      <c r="S332" s="321">
        <v>0</v>
      </c>
      <c r="T332" s="321">
        <v>0</v>
      </c>
      <c r="U332" s="322">
        <v>0</v>
      </c>
      <c r="V332" s="323">
        <v>0</v>
      </c>
      <c r="W332" s="303"/>
      <c r="X332" s="324">
        <v>0</v>
      </c>
      <c r="Y332" s="325">
        <v>0</v>
      </c>
    </row>
    <row r="333" spans="1:25" x14ac:dyDescent="0.3">
      <c r="E333" s="250" t="s">
        <v>1263</v>
      </c>
      <c r="F333" s="317">
        <v>4305607</v>
      </c>
      <c r="G333" s="318"/>
      <c r="H333" s="319"/>
      <c r="I333" s="320"/>
      <c r="J333" s="337">
        <v>0</v>
      </c>
      <c r="K333" s="321">
        <v>0</v>
      </c>
      <c r="L333" s="321">
        <v>0</v>
      </c>
      <c r="M333" s="321">
        <v>0</v>
      </c>
      <c r="N333" s="321">
        <v>0</v>
      </c>
      <c r="O333" s="321">
        <v>0</v>
      </c>
      <c r="P333" s="321">
        <v>0</v>
      </c>
      <c r="Q333" s="321">
        <v>0</v>
      </c>
      <c r="R333" s="321">
        <v>0</v>
      </c>
      <c r="S333" s="321">
        <v>0</v>
      </c>
      <c r="T333" s="321">
        <v>0</v>
      </c>
      <c r="U333" s="322">
        <v>0</v>
      </c>
      <c r="V333" s="323">
        <v>0</v>
      </c>
      <c r="W333" s="303"/>
      <c r="X333" s="324">
        <v>0</v>
      </c>
      <c r="Y333" s="325">
        <v>0</v>
      </c>
    </row>
    <row r="334" spans="1:25" x14ac:dyDescent="0.3">
      <c r="E334" s="250" t="s">
        <v>1264</v>
      </c>
      <c r="F334" s="317">
        <v>4305608</v>
      </c>
      <c r="G334" s="318"/>
      <c r="H334" s="319"/>
      <c r="I334" s="320"/>
      <c r="J334" s="337">
        <v>0</v>
      </c>
      <c r="K334" s="321">
        <v>0</v>
      </c>
      <c r="L334" s="321">
        <v>0</v>
      </c>
      <c r="M334" s="321">
        <v>0</v>
      </c>
      <c r="N334" s="321">
        <v>0</v>
      </c>
      <c r="O334" s="321">
        <v>0</v>
      </c>
      <c r="P334" s="321">
        <v>0</v>
      </c>
      <c r="Q334" s="321">
        <v>0</v>
      </c>
      <c r="R334" s="321">
        <v>0</v>
      </c>
      <c r="S334" s="321">
        <v>0</v>
      </c>
      <c r="T334" s="321">
        <v>0</v>
      </c>
      <c r="U334" s="322">
        <v>0</v>
      </c>
      <c r="V334" s="323">
        <v>0</v>
      </c>
      <c r="W334" s="303"/>
      <c r="X334" s="324">
        <v>0</v>
      </c>
      <c r="Y334" s="325">
        <v>0</v>
      </c>
    </row>
    <row r="335" spans="1:25" x14ac:dyDescent="0.3">
      <c r="E335" s="250" t="s">
        <v>1265</v>
      </c>
      <c r="F335" s="317">
        <v>4305699</v>
      </c>
      <c r="G335" s="318"/>
      <c r="H335" s="319"/>
      <c r="I335" s="320"/>
      <c r="J335" s="337">
        <v>0</v>
      </c>
      <c r="K335" s="321">
        <v>0</v>
      </c>
      <c r="L335" s="321">
        <v>0</v>
      </c>
      <c r="M335" s="321">
        <v>0</v>
      </c>
      <c r="N335" s="321">
        <v>0</v>
      </c>
      <c r="O335" s="321">
        <v>0</v>
      </c>
      <c r="P335" s="321">
        <v>0</v>
      </c>
      <c r="Q335" s="321">
        <v>0</v>
      </c>
      <c r="R335" s="321">
        <v>0</v>
      </c>
      <c r="S335" s="321">
        <v>0</v>
      </c>
      <c r="T335" s="321">
        <v>0</v>
      </c>
      <c r="U335" s="322">
        <v>0</v>
      </c>
      <c r="V335" s="323">
        <v>0</v>
      </c>
      <c r="W335" s="303"/>
      <c r="X335" s="324">
        <v>0</v>
      </c>
      <c r="Y335" s="325">
        <v>0</v>
      </c>
    </row>
    <row r="336" spans="1:25" x14ac:dyDescent="0.3">
      <c r="A336" s="361"/>
      <c r="B336" s="361"/>
      <c r="C336" s="361"/>
      <c r="D336" s="361"/>
      <c r="E336" s="326" t="s">
        <v>1266</v>
      </c>
      <c r="F336" s="351"/>
      <c r="G336" s="352"/>
      <c r="H336" s="353"/>
      <c r="I336" s="354"/>
      <c r="J336" s="362">
        <v>0</v>
      </c>
      <c r="K336" s="355">
        <v>0</v>
      </c>
      <c r="L336" s="355">
        <v>0</v>
      </c>
      <c r="M336" s="355">
        <v>0</v>
      </c>
      <c r="N336" s="355">
        <v>0</v>
      </c>
      <c r="O336" s="355">
        <v>0</v>
      </c>
      <c r="P336" s="355">
        <v>0</v>
      </c>
      <c r="Q336" s="355">
        <v>0</v>
      </c>
      <c r="R336" s="355">
        <v>0</v>
      </c>
      <c r="S336" s="355">
        <v>0</v>
      </c>
      <c r="T336" s="355">
        <v>0</v>
      </c>
      <c r="U336" s="356">
        <v>0</v>
      </c>
      <c r="V336" s="357">
        <v>0</v>
      </c>
      <c r="W336" s="358"/>
      <c r="X336" s="359">
        <v>0</v>
      </c>
      <c r="Y336" s="360">
        <v>0</v>
      </c>
    </row>
    <row r="337" spans="1:25" x14ac:dyDescent="0.3">
      <c r="A337" s="361"/>
      <c r="B337" s="361"/>
      <c r="C337" s="361"/>
      <c r="D337" s="361"/>
      <c r="E337" s="326" t="s">
        <v>1267</v>
      </c>
      <c r="F337" s="351"/>
      <c r="G337" s="352"/>
      <c r="H337" s="353"/>
      <c r="I337" s="354"/>
      <c r="J337" s="362">
        <v>0</v>
      </c>
      <c r="K337" s="355">
        <v>0</v>
      </c>
      <c r="L337" s="355">
        <v>0</v>
      </c>
      <c r="M337" s="355">
        <v>0</v>
      </c>
      <c r="N337" s="355">
        <v>0</v>
      </c>
      <c r="O337" s="355">
        <v>0</v>
      </c>
      <c r="P337" s="355">
        <v>0</v>
      </c>
      <c r="Q337" s="355">
        <v>0</v>
      </c>
      <c r="R337" s="355">
        <v>0</v>
      </c>
      <c r="S337" s="355">
        <v>0</v>
      </c>
      <c r="T337" s="355">
        <v>0</v>
      </c>
      <c r="U337" s="356">
        <v>0</v>
      </c>
      <c r="V337" s="357">
        <v>0</v>
      </c>
      <c r="W337" s="358"/>
      <c r="X337" s="359">
        <v>0</v>
      </c>
      <c r="Y337" s="360">
        <v>0</v>
      </c>
    </row>
    <row r="338" spans="1:25" x14ac:dyDescent="0.3">
      <c r="A338" s="361"/>
      <c r="B338" s="361"/>
      <c r="C338" s="361"/>
      <c r="D338" s="361"/>
      <c r="E338" s="326" t="s">
        <v>1268</v>
      </c>
      <c r="F338" s="351"/>
      <c r="G338" s="352"/>
      <c r="H338" s="353"/>
      <c r="I338" s="354"/>
      <c r="J338" s="362">
        <v>0</v>
      </c>
      <c r="K338" s="355">
        <v>0</v>
      </c>
      <c r="L338" s="355">
        <v>0</v>
      </c>
      <c r="M338" s="355">
        <v>0</v>
      </c>
      <c r="N338" s="355">
        <v>0</v>
      </c>
      <c r="O338" s="355">
        <v>0</v>
      </c>
      <c r="P338" s="355">
        <v>0</v>
      </c>
      <c r="Q338" s="355">
        <v>0</v>
      </c>
      <c r="R338" s="355">
        <v>0</v>
      </c>
      <c r="S338" s="355">
        <v>0</v>
      </c>
      <c r="T338" s="355">
        <v>0</v>
      </c>
      <c r="U338" s="356">
        <v>0</v>
      </c>
      <c r="V338" s="357">
        <v>0</v>
      </c>
      <c r="W338" s="358"/>
      <c r="X338" s="359">
        <v>0</v>
      </c>
      <c r="Y338" s="360">
        <v>0</v>
      </c>
    </row>
    <row r="339" spans="1:25" x14ac:dyDescent="0.3">
      <c r="A339" s="233"/>
      <c r="B339" s="234" t="s">
        <v>32</v>
      </c>
      <c r="D339" s="293" t="s">
        <v>1269</v>
      </c>
      <c r="E339" s="294"/>
      <c r="F339" s="295" t="s">
        <v>1270</v>
      </c>
      <c r="G339" s="296"/>
      <c r="H339" s="297"/>
      <c r="I339" s="298"/>
      <c r="J339" s="299">
        <v>0</v>
      </c>
      <c r="K339" s="300">
        <v>0</v>
      </c>
      <c r="L339" s="300">
        <v>0</v>
      </c>
      <c r="M339" s="300">
        <v>0</v>
      </c>
      <c r="N339" s="300">
        <v>0</v>
      </c>
      <c r="O339" s="300">
        <v>0</v>
      </c>
      <c r="P339" s="300">
        <v>0</v>
      </c>
      <c r="Q339" s="300">
        <v>0</v>
      </c>
      <c r="R339" s="300">
        <v>0</v>
      </c>
      <c r="S339" s="300">
        <v>0</v>
      </c>
      <c r="T339" s="300">
        <v>0</v>
      </c>
      <c r="U339" s="301">
        <v>0</v>
      </c>
      <c r="V339" s="302">
        <v>0</v>
      </c>
      <c r="W339" s="303"/>
      <c r="X339" s="304">
        <v>0</v>
      </c>
      <c r="Y339" s="305">
        <v>0</v>
      </c>
    </row>
    <row r="340" spans="1:25" x14ac:dyDescent="0.3">
      <c r="E340" s="250" t="s">
        <v>1271</v>
      </c>
      <c r="F340" s="317">
        <v>4305301</v>
      </c>
      <c r="G340" s="318"/>
      <c r="H340" s="319">
        <v>5101130199</v>
      </c>
      <c r="I340" s="320"/>
      <c r="J340" s="337">
        <v>0</v>
      </c>
      <c r="K340" s="321">
        <v>0</v>
      </c>
      <c r="L340" s="321">
        <v>0</v>
      </c>
      <c r="M340" s="321">
        <v>0</v>
      </c>
      <c r="N340" s="321">
        <v>0</v>
      </c>
      <c r="O340" s="321">
        <v>0</v>
      </c>
      <c r="P340" s="321">
        <v>0</v>
      </c>
      <c r="Q340" s="321">
        <v>0</v>
      </c>
      <c r="R340" s="321">
        <v>0</v>
      </c>
      <c r="S340" s="321">
        <v>0</v>
      </c>
      <c r="T340" s="321">
        <v>0</v>
      </c>
      <c r="U340" s="322">
        <v>0</v>
      </c>
      <c r="V340" s="323">
        <v>0</v>
      </c>
      <c r="W340" s="303"/>
      <c r="X340" s="324">
        <v>0</v>
      </c>
      <c r="Y340" s="325">
        <v>0</v>
      </c>
    </row>
    <row r="341" spans="1:25" x14ac:dyDescent="0.3">
      <c r="E341" s="250" t="s">
        <v>1272</v>
      </c>
      <c r="F341" s="317">
        <v>4305302</v>
      </c>
      <c r="G341" s="318"/>
      <c r="H341" s="319">
        <v>5101130101</v>
      </c>
      <c r="I341" s="320"/>
      <c r="J341" s="337">
        <v>0</v>
      </c>
      <c r="K341" s="321">
        <v>0</v>
      </c>
      <c r="L341" s="321">
        <v>0</v>
      </c>
      <c r="M341" s="321">
        <v>0</v>
      </c>
      <c r="N341" s="321">
        <v>0</v>
      </c>
      <c r="O341" s="321">
        <v>0</v>
      </c>
      <c r="P341" s="321">
        <v>0</v>
      </c>
      <c r="Q341" s="321">
        <v>0</v>
      </c>
      <c r="R341" s="321">
        <v>0</v>
      </c>
      <c r="S341" s="321">
        <v>0</v>
      </c>
      <c r="T341" s="321">
        <v>0</v>
      </c>
      <c r="U341" s="322">
        <v>0</v>
      </c>
      <c r="V341" s="323">
        <v>0</v>
      </c>
      <c r="W341" s="303"/>
      <c r="X341" s="324">
        <v>0</v>
      </c>
      <c r="Y341" s="325">
        <v>0</v>
      </c>
    </row>
    <row r="342" spans="1:25" x14ac:dyDescent="0.3">
      <c r="E342" s="250" t="s">
        <v>1273</v>
      </c>
      <c r="F342" s="317">
        <v>4305303</v>
      </c>
      <c r="G342" s="318"/>
      <c r="H342" s="319"/>
      <c r="I342" s="320"/>
      <c r="J342" s="337">
        <v>0</v>
      </c>
      <c r="K342" s="321">
        <v>0</v>
      </c>
      <c r="L342" s="321">
        <v>0</v>
      </c>
      <c r="M342" s="321">
        <v>0</v>
      </c>
      <c r="N342" s="321">
        <v>0</v>
      </c>
      <c r="O342" s="321">
        <v>0</v>
      </c>
      <c r="P342" s="321">
        <v>0</v>
      </c>
      <c r="Q342" s="321">
        <v>0</v>
      </c>
      <c r="R342" s="321">
        <v>0</v>
      </c>
      <c r="S342" s="321">
        <v>0</v>
      </c>
      <c r="T342" s="321">
        <v>0</v>
      </c>
      <c r="U342" s="322">
        <v>0</v>
      </c>
      <c r="V342" s="323">
        <v>0</v>
      </c>
      <c r="W342" s="303"/>
      <c r="X342" s="324">
        <v>0</v>
      </c>
      <c r="Y342" s="325">
        <v>0</v>
      </c>
    </row>
    <row r="343" spans="1:25" x14ac:dyDescent="0.3">
      <c r="E343" s="250" t="s">
        <v>1274</v>
      </c>
      <c r="F343" s="317">
        <v>4305304</v>
      </c>
      <c r="G343" s="318"/>
      <c r="H343" s="319">
        <v>5101130103</v>
      </c>
      <c r="I343" s="320"/>
      <c r="J343" s="337">
        <v>0</v>
      </c>
      <c r="K343" s="321">
        <v>0</v>
      </c>
      <c r="L343" s="321">
        <v>0</v>
      </c>
      <c r="M343" s="321">
        <v>0</v>
      </c>
      <c r="N343" s="321">
        <v>0</v>
      </c>
      <c r="O343" s="321">
        <v>0</v>
      </c>
      <c r="P343" s="321">
        <v>0</v>
      </c>
      <c r="Q343" s="321">
        <v>0</v>
      </c>
      <c r="R343" s="321">
        <v>0</v>
      </c>
      <c r="S343" s="321">
        <v>0</v>
      </c>
      <c r="T343" s="321">
        <v>0</v>
      </c>
      <c r="U343" s="322">
        <v>0</v>
      </c>
      <c r="V343" s="323">
        <v>0</v>
      </c>
      <c r="W343" s="303"/>
      <c r="X343" s="324">
        <v>0</v>
      </c>
      <c r="Y343" s="325">
        <v>0</v>
      </c>
    </row>
    <row r="344" spans="1:25" x14ac:dyDescent="0.3">
      <c r="E344" s="250" t="s">
        <v>1275</v>
      </c>
      <c r="F344" s="317">
        <v>4305305</v>
      </c>
      <c r="G344" s="318"/>
      <c r="H344" s="319"/>
      <c r="I344" s="320"/>
      <c r="J344" s="337">
        <v>0</v>
      </c>
      <c r="K344" s="321">
        <v>0</v>
      </c>
      <c r="L344" s="321">
        <v>0</v>
      </c>
      <c r="M344" s="321">
        <v>0</v>
      </c>
      <c r="N344" s="321">
        <v>0</v>
      </c>
      <c r="O344" s="321">
        <v>0</v>
      </c>
      <c r="P344" s="321">
        <v>0</v>
      </c>
      <c r="Q344" s="321">
        <v>0</v>
      </c>
      <c r="R344" s="321">
        <v>0</v>
      </c>
      <c r="S344" s="321">
        <v>0</v>
      </c>
      <c r="T344" s="321">
        <v>0</v>
      </c>
      <c r="U344" s="322">
        <v>0</v>
      </c>
      <c r="V344" s="323">
        <v>0</v>
      </c>
      <c r="W344" s="303"/>
      <c r="X344" s="324">
        <v>0</v>
      </c>
      <c r="Y344" s="325">
        <v>0</v>
      </c>
    </row>
    <row r="345" spans="1:25" x14ac:dyDescent="0.3">
      <c r="E345" s="250" t="s">
        <v>1276</v>
      </c>
      <c r="F345" s="317">
        <v>4305399</v>
      </c>
      <c r="G345" s="318"/>
      <c r="H345" s="319"/>
      <c r="I345" s="320"/>
      <c r="J345" s="337">
        <v>0</v>
      </c>
      <c r="K345" s="321">
        <v>0</v>
      </c>
      <c r="L345" s="321">
        <v>0</v>
      </c>
      <c r="M345" s="321">
        <v>0</v>
      </c>
      <c r="N345" s="321">
        <v>0</v>
      </c>
      <c r="O345" s="321">
        <v>0</v>
      </c>
      <c r="P345" s="321">
        <v>0</v>
      </c>
      <c r="Q345" s="321">
        <v>0</v>
      </c>
      <c r="R345" s="321">
        <v>0</v>
      </c>
      <c r="S345" s="321">
        <v>0</v>
      </c>
      <c r="T345" s="321">
        <v>0</v>
      </c>
      <c r="U345" s="322">
        <v>0</v>
      </c>
      <c r="V345" s="323">
        <v>0</v>
      </c>
      <c r="W345" s="303"/>
      <c r="X345" s="324">
        <v>0</v>
      </c>
      <c r="Y345" s="325">
        <v>0</v>
      </c>
    </row>
    <row r="346" spans="1:25" x14ac:dyDescent="0.3">
      <c r="A346" s="361"/>
      <c r="B346" s="361"/>
      <c r="C346" s="361"/>
      <c r="D346" s="361"/>
      <c r="E346" s="326" t="s">
        <v>1277</v>
      </c>
      <c r="F346" s="351"/>
      <c r="G346" s="352"/>
      <c r="H346" s="353"/>
      <c r="I346" s="354"/>
      <c r="J346" s="362">
        <v>0</v>
      </c>
      <c r="K346" s="355">
        <v>0</v>
      </c>
      <c r="L346" s="355">
        <v>0</v>
      </c>
      <c r="M346" s="355">
        <v>0</v>
      </c>
      <c r="N346" s="355">
        <v>0</v>
      </c>
      <c r="O346" s="355">
        <v>0</v>
      </c>
      <c r="P346" s="355">
        <v>0</v>
      </c>
      <c r="Q346" s="355">
        <v>0</v>
      </c>
      <c r="R346" s="355">
        <v>0</v>
      </c>
      <c r="S346" s="355">
        <v>0</v>
      </c>
      <c r="T346" s="355">
        <v>0</v>
      </c>
      <c r="U346" s="356">
        <v>0</v>
      </c>
      <c r="V346" s="357">
        <v>0</v>
      </c>
      <c r="W346" s="358"/>
      <c r="X346" s="359">
        <v>0</v>
      </c>
      <c r="Y346" s="360">
        <v>0</v>
      </c>
    </row>
    <row r="347" spans="1:25" x14ac:dyDescent="0.3">
      <c r="A347" s="361"/>
      <c r="B347" s="361"/>
      <c r="C347" s="361"/>
      <c r="D347" s="361"/>
      <c r="E347" s="326" t="s">
        <v>1278</v>
      </c>
      <c r="F347" s="351"/>
      <c r="G347" s="352"/>
      <c r="H347" s="353"/>
      <c r="I347" s="354"/>
      <c r="J347" s="362">
        <v>0</v>
      </c>
      <c r="K347" s="355">
        <v>0</v>
      </c>
      <c r="L347" s="355">
        <v>0</v>
      </c>
      <c r="M347" s="355">
        <v>0</v>
      </c>
      <c r="N347" s="355">
        <v>0</v>
      </c>
      <c r="O347" s="355">
        <v>0</v>
      </c>
      <c r="P347" s="355">
        <v>0</v>
      </c>
      <c r="Q347" s="355">
        <v>0</v>
      </c>
      <c r="R347" s="355">
        <v>0</v>
      </c>
      <c r="S347" s="355">
        <v>0</v>
      </c>
      <c r="T347" s="355">
        <v>0</v>
      </c>
      <c r="U347" s="356">
        <v>0</v>
      </c>
      <c r="V347" s="357">
        <v>0</v>
      </c>
      <c r="W347" s="358"/>
      <c r="X347" s="359">
        <v>0</v>
      </c>
      <c r="Y347" s="360">
        <v>0</v>
      </c>
    </row>
    <row r="348" spans="1:25" x14ac:dyDescent="0.3">
      <c r="A348" s="361"/>
      <c r="B348" s="361"/>
      <c r="C348" s="361"/>
      <c r="D348" s="361"/>
      <c r="E348" s="326" t="s">
        <v>1279</v>
      </c>
      <c r="F348" s="351"/>
      <c r="G348" s="352"/>
      <c r="H348" s="353"/>
      <c r="I348" s="354"/>
      <c r="J348" s="362">
        <v>0</v>
      </c>
      <c r="K348" s="355">
        <v>0</v>
      </c>
      <c r="L348" s="355">
        <v>0</v>
      </c>
      <c r="M348" s="355">
        <v>0</v>
      </c>
      <c r="N348" s="355">
        <v>0</v>
      </c>
      <c r="O348" s="355">
        <v>0</v>
      </c>
      <c r="P348" s="355">
        <v>0</v>
      </c>
      <c r="Q348" s="355">
        <v>0</v>
      </c>
      <c r="R348" s="355">
        <v>0</v>
      </c>
      <c r="S348" s="355">
        <v>0</v>
      </c>
      <c r="T348" s="355">
        <v>0</v>
      </c>
      <c r="U348" s="356">
        <v>0</v>
      </c>
      <c r="V348" s="357">
        <v>0</v>
      </c>
      <c r="W348" s="358"/>
      <c r="X348" s="359">
        <v>0</v>
      </c>
      <c r="Y348" s="360">
        <v>0</v>
      </c>
    </row>
    <row r="349" spans="1:25" x14ac:dyDescent="0.3">
      <c r="A349" s="233"/>
      <c r="B349" s="234" t="s">
        <v>37</v>
      </c>
      <c r="D349" s="293" t="s">
        <v>1280</v>
      </c>
      <c r="E349" s="294"/>
      <c r="F349" s="295" t="s">
        <v>1281</v>
      </c>
      <c r="G349" s="296"/>
      <c r="H349" s="297"/>
      <c r="I349" s="298"/>
      <c r="J349" s="299">
        <v>139.69</v>
      </c>
      <c r="K349" s="300">
        <v>178.566</v>
      </c>
      <c r="L349" s="300">
        <v>101.28</v>
      </c>
      <c r="M349" s="300">
        <v>101.28</v>
      </c>
      <c r="N349" s="300">
        <v>101.277</v>
      </c>
      <c r="O349" s="300">
        <v>101.286</v>
      </c>
      <c r="P349" s="300">
        <v>170.38600000000002</v>
      </c>
      <c r="Q349" s="300">
        <v>101.283</v>
      </c>
      <c r="R349" s="300">
        <v>101.49499999999999</v>
      </c>
      <c r="S349" s="300">
        <v>74.11</v>
      </c>
      <c r="T349" s="300">
        <v>74.11</v>
      </c>
      <c r="U349" s="301">
        <v>74.102000000000004</v>
      </c>
      <c r="V349" s="302">
        <v>1318.865</v>
      </c>
      <c r="W349" s="303"/>
      <c r="X349" s="304">
        <v>74.102000000000004</v>
      </c>
      <c r="Y349" s="305">
        <v>1318.865</v>
      </c>
    </row>
    <row r="350" spans="1:25" x14ac:dyDescent="0.3">
      <c r="E350" s="250" t="s">
        <v>1282</v>
      </c>
      <c r="F350" s="317">
        <v>4306801</v>
      </c>
      <c r="G350" s="318"/>
      <c r="H350" s="319">
        <v>5101150101</v>
      </c>
      <c r="I350" s="320"/>
      <c r="J350" s="337">
        <v>0</v>
      </c>
      <c r="K350" s="321">
        <v>0</v>
      </c>
      <c r="L350" s="321">
        <v>0</v>
      </c>
      <c r="M350" s="321">
        <v>0</v>
      </c>
      <c r="N350" s="321">
        <v>0</v>
      </c>
      <c r="O350" s="321">
        <v>0</v>
      </c>
      <c r="P350" s="321">
        <v>0</v>
      </c>
      <c r="Q350" s="321">
        <v>0</v>
      </c>
      <c r="R350" s="321">
        <v>0</v>
      </c>
      <c r="S350" s="321">
        <v>0</v>
      </c>
      <c r="T350" s="321">
        <v>0</v>
      </c>
      <c r="U350" s="322">
        <v>0</v>
      </c>
      <c r="V350" s="323">
        <v>0</v>
      </c>
      <c r="W350" s="303"/>
      <c r="X350" s="324">
        <v>0</v>
      </c>
      <c r="Y350" s="325">
        <v>0</v>
      </c>
    </row>
    <row r="351" spans="1:25" x14ac:dyDescent="0.3">
      <c r="E351" s="250" t="s">
        <v>1283</v>
      </c>
      <c r="F351" s="317">
        <v>4306802</v>
      </c>
      <c r="G351" s="318"/>
      <c r="H351" s="319">
        <v>5101150199</v>
      </c>
      <c r="I351" s="320"/>
      <c r="J351" s="337">
        <v>0</v>
      </c>
      <c r="K351" s="321">
        <v>0</v>
      </c>
      <c r="L351" s="321">
        <v>0</v>
      </c>
      <c r="M351" s="321">
        <v>0</v>
      </c>
      <c r="N351" s="321">
        <v>0</v>
      </c>
      <c r="O351" s="321">
        <v>0</v>
      </c>
      <c r="P351" s="321">
        <v>0</v>
      </c>
      <c r="Q351" s="321">
        <v>0</v>
      </c>
      <c r="R351" s="321">
        <v>0</v>
      </c>
      <c r="S351" s="321">
        <v>0</v>
      </c>
      <c r="T351" s="321">
        <v>0</v>
      </c>
      <c r="U351" s="322">
        <v>0</v>
      </c>
      <c r="V351" s="323">
        <v>0</v>
      </c>
      <c r="W351" s="303"/>
      <c r="X351" s="324">
        <v>0</v>
      </c>
      <c r="Y351" s="325">
        <v>0</v>
      </c>
    </row>
    <row r="352" spans="1:25" x14ac:dyDescent="0.3">
      <c r="E352" s="250" t="s">
        <v>1284</v>
      </c>
      <c r="F352" s="317">
        <v>4306803</v>
      </c>
      <c r="G352" s="318"/>
      <c r="H352" s="319">
        <v>5101150103</v>
      </c>
      <c r="I352" s="320"/>
      <c r="J352" s="337">
        <v>58.206000000000003</v>
      </c>
      <c r="K352" s="321">
        <v>97.081000000000003</v>
      </c>
      <c r="L352" s="321">
        <v>19.8</v>
      </c>
      <c r="M352" s="321">
        <v>19.8</v>
      </c>
      <c r="N352" s="321">
        <v>19.8</v>
      </c>
      <c r="O352" s="321">
        <v>19.8</v>
      </c>
      <c r="P352" s="321">
        <v>88.906000000000006</v>
      </c>
      <c r="Q352" s="321">
        <v>19.8</v>
      </c>
      <c r="R352" s="321">
        <v>19.8</v>
      </c>
      <c r="S352" s="321">
        <v>19.8</v>
      </c>
      <c r="T352" s="321">
        <v>19.8</v>
      </c>
      <c r="U352" s="322">
        <v>19.8</v>
      </c>
      <c r="V352" s="323">
        <v>422.39300000000009</v>
      </c>
      <c r="W352" s="303"/>
      <c r="X352" s="324">
        <v>19.8</v>
      </c>
      <c r="Y352" s="325">
        <v>422.39300000000009</v>
      </c>
    </row>
    <row r="353" spans="1:25" x14ac:dyDescent="0.3">
      <c r="E353" s="250" t="s">
        <v>1285</v>
      </c>
      <c r="F353" s="317">
        <v>4306804</v>
      </c>
      <c r="G353" s="318"/>
      <c r="H353" s="319"/>
      <c r="I353" s="320"/>
      <c r="J353" s="337">
        <v>0</v>
      </c>
      <c r="K353" s="321">
        <v>0</v>
      </c>
      <c r="L353" s="321">
        <v>0</v>
      </c>
      <c r="M353" s="321">
        <v>0</v>
      </c>
      <c r="N353" s="321">
        <v>0</v>
      </c>
      <c r="O353" s="321">
        <v>0</v>
      </c>
      <c r="P353" s="321">
        <v>0</v>
      </c>
      <c r="Q353" s="321">
        <v>0</v>
      </c>
      <c r="R353" s="321">
        <v>0</v>
      </c>
      <c r="S353" s="321">
        <v>0</v>
      </c>
      <c r="T353" s="321">
        <v>0</v>
      </c>
      <c r="U353" s="322">
        <v>0</v>
      </c>
      <c r="V353" s="323">
        <v>0</v>
      </c>
      <c r="W353" s="303"/>
      <c r="X353" s="324">
        <v>0</v>
      </c>
      <c r="Y353" s="325">
        <v>0</v>
      </c>
    </row>
    <row r="354" spans="1:25" x14ac:dyDescent="0.3">
      <c r="E354" s="250" t="s">
        <v>1286</v>
      </c>
      <c r="F354" s="317">
        <v>4306805</v>
      </c>
      <c r="G354" s="318"/>
      <c r="H354" s="319"/>
      <c r="I354" s="320"/>
      <c r="J354" s="337">
        <v>0</v>
      </c>
      <c r="K354" s="321">
        <v>0</v>
      </c>
      <c r="L354" s="321">
        <v>0</v>
      </c>
      <c r="M354" s="321">
        <v>0</v>
      </c>
      <c r="N354" s="321">
        <v>0</v>
      </c>
      <c r="O354" s="321">
        <v>0</v>
      </c>
      <c r="P354" s="321">
        <v>0</v>
      </c>
      <c r="Q354" s="321">
        <v>0</v>
      </c>
      <c r="R354" s="321">
        <v>0</v>
      </c>
      <c r="S354" s="321">
        <v>0</v>
      </c>
      <c r="T354" s="321">
        <v>0</v>
      </c>
      <c r="U354" s="322">
        <v>0</v>
      </c>
      <c r="V354" s="323">
        <v>0</v>
      </c>
      <c r="W354" s="303"/>
      <c r="X354" s="324">
        <v>0</v>
      </c>
      <c r="Y354" s="325">
        <v>0</v>
      </c>
    </row>
    <row r="355" spans="1:25" x14ac:dyDescent="0.3">
      <c r="E355" s="250" t="s">
        <v>1287</v>
      </c>
      <c r="F355" s="317">
        <v>4306806</v>
      </c>
      <c r="G355" s="318"/>
      <c r="H355" s="319"/>
      <c r="I355" s="320"/>
      <c r="J355" s="337">
        <v>0</v>
      </c>
      <c r="K355" s="321">
        <v>0</v>
      </c>
      <c r="L355" s="321">
        <v>0</v>
      </c>
      <c r="M355" s="321">
        <v>0</v>
      </c>
      <c r="N355" s="321">
        <v>0</v>
      </c>
      <c r="O355" s="321">
        <v>0</v>
      </c>
      <c r="P355" s="321">
        <v>0</v>
      </c>
      <c r="Q355" s="321">
        <v>0</v>
      </c>
      <c r="R355" s="321">
        <v>0</v>
      </c>
      <c r="S355" s="321">
        <v>0</v>
      </c>
      <c r="T355" s="321">
        <v>0</v>
      </c>
      <c r="U355" s="322">
        <v>0</v>
      </c>
      <c r="V355" s="323">
        <v>0</v>
      </c>
      <c r="W355" s="303"/>
      <c r="X355" s="324">
        <v>0</v>
      </c>
      <c r="Y355" s="325">
        <v>0</v>
      </c>
    </row>
    <row r="356" spans="1:25" x14ac:dyDescent="0.3">
      <c r="E356" s="250" t="s">
        <v>1288</v>
      </c>
      <c r="F356" s="317">
        <v>4306807</v>
      </c>
      <c r="G356" s="318"/>
      <c r="H356" s="319">
        <v>5101150105</v>
      </c>
      <c r="I356" s="320"/>
      <c r="J356" s="337">
        <v>81.483999999999995</v>
      </c>
      <c r="K356" s="321">
        <v>81.484999999999999</v>
      </c>
      <c r="L356" s="321">
        <v>81.48</v>
      </c>
      <c r="M356" s="321">
        <v>81.48</v>
      </c>
      <c r="N356" s="321">
        <v>81.477000000000004</v>
      </c>
      <c r="O356" s="321">
        <v>81.486000000000004</v>
      </c>
      <c r="P356" s="321">
        <v>81.48</v>
      </c>
      <c r="Q356" s="321">
        <v>81.483000000000004</v>
      </c>
      <c r="R356" s="321">
        <v>81.694999999999993</v>
      </c>
      <c r="S356" s="321">
        <v>54.31</v>
      </c>
      <c r="T356" s="321">
        <v>54.31</v>
      </c>
      <c r="U356" s="322">
        <v>54.302</v>
      </c>
      <c r="V356" s="323">
        <v>896.47199999999987</v>
      </c>
      <c r="W356" s="303"/>
      <c r="X356" s="324">
        <v>54.302</v>
      </c>
      <c r="Y356" s="325">
        <v>896.47199999999987</v>
      </c>
    </row>
    <row r="357" spans="1:25" x14ac:dyDescent="0.3">
      <c r="A357" s="350"/>
      <c r="B357" s="350"/>
      <c r="C357" s="350"/>
      <c r="D357" s="350"/>
      <c r="E357" s="250" t="s">
        <v>1289</v>
      </c>
      <c r="F357" s="375">
        <v>4306808</v>
      </c>
      <c r="G357" s="307"/>
      <c r="H357" s="308"/>
      <c r="I357" s="309"/>
      <c r="J357" s="310">
        <v>0</v>
      </c>
      <c r="K357" s="311">
        <v>0</v>
      </c>
      <c r="L357" s="311">
        <v>0</v>
      </c>
      <c r="M357" s="311">
        <v>0</v>
      </c>
      <c r="N357" s="311">
        <v>0</v>
      </c>
      <c r="O357" s="311">
        <v>0</v>
      </c>
      <c r="P357" s="311">
        <v>0</v>
      </c>
      <c r="Q357" s="311">
        <v>0</v>
      </c>
      <c r="R357" s="311">
        <v>0</v>
      </c>
      <c r="S357" s="311">
        <v>0</v>
      </c>
      <c r="T357" s="311">
        <v>0</v>
      </c>
      <c r="U357" s="312">
        <v>0</v>
      </c>
      <c r="V357" s="313">
        <v>0</v>
      </c>
      <c r="W357" s="314"/>
      <c r="X357" s="315">
        <v>0</v>
      </c>
      <c r="Y357" s="316">
        <v>0</v>
      </c>
    </row>
    <row r="358" spans="1:25" x14ac:dyDescent="0.3">
      <c r="E358" s="250" t="s">
        <v>1290</v>
      </c>
      <c r="F358" s="317">
        <v>4306899</v>
      </c>
      <c r="G358" s="318"/>
      <c r="H358" s="319"/>
      <c r="I358" s="320"/>
      <c r="J358" s="337">
        <v>0</v>
      </c>
      <c r="K358" s="321">
        <v>0</v>
      </c>
      <c r="L358" s="321">
        <v>0</v>
      </c>
      <c r="M358" s="321">
        <v>0</v>
      </c>
      <c r="N358" s="321">
        <v>0</v>
      </c>
      <c r="O358" s="321">
        <v>0</v>
      </c>
      <c r="P358" s="321">
        <v>0</v>
      </c>
      <c r="Q358" s="321">
        <v>0</v>
      </c>
      <c r="R358" s="321">
        <v>0</v>
      </c>
      <c r="S358" s="321">
        <v>0</v>
      </c>
      <c r="T358" s="321">
        <v>0</v>
      </c>
      <c r="U358" s="322">
        <v>0</v>
      </c>
      <c r="V358" s="323">
        <v>0</v>
      </c>
      <c r="W358" s="303"/>
      <c r="X358" s="324">
        <v>0</v>
      </c>
      <c r="Y358" s="325">
        <v>0</v>
      </c>
    </row>
    <row r="359" spans="1:25" x14ac:dyDescent="0.3">
      <c r="A359" s="361"/>
      <c r="B359" s="361"/>
      <c r="C359" s="361"/>
      <c r="D359" s="361"/>
      <c r="E359" s="326" t="s">
        <v>1291</v>
      </c>
      <c r="F359" s="351"/>
      <c r="G359" s="352"/>
      <c r="H359" s="353"/>
      <c r="I359" s="354"/>
      <c r="J359" s="362">
        <v>0</v>
      </c>
      <c r="K359" s="355">
        <v>0</v>
      </c>
      <c r="L359" s="355">
        <v>0</v>
      </c>
      <c r="M359" s="355">
        <v>0</v>
      </c>
      <c r="N359" s="355">
        <v>0</v>
      </c>
      <c r="O359" s="355">
        <v>0</v>
      </c>
      <c r="P359" s="355">
        <v>0</v>
      </c>
      <c r="Q359" s="355">
        <v>0</v>
      </c>
      <c r="R359" s="355">
        <v>0</v>
      </c>
      <c r="S359" s="355">
        <v>0</v>
      </c>
      <c r="T359" s="355">
        <v>0</v>
      </c>
      <c r="U359" s="356">
        <v>0</v>
      </c>
      <c r="V359" s="357">
        <v>0</v>
      </c>
      <c r="W359" s="358"/>
      <c r="X359" s="359">
        <v>0</v>
      </c>
      <c r="Y359" s="360">
        <v>0</v>
      </c>
    </row>
    <row r="360" spans="1:25" x14ac:dyDescent="0.3">
      <c r="A360" s="361"/>
      <c r="B360" s="361"/>
      <c r="C360" s="361"/>
      <c r="D360" s="361"/>
      <c r="E360" s="326" t="s">
        <v>1292</v>
      </c>
      <c r="F360" s="351"/>
      <c r="G360" s="352"/>
      <c r="H360" s="353"/>
      <c r="I360" s="354"/>
      <c r="J360" s="362">
        <v>0</v>
      </c>
      <c r="K360" s="355">
        <v>0</v>
      </c>
      <c r="L360" s="355">
        <v>0</v>
      </c>
      <c r="M360" s="355">
        <v>0</v>
      </c>
      <c r="N360" s="355">
        <v>0</v>
      </c>
      <c r="O360" s="355">
        <v>0</v>
      </c>
      <c r="P360" s="355">
        <v>0</v>
      </c>
      <c r="Q360" s="355">
        <v>0</v>
      </c>
      <c r="R360" s="355">
        <v>0</v>
      </c>
      <c r="S360" s="355">
        <v>0</v>
      </c>
      <c r="T360" s="355">
        <v>0</v>
      </c>
      <c r="U360" s="356">
        <v>0</v>
      </c>
      <c r="V360" s="357">
        <v>0</v>
      </c>
      <c r="W360" s="358"/>
      <c r="X360" s="359">
        <v>0</v>
      </c>
      <c r="Y360" s="360">
        <v>0</v>
      </c>
    </row>
    <row r="361" spans="1:25" x14ac:dyDescent="0.3">
      <c r="A361" s="361"/>
      <c r="B361" s="361"/>
      <c r="C361" s="361"/>
      <c r="D361" s="361"/>
      <c r="E361" s="326" t="s">
        <v>1293</v>
      </c>
      <c r="F361" s="351"/>
      <c r="G361" s="352"/>
      <c r="H361" s="353"/>
      <c r="I361" s="354"/>
      <c r="J361" s="362">
        <v>0</v>
      </c>
      <c r="K361" s="355">
        <v>0</v>
      </c>
      <c r="L361" s="355">
        <v>0</v>
      </c>
      <c r="M361" s="355">
        <v>0</v>
      </c>
      <c r="N361" s="355">
        <v>0</v>
      </c>
      <c r="O361" s="355">
        <v>0</v>
      </c>
      <c r="P361" s="355">
        <v>0</v>
      </c>
      <c r="Q361" s="355">
        <v>0</v>
      </c>
      <c r="R361" s="355">
        <v>0</v>
      </c>
      <c r="S361" s="355">
        <v>0</v>
      </c>
      <c r="T361" s="355">
        <v>0</v>
      </c>
      <c r="U361" s="356">
        <v>0</v>
      </c>
      <c r="V361" s="357">
        <v>0</v>
      </c>
      <c r="W361" s="358"/>
      <c r="X361" s="359">
        <v>0</v>
      </c>
      <c r="Y361" s="360">
        <v>0</v>
      </c>
    </row>
    <row r="362" spans="1:25" x14ac:dyDescent="0.3">
      <c r="A362" s="233"/>
      <c r="B362" s="234" t="s">
        <v>17</v>
      </c>
      <c r="D362" s="293" t="s">
        <v>1294</v>
      </c>
      <c r="E362" s="294"/>
      <c r="F362" s="295" t="s">
        <v>1295</v>
      </c>
      <c r="G362" s="296"/>
      <c r="H362" s="297"/>
      <c r="I362" s="298"/>
      <c r="J362" s="299">
        <v>0</v>
      </c>
      <c r="K362" s="300">
        <v>0</v>
      </c>
      <c r="L362" s="300">
        <v>0</v>
      </c>
      <c r="M362" s="300">
        <v>0</v>
      </c>
      <c r="N362" s="300">
        <v>0</v>
      </c>
      <c r="O362" s="300">
        <v>0</v>
      </c>
      <c r="P362" s="300">
        <v>0</v>
      </c>
      <c r="Q362" s="300">
        <v>0</v>
      </c>
      <c r="R362" s="300">
        <v>0</v>
      </c>
      <c r="S362" s="300">
        <v>0</v>
      </c>
      <c r="T362" s="300">
        <v>0</v>
      </c>
      <c r="U362" s="301">
        <v>0</v>
      </c>
      <c r="V362" s="302">
        <v>0</v>
      </c>
      <c r="W362" s="303"/>
      <c r="X362" s="304">
        <v>0</v>
      </c>
      <c r="Y362" s="305">
        <v>0</v>
      </c>
    </row>
    <row r="363" spans="1:25" x14ac:dyDescent="0.3">
      <c r="E363" s="250" t="s">
        <v>1296</v>
      </c>
      <c r="F363" s="317">
        <v>4301101</v>
      </c>
      <c r="G363" s="318"/>
      <c r="H363" s="319">
        <v>5101170101</v>
      </c>
      <c r="I363" s="320"/>
      <c r="J363" s="337">
        <v>0</v>
      </c>
      <c r="K363" s="321">
        <v>0</v>
      </c>
      <c r="L363" s="321">
        <v>0</v>
      </c>
      <c r="M363" s="321">
        <v>0</v>
      </c>
      <c r="N363" s="321">
        <v>0</v>
      </c>
      <c r="O363" s="321">
        <v>0</v>
      </c>
      <c r="P363" s="321">
        <v>0</v>
      </c>
      <c r="Q363" s="321">
        <v>0</v>
      </c>
      <c r="R363" s="321">
        <v>0</v>
      </c>
      <c r="S363" s="321">
        <v>0</v>
      </c>
      <c r="T363" s="321">
        <v>0</v>
      </c>
      <c r="U363" s="322">
        <v>0</v>
      </c>
      <c r="V363" s="323">
        <v>0</v>
      </c>
      <c r="W363" s="303"/>
      <c r="X363" s="324">
        <v>0</v>
      </c>
      <c r="Y363" s="325">
        <v>0</v>
      </c>
    </row>
    <row r="364" spans="1:25" x14ac:dyDescent="0.3">
      <c r="E364" s="250" t="s">
        <v>1297</v>
      </c>
      <c r="F364" s="317">
        <v>4301102</v>
      </c>
      <c r="G364" s="318"/>
      <c r="H364" s="319">
        <v>5101170103</v>
      </c>
      <c r="I364" s="320"/>
      <c r="J364" s="337">
        <v>0</v>
      </c>
      <c r="K364" s="321">
        <v>0</v>
      </c>
      <c r="L364" s="321">
        <v>0</v>
      </c>
      <c r="M364" s="321">
        <v>0</v>
      </c>
      <c r="N364" s="321">
        <v>0</v>
      </c>
      <c r="O364" s="321">
        <v>0</v>
      </c>
      <c r="P364" s="321">
        <v>0</v>
      </c>
      <c r="Q364" s="321">
        <v>0</v>
      </c>
      <c r="R364" s="321">
        <v>0</v>
      </c>
      <c r="S364" s="321">
        <v>0</v>
      </c>
      <c r="T364" s="321">
        <v>0</v>
      </c>
      <c r="U364" s="322">
        <v>0</v>
      </c>
      <c r="V364" s="323">
        <v>0</v>
      </c>
      <c r="W364" s="303"/>
      <c r="X364" s="324">
        <v>0</v>
      </c>
      <c r="Y364" s="325">
        <v>0</v>
      </c>
    </row>
    <row r="365" spans="1:25" x14ac:dyDescent="0.3">
      <c r="E365" s="250" t="s">
        <v>1298</v>
      </c>
      <c r="F365" s="317">
        <v>4301103</v>
      </c>
      <c r="G365" s="318"/>
      <c r="H365" s="319">
        <v>5101170105</v>
      </c>
      <c r="I365" s="320"/>
      <c r="J365" s="337">
        <v>0</v>
      </c>
      <c r="K365" s="321">
        <v>0</v>
      </c>
      <c r="L365" s="321">
        <v>0</v>
      </c>
      <c r="M365" s="321">
        <v>0</v>
      </c>
      <c r="N365" s="321">
        <v>0</v>
      </c>
      <c r="O365" s="321">
        <v>0</v>
      </c>
      <c r="P365" s="321">
        <v>0</v>
      </c>
      <c r="Q365" s="321">
        <v>0</v>
      </c>
      <c r="R365" s="321">
        <v>0</v>
      </c>
      <c r="S365" s="321">
        <v>0</v>
      </c>
      <c r="T365" s="321">
        <v>0</v>
      </c>
      <c r="U365" s="322">
        <v>0</v>
      </c>
      <c r="V365" s="323">
        <v>0</v>
      </c>
      <c r="W365" s="303"/>
      <c r="X365" s="324">
        <v>0</v>
      </c>
      <c r="Y365" s="325">
        <v>0</v>
      </c>
    </row>
    <row r="366" spans="1:25" x14ac:dyDescent="0.3">
      <c r="E366" s="250" t="s">
        <v>1299</v>
      </c>
      <c r="F366" s="317">
        <v>4301199</v>
      </c>
      <c r="G366" s="318"/>
      <c r="H366" s="319">
        <v>5101170199</v>
      </c>
      <c r="I366" s="320"/>
      <c r="J366" s="337">
        <v>0</v>
      </c>
      <c r="K366" s="321">
        <v>0</v>
      </c>
      <c r="L366" s="321">
        <v>0</v>
      </c>
      <c r="M366" s="321">
        <v>0</v>
      </c>
      <c r="N366" s="321">
        <v>0</v>
      </c>
      <c r="O366" s="321">
        <v>0</v>
      </c>
      <c r="P366" s="321">
        <v>0</v>
      </c>
      <c r="Q366" s="321">
        <v>0</v>
      </c>
      <c r="R366" s="321">
        <v>0</v>
      </c>
      <c r="S366" s="321">
        <v>0</v>
      </c>
      <c r="T366" s="321">
        <v>0</v>
      </c>
      <c r="U366" s="322">
        <v>0</v>
      </c>
      <c r="V366" s="323">
        <v>0</v>
      </c>
      <c r="W366" s="303"/>
      <c r="X366" s="324">
        <v>0</v>
      </c>
      <c r="Y366" s="325">
        <v>0</v>
      </c>
    </row>
    <row r="367" spans="1:25" x14ac:dyDescent="0.3">
      <c r="A367" s="361"/>
      <c r="B367" s="361"/>
      <c r="C367" s="361"/>
      <c r="D367" s="361"/>
      <c r="E367" s="326" t="s">
        <v>1300</v>
      </c>
      <c r="F367" s="351"/>
      <c r="G367" s="352"/>
      <c r="H367" s="353"/>
      <c r="I367" s="354"/>
      <c r="J367" s="362">
        <v>0</v>
      </c>
      <c r="K367" s="355">
        <v>0</v>
      </c>
      <c r="L367" s="355">
        <v>0</v>
      </c>
      <c r="M367" s="355">
        <v>0</v>
      </c>
      <c r="N367" s="355">
        <v>0</v>
      </c>
      <c r="O367" s="355">
        <v>0</v>
      </c>
      <c r="P367" s="355">
        <v>0</v>
      </c>
      <c r="Q367" s="355">
        <v>0</v>
      </c>
      <c r="R367" s="355">
        <v>0</v>
      </c>
      <c r="S367" s="355">
        <v>0</v>
      </c>
      <c r="T367" s="355">
        <v>0</v>
      </c>
      <c r="U367" s="356">
        <v>0</v>
      </c>
      <c r="V367" s="357">
        <v>0</v>
      </c>
      <c r="W367" s="358"/>
      <c r="X367" s="359">
        <v>0</v>
      </c>
      <c r="Y367" s="360">
        <v>0</v>
      </c>
    </row>
    <row r="368" spans="1:25" x14ac:dyDescent="0.3">
      <c r="A368" s="361"/>
      <c r="B368" s="361"/>
      <c r="C368" s="361"/>
      <c r="D368" s="361"/>
      <c r="E368" s="326" t="s">
        <v>1301</v>
      </c>
      <c r="F368" s="351"/>
      <c r="G368" s="352"/>
      <c r="H368" s="353"/>
      <c r="I368" s="354"/>
      <c r="J368" s="362">
        <v>0</v>
      </c>
      <c r="K368" s="355">
        <v>0</v>
      </c>
      <c r="L368" s="355">
        <v>0</v>
      </c>
      <c r="M368" s="355">
        <v>0</v>
      </c>
      <c r="N368" s="355">
        <v>0</v>
      </c>
      <c r="O368" s="355">
        <v>0</v>
      </c>
      <c r="P368" s="355">
        <v>0</v>
      </c>
      <c r="Q368" s="355">
        <v>0</v>
      </c>
      <c r="R368" s="355">
        <v>0</v>
      </c>
      <c r="S368" s="355">
        <v>0</v>
      </c>
      <c r="T368" s="355">
        <v>0</v>
      </c>
      <c r="U368" s="356">
        <v>0</v>
      </c>
      <c r="V368" s="357">
        <v>0</v>
      </c>
      <c r="W368" s="358"/>
      <c r="X368" s="359">
        <v>0</v>
      </c>
      <c r="Y368" s="360">
        <v>0</v>
      </c>
    </row>
    <row r="369" spans="1:25" x14ac:dyDescent="0.3">
      <c r="A369" s="361"/>
      <c r="B369" s="361"/>
      <c r="C369" s="361"/>
      <c r="D369" s="361"/>
      <c r="E369" s="326" t="s">
        <v>1302</v>
      </c>
      <c r="F369" s="351"/>
      <c r="G369" s="352"/>
      <c r="H369" s="353"/>
      <c r="I369" s="354"/>
      <c r="J369" s="362">
        <v>0</v>
      </c>
      <c r="K369" s="355">
        <v>0</v>
      </c>
      <c r="L369" s="355">
        <v>0</v>
      </c>
      <c r="M369" s="355">
        <v>0</v>
      </c>
      <c r="N369" s="355">
        <v>0</v>
      </c>
      <c r="O369" s="355">
        <v>0</v>
      </c>
      <c r="P369" s="355">
        <v>0</v>
      </c>
      <c r="Q369" s="355">
        <v>0</v>
      </c>
      <c r="R369" s="355">
        <v>0</v>
      </c>
      <c r="S369" s="355">
        <v>0</v>
      </c>
      <c r="T369" s="355">
        <v>0</v>
      </c>
      <c r="U369" s="356">
        <v>0</v>
      </c>
      <c r="V369" s="357">
        <v>0</v>
      </c>
      <c r="W369" s="358"/>
      <c r="X369" s="359">
        <v>0</v>
      </c>
      <c r="Y369" s="360">
        <v>0</v>
      </c>
    </row>
    <row r="370" spans="1:25" x14ac:dyDescent="0.3">
      <c r="A370" s="233"/>
      <c r="B370" s="234" t="s">
        <v>35</v>
      </c>
      <c r="D370" s="294" t="s">
        <v>1303</v>
      </c>
      <c r="E370" s="294"/>
      <c r="F370" s="295" t="s">
        <v>1304</v>
      </c>
      <c r="G370" s="296"/>
      <c r="H370" s="297"/>
      <c r="I370" s="298"/>
      <c r="J370" s="299">
        <v>0</v>
      </c>
      <c r="K370" s="300">
        <v>0</v>
      </c>
      <c r="L370" s="300">
        <v>900.11</v>
      </c>
      <c r="M370" s="300">
        <v>0</v>
      </c>
      <c r="N370" s="300">
        <v>453.43</v>
      </c>
      <c r="O370" s="300">
        <v>0</v>
      </c>
      <c r="P370" s="300">
        <v>181.37</v>
      </c>
      <c r="Q370" s="300">
        <v>0</v>
      </c>
      <c r="R370" s="300">
        <v>257.17</v>
      </c>
      <c r="S370" s="300">
        <v>0</v>
      </c>
      <c r="T370" s="300">
        <v>0</v>
      </c>
      <c r="U370" s="301">
        <v>0</v>
      </c>
      <c r="V370" s="302">
        <v>1792.08</v>
      </c>
      <c r="W370" s="303"/>
      <c r="X370" s="304">
        <v>0</v>
      </c>
      <c r="Y370" s="305">
        <v>1792.08</v>
      </c>
    </row>
    <row r="371" spans="1:25" x14ac:dyDescent="0.3">
      <c r="E371" s="250" t="s">
        <v>1305</v>
      </c>
      <c r="F371" s="317">
        <v>4306201</v>
      </c>
      <c r="G371" s="318"/>
      <c r="H371" s="319">
        <v>5101190101</v>
      </c>
      <c r="I371" s="320"/>
      <c r="J371" s="337">
        <v>0</v>
      </c>
      <c r="K371" s="321">
        <v>0</v>
      </c>
      <c r="L371" s="321">
        <v>0</v>
      </c>
      <c r="M371" s="321">
        <v>0</v>
      </c>
      <c r="N371" s="321">
        <v>0</v>
      </c>
      <c r="O371" s="321">
        <v>0</v>
      </c>
      <c r="P371" s="321">
        <v>0</v>
      </c>
      <c r="Q371" s="321">
        <v>0</v>
      </c>
      <c r="R371" s="321">
        <v>0</v>
      </c>
      <c r="S371" s="321">
        <v>0</v>
      </c>
      <c r="T371" s="321">
        <v>0</v>
      </c>
      <c r="U371" s="322">
        <v>0</v>
      </c>
      <c r="V371" s="323">
        <v>0</v>
      </c>
      <c r="W371" s="303"/>
      <c r="X371" s="324">
        <v>0</v>
      </c>
      <c r="Y371" s="325">
        <v>0</v>
      </c>
    </row>
    <row r="372" spans="1:25" x14ac:dyDescent="0.3">
      <c r="E372" s="250" t="s">
        <v>1306</v>
      </c>
      <c r="F372" s="317">
        <v>4306202</v>
      </c>
      <c r="G372" s="318"/>
      <c r="H372" s="319"/>
      <c r="I372" s="320"/>
      <c r="J372" s="337">
        <v>0</v>
      </c>
      <c r="K372" s="321">
        <v>0</v>
      </c>
      <c r="L372" s="321">
        <v>0</v>
      </c>
      <c r="M372" s="321">
        <v>0</v>
      </c>
      <c r="N372" s="321">
        <v>0</v>
      </c>
      <c r="O372" s="321">
        <v>0</v>
      </c>
      <c r="P372" s="321">
        <v>0</v>
      </c>
      <c r="Q372" s="321">
        <v>0</v>
      </c>
      <c r="R372" s="321">
        <v>0</v>
      </c>
      <c r="S372" s="321">
        <v>0</v>
      </c>
      <c r="T372" s="321">
        <v>0</v>
      </c>
      <c r="U372" s="322">
        <v>0</v>
      </c>
      <c r="V372" s="323">
        <v>0</v>
      </c>
      <c r="W372" s="303"/>
      <c r="X372" s="324">
        <v>0</v>
      </c>
      <c r="Y372" s="325">
        <v>0</v>
      </c>
    </row>
    <row r="373" spans="1:25" x14ac:dyDescent="0.3">
      <c r="E373" s="250" t="s">
        <v>1307</v>
      </c>
      <c r="F373" s="317">
        <v>4306299</v>
      </c>
      <c r="G373" s="318"/>
      <c r="H373" s="319"/>
      <c r="I373" s="320"/>
      <c r="J373" s="337">
        <v>0</v>
      </c>
      <c r="K373" s="321">
        <v>0</v>
      </c>
      <c r="L373" s="321">
        <v>900.11</v>
      </c>
      <c r="M373" s="321">
        <v>0</v>
      </c>
      <c r="N373" s="321">
        <v>453.43</v>
      </c>
      <c r="O373" s="321">
        <v>0</v>
      </c>
      <c r="P373" s="321">
        <v>181.37</v>
      </c>
      <c r="Q373" s="321">
        <v>0</v>
      </c>
      <c r="R373" s="321">
        <v>257.17</v>
      </c>
      <c r="S373" s="321">
        <v>0</v>
      </c>
      <c r="T373" s="321">
        <v>0</v>
      </c>
      <c r="U373" s="322">
        <v>0</v>
      </c>
      <c r="V373" s="323">
        <v>1792.08</v>
      </c>
      <c r="W373" s="303"/>
      <c r="X373" s="324">
        <v>0</v>
      </c>
      <c r="Y373" s="325">
        <v>1792.08</v>
      </c>
    </row>
    <row r="374" spans="1:25" x14ac:dyDescent="0.3">
      <c r="A374" s="361"/>
      <c r="B374" s="361"/>
      <c r="C374" s="361"/>
      <c r="D374" s="361"/>
      <c r="E374" s="326" t="s">
        <v>1308</v>
      </c>
      <c r="F374" s="351"/>
      <c r="G374" s="352"/>
      <c r="H374" s="353"/>
      <c r="I374" s="354"/>
      <c r="J374" s="362">
        <v>0</v>
      </c>
      <c r="K374" s="355">
        <v>0</v>
      </c>
      <c r="L374" s="355">
        <v>0</v>
      </c>
      <c r="M374" s="355">
        <v>0</v>
      </c>
      <c r="N374" s="355">
        <v>0</v>
      </c>
      <c r="O374" s="355">
        <v>0</v>
      </c>
      <c r="P374" s="355">
        <v>0</v>
      </c>
      <c r="Q374" s="355">
        <v>0</v>
      </c>
      <c r="R374" s="355">
        <v>0</v>
      </c>
      <c r="S374" s="355">
        <v>0</v>
      </c>
      <c r="T374" s="355">
        <v>0</v>
      </c>
      <c r="U374" s="356">
        <v>0</v>
      </c>
      <c r="V374" s="357">
        <v>0</v>
      </c>
      <c r="W374" s="358"/>
      <c r="X374" s="359">
        <v>0</v>
      </c>
      <c r="Y374" s="360">
        <v>0</v>
      </c>
    </row>
    <row r="375" spans="1:25" x14ac:dyDescent="0.3">
      <c r="A375" s="361"/>
      <c r="B375" s="361"/>
      <c r="C375" s="361"/>
      <c r="D375" s="361"/>
      <c r="E375" s="326" t="s">
        <v>1309</v>
      </c>
      <c r="F375" s="351"/>
      <c r="G375" s="352"/>
      <c r="H375" s="353"/>
      <c r="I375" s="354"/>
      <c r="J375" s="362">
        <v>0</v>
      </c>
      <c r="K375" s="355">
        <v>0</v>
      </c>
      <c r="L375" s="355">
        <v>0</v>
      </c>
      <c r="M375" s="355">
        <v>0</v>
      </c>
      <c r="N375" s="355">
        <v>0</v>
      </c>
      <c r="O375" s="355">
        <v>0</v>
      </c>
      <c r="P375" s="355">
        <v>0</v>
      </c>
      <c r="Q375" s="355">
        <v>0</v>
      </c>
      <c r="R375" s="355">
        <v>0</v>
      </c>
      <c r="S375" s="355">
        <v>0</v>
      </c>
      <c r="T375" s="355">
        <v>0</v>
      </c>
      <c r="U375" s="356">
        <v>0</v>
      </c>
      <c r="V375" s="357">
        <v>0</v>
      </c>
      <c r="W375" s="358"/>
      <c r="X375" s="359">
        <v>0</v>
      </c>
      <c r="Y375" s="360">
        <v>0</v>
      </c>
    </row>
    <row r="376" spans="1:25" x14ac:dyDescent="0.3">
      <c r="A376" s="361"/>
      <c r="B376" s="361"/>
      <c r="C376" s="361"/>
      <c r="D376" s="361"/>
      <c r="E376" s="326" t="s">
        <v>1310</v>
      </c>
      <c r="F376" s="351"/>
      <c r="G376" s="352"/>
      <c r="H376" s="353"/>
      <c r="I376" s="354"/>
      <c r="J376" s="362">
        <v>0</v>
      </c>
      <c r="K376" s="355">
        <v>0</v>
      </c>
      <c r="L376" s="355">
        <v>0</v>
      </c>
      <c r="M376" s="355">
        <v>0</v>
      </c>
      <c r="N376" s="355">
        <v>0</v>
      </c>
      <c r="O376" s="355">
        <v>0</v>
      </c>
      <c r="P376" s="355">
        <v>0</v>
      </c>
      <c r="Q376" s="355">
        <v>0</v>
      </c>
      <c r="R376" s="355">
        <v>0</v>
      </c>
      <c r="S376" s="355">
        <v>0</v>
      </c>
      <c r="T376" s="355">
        <v>0</v>
      </c>
      <c r="U376" s="356">
        <v>0</v>
      </c>
      <c r="V376" s="357">
        <v>0</v>
      </c>
      <c r="W376" s="358"/>
      <c r="X376" s="359">
        <v>0</v>
      </c>
      <c r="Y376" s="360">
        <v>0</v>
      </c>
    </row>
    <row r="377" spans="1:25" x14ac:dyDescent="0.3">
      <c r="A377" s="233"/>
      <c r="B377" s="234" t="s">
        <v>27</v>
      </c>
      <c r="D377" s="293" t="s">
        <v>1311</v>
      </c>
      <c r="E377" s="294"/>
      <c r="F377" s="295" t="s">
        <v>1312</v>
      </c>
      <c r="G377" s="296"/>
      <c r="H377" s="297"/>
      <c r="I377" s="298"/>
      <c r="J377" s="299">
        <v>1068.182</v>
      </c>
      <c r="K377" s="300">
        <v>1029.011</v>
      </c>
      <c r="L377" s="300">
        <v>1117.6550000000002</v>
      </c>
      <c r="M377" s="300">
        <v>1017.5120000000001</v>
      </c>
      <c r="N377" s="300">
        <v>996.86</v>
      </c>
      <c r="O377" s="300">
        <v>993.38300000000004</v>
      </c>
      <c r="P377" s="300">
        <v>1011.499</v>
      </c>
      <c r="Q377" s="300">
        <v>1028.104</v>
      </c>
      <c r="R377" s="300">
        <v>702.33399999999995</v>
      </c>
      <c r="S377" s="300">
        <v>661.67600000000004</v>
      </c>
      <c r="T377" s="300">
        <v>672.76499999999987</v>
      </c>
      <c r="U377" s="301">
        <v>435.07699999999994</v>
      </c>
      <c r="V377" s="302">
        <v>10734.058000000001</v>
      </c>
      <c r="W377" s="303"/>
      <c r="X377" s="304">
        <v>435.07699999999994</v>
      </c>
      <c r="Y377" s="305">
        <v>10734.058000000001</v>
      </c>
    </row>
    <row r="378" spans="1:25" x14ac:dyDescent="0.3">
      <c r="E378" s="250" t="s">
        <v>1313</v>
      </c>
      <c r="F378" s="317">
        <v>4303801</v>
      </c>
      <c r="G378" s="318"/>
      <c r="H378" s="319">
        <v>5101210101</v>
      </c>
      <c r="I378" s="320"/>
      <c r="J378" s="337">
        <v>0</v>
      </c>
      <c r="K378" s="321">
        <v>0</v>
      </c>
      <c r="L378" s="321">
        <v>0</v>
      </c>
      <c r="M378" s="321">
        <v>0</v>
      </c>
      <c r="N378" s="321">
        <v>0</v>
      </c>
      <c r="O378" s="321">
        <v>0</v>
      </c>
      <c r="P378" s="321">
        <v>0</v>
      </c>
      <c r="Q378" s="321">
        <v>0</v>
      </c>
      <c r="R378" s="321">
        <v>0</v>
      </c>
      <c r="S378" s="321">
        <v>0</v>
      </c>
      <c r="T378" s="321">
        <v>0</v>
      </c>
      <c r="U378" s="322">
        <v>0</v>
      </c>
      <c r="V378" s="323">
        <v>0</v>
      </c>
      <c r="W378" s="303"/>
      <c r="X378" s="324">
        <v>0</v>
      </c>
      <c r="Y378" s="325">
        <v>0</v>
      </c>
    </row>
    <row r="379" spans="1:25" x14ac:dyDescent="0.3">
      <c r="E379" s="250" t="s">
        <v>1314</v>
      </c>
      <c r="F379" s="317">
        <v>4303802</v>
      </c>
      <c r="G379" s="318"/>
      <c r="H379" s="319">
        <v>5101210103</v>
      </c>
      <c r="I379" s="320"/>
      <c r="J379" s="337">
        <v>0</v>
      </c>
      <c r="K379" s="321">
        <v>0</v>
      </c>
      <c r="L379" s="321">
        <v>0</v>
      </c>
      <c r="M379" s="321">
        <v>0</v>
      </c>
      <c r="N379" s="321">
        <v>0</v>
      </c>
      <c r="O379" s="321">
        <v>0</v>
      </c>
      <c r="P379" s="321">
        <v>0</v>
      </c>
      <c r="Q379" s="321">
        <v>0</v>
      </c>
      <c r="R379" s="321">
        <v>0</v>
      </c>
      <c r="S379" s="321">
        <v>0</v>
      </c>
      <c r="T379" s="321">
        <v>0</v>
      </c>
      <c r="U379" s="322">
        <v>0</v>
      </c>
      <c r="V379" s="323">
        <v>0</v>
      </c>
      <c r="W379" s="303"/>
      <c r="X379" s="324">
        <v>0</v>
      </c>
      <c r="Y379" s="325">
        <v>0</v>
      </c>
    </row>
    <row r="380" spans="1:25" x14ac:dyDescent="0.3">
      <c r="E380" s="250" t="s">
        <v>1315</v>
      </c>
      <c r="F380" s="317">
        <v>4303803</v>
      </c>
      <c r="G380" s="318"/>
      <c r="H380" s="319"/>
      <c r="I380" s="320"/>
      <c r="J380" s="337">
        <v>0</v>
      </c>
      <c r="K380" s="321">
        <v>0</v>
      </c>
      <c r="L380" s="321">
        <v>0</v>
      </c>
      <c r="M380" s="321">
        <v>0</v>
      </c>
      <c r="N380" s="321">
        <v>0</v>
      </c>
      <c r="O380" s="321">
        <v>0</v>
      </c>
      <c r="P380" s="321">
        <v>0</v>
      </c>
      <c r="Q380" s="321">
        <v>0</v>
      </c>
      <c r="R380" s="321">
        <v>0</v>
      </c>
      <c r="S380" s="321">
        <v>0</v>
      </c>
      <c r="T380" s="321">
        <v>0</v>
      </c>
      <c r="U380" s="322">
        <v>0</v>
      </c>
      <c r="V380" s="323">
        <v>0</v>
      </c>
      <c r="W380" s="303"/>
      <c r="X380" s="324">
        <v>0</v>
      </c>
      <c r="Y380" s="325">
        <v>0</v>
      </c>
    </row>
    <row r="381" spans="1:25" x14ac:dyDescent="0.3">
      <c r="E381" s="250" t="s">
        <v>1316</v>
      </c>
      <c r="F381" s="317">
        <v>4303804</v>
      </c>
      <c r="G381" s="318"/>
      <c r="H381" s="319">
        <v>5101210199</v>
      </c>
      <c r="I381" s="320"/>
      <c r="J381" s="337">
        <v>0</v>
      </c>
      <c r="K381" s="321">
        <v>0</v>
      </c>
      <c r="L381" s="321">
        <v>0</v>
      </c>
      <c r="M381" s="321">
        <v>0</v>
      </c>
      <c r="N381" s="321">
        <v>0</v>
      </c>
      <c r="O381" s="321">
        <v>0</v>
      </c>
      <c r="P381" s="321">
        <v>0</v>
      </c>
      <c r="Q381" s="321">
        <v>0</v>
      </c>
      <c r="R381" s="321">
        <v>0</v>
      </c>
      <c r="S381" s="321">
        <v>0</v>
      </c>
      <c r="T381" s="321">
        <v>0</v>
      </c>
      <c r="U381" s="322">
        <v>0</v>
      </c>
      <c r="V381" s="323">
        <v>0</v>
      </c>
      <c r="W381" s="303"/>
      <c r="X381" s="324">
        <v>0</v>
      </c>
      <c r="Y381" s="325">
        <v>0</v>
      </c>
    </row>
    <row r="382" spans="1:25" x14ac:dyDescent="0.3">
      <c r="E382" s="250" t="s">
        <v>1317</v>
      </c>
      <c r="F382" s="317">
        <v>4303805</v>
      </c>
      <c r="G382" s="318"/>
      <c r="H382" s="319"/>
      <c r="I382" s="320"/>
      <c r="J382" s="337">
        <v>0</v>
      </c>
      <c r="K382" s="321">
        <v>0</v>
      </c>
      <c r="L382" s="321">
        <v>0</v>
      </c>
      <c r="M382" s="321">
        <v>0</v>
      </c>
      <c r="N382" s="321">
        <v>0</v>
      </c>
      <c r="O382" s="321">
        <v>0</v>
      </c>
      <c r="P382" s="321">
        <v>0</v>
      </c>
      <c r="Q382" s="321">
        <v>0</v>
      </c>
      <c r="R382" s="321">
        <v>0</v>
      </c>
      <c r="S382" s="321">
        <v>0</v>
      </c>
      <c r="T382" s="321">
        <v>0</v>
      </c>
      <c r="U382" s="322">
        <v>0</v>
      </c>
      <c r="V382" s="323">
        <v>0</v>
      </c>
      <c r="W382" s="303"/>
      <c r="X382" s="324">
        <v>0</v>
      </c>
      <c r="Y382" s="325">
        <v>0</v>
      </c>
    </row>
    <row r="383" spans="1:25" x14ac:dyDescent="0.3">
      <c r="E383" s="250" t="s">
        <v>1318</v>
      </c>
      <c r="F383" s="317">
        <v>4303806</v>
      </c>
      <c r="G383" s="318"/>
      <c r="H383" s="319"/>
      <c r="I383" s="320"/>
      <c r="J383" s="337">
        <v>0</v>
      </c>
      <c r="K383" s="321">
        <v>0</v>
      </c>
      <c r="L383" s="321">
        <v>0</v>
      </c>
      <c r="M383" s="321">
        <v>0</v>
      </c>
      <c r="N383" s="321">
        <v>0</v>
      </c>
      <c r="O383" s="321">
        <v>0</v>
      </c>
      <c r="P383" s="321">
        <v>0</v>
      </c>
      <c r="Q383" s="321">
        <v>0</v>
      </c>
      <c r="R383" s="321">
        <v>0</v>
      </c>
      <c r="S383" s="321">
        <v>0</v>
      </c>
      <c r="T383" s="321">
        <v>0</v>
      </c>
      <c r="U383" s="322">
        <v>0</v>
      </c>
      <c r="V383" s="323">
        <v>0</v>
      </c>
      <c r="W383" s="303"/>
      <c r="X383" s="324">
        <v>0</v>
      </c>
      <c r="Y383" s="325">
        <v>0</v>
      </c>
    </row>
    <row r="384" spans="1:25" x14ac:dyDescent="0.3">
      <c r="E384" s="250" t="s">
        <v>1319</v>
      </c>
      <c r="F384" s="317">
        <v>4303808</v>
      </c>
      <c r="G384" s="318"/>
      <c r="H384" s="319">
        <v>5101210111</v>
      </c>
      <c r="I384" s="320"/>
      <c r="J384" s="337">
        <v>832.95</v>
      </c>
      <c r="K384" s="321">
        <v>832.95</v>
      </c>
      <c r="L384" s="321">
        <v>832.95</v>
      </c>
      <c r="M384" s="321">
        <v>832.95</v>
      </c>
      <c r="N384" s="321">
        <v>832.95</v>
      </c>
      <c r="O384" s="321">
        <v>832.95</v>
      </c>
      <c r="P384" s="321">
        <v>859.95</v>
      </c>
      <c r="Q384" s="321">
        <v>859.95</v>
      </c>
      <c r="R384" s="321">
        <v>573.29999999999995</v>
      </c>
      <c r="S384" s="321">
        <v>573.29999999999995</v>
      </c>
      <c r="T384" s="321">
        <v>573.29999999999995</v>
      </c>
      <c r="U384" s="322">
        <v>286.64999999999998</v>
      </c>
      <c r="V384" s="323">
        <v>8724.15</v>
      </c>
      <c r="W384" s="303"/>
      <c r="X384" s="324">
        <v>286.64999999999998</v>
      </c>
      <c r="Y384" s="325">
        <v>8724.15</v>
      </c>
    </row>
    <row r="385" spans="1:25" x14ac:dyDescent="0.3">
      <c r="E385" s="250" t="s">
        <v>1320</v>
      </c>
      <c r="F385" s="317">
        <v>4303809</v>
      </c>
      <c r="G385" s="318"/>
      <c r="H385" s="319">
        <v>5101210113</v>
      </c>
      <c r="I385" s="320"/>
      <c r="J385" s="337">
        <v>20.788</v>
      </c>
      <c r="K385" s="321">
        <v>16.277999999999999</v>
      </c>
      <c r="L385" s="321">
        <v>16.771999999999998</v>
      </c>
      <c r="M385" s="321">
        <v>16.707999999999998</v>
      </c>
      <c r="N385" s="321">
        <v>0</v>
      </c>
      <c r="O385" s="321">
        <v>0</v>
      </c>
      <c r="P385" s="321">
        <v>0</v>
      </c>
      <c r="Q385" s="321">
        <v>0</v>
      </c>
      <c r="R385" s="321">
        <v>0</v>
      </c>
      <c r="S385" s="321">
        <v>0</v>
      </c>
      <c r="T385" s="321">
        <v>0</v>
      </c>
      <c r="U385" s="322">
        <v>88.3</v>
      </c>
      <c r="V385" s="323">
        <v>158.846</v>
      </c>
      <c r="W385" s="303"/>
      <c r="X385" s="324">
        <v>88.3</v>
      </c>
      <c r="Y385" s="325">
        <v>158.846</v>
      </c>
    </row>
    <row r="386" spans="1:25" x14ac:dyDescent="0.3">
      <c r="E386" s="250" t="s">
        <v>1321</v>
      </c>
      <c r="F386" s="317">
        <v>4303810</v>
      </c>
      <c r="G386" s="318"/>
      <c r="H386" s="319"/>
      <c r="I386" s="320"/>
      <c r="J386" s="337">
        <v>0</v>
      </c>
      <c r="K386" s="321">
        <v>0</v>
      </c>
      <c r="L386" s="321">
        <v>0</v>
      </c>
      <c r="M386" s="321">
        <v>0</v>
      </c>
      <c r="N386" s="321">
        <v>0</v>
      </c>
      <c r="O386" s="321">
        <v>0</v>
      </c>
      <c r="P386" s="321">
        <v>0</v>
      </c>
      <c r="Q386" s="321">
        <v>0</v>
      </c>
      <c r="R386" s="321">
        <v>0</v>
      </c>
      <c r="S386" s="321">
        <v>0</v>
      </c>
      <c r="T386" s="321">
        <v>0</v>
      </c>
      <c r="U386" s="322">
        <v>0</v>
      </c>
      <c r="V386" s="323">
        <v>0</v>
      </c>
      <c r="W386" s="303"/>
      <c r="X386" s="324">
        <v>0</v>
      </c>
      <c r="Y386" s="325">
        <v>0</v>
      </c>
    </row>
    <row r="387" spans="1:25" x14ac:dyDescent="0.3">
      <c r="E387" s="250" t="s">
        <v>1322</v>
      </c>
      <c r="F387" s="317">
        <v>4303811</v>
      </c>
      <c r="G387" s="318"/>
      <c r="H387" s="319"/>
      <c r="I387" s="320"/>
      <c r="J387" s="337">
        <v>0</v>
      </c>
      <c r="K387" s="321">
        <v>0</v>
      </c>
      <c r="L387" s="321">
        <v>0</v>
      </c>
      <c r="M387" s="321">
        <v>0</v>
      </c>
      <c r="N387" s="321">
        <v>0</v>
      </c>
      <c r="O387" s="321">
        <v>0</v>
      </c>
      <c r="P387" s="321">
        <v>0</v>
      </c>
      <c r="Q387" s="321">
        <v>0</v>
      </c>
      <c r="R387" s="321">
        <v>0</v>
      </c>
      <c r="S387" s="321">
        <v>0</v>
      </c>
      <c r="T387" s="321">
        <v>0</v>
      </c>
      <c r="U387" s="322">
        <v>0</v>
      </c>
      <c r="V387" s="323">
        <v>0</v>
      </c>
      <c r="W387" s="303"/>
      <c r="X387" s="324">
        <v>0</v>
      </c>
      <c r="Y387" s="325">
        <v>0</v>
      </c>
    </row>
    <row r="388" spans="1:25" x14ac:dyDescent="0.3">
      <c r="E388" s="250" t="s">
        <v>1323</v>
      </c>
      <c r="F388" s="317">
        <v>4303812</v>
      </c>
      <c r="G388" s="318"/>
      <c r="H388" s="319"/>
      <c r="I388" s="320"/>
      <c r="J388" s="337">
        <v>13.741</v>
      </c>
      <c r="K388" s="321">
        <v>0</v>
      </c>
      <c r="L388" s="321">
        <v>0</v>
      </c>
      <c r="M388" s="321">
        <v>0</v>
      </c>
      <c r="N388" s="321">
        <v>0</v>
      </c>
      <c r="O388" s="321">
        <v>0</v>
      </c>
      <c r="P388" s="321">
        <v>0</v>
      </c>
      <c r="Q388" s="321">
        <v>0</v>
      </c>
      <c r="R388" s="321">
        <v>0</v>
      </c>
      <c r="S388" s="321">
        <v>0</v>
      </c>
      <c r="T388" s="321">
        <v>0</v>
      </c>
      <c r="U388" s="322">
        <v>0</v>
      </c>
      <c r="V388" s="323">
        <v>13.741</v>
      </c>
      <c r="W388" s="303"/>
      <c r="X388" s="324">
        <v>0</v>
      </c>
      <c r="Y388" s="325">
        <v>13.741</v>
      </c>
    </row>
    <row r="389" spans="1:25" x14ac:dyDescent="0.3">
      <c r="E389" s="250" t="s">
        <v>1324</v>
      </c>
      <c r="F389" s="317">
        <v>4303813</v>
      </c>
      <c r="G389" s="318"/>
      <c r="H389" s="319"/>
      <c r="I389" s="320"/>
      <c r="J389" s="337">
        <v>0</v>
      </c>
      <c r="K389" s="321">
        <v>0</v>
      </c>
      <c r="L389" s="321">
        <v>0</v>
      </c>
      <c r="M389" s="321">
        <v>0</v>
      </c>
      <c r="N389" s="321">
        <v>0</v>
      </c>
      <c r="O389" s="321">
        <v>0</v>
      </c>
      <c r="P389" s="321">
        <v>0</v>
      </c>
      <c r="Q389" s="321">
        <v>0</v>
      </c>
      <c r="R389" s="321">
        <v>0</v>
      </c>
      <c r="S389" s="321">
        <v>0</v>
      </c>
      <c r="T389" s="321">
        <v>0</v>
      </c>
      <c r="U389" s="322">
        <v>0</v>
      </c>
      <c r="V389" s="323">
        <v>0</v>
      </c>
      <c r="W389" s="303"/>
      <c r="X389" s="324">
        <v>0</v>
      </c>
      <c r="Y389" s="325">
        <v>0</v>
      </c>
    </row>
    <row r="390" spans="1:25" x14ac:dyDescent="0.3">
      <c r="E390" s="250" t="s">
        <v>1325</v>
      </c>
      <c r="F390" s="317">
        <v>4303814</v>
      </c>
      <c r="G390" s="318"/>
      <c r="H390" s="319">
        <v>5101210115</v>
      </c>
      <c r="I390" s="320"/>
      <c r="J390" s="337">
        <v>2.3029999999999999</v>
      </c>
      <c r="K390" s="321">
        <v>36.412999999999997</v>
      </c>
      <c r="L390" s="321">
        <v>110.65300000000001</v>
      </c>
      <c r="M390" s="321">
        <v>33.253999999999998</v>
      </c>
      <c r="N390" s="321">
        <v>29.31</v>
      </c>
      <c r="O390" s="321">
        <v>25.832999999999998</v>
      </c>
      <c r="P390" s="321">
        <v>16.949000000000002</v>
      </c>
      <c r="Q390" s="321">
        <v>14.364000000000001</v>
      </c>
      <c r="R390" s="321">
        <v>5.024</v>
      </c>
      <c r="S390" s="321">
        <v>5.2960000000000003</v>
      </c>
      <c r="T390" s="321">
        <v>7.2850000000000001</v>
      </c>
      <c r="U390" s="322">
        <v>7.9169999999999998</v>
      </c>
      <c r="V390" s="323">
        <v>294.601</v>
      </c>
      <c r="W390" s="303"/>
      <c r="X390" s="324">
        <v>7.9169999999999998</v>
      </c>
      <c r="Y390" s="325">
        <v>294.601</v>
      </c>
    </row>
    <row r="391" spans="1:25" x14ac:dyDescent="0.3">
      <c r="E391" s="250" t="s">
        <v>1326</v>
      </c>
      <c r="F391" s="317">
        <v>4303815</v>
      </c>
      <c r="G391" s="318"/>
      <c r="H391" s="319">
        <v>5101210109</v>
      </c>
      <c r="I391" s="320"/>
      <c r="J391" s="337">
        <v>0</v>
      </c>
      <c r="K391" s="321">
        <v>0</v>
      </c>
      <c r="L391" s="321">
        <v>0</v>
      </c>
      <c r="M391" s="321">
        <v>0</v>
      </c>
      <c r="N391" s="321">
        <v>0</v>
      </c>
      <c r="O391" s="321">
        <v>0</v>
      </c>
      <c r="P391" s="321">
        <v>0</v>
      </c>
      <c r="Q391" s="321">
        <v>0</v>
      </c>
      <c r="R391" s="321">
        <v>0</v>
      </c>
      <c r="S391" s="321">
        <v>0</v>
      </c>
      <c r="T391" s="321">
        <v>0</v>
      </c>
      <c r="U391" s="322">
        <v>0</v>
      </c>
      <c r="V391" s="323">
        <v>0</v>
      </c>
      <c r="W391" s="303"/>
      <c r="X391" s="324">
        <v>0</v>
      </c>
      <c r="Y391" s="325">
        <v>0</v>
      </c>
    </row>
    <row r="392" spans="1:25" x14ac:dyDescent="0.3">
      <c r="E392" s="250" t="s">
        <v>1327</v>
      </c>
      <c r="F392" s="317">
        <v>4303816</v>
      </c>
      <c r="G392" s="318"/>
      <c r="H392" s="319">
        <v>5101210105</v>
      </c>
      <c r="I392" s="320"/>
      <c r="J392" s="337">
        <v>198.4</v>
      </c>
      <c r="K392" s="321">
        <v>143.37</v>
      </c>
      <c r="L392" s="321">
        <v>157.28</v>
      </c>
      <c r="M392" s="321">
        <v>134.6</v>
      </c>
      <c r="N392" s="321">
        <v>134.6</v>
      </c>
      <c r="O392" s="321">
        <v>134.6</v>
      </c>
      <c r="P392" s="321">
        <v>134.6</v>
      </c>
      <c r="Q392" s="321">
        <v>134.6</v>
      </c>
      <c r="R392" s="321">
        <v>124.01</v>
      </c>
      <c r="S392" s="321">
        <v>83.08</v>
      </c>
      <c r="T392" s="321">
        <v>92.18</v>
      </c>
      <c r="U392" s="322">
        <v>52.21</v>
      </c>
      <c r="V392" s="323">
        <v>1523.53</v>
      </c>
      <c r="W392" s="303"/>
      <c r="X392" s="324">
        <v>52.21</v>
      </c>
      <c r="Y392" s="325">
        <v>1523.53</v>
      </c>
    </row>
    <row r="393" spans="1:25" x14ac:dyDescent="0.3">
      <c r="E393" s="250" t="s">
        <v>1328</v>
      </c>
      <c r="F393" s="317">
        <v>4303817</v>
      </c>
      <c r="G393" s="318"/>
      <c r="H393" s="319"/>
      <c r="I393" s="320"/>
      <c r="J393" s="337">
        <v>0</v>
      </c>
      <c r="K393" s="321">
        <v>0</v>
      </c>
      <c r="L393" s="321">
        <v>0</v>
      </c>
      <c r="M393" s="321">
        <v>0</v>
      </c>
      <c r="N393" s="321">
        <v>0</v>
      </c>
      <c r="O393" s="321">
        <v>0</v>
      </c>
      <c r="P393" s="321">
        <v>0</v>
      </c>
      <c r="Q393" s="321">
        <v>19.190000000000001</v>
      </c>
      <c r="R393" s="321">
        <v>0</v>
      </c>
      <c r="S393" s="321">
        <v>0</v>
      </c>
      <c r="T393" s="321">
        <v>0</v>
      </c>
      <c r="U393" s="322">
        <v>0</v>
      </c>
      <c r="V393" s="323">
        <v>19.190000000000001</v>
      </c>
      <c r="W393" s="303"/>
      <c r="X393" s="324">
        <v>0</v>
      </c>
      <c r="Y393" s="325">
        <v>19.190000000000001</v>
      </c>
    </row>
    <row r="394" spans="1:25" x14ac:dyDescent="0.3">
      <c r="E394" s="250" t="s">
        <v>1329</v>
      </c>
      <c r="F394" s="317">
        <v>4303818</v>
      </c>
      <c r="G394" s="318"/>
      <c r="H394" s="319"/>
      <c r="I394" s="320"/>
      <c r="J394" s="337">
        <v>0</v>
      </c>
      <c r="K394" s="321">
        <v>0</v>
      </c>
      <c r="L394" s="321">
        <v>0</v>
      </c>
      <c r="M394" s="321">
        <v>0</v>
      </c>
      <c r="N394" s="321">
        <v>0</v>
      </c>
      <c r="O394" s="321">
        <v>0</v>
      </c>
      <c r="P394" s="321">
        <v>0</v>
      </c>
      <c r="Q394" s="321">
        <v>0</v>
      </c>
      <c r="R394" s="321">
        <v>0</v>
      </c>
      <c r="S394" s="321">
        <v>0</v>
      </c>
      <c r="T394" s="321">
        <v>0</v>
      </c>
      <c r="U394" s="322">
        <v>0</v>
      </c>
      <c r="V394" s="323">
        <v>0</v>
      </c>
      <c r="W394" s="303"/>
      <c r="X394" s="324">
        <v>0</v>
      </c>
      <c r="Y394" s="325">
        <v>0</v>
      </c>
    </row>
    <row r="395" spans="1:25" x14ac:dyDescent="0.3">
      <c r="E395" s="250" t="s">
        <v>1330</v>
      </c>
      <c r="F395" s="317">
        <v>4303820</v>
      </c>
      <c r="G395" s="318"/>
      <c r="H395" s="319"/>
      <c r="I395" s="320"/>
      <c r="J395" s="337">
        <v>0</v>
      </c>
      <c r="K395" s="321">
        <v>0</v>
      </c>
      <c r="L395" s="321">
        <v>0</v>
      </c>
      <c r="M395" s="321">
        <v>0</v>
      </c>
      <c r="N395" s="321">
        <v>0</v>
      </c>
      <c r="O395" s="321">
        <v>0</v>
      </c>
      <c r="P395" s="321">
        <v>0</v>
      </c>
      <c r="Q395" s="321">
        <v>0</v>
      </c>
      <c r="R395" s="321">
        <v>0</v>
      </c>
      <c r="S395" s="321">
        <v>0</v>
      </c>
      <c r="T395" s="321">
        <v>0</v>
      </c>
      <c r="U395" s="322">
        <v>0</v>
      </c>
      <c r="V395" s="323">
        <v>0</v>
      </c>
      <c r="W395" s="303"/>
      <c r="X395" s="324">
        <v>0</v>
      </c>
      <c r="Y395" s="325">
        <v>0</v>
      </c>
    </row>
    <row r="396" spans="1:25" x14ac:dyDescent="0.3">
      <c r="E396" s="250" t="s">
        <v>1331</v>
      </c>
      <c r="F396" s="317">
        <v>4303890</v>
      </c>
      <c r="G396" s="318"/>
      <c r="H396" s="319"/>
      <c r="I396" s="320"/>
      <c r="J396" s="337">
        <v>0</v>
      </c>
      <c r="K396" s="321">
        <v>0</v>
      </c>
      <c r="L396" s="321">
        <v>0</v>
      </c>
      <c r="M396" s="321">
        <v>0</v>
      </c>
      <c r="N396" s="321">
        <v>0</v>
      </c>
      <c r="O396" s="321">
        <v>0</v>
      </c>
      <c r="P396" s="321">
        <v>0</v>
      </c>
      <c r="Q396" s="321">
        <v>0</v>
      </c>
      <c r="R396" s="321">
        <v>0</v>
      </c>
      <c r="S396" s="321">
        <v>0</v>
      </c>
      <c r="T396" s="321">
        <v>0</v>
      </c>
      <c r="U396" s="322">
        <v>0</v>
      </c>
      <c r="V396" s="323">
        <v>0</v>
      </c>
      <c r="W396" s="303"/>
      <c r="X396" s="324">
        <v>0</v>
      </c>
      <c r="Y396" s="325">
        <v>0</v>
      </c>
    </row>
    <row r="397" spans="1:25" x14ac:dyDescent="0.3">
      <c r="A397" s="350"/>
      <c r="B397" s="350"/>
      <c r="C397" s="350"/>
      <c r="D397" s="350"/>
      <c r="E397" s="350" t="s">
        <v>1332</v>
      </c>
      <c r="F397" s="306">
        <v>4303899</v>
      </c>
      <c r="G397" s="307"/>
      <c r="H397" s="308"/>
      <c r="I397" s="309"/>
      <c r="J397" s="310">
        <v>0</v>
      </c>
      <c r="K397" s="311">
        <v>0</v>
      </c>
      <c r="L397" s="311">
        <v>0</v>
      </c>
      <c r="M397" s="311">
        <v>0</v>
      </c>
      <c r="N397" s="311">
        <v>0</v>
      </c>
      <c r="O397" s="311">
        <v>0</v>
      </c>
      <c r="P397" s="311">
        <v>0</v>
      </c>
      <c r="Q397" s="311">
        <v>0</v>
      </c>
      <c r="R397" s="311">
        <v>0</v>
      </c>
      <c r="S397" s="311">
        <v>0</v>
      </c>
      <c r="T397" s="311">
        <v>0</v>
      </c>
      <c r="U397" s="312">
        <v>0</v>
      </c>
      <c r="V397" s="313">
        <v>0</v>
      </c>
      <c r="W397" s="314"/>
      <c r="X397" s="315">
        <v>0</v>
      </c>
      <c r="Y397" s="316">
        <v>0</v>
      </c>
    </row>
    <row r="398" spans="1:25" x14ac:dyDescent="0.3">
      <c r="A398" s="361"/>
      <c r="B398" s="361"/>
      <c r="C398" s="361"/>
      <c r="D398" s="361"/>
      <c r="E398" s="326" t="s">
        <v>1333</v>
      </c>
      <c r="F398" s="351"/>
      <c r="G398" s="352"/>
      <c r="H398" s="353"/>
      <c r="I398" s="354"/>
      <c r="J398" s="362">
        <v>0</v>
      </c>
      <c r="K398" s="355">
        <v>0</v>
      </c>
      <c r="L398" s="355">
        <v>0</v>
      </c>
      <c r="M398" s="355">
        <v>0</v>
      </c>
      <c r="N398" s="355">
        <v>0</v>
      </c>
      <c r="O398" s="355">
        <v>0</v>
      </c>
      <c r="P398" s="355">
        <v>0</v>
      </c>
      <c r="Q398" s="355">
        <v>0</v>
      </c>
      <c r="R398" s="355">
        <v>0</v>
      </c>
      <c r="S398" s="355">
        <v>0</v>
      </c>
      <c r="T398" s="355">
        <v>0</v>
      </c>
      <c r="U398" s="356">
        <v>0</v>
      </c>
      <c r="V398" s="357">
        <v>0</v>
      </c>
      <c r="W398" s="358"/>
      <c r="X398" s="359">
        <v>0</v>
      </c>
      <c r="Y398" s="360">
        <v>0</v>
      </c>
    </row>
    <row r="399" spans="1:25" x14ac:dyDescent="0.3">
      <c r="A399" s="361"/>
      <c r="B399" s="361"/>
      <c r="C399" s="361"/>
      <c r="D399" s="361"/>
      <c r="E399" s="326" t="s">
        <v>1334</v>
      </c>
      <c r="F399" s="351"/>
      <c r="G399" s="352"/>
      <c r="H399" s="353"/>
      <c r="I399" s="354"/>
      <c r="J399" s="362">
        <v>0</v>
      </c>
      <c r="K399" s="355">
        <v>0</v>
      </c>
      <c r="L399" s="355">
        <v>0</v>
      </c>
      <c r="M399" s="355">
        <v>0</v>
      </c>
      <c r="N399" s="355">
        <v>0</v>
      </c>
      <c r="O399" s="355">
        <v>0</v>
      </c>
      <c r="P399" s="355">
        <v>0</v>
      </c>
      <c r="Q399" s="355">
        <v>0</v>
      </c>
      <c r="R399" s="355">
        <v>0</v>
      </c>
      <c r="S399" s="355">
        <v>0</v>
      </c>
      <c r="T399" s="355">
        <v>0</v>
      </c>
      <c r="U399" s="356">
        <v>0</v>
      </c>
      <c r="V399" s="357">
        <v>0</v>
      </c>
      <c r="W399" s="358"/>
      <c r="X399" s="359">
        <v>0</v>
      </c>
      <c r="Y399" s="360">
        <v>0</v>
      </c>
    </row>
    <row r="400" spans="1:25" x14ac:dyDescent="0.3">
      <c r="A400" s="361"/>
      <c r="B400" s="361"/>
      <c r="C400" s="361"/>
      <c r="D400" s="361"/>
      <c r="E400" s="326" t="s">
        <v>1335</v>
      </c>
      <c r="F400" s="351"/>
      <c r="G400" s="352"/>
      <c r="H400" s="353"/>
      <c r="I400" s="354"/>
      <c r="J400" s="362">
        <v>0</v>
      </c>
      <c r="K400" s="355">
        <v>0</v>
      </c>
      <c r="L400" s="355">
        <v>0</v>
      </c>
      <c r="M400" s="355">
        <v>0</v>
      </c>
      <c r="N400" s="355">
        <v>0</v>
      </c>
      <c r="O400" s="355">
        <v>0</v>
      </c>
      <c r="P400" s="355">
        <v>0</v>
      </c>
      <c r="Q400" s="355">
        <v>0</v>
      </c>
      <c r="R400" s="355">
        <v>0</v>
      </c>
      <c r="S400" s="355">
        <v>0</v>
      </c>
      <c r="T400" s="355">
        <v>0</v>
      </c>
      <c r="U400" s="356">
        <v>0</v>
      </c>
      <c r="V400" s="357">
        <v>0</v>
      </c>
      <c r="W400" s="358"/>
      <c r="X400" s="359">
        <v>0</v>
      </c>
      <c r="Y400" s="360">
        <v>0</v>
      </c>
    </row>
    <row r="401" spans="1:25" x14ac:dyDescent="0.3">
      <c r="A401" s="233"/>
      <c r="B401" s="234" t="s">
        <v>20</v>
      </c>
      <c r="D401" s="293" t="s">
        <v>1336</v>
      </c>
      <c r="E401" s="294"/>
      <c r="F401" s="295" t="s">
        <v>1337</v>
      </c>
      <c r="G401" s="296"/>
      <c r="H401" s="297"/>
      <c r="I401" s="298"/>
      <c r="J401" s="299">
        <v>0</v>
      </c>
      <c r="K401" s="300">
        <v>0</v>
      </c>
      <c r="L401" s="300">
        <v>0</v>
      </c>
      <c r="M401" s="300">
        <v>0</v>
      </c>
      <c r="N401" s="300">
        <v>0</v>
      </c>
      <c r="O401" s="300">
        <v>0</v>
      </c>
      <c r="P401" s="300">
        <v>0</v>
      </c>
      <c r="Q401" s="300">
        <v>0</v>
      </c>
      <c r="R401" s="300">
        <v>0</v>
      </c>
      <c r="S401" s="300">
        <v>0</v>
      </c>
      <c r="T401" s="300">
        <v>0</v>
      </c>
      <c r="U401" s="301">
        <v>0</v>
      </c>
      <c r="V401" s="302">
        <v>0</v>
      </c>
      <c r="W401" s="303"/>
      <c r="X401" s="304">
        <v>0</v>
      </c>
      <c r="Y401" s="305">
        <v>0</v>
      </c>
    </row>
    <row r="402" spans="1:25" x14ac:dyDescent="0.3">
      <c r="E402" s="339" t="s">
        <v>1338</v>
      </c>
      <c r="F402" s="340" t="s">
        <v>1339</v>
      </c>
      <c r="G402" s="341"/>
      <c r="H402" s="342"/>
      <c r="I402" s="343"/>
      <c r="J402" s="344">
        <v>0</v>
      </c>
      <c r="K402" s="345">
        <v>0</v>
      </c>
      <c r="L402" s="345">
        <v>0</v>
      </c>
      <c r="M402" s="345">
        <v>0</v>
      </c>
      <c r="N402" s="345">
        <v>0</v>
      </c>
      <c r="O402" s="345">
        <v>0</v>
      </c>
      <c r="P402" s="345">
        <v>0</v>
      </c>
      <c r="Q402" s="345">
        <v>0</v>
      </c>
      <c r="R402" s="345">
        <v>0</v>
      </c>
      <c r="S402" s="345">
        <v>0</v>
      </c>
      <c r="T402" s="345">
        <v>0</v>
      </c>
      <c r="U402" s="346">
        <v>0</v>
      </c>
      <c r="V402" s="347">
        <v>0</v>
      </c>
      <c r="W402" s="303"/>
      <c r="X402" s="348">
        <v>0</v>
      </c>
      <c r="Y402" s="349">
        <v>0</v>
      </c>
    </row>
    <row r="403" spans="1:25" x14ac:dyDescent="0.3">
      <c r="E403" s="250" t="s">
        <v>1340</v>
      </c>
      <c r="F403" s="317">
        <v>4301701</v>
      </c>
      <c r="G403" s="318"/>
      <c r="H403" s="319">
        <v>5101230101</v>
      </c>
      <c r="I403" s="320"/>
      <c r="J403" s="337">
        <v>0</v>
      </c>
      <c r="K403" s="321">
        <v>0</v>
      </c>
      <c r="L403" s="321">
        <v>0</v>
      </c>
      <c r="M403" s="321">
        <v>0</v>
      </c>
      <c r="N403" s="321">
        <v>0</v>
      </c>
      <c r="O403" s="321">
        <v>0</v>
      </c>
      <c r="P403" s="321">
        <v>0</v>
      </c>
      <c r="Q403" s="321">
        <v>0</v>
      </c>
      <c r="R403" s="321">
        <v>0</v>
      </c>
      <c r="S403" s="321">
        <v>0</v>
      </c>
      <c r="T403" s="321">
        <v>0</v>
      </c>
      <c r="U403" s="322">
        <v>0</v>
      </c>
      <c r="V403" s="323">
        <v>0</v>
      </c>
      <c r="W403" s="303"/>
      <c r="X403" s="324">
        <v>0</v>
      </c>
      <c r="Y403" s="325">
        <v>0</v>
      </c>
    </row>
    <row r="404" spans="1:25" x14ac:dyDescent="0.3">
      <c r="E404" s="250" t="s">
        <v>1341</v>
      </c>
      <c r="F404" s="317">
        <v>4301702</v>
      </c>
      <c r="G404" s="318"/>
      <c r="H404" s="319">
        <v>5101230103</v>
      </c>
      <c r="I404" s="320"/>
      <c r="J404" s="337">
        <v>0</v>
      </c>
      <c r="K404" s="321">
        <v>0</v>
      </c>
      <c r="L404" s="321">
        <v>0</v>
      </c>
      <c r="M404" s="321">
        <v>0</v>
      </c>
      <c r="N404" s="321">
        <v>0</v>
      </c>
      <c r="O404" s="321">
        <v>0</v>
      </c>
      <c r="P404" s="321">
        <v>0</v>
      </c>
      <c r="Q404" s="321">
        <v>0</v>
      </c>
      <c r="R404" s="321">
        <v>0</v>
      </c>
      <c r="S404" s="321">
        <v>0</v>
      </c>
      <c r="T404" s="321">
        <v>0</v>
      </c>
      <c r="U404" s="322">
        <v>0</v>
      </c>
      <c r="V404" s="323">
        <v>0</v>
      </c>
      <c r="W404" s="303"/>
      <c r="X404" s="324">
        <v>0</v>
      </c>
      <c r="Y404" s="325">
        <v>0</v>
      </c>
    </row>
    <row r="405" spans="1:25" x14ac:dyDescent="0.3">
      <c r="E405" s="250" t="s">
        <v>1342</v>
      </c>
      <c r="F405" s="317">
        <v>4301703</v>
      </c>
      <c r="G405" s="318"/>
      <c r="H405" s="319"/>
      <c r="I405" s="320"/>
      <c r="J405" s="337">
        <v>0</v>
      </c>
      <c r="K405" s="321">
        <v>0</v>
      </c>
      <c r="L405" s="321">
        <v>0</v>
      </c>
      <c r="M405" s="321">
        <v>0</v>
      </c>
      <c r="N405" s="321">
        <v>0</v>
      </c>
      <c r="O405" s="321">
        <v>0</v>
      </c>
      <c r="P405" s="321">
        <v>0</v>
      </c>
      <c r="Q405" s="321">
        <v>0</v>
      </c>
      <c r="R405" s="321">
        <v>0</v>
      </c>
      <c r="S405" s="321">
        <v>0</v>
      </c>
      <c r="T405" s="321">
        <v>0</v>
      </c>
      <c r="U405" s="322">
        <v>0</v>
      </c>
      <c r="V405" s="323">
        <v>0</v>
      </c>
      <c r="W405" s="303"/>
      <c r="X405" s="324">
        <v>0</v>
      </c>
      <c r="Y405" s="325">
        <v>0</v>
      </c>
    </row>
    <row r="406" spans="1:25" x14ac:dyDescent="0.3">
      <c r="E406" s="250" t="s">
        <v>1343</v>
      </c>
      <c r="F406" s="317">
        <v>4301705</v>
      </c>
      <c r="G406" s="318"/>
      <c r="H406" s="319"/>
      <c r="I406" s="320"/>
      <c r="J406" s="337">
        <v>0</v>
      </c>
      <c r="K406" s="321">
        <v>0</v>
      </c>
      <c r="L406" s="321">
        <v>0</v>
      </c>
      <c r="M406" s="321">
        <v>0</v>
      </c>
      <c r="N406" s="321">
        <v>0</v>
      </c>
      <c r="O406" s="321">
        <v>0</v>
      </c>
      <c r="P406" s="321">
        <v>0</v>
      </c>
      <c r="Q406" s="321">
        <v>0</v>
      </c>
      <c r="R406" s="321">
        <v>0</v>
      </c>
      <c r="S406" s="321">
        <v>0</v>
      </c>
      <c r="T406" s="321">
        <v>0</v>
      </c>
      <c r="U406" s="322">
        <v>0</v>
      </c>
      <c r="V406" s="323">
        <v>0</v>
      </c>
      <c r="W406" s="303"/>
      <c r="X406" s="324">
        <v>0</v>
      </c>
      <c r="Y406" s="325">
        <v>0</v>
      </c>
    </row>
    <row r="407" spans="1:25" x14ac:dyDescent="0.3">
      <c r="E407" s="250" t="s">
        <v>1344</v>
      </c>
      <c r="F407" s="317">
        <v>4301706</v>
      </c>
      <c r="G407" s="318"/>
      <c r="H407" s="319">
        <v>5101230105</v>
      </c>
      <c r="I407" s="320"/>
      <c r="J407" s="337">
        <v>0</v>
      </c>
      <c r="K407" s="321">
        <v>0</v>
      </c>
      <c r="L407" s="321">
        <v>0</v>
      </c>
      <c r="M407" s="321">
        <v>0</v>
      </c>
      <c r="N407" s="321">
        <v>0</v>
      </c>
      <c r="O407" s="321">
        <v>0</v>
      </c>
      <c r="P407" s="321">
        <v>0</v>
      </c>
      <c r="Q407" s="321">
        <v>0</v>
      </c>
      <c r="R407" s="321">
        <v>0</v>
      </c>
      <c r="S407" s="321">
        <v>0</v>
      </c>
      <c r="T407" s="321">
        <v>0</v>
      </c>
      <c r="U407" s="322">
        <v>0</v>
      </c>
      <c r="V407" s="323">
        <v>0</v>
      </c>
      <c r="W407" s="303"/>
      <c r="X407" s="324">
        <v>0</v>
      </c>
      <c r="Y407" s="325">
        <v>0</v>
      </c>
    </row>
    <row r="408" spans="1:25" x14ac:dyDescent="0.3">
      <c r="E408" s="250" t="s">
        <v>1345</v>
      </c>
      <c r="F408" s="317">
        <v>4301707</v>
      </c>
      <c r="G408" s="318"/>
      <c r="H408" s="319"/>
      <c r="I408" s="320"/>
      <c r="J408" s="337">
        <v>0</v>
      </c>
      <c r="K408" s="321">
        <v>0</v>
      </c>
      <c r="L408" s="321">
        <v>0</v>
      </c>
      <c r="M408" s="321">
        <v>0</v>
      </c>
      <c r="N408" s="321">
        <v>0</v>
      </c>
      <c r="O408" s="321">
        <v>0</v>
      </c>
      <c r="P408" s="321">
        <v>0</v>
      </c>
      <c r="Q408" s="321">
        <v>0</v>
      </c>
      <c r="R408" s="321">
        <v>0</v>
      </c>
      <c r="S408" s="321">
        <v>0</v>
      </c>
      <c r="T408" s="321">
        <v>0</v>
      </c>
      <c r="U408" s="322">
        <v>0</v>
      </c>
      <c r="V408" s="323">
        <v>0</v>
      </c>
      <c r="W408" s="303"/>
      <c r="X408" s="324">
        <v>0</v>
      </c>
      <c r="Y408" s="325">
        <v>0</v>
      </c>
    </row>
    <row r="409" spans="1:25" x14ac:dyDescent="0.3">
      <c r="E409" s="250" t="s">
        <v>1346</v>
      </c>
      <c r="F409" s="317">
        <v>4301708</v>
      </c>
      <c r="G409" s="318"/>
      <c r="H409" s="319">
        <v>5101230109</v>
      </c>
      <c r="I409" s="320"/>
      <c r="J409" s="337">
        <v>0</v>
      </c>
      <c r="K409" s="321">
        <v>0</v>
      </c>
      <c r="L409" s="321">
        <v>0</v>
      </c>
      <c r="M409" s="321">
        <v>0</v>
      </c>
      <c r="N409" s="321">
        <v>0</v>
      </c>
      <c r="O409" s="321">
        <v>0</v>
      </c>
      <c r="P409" s="321">
        <v>0</v>
      </c>
      <c r="Q409" s="321">
        <v>0</v>
      </c>
      <c r="R409" s="321">
        <v>0</v>
      </c>
      <c r="S409" s="321">
        <v>0</v>
      </c>
      <c r="T409" s="321">
        <v>0</v>
      </c>
      <c r="U409" s="322">
        <v>0</v>
      </c>
      <c r="V409" s="323">
        <v>0</v>
      </c>
      <c r="W409" s="303"/>
      <c r="X409" s="324">
        <v>0</v>
      </c>
      <c r="Y409" s="325">
        <v>0</v>
      </c>
    </row>
    <row r="410" spans="1:25" x14ac:dyDescent="0.3">
      <c r="E410" s="250" t="s">
        <v>1347</v>
      </c>
      <c r="F410" s="317">
        <v>4301799</v>
      </c>
      <c r="G410" s="318"/>
      <c r="H410" s="319">
        <v>5101230199</v>
      </c>
      <c r="I410" s="320"/>
      <c r="J410" s="337">
        <v>0</v>
      </c>
      <c r="K410" s="321">
        <v>0</v>
      </c>
      <c r="L410" s="321">
        <v>0</v>
      </c>
      <c r="M410" s="321">
        <v>0</v>
      </c>
      <c r="N410" s="321">
        <v>0</v>
      </c>
      <c r="O410" s="321">
        <v>0</v>
      </c>
      <c r="P410" s="321">
        <v>0</v>
      </c>
      <c r="Q410" s="321">
        <v>0</v>
      </c>
      <c r="R410" s="321">
        <v>0</v>
      </c>
      <c r="S410" s="321">
        <v>0</v>
      </c>
      <c r="T410" s="321">
        <v>0</v>
      </c>
      <c r="U410" s="322">
        <v>0</v>
      </c>
      <c r="V410" s="323">
        <v>0</v>
      </c>
      <c r="W410" s="303"/>
      <c r="X410" s="324">
        <v>0</v>
      </c>
      <c r="Y410" s="325">
        <v>0</v>
      </c>
    </row>
    <row r="411" spans="1:25" x14ac:dyDescent="0.3">
      <c r="A411" s="326"/>
      <c r="B411" s="326"/>
      <c r="C411" s="326"/>
      <c r="D411" s="326"/>
      <c r="E411" s="326" t="s">
        <v>1348</v>
      </c>
      <c r="F411" s="336"/>
      <c r="G411" s="327"/>
      <c r="H411" s="328"/>
      <c r="I411" s="329"/>
      <c r="J411" s="338">
        <v>0</v>
      </c>
      <c r="K411" s="330">
        <v>0</v>
      </c>
      <c r="L411" s="330">
        <v>0</v>
      </c>
      <c r="M411" s="330">
        <v>0</v>
      </c>
      <c r="N411" s="330">
        <v>0</v>
      </c>
      <c r="O411" s="330">
        <v>0</v>
      </c>
      <c r="P411" s="330">
        <v>0</v>
      </c>
      <c r="Q411" s="330">
        <v>0</v>
      </c>
      <c r="R411" s="330">
        <v>0</v>
      </c>
      <c r="S411" s="330">
        <v>0</v>
      </c>
      <c r="T411" s="330">
        <v>0</v>
      </c>
      <c r="U411" s="331">
        <v>0</v>
      </c>
      <c r="V411" s="332">
        <v>0</v>
      </c>
      <c r="W411" s="333"/>
      <c r="X411" s="334">
        <v>0</v>
      </c>
      <c r="Y411" s="335">
        <v>0</v>
      </c>
    </row>
    <row r="412" spans="1:25" x14ac:dyDescent="0.3">
      <c r="A412" s="326"/>
      <c r="B412" s="326"/>
      <c r="C412" s="326"/>
      <c r="D412" s="326"/>
      <c r="E412" s="326" t="s">
        <v>1349</v>
      </c>
      <c r="F412" s="336"/>
      <c r="G412" s="327"/>
      <c r="H412" s="328"/>
      <c r="I412" s="329"/>
      <c r="J412" s="338">
        <v>0</v>
      </c>
      <c r="K412" s="330">
        <v>0</v>
      </c>
      <c r="L412" s="330">
        <v>0</v>
      </c>
      <c r="M412" s="330">
        <v>0</v>
      </c>
      <c r="N412" s="330">
        <v>0</v>
      </c>
      <c r="O412" s="330">
        <v>0</v>
      </c>
      <c r="P412" s="330">
        <v>0</v>
      </c>
      <c r="Q412" s="330">
        <v>0</v>
      </c>
      <c r="R412" s="330">
        <v>0</v>
      </c>
      <c r="S412" s="330">
        <v>0</v>
      </c>
      <c r="T412" s="330">
        <v>0</v>
      </c>
      <c r="U412" s="331">
        <v>0</v>
      </c>
      <c r="V412" s="332">
        <v>0</v>
      </c>
      <c r="W412" s="333"/>
      <c r="X412" s="334">
        <v>0</v>
      </c>
      <c r="Y412" s="335">
        <v>0</v>
      </c>
    </row>
    <row r="413" spans="1:25" x14ac:dyDescent="0.3">
      <c r="A413" s="326"/>
      <c r="B413" s="326"/>
      <c r="C413" s="326"/>
      <c r="D413" s="326"/>
      <c r="E413" s="326" t="s">
        <v>1350</v>
      </c>
      <c r="F413" s="336"/>
      <c r="G413" s="327"/>
      <c r="H413" s="328"/>
      <c r="I413" s="329"/>
      <c r="J413" s="338">
        <v>0</v>
      </c>
      <c r="K413" s="330">
        <v>0</v>
      </c>
      <c r="L413" s="330">
        <v>0</v>
      </c>
      <c r="M413" s="330">
        <v>0</v>
      </c>
      <c r="N413" s="330">
        <v>0</v>
      </c>
      <c r="O413" s="330">
        <v>0</v>
      </c>
      <c r="P413" s="330">
        <v>0</v>
      </c>
      <c r="Q413" s="330">
        <v>0</v>
      </c>
      <c r="R413" s="330">
        <v>0</v>
      </c>
      <c r="S413" s="330">
        <v>0</v>
      </c>
      <c r="T413" s="330">
        <v>0</v>
      </c>
      <c r="U413" s="331">
        <v>0</v>
      </c>
      <c r="V413" s="332">
        <v>0</v>
      </c>
      <c r="W413" s="333"/>
      <c r="X413" s="334">
        <v>0</v>
      </c>
      <c r="Y413" s="335">
        <v>0</v>
      </c>
    </row>
    <row r="414" spans="1:25" x14ac:dyDescent="0.3">
      <c r="E414" s="339" t="s">
        <v>1351</v>
      </c>
      <c r="F414" s="340" t="s">
        <v>1352</v>
      </c>
      <c r="G414" s="341"/>
      <c r="H414" s="342"/>
      <c r="I414" s="343"/>
      <c r="J414" s="344">
        <v>0</v>
      </c>
      <c r="K414" s="345">
        <v>0</v>
      </c>
      <c r="L414" s="345">
        <v>0</v>
      </c>
      <c r="M414" s="345">
        <v>0</v>
      </c>
      <c r="N414" s="345">
        <v>0</v>
      </c>
      <c r="O414" s="345">
        <v>0</v>
      </c>
      <c r="P414" s="345">
        <v>0</v>
      </c>
      <c r="Q414" s="345">
        <v>0</v>
      </c>
      <c r="R414" s="345">
        <v>0</v>
      </c>
      <c r="S414" s="345">
        <v>0</v>
      </c>
      <c r="T414" s="345">
        <v>0</v>
      </c>
      <c r="U414" s="346">
        <v>0</v>
      </c>
      <c r="V414" s="347">
        <v>0</v>
      </c>
      <c r="W414" s="303"/>
      <c r="X414" s="348">
        <v>0</v>
      </c>
      <c r="Y414" s="349">
        <v>0</v>
      </c>
    </row>
    <row r="415" spans="1:25" x14ac:dyDescent="0.3">
      <c r="E415" s="250" t="s">
        <v>1353</v>
      </c>
      <c r="F415" s="317">
        <v>4301781</v>
      </c>
      <c r="G415" s="318"/>
      <c r="H415" s="319">
        <v>5101230301</v>
      </c>
      <c r="I415" s="320"/>
      <c r="J415" s="337">
        <v>0</v>
      </c>
      <c r="K415" s="321">
        <v>0</v>
      </c>
      <c r="L415" s="321">
        <v>0</v>
      </c>
      <c r="M415" s="321">
        <v>0</v>
      </c>
      <c r="N415" s="321">
        <v>0</v>
      </c>
      <c r="O415" s="321">
        <v>0</v>
      </c>
      <c r="P415" s="321">
        <v>0</v>
      </c>
      <c r="Q415" s="321">
        <v>0</v>
      </c>
      <c r="R415" s="321">
        <v>0</v>
      </c>
      <c r="S415" s="321">
        <v>0</v>
      </c>
      <c r="T415" s="321">
        <v>0</v>
      </c>
      <c r="U415" s="322">
        <v>0</v>
      </c>
      <c r="V415" s="323">
        <v>0</v>
      </c>
      <c r="W415" s="303"/>
      <c r="X415" s="324">
        <v>0</v>
      </c>
      <c r="Y415" s="325">
        <v>0</v>
      </c>
    </row>
    <row r="416" spans="1:25" x14ac:dyDescent="0.3">
      <c r="A416" s="326"/>
      <c r="B416" s="326"/>
      <c r="C416" s="326"/>
      <c r="D416" s="326"/>
      <c r="E416" s="326" t="s">
        <v>1348</v>
      </c>
      <c r="F416" s="336"/>
      <c r="G416" s="327"/>
      <c r="H416" s="328"/>
      <c r="I416" s="329"/>
      <c r="J416" s="338">
        <v>0</v>
      </c>
      <c r="K416" s="330">
        <v>0</v>
      </c>
      <c r="L416" s="330">
        <v>0</v>
      </c>
      <c r="M416" s="330">
        <v>0</v>
      </c>
      <c r="N416" s="330">
        <v>0</v>
      </c>
      <c r="O416" s="330">
        <v>0</v>
      </c>
      <c r="P416" s="330">
        <v>0</v>
      </c>
      <c r="Q416" s="330">
        <v>0</v>
      </c>
      <c r="R416" s="330">
        <v>0</v>
      </c>
      <c r="S416" s="330">
        <v>0</v>
      </c>
      <c r="T416" s="330">
        <v>0</v>
      </c>
      <c r="U416" s="331">
        <v>0</v>
      </c>
      <c r="V416" s="332">
        <v>0</v>
      </c>
      <c r="W416" s="333"/>
      <c r="X416" s="334">
        <v>0</v>
      </c>
      <c r="Y416" s="335">
        <v>0</v>
      </c>
    </row>
    <row r="417" spans="1:25" x14ac:dyDescent="0.3">
      <c r="A417" s="326"/>
      <c r="B417" s="326"/>
      <c r="C417" s="326"/>
      <c r="D417" s="326"/>
      <c r="E417" s="326" t="s">
        <v>1349</v>
      </c>
      <c r="F417" s="336"/>
      <c r="G417" s="327"/>
      <c r="H417" s="328"/>
      <c r="I417" s="329"/>
      <c r="J417" s="338">
        <v>0</v>
      </c>
      <c r="K417" s="330">
        <v>0</v>
      </c>
      <c r="L417" s="330">
        <v>0</v>
      </c>
      <c r="M417" s="330">
        <v>0</v>
      </c>
      <c r="N417" s="330">
        <v>0</v>
      </c>
      <c r="O417" s="330">
        <v>0</v>
      </c>
      <c r="P417" s="330">
        <v>0</v>
      </c>
      <c r="Q417" s="330">
        <v>0</v>
      </c>
      <c r="R417" s="330">
        <v>0</v>
      </c>
      <c r="S417" s="330">
        <v>0</v>
      </c>
      <c r="T417" s="330">
        <v>0</v>
      </c>
      <c r="U417" s="331">
        <v>0</v>
      </c>
      <c r="V417" s="332">
        <v>0</v>
      </c>
      <c r="W417" s="333"/>
      <c r="X417" s="334">
        <v>0</v>
      </c>
      <c r="Y417" s="335">
        <v>0</v>
      </c>
    </row>
    <row r="418" spans="1:25" x14ac:dyDescent="0.3">
      <c r="A418" s="326"/>
      <c r="B418" s="326"/>
      <c r="C418" s="326"/>
      <c r="D418" s="326"/>
      <c r="E418" s="326" t="s">
        <v>1350</v>
      </c>
      <c r="F418" s="336"/>
      <c r="G418" s="327"/>
      <c r="H418" s="328"/>
      <c r="I418" s="329"/>
      <c r="J418" s="338">
        <v>0</v>
      </c>
      <c r="K418" s="330">
        <v>0</v>
      </c>
      <c r="L418" s="330">
        <v>0</v>
      </c>
      <c r="M418" s="330">
        <v>0</v>
      </c>
      <c r="N418" s="330">
        <v>0</v>
      </c>
      <c r="O418" s="330">
        <v>0</v>
      </c>
      <c r="P418" s="330">
        <v>0</v>
      </c>
      <c r="Q418" s="330">
        <v>0</v>
      </c>
      <c r="R418" s="330">
        <v>0</v>
      </c>
      <c r="S418" s="330">
        <v>0</v>
      </c>
      <c r="T418" s="330">
        <v>0</v>
      </c>
      <c r="U418" s="331">
        <v>0</v>
      </c>
      <c r="V418" s="332">
        <v>0</v>
      </c>
      <c r="W418" s="333"/>
      <c r="X418" s="334">
        <v>0</v>
      </c>
      <c r="Y418" s="335">
        <v>0</v>
      </c>
    </row>
    <row r="419" spans="1:25" x14ac:dyDescent="0.3">
      <c r="A419" s="233"/>
      <c r="B419" s="234" t="s">
        <v>21</v>
      </c>
      <c r="D419" s="293" t="s">
        <v>1354</v>
      </c>
      <c r="E419" s="294"/>
      <c r="F419" s="295" t="s">
        <v>1355</v>
      </c>
      <c r="G419" s="296"/>
      <c r="H419" s="297"/>
      <c r="I419" s="298"/>
      <c r="J419" s="299">
        <v>218.02699999999999</v>
      </c>
      <c r="K419" s="300">
        <v>218.017</v>
      </c>
      <c r="L419" s="300">
        <v>10500</v>
      </c>
      <c r="M419" s="300">
        <v>0</v>
      </c>
      <c r="N419" s="300">
        <v>0</v>
      </c>
      <c r="O419" s="300">
        <v>0</v>
      </c>
      <c r="P419" s="300">
        <v>0</v>
      </c>
      <c r="Q419" s="300">
        <v>0</v>
      </c>
      <c r="R419" s="300">
        <v>0</v>
      </c>
      <c r="S419" s="300">
        <v>0</v>
      </c>
      <c r="T419" s="300">
        <v>0</v>
      </c>
      <c r="U419" s="301">
        <v>0</v>
      </c>
      <c r="V419" s="302">
        <v>10936.044</v>
      </c>
      <c r="W419" s="303"/>
      <c r="X419" s="304">
        <v>0</v>
      </c>
      <c r="Y419" s="305">
        <v>10936.044</v>
      </c>
    </row>
    <row r="420" spans="1:25" x14ac:dyDescent="0.3">
      <c r="E420" s="250" t="s">
        <v>1356</v>
      </c>
      <c r="F420" s="317">
        <v>4302002</v>
      </c>
      <c r="G420" s="318"/>
      <c r="H420" s="319">
        <v>5101530103</v>
      </c>
      <c r="I420" s="320"/>
      <c r="J420" s="337">
        <v>0</v>
      </c>
      <c r="K420" s="321">
        <v>0</v>
      </c>
      <c r="L420" s="321">
        <v>0</v>
      </c>
      <c r="M420" s="321">
        <v>0</v>
      </c>
      <c r="N420" s="321">
        <v>0</v>
      </c>
      <c r="O420" s="321">
        <v>0</v>
      </c>
      <c r="P420" s="321">
        <v>0</v>
      </c>
      <c r="Q420" s="321">
        <v>0</v>
      </c>
      <c r="R420" s="321">
        <v>0</v>
      </c>
      <c r="S420" s="321">
        <v>0</v>
      </c>
      <c r="T420" s="321">
        <v>0</v>
      </c>
      <c r="U420" s="322">
        <v>0</v>
      </c>
      <c r="V420" s="323">
        <v>0</v>
      </c>
      <c r="W420" s="303"/>
      <c r="X420" s="324">
        <v>0</v>
      </c>
      <c r="Y420" s="325">
        <v>0</v>
      </c>
    </row>
    <row r="421" spans="1:25" x14ac:dyDescent="0.3">
      <c r="E421" s="250" t="s">
        <v>1357</v>
      </c>
      <c r="F421" s="317">
        <v>4302003</v>
      </c>
      <c r="G421" s="318"/>
      <c r="H421" s="319">
        <v>5101530105</v>
      </c>
      <c r="I421" s="320"/>
      <c r="J421" s="337">
        <v>0</v>
      </c>
      <c r="K421" s="321">
        <v>0</v>
      </c>
      <c r="L421" s="321">
        <v>10500</v>
      </c>
      <c r="M421" s="321">
        <v>0</v>
      </c>
      <c r="N421" s="321">
        <v>0</v>
      </c>
      <c r="O421" s="321">
        <v>0</v>
      </c>
      <c r="P421" s="321">
        <v>0</v>
      </c>
      <c r="Q421" s="321">
        <v>0</v>
      </c>
      <c r="R421" s="321">
        <v>0</v>
      </c>
      <c r="S421" s="321">
        <v>0</v>
      </c>
      <c r="T421" s="321">
        <v>0</v>
      </c>
      <c r="U421" s="322">
        <v>0</v>
      </c>
      <c r="V421" s="323">
        <v>10500</v>
      </c>
      <c r="W421" s="303"/>
      <c r="X421" s="324">
        <v>0</v>
      </c>
      <c r="Y421" s="325">
        <v>10500</v>
      </c>
    </row>
    <row r="422" spans="1:25" x14ac:dyDescent="0.3">
      <c r="E422" s="250" t="s">
        <v>1358</v>
      </c>
      <c r="F422" s="317">
        <v>4302004</v>
      </c>
      <c r="G422" s="318"/>
      <c r="H422" s="319">
        <v>5101530107</v>
      </c>
      <c r="I422" s="320"/>
      <c r="J422" s="337">
        <v>0</v>
      </c>
      <c r="K422" s="321">
        <v>0</v>
      </c>
      <c r="L422" s="321">
        <v>0</v>
      </c>
      <c r="M422" s="321">
        <v>0</v>
      </c>
      <c r="N422" s="321">
        <v>0</v>
      </c>
      <c r="O422" s="321">
        <v>0</v>
      </c>
      <c r="P422" s="321">
        <v>0</v>
      </c>
      <c r="Q422" s="321">
        <v>0</v>
      </c>
      <c r="R422" s="321">
        <v>0</v>
      </c>
      <c r="S422" s="321">
        <v>0</v>
      </c>
      <c r="T422" s="321">
        <v>0</v>
      </c>
      <c r="U422" s="322">
        <v>0</v>
      </c>
      <c r="V422" s="323">
        <v>0</v>
      </c>
      <c r="W422" s="303"/>
      <c r="X422" s="324">
        <v>0</v>
      </c>
      <c r="Y422" s="325">
        <v>0</v>
      </c>
    </row>
    <row r="423" spans="1:25" x14ac:dyDescent="0.3">
      <c r="E423" s="250" t="s">
        <v>1359</v>
      </c>
      <c r="F423" s="317">
        <v>4302005</v>
      </c>
      <c r="G423" s="318"/>
      <c r="H423" s="319">
        <v>5101530109</v>
      </c>
      <c r="I423" s="320"/>
      <c r="J423" s="337">
        <v>0</v>
      </c>
      <c r="K423" s="321">
        <v>0</v>
      </c>
      <c r="L423" s="321">
        <v>0</v>
      </c>
      <c r="M423" s="321">
        <v>0</v>
      </c>
      <c r="N423" s="321">
        <v>0</v>
      </c>
      <c r="O423" s="321">
        <v>0</v>
      </c>
      <c r="P423" s="321">
        <v>0</v>
      </c>
      <c r="Q423" s="321">
        <v>0</v>
      </c>
      <c r="R423" s="321">
        <v>0</v>
      </c>
      <c r="S423" s="321">
        <v>0</v>
      </c>
      <c r="T423" s="321">
        <v>0</v>
      </c>
      <c r="U423" s="322">
        <v>0</v>
      </c>
      <c r="V423" s="323">
        <v>0</v>
      </c>
      <c r="W423" s="303"/>
      <c r="X423" s="324">
        <v>0</v>
      </c>
      <c r="Y423" s="325">
        <v>0</v>
      </c>
    </row>
    <row r="424" spans="1:25" x14ac:dyDescent="0.3">
      <c r="E424" s="250" t="s">
        <v>1360</v>
      </c>
      <c r="F424" s="317">
        <v>4302006</v>
      </c>
      <c r="G424" s="318"/>
      <c r="H424" s="319">
        <v>5101530111</v>
      </c>
      <c r="I424" s="320">
        <v>5101530134</v>
      </c>
      <c r="J424" s="337">
        <v>0</v>
      </c>
      <c r="K424" s="321">
        <v>0</v>
      </c>
      <c r="L424" s="321">
        <v>0</v>
      </c>
      <c r="M424" s="321">
        <v>0</v>
      </c>
      <c r="N424" s="321">
        <v>0</v>
      </c>
      <c r="O424" s="321">
        <v>0</v>
      </c>
      <c r="P424" s="321">
        <v>0</v>
      </c>
      <c r="Q424" s="321">
        <v>0</v>
      </c>
      <c r="R424" s="321">
        <v>0</v>
      </c>
      <c r="S424" s="321">
        <v>0</v>
      </c>
      <c r="T424" s="321">
        <v>0</v>
      </c>
      <c r="U424" s="322">
        <v>0</v>
      </c>
      <c r="V424" s="323">
        <v>0</v>
      </c>
      <c r="W424" s="303"/>
      <c r="X424" s="324">
        <v>0</v>
      </c>
      <c r="Y424" s="325">
        <v>0</v>
      </c>
    </row>
    <row r="425" spans="1:25" x14ac:dyDescent="0.3">
      <c r="E425" s="250" t="s">
        <v>1361</v>
      </c>
      <c r="F425" s="317">
        <v>4302007</v>
      </c>
      <c r="G425" s="318"/>
      <c r="H425" s="319">
        <v>5101530113</v>
      </c>
      <c r="I425" s="320"/>
      <c r="J425" s="337">
        <v>0</v>
      </c>
      <c r="K425" s="321">
        <v>0</v>
      </c>
      <c r="L425" s="321">
        <v>0</v>
      </c>
      <c r="M425" s="321">
        <v>0</v>
      </c>
      <c r="N425" s="321">
        <v>0</v>
      </c>
      <c r="O425" s="321">
        <v>0</v>
      </c>
      <c r="P425" s="321">
        <v>0</v>
      </c>
      <c r="Q425" s="321">
        <v>0</v>
      </c>
      <c r="R425" s="321">
        <v>0</v>
      </c>
      <c r="S425" s="321">
        <v>0</v>
      </c>
      <c r="T425" s="321">
        <v>0</v>
      </c>
      <c r="U425" s="322">
        <v>0</v>
      </c>
      <c r="V425" s="323">
        <v>0</v>
      </c>
      <c r="W425" s="303"/>
      <c r="X425" s="324">
        <v>0</v>
      </c>
      <c r="Y425" s="325">
        <v>0</v>
      </c>
    </row>
    <row r="426" spans="1:25" x14ac:dyDescent="0.3">
      <c r="E426" s="250" t="s">
        <v>1362</v>
      </c>
      <c r="F426" s="317">
        <v>4302008</v>
      </c>
      <c r="G426" s="318"/>
      <c r="H426" s="319">
        <v>5101530115</v>
      </c>
      <c r="I426" s="320"/>
      <c r="J426" s="337">
        <v>0</v>
      </c>
      <c r="K426" s="321">
        <v>0</v>
      </c>
      <c r="L426" s="321">
        <v>0</v>
      </c>
      <c r="M426" s="321">
        <v>0</v>
      </c>
      <c r="N426" s="321">
        <v>0</v>
      </c>
      <c r="O426" s="321">
        <v>0</v>
      </c>
      <c r="P426" s="321">
        <v>0</v>
      </c>
      <c r="Q426" s="321">
        <v>0</v>
      </c>
      <c r="R426" s="321">
        <v>0</v>
      </c>
      <c r="S426" s="321">
        <v>0</v>
      </c>
      <c r="T426" s="321">
        <v>0</v>
      </c>
      <c r="U426" s="322">
        <v>0</v>
      </c>
      <c r="V426" s="323">
        <v>0</v>
      </c>
      <c r="W426" s="303"/>
      <c r="X426" s="324">
        <v>0</v>
      </c>
      <c r="Y426" s="325">
        <v>0</v>
      </c>
    </row>
    <row r="427" spans="1:25" x14ac:dyDescent="0.3">
      <c r="E427" s="250" t="s">
        <v>1363</v>
      </c>
      <c r="F427" s="317">
        <v>4302009</v>
      </c>
      <c r="G427" s="318"/>
      <c r="H427" s="319">
        <v>5101530117</v>
      </c>
      <c r="I427" s="320"/>
      <c r="J427" s="337">
        <v>0</v>
      </c>
      <c r="K427" s="321">
        <v>0</v>
      </c>
      <c r="L427" s="321">
        <v>0</v>
      </c>
      <c r="M427" s="321">
        <v>0</v>
      </c>
      <c r="N427" s="321">
        <v>0</v>
      </c>
      <c r="O427" s="321">
        <v>0</v>
      </c>
      <c r="P427" s="321">
        <v>0</v>
      </c>
      <c r="Q427" s="321">
        <v>0</v>
      </c>
      <c r="R427" s="321">
        <v>0</v>
      </c>
      <c r="S427" s="321">
        <v>0</v>
      </c>
      <c r="T427" s="321">
        <v>0</v>
      </c>
      <c r="U427" s="322">
        <v>0</v>
      </c>
      <c r="V427" s="323">
        <v>0</v>
      </c>
      <c r="W427" s="303"/>
      <c r="X427" s="324">
        <v>0</v>
      </c>
      <c r="Y427" s="325">
        <v>0</v>
      </c>
    </row>
    <row r="428" spans="1:25" x14ac:dyDescent="0.3">
      <c r="E428" s="250" t="s">
        <v>1364</v>
      </c>
      <c r="F428" s="317">
        <v>4302010</v>
      </c>
      <c r="G428" s="318"/>
      <c r="H428" s="319">
        <v>5101530119</v>
      </c>
      <c r="I428" s="320"/>
      <c r="J428" s="337">
        <v>0</v>
      </c>
      <c r="K428" s="321">
        <v>0</v>
      </c>
      <c r="L428" s="321">
        <v>0</v>
      </c>
      <c r="M428" s="321">
        <v>0</v>
      </c>
      <c r="N428" s="321">
        <v>0</v>
      </c>
      <c r="O428" s="321">
        <v>0</v>
      </c>
      <c r="P428" s="321">
        <v>0</v>
      </c>
      <c r="Q428" s="321">
        <v>0</v>
      </c>
      <c r="R428" s="321">
        <v>0</v>
      </c>
      <c r="S428" s="321">
        <v>0</v>
      </c>
      <c r="T428" s="321">
        <v>0</v>
      </c>
      <c r="U428" s="322">
        <v>0</v>
      </c>
      <c r="V428" s="323">
        <v>0</v>
      </c>
      <c r="W428" s="303"/>
      <c r="X428" s="324">
        <v>0</v>
      </c>
      <c r="Y428" s="325">
        <v>0</v>
      </c>
    </row>
    <row r="429" spans="1:25" x14ac:dyDescent="0.3">
      <c r="E429" s="250" t="s">
        <v>1365</v>
      </c>
      <c r="F429" s="317">
        <v>4302011</v>
      </c>
      <c r="G429" s="318"/>
      <c r="H429" s="319"/>
      <c r="I429" s="320"/>
      <c r="J429" s="337">
        <v>0</v>
      </c>
      <c r="K429" s="321">
        <v>0</v>
      </c>
      <c r="L429" s="321">
        <v>0</v>
      </c>
      <c r="M429" s="321">
        <v>0</v>
      </c>
      <c r="N429" s="321">
        <v>0</v>
      </c>
      <c r="O429" s="321">
        <v>0</v>
      </c>
      <c r="P429" s="321">
        <v>0</v>
      </c>
      <c r="Q429" s="321">
        <v>0</v>
      </c>
      <c r="R429" s="321">
        <v>0</v>
      </c>
      <c r="S429" s="321">
        <v>0</v>
      </c>
      <c r="T429" s="321">
        <v>0</v>
      </c>
      <c r="U429" s="322">
        <v>0</v>
      </c>
      <c r="V429" s="323">
        <v>0</v>
      </c>
      <c r="W429" s="303"/>
      <c r="X429" s="324">
        <v>0</v>
      </c>
      <c r="Y429" s="325">
        <v>0</v>
      </c>
    </row>
    <row r="430" spans="1:25" x14ac:dyDescent="0.3">
      <c r="E430" s="250" t="s">
        <v>1366</v>
      </c>
      <c r="F430" s="317">
        <v>4302012</v>
      </c>
      <c r="G430" s="318"/>
      <c r="H430" s="319">
        <v>5101530121</v>
      </c>
      <c r="I430" s="320"/>
      <c r="J430" s="337">
        <v>0</v>
      </c>
      <c r="K430" s="321">
        <v>0</v>
      </c>
      <c r="L430" s="321">
        <v>0</v>
      </c>
      <c r="M430" s="321">
        <v>0</v>
      </c>
      <c r="N430" s="321">
        <v>0</v>
      </c>
      <c r="O430" s="321">
        <v>0</v>
      </c>
      <c r="P430" s="321">
        <v>0</v>
      </c>
      <c r="Q430" s="321">
        <v>0</v>
      </c>
      <c r="R430" s="321">
        <v>0</v>
      </c>
      <c r="S430" s="321">
        <v>0</v>
      </c>
      <c r="T430" s="321">
        <v>0</v>
      </c>
      <c r="U430" s="322">
        <v>0</v>
      </c>
      <c r="V430" s="323">
        <v>0</v>
      </c>
      <c r="W430" s="303"/>
      <c r="X430" s="324">
        <v>0</v>
      </c>
      <c r="Y430" s="325">
        <v>0</v>
      </c>
    </row>
    <row r="431" spans="1:25" x14ac:dyDescent="0.3">
      <c r="E431" s="250" t="s">
        <v>1367</v>
      </c>
      <c r="F431" s="317">
        <v>4302013</v>
      </c>
      <c r="G431" s="318"/>
      <c r="H431" s="319">
        <v>5101530123</v>
      </c>
      <c r="I431" s="320"/>
      <c r="J431" s="337">
        <v>0</v>
      </c>
      <c r="K431" s="321">
        <v>0</v>
      </c>
      <c r="L431" s="321">
        <v>0</v>
      </c>
      <c r="M431" s="321">
        <v>0</v>
      </c>
      <c r="N431" s="321">
        <v>0</v>
      </c>
      <c r="O431" s="321">
        <v>0</v>
      </c>
      <c r="P431" s="321">
        <v>0</v>
      </c>
      <c r="Q431" s="321">
        <v>0</v>
      </c>
      <c r="R431" s="321">
        <v>0</v>
      </c>
      <c r="S431" s="321">
        <v>0</v>
      </c>
      <c r="T431" s="321">
        <v>0</v>
      </c>
      <c r="U431" s="322">
        <v>0</v>
      </c>
      <c r="V431" s="323">
        <v>0</v>
      </c>
      <c r="W431" s="303"/>
      <c r="X431" s="324">
        <v>0</v>
      </c>
      <c r="Y431" s="325">
        <v>0</v>
      </c>
    </row>
    <row r="432" spans="1:25" x14ac:dyDescent="0.3">
      <c r="E432" s="250" t="s">
        <v>1368</v>
      </c>
      <c r="F432" s="317">
        <v>4302014</v>
      </c>
      <c r="G432" s="318"/>
      <c r="H432" s="319">
        <v>5101530125</v>
      </c>
      <c r="I432" s="320"/>
      <c r="J432" s="337">
        <v>0</v>
      </c>
      <c r="K432" s="321">
        <v>0</v>
      </c>
      <c r="L432" s="321">
        <v>0</v>
      </c>
      <c r="M432" s="321">
        <v>0</v>
      </c>
      <c r="N432" s="321">
        <v>0</v>
      </c>
      <c r="O432" s="321">
        <v>0</v>
      </c>
      <c r="P432" s="321">
        <v>0</v>
      </c>
      <c r="Q432" s="321">
        <v>0</v>
      </c>
      <c r="R432" s="321">
        <v>0</v>
      </c>
      <c r="S432" s="321">
        <v>0</v>
      </c>
      <c r="T432" s="321">
        <v>0</v>
      </c>
      <c r="U432" s="322">
        <v>0</v>
      </c>
      <c r="V432" s="323">
        <v>0</v>
      </c>
      <c r="W432" s="303"/>
      <c r="X432" s="324">
        <v>0</v>
      </c>
      <c r="Y432" s="325">
        <v>0</v>
      </c>
    </row>
    <row r="433" spans="5:25" x14ac:dyDescent="0.3">
      <c r="E433" s="250" t="s">
        <v>1369</v>
      </c>
      <c r="F433" s="317">
        <v>4302015</v>
      </c>
      <c r="G433" s="318"/>
      <c r="H433" s="319">
        <v>5101530127</v>
      </c>
      <c r="I433" s="320"/>
      <c r="J433" s="337">
        <v>0</v>
      </c>
      <c r="K433" s="321">
        <v>0</v>
      </c>
      <c r="L433" s="321">
        <v>0</v>
      </c>
      <c r="M433" s="321">
        <v>0</v>
      </c>
      <c r="N433" s="321">
        <v>0</v>
      </c>
      <c r="O433" s="321">
        <v>0</v>
      </c>
      <c r="P433" s="321">
        <v>0</v>
      </c>
      <c r="Q433" s="321">
        <v>0</v>
      </c>
      <c r="R433" s="321">
        <v>0</v>
      </c>
      <c r="S433" s="321">
        <v>0</v>
      </c>
      <c r="T433" s="321">
        <v>0</v>
      </c>
      <c r="U433" s="322">
        <v>0</v>
      </c>
      <c r="V433" s="323">
        <v>0</v>
      </c>
      <c r="W433" s="303"/>
      <c r="X433" s="324">
        <v>0</v>
      </c>
      <c r="Y433" s="325">
        <v>0</v>
      </c>
    </row>
    <row r="434" spans="5:25" x14ac:dyDescent="0.3">
      <c r="E434" s="250" t="s">
        <v>1370</v>
      </c>
      <c r="F434" s="317">
        <v>4302016</v>
      </c>
      <c r="G434" s="318"/>
      <c r="H434" s="319">
        <v>5101530129</v>
      </c>
      <c r="I434" s="320"/>
      <c r="J434" s="337">
        <v>0</v>
      </c>
      <c r="K434" s="321">
        <v>0</v>
      </c>
      <c r="L434" s="321">
        <v>0</v>
      </c>
      <c r="M434" s="321">
        <v>0</v>
      </c>
      <c r="N434" s="321">
        <v>0</v>
      </c>
      <c r="O434" s="321">
        <v>0</v>
      </c>
      <c r="P434" s="321">
        <v>0</v>
      </c>
      <c r="Q434" s="321">
        <v>0</v>
      </c>
      <c r="R434" s="321">
        <v>0</v>
      </c>
      <c r="S434" s="321">
        <v>0</v>
      </c>
      <c r="T434" s="321">
        <v>0</v>
      </c>
      <c r="U434" s="322">
        <v>0</v>
      </c>
      <c r="V434" s="323">
        <v>0</v>
      </c>
      <c r="W434" s="303"/>
      <c r="X434" s="324">
        <v>0</v>
      </c>
      <c r="Y434" s="325">
        <v>0</v>
      </c>
    </row>
    <row r="435" spans="5:25" x14ac:dyDescent="0.3">
      <c r="E435" s="250" t="s">
        <v>1371</v>
      </c>
      <c r="F435" s="317">
        <v>4302017</v>
      </c>
      <c r="G435" s="318"/>
      <c r="H435" s="319">
        <v>5101530131</v>
      </c>
      <c r="I435" s="320"/>
      <c r="J435" s="337">
        <v>0</v>
      </c>
      <c r="K435" s="321">
        <v>0</v>
      </c>
      <c r="L435" s="321">
        <v>0</v>
      </c>
      <c r="M435" s="321">
        <v>0</v>
      </c>
      <c r="N435" s="321">
        <v>0</v>
      </c>
      <c r="O435" s="321">
        <v>0</v>
      </c>
      <c r="P435" s="321">
        <v>0</v>
      </c>
      <c r="Q435" s="321">
        <v>0</v>
      </c>
      <c r="R435" s="321">
        <v>0</v>
      </c>
      <c r="S435" s="321">
        <v>0</v>
      </c>
      <c r="T435" s="321">
        <v>0</v>
      </c>
      <c r="U435" s="322">
        <v>0</v>
      </c>
      <c r="V435" s="323">
        <v>0</v>
      </c>
      <c r="W435" s="303"/>
      <c r="X435" s="324">
        <v>0</v>
      </c>
      <c r="Y435" s="325">
        <v>0</v>
      </c>
    </row>
    <row r="436" spans="5:25" x14ac:dyDescent="0.3">
      <c r="E436" s="250" t="s">
        <v>1372</v>
      </c>
      <c r="F436" s="317">
        <v>4302018</v>
      </c>
      <c r="G436" s="318"/>
      <c r="H436" s="319">
        <v>5101530199</v>
      </c>
      <c r="I436" s="320"/>
      <c r="J436" s="337">
        <v>0</v>
      </c>
      <c r="K436" s="321">
        <v>0</v>
      </c>
      <c r="L436" s="321">
        <v>0</v>
      </c>
      <c r="M436" s="321">
        <v>0</v>
      </c>
      <c r="N436" s="321">
        <v>0</v>
      </c>
      <c r="O436" s="321">
        <v>0</v>
      </c>
      <c r="P436" s="321">
        <v>0</v>
      </c>
      <c r="Q436" s="321">
        <v>0</v>
      </c>
      <c r="R436" s="321">
        <v>0</v>
      </c>
      <c r="S436" s="321">
        <v>0</v>
      </c>
      <c r="T436" s="321">
        <v>0</v>
      </c>
      <c r="U436" s="322">
        <v>0</v>
      </c>
      <c r="V436" s="323">
        <v>0</v>
      </c>
      <c r="W436" s="303"/>
      <c r="X436" s="324">
        <v>0</v>
      </c>
      <c r="Y436" s="325">
        <v>0</v>
      </c>
    </row>
    <row r="437" spans="5:25" x14ac:dyDescent="0.3">
      <c r="E437" s="250" t="s">
        <v>1373</v>
      </c>
      <c r="F437" s="317">
        <v>4302020</v>
      </c>
      <c r="G437" s="318"/>
      <c r="H437" s="319">
        <v>5101530133</v>
      </c>
      <c r="I437" s="320"/>
      <c r="J437" s="337">
        <v>0</v>
      </c>
      <c r="K437" s="321">
        <v>0</v>
      </c>
      <c r="L437" s="321">
        <v>0</v>
      </c>
      <c r="M437" s="321">
        <v>0</v>
      </c>
      <c r="N437" s="321">
        <v>0</v>
      </c>
      <c r="O437" s="321">
        <v>0</v>
      </c>
      <c r="P437" s="321">
        <v>0</v>
      </c>
      <c r="Q437" s="321">
        <v>0</v>
      </c>
      <c r="R437" s="321">
        <v>0</v>
      </c>
      <c r="S437" s="321">
        <v>0</v>
      </c>
      <c r="T437" s="321">
        <v>0</v>
      </c>
      <c r="U437" s="322">
        <v>0</v>
      </c>
      <c r="V437" s="323">
        <v>0</v>
      </c>
      <c r="W437" s="303"/>
      <c r="X437" s="324">
        <v>0</v>
      </c>
      <c r="Y437" s="325">
        <v>0</v>
      </c>
    </row>
    <row r="438" spans="5:25" x14ac:dyDescent="0.3">
      <c r="E438" s="250" t="s">
        <v>1374</v>
      </c>
      <c r="F438" s="317">
        <v>4302022</v>
      </c>
      <c r="G438" s="318"/>
      <c r="H438" s="319"/>
      <c r="I438" s="320"/>
      <c r="J438" s="337">
        <v>0</v>
      </c>
      <c r="K438" s="321">
        <v>0</v>
      </c>
      <c r="L438" s="321">
        <v>0</v>
      </c>
      <c r="M438" s="321">
        <v>0</v>
      </c>
      <c r="N438" s="321">
        <v>0</v>
      </c>
      <c r="O438" s="321">
        <v>0</v>
      </c>
      <c r="P438" s="321">
        <v>0</v>
      </c>
      <c r="Q438" s="321">
        <v>0</v>
      </c>
      <c r="R438" s="321">
        <v>0</v>
      </c>
      <c r="S438" s="321">
        <v>0</v>
      </c>
      <c r="T438" s="321">
        <v>0</v>
      </c>
      <c r="U438" s="322">
        <v>0</v>
      </c>
      <c r="V438" s="323">
        <v>0</v>
      </c>
      <c r="W438" s="303"/>
      <c r="X438" s="324">
        <v>0</v>
      </c>
      <c r="Y438" s="325">
        <v>0</v>
      </c>
    </row>
    <row r="439" spans="5:25" x14ac:dyDescent="0.3">
      <c r="E439" s="250" t="s">
        <v>1375</v>
      </c>
      <c r="F439" s="317">
        <v>4302080</v>
      </c>
      <c r="G439" s="318"/>
      <c r="H439" s="319"/>
      <c r="I439" s="320"/>
      <c r="J439" s="337">
        <v>0</v>
      </c>
      <c r="K439" s="321">
        <v>0</v>
      </c>
      <c r="L439" s="321">
        <v>0</v>
      </c>
      <c r="M439" s="321">
        <v>0</v>
      </c>
      <c r="N439" s="321">
        <v>0</v>
      </c>
      <c r="O439" s="321">
        <v>0</v>
      </c>
      <c r="P439" s="321">
        <v>0</v>
      </c>
      <c r="Q439" s="321">
        <v>0</v>
      </c>
      <c r="R439" s="321">
        <v>0</v>
      </c>
      <c r="S439" s="321">
        <v>0</v>
      </c>
      <c r="T439" s="321">
        <v>0</v>
      </c>
      <c r="U439" s="322">
        <v>0</v>
      </c>
      <c r="V439" s="323">
        <v>0</v>
      </c>
      <c r="W439" s="303"/>
      <c r="X439" s="324">
        <v>0</v>
      </c>
      <c r="Y439" s="325">
        <v>0</v>
      </c>
    </row>
    <row r="440" spans="5:25" x14ac:dyDescent="0.3">
      <c r="E440" s="250" t="s">
        <v>1376</v>
      </c>
      <c r="F440" s="317">
        <v>4302081</v>
      </c>
      <c r="G440" s="318"/>
      <c r="H440" s="319"/>
      <c r="I440" s="320"/>
      <c r="J440" s="337">
        <v>0</v>
      </c>
      <c r="K440" s="321">
        <v>0</v>
      </c>
      <c r="L440" s="321">
        <v>0</v>
      </c>
      <c r="M440" s="321">
        <v>0</v>
      </c>
      <c r="N440" s="321">
        <v>0</v>
      </c>
      <c r="O440" s="321">
        <v>0</v>
      </c>
      <c r="P440" s="321">
        <v>0</v>
      </c>
      <c r="Q440" s="321">
        <v>0</v>
      </c>
      <c r="R440" s="321">
        <v>0</v>
      </c>
      <c r="S440" s="321">
        <v>0</v>
      </c>
      <c r="T440" s="321">
        <v>0</v>
      </c>
      <c r="U440" s="322">
        <v>0</v>
      </c>
      <c r="V440" s="323">
        <v>0</v>
      </c>
      <c r="W440" s="303"/>
      <c r="X440" s="324">
        <v>0</v>
      </c>
      <c r="Y440" s="325">
        <v>0</v>
      </c>
    </row>
    <row r="441" spans="5:25" x14ac:dyDescent="0.3">
      <c r="E441" s="250" t="s">
        <v>1377</v>
      </c>
      <c r="F441" s="317">
        <v>4302082</v>
      </c>
      <c r="G441" s="318"/>
      <c r="H441" s="319"/>
      <c r="I441" s="320"/>
      <c r="J441" s="337">
        <v>0</v>
      </c>
      <c r="K441" s="321">
        <v>0</v>
      </c>
      <c r="L441" s="321">
        <v>0</v>
      </c>
      <c r="M441" s="321">
        <v>0</v>
      </c>
      <c r="N441" s="321">
        <v>0</v>
      </c>
      <c r="O441" s="321">
        <v>0</v>
      </c>
      <c r="P441" s="321">
        <v>0</v>
      </c>
      <c r="Q441" s="321">
        <v>0</v>
      </c>
      <c r="R441" s="321">
        <v>0</v>
      </c>
      <c r="S441" s="321">
        <v>0</v>
      </c>
      <c r="T441" s="321">
        <v>0</v>
      </c>
      <c r="U441" s="322">
        <v>0</v>
      </c>
      <c r="V441" s="323">
        <v>0</v>
      </c>
      <c r="W441" s="303"/>
      <c r="X441" s="324">
        <v>0</v>
      </c>
      <c r="Y441" s="325">
        <v>0</v>
      </c>
    </row>
    <row r="442" spans="5:25" x14ac:dyDescent="0.3">
      <c r="E442" s="250" t="s">
        <v>1378</v>
      </c>
      <c r="F442" s="317">
        <v>4302083</v>
      </c>
      <c r="G442" s="318"/>
      <c r="H442" s="319"/>
      <c r="I442" s="320"/>
      <c r="J442" s="337">
        <v>0</v>
      </c>
      <c r="K442" s="321">
        <v>0</v>
      </c>
      <c r="L442" s="321">
        <v>0</v>
      </c>
      <c r="M442" s="321">
        <v>0</v>
      </c>
      <c r="N442" s="321">
        <v>0</v>
      </c>
      <c r="O442" s="321">
        <v>0</v>
      </c>
      <c r="P442" s="321">
        <v>0</v>
      </c>
      <c r="Q442" s="321">
        <v>0</v>
      </c>
      <c r="R442" s="321">
        <v>0</v>
      </c>
      <c r="S442" s="321">
        <v>0</v>
      </c>
      <c r="T442" s="321">
        <v>0</v>
      </c>
      <c r="U442" s="322">
        <v>0</v>
      </c>
      <c r="V442" s="323">
        <v>0</v>
      </c>
      <c r="W442" s="303"/>
      <c r="X442" s="324">
        <v>0</v>
      </c>
      <c r="Y442" s="325">
        <v>0</v>
      </c>
    </row>
    <row r="443" spans="5:25" x14ac:dyDescent="0.3">
      <c r="E443" s="250" t="s">
        <v>1379</v>
      </c>
      <c r="F443" s="317">
        <v>4302084</v>
      </c>
      <c r="G443" s="318"/>
      <c r="H443" s="319"/>
      <c r="I443" s="320"/>
      <c r="J443" s="337">
        <v>0</v>
      </c>
      <c r="K443" s="321">
        <v>0</v>
      </c>
      <c r="L443" s="321">
        <v>0</v>
      </c>
      <c r="M443" s="321">
        <v>0</v>
      </c>
      <c r="N443" s="321">
        <v>0</v>
      </c>
      <c r="O443" s="321">
        <v>0</v>
      </c>
      <c r="P443" s="321">
        <v>0</v>
      </c>
      <c r="Q443" s="321">
        <v>0</v>
      </c>
      <c r="R443" s="321">
        <v>0</v>
      </c>
      <c r="S443" s="321">
        <v>0</v>
      </c>
      <c r="T443" s="321">
        <v>0</v>
      </c>
      <c r="U443" s="322">
        <v>0</v>
      </c>
      <c r="V443" s="323">
        <v>0</v>
      </c>
      <c r="W443" s="303"/>
      <c r="X443" s="324">
        <v>0</v>
      </c>
      <c r="Y443" s="325">
        <v>0</v>
      </c>
    </row>
    <row r="444" spans="5:25" x14ac:dyDescent="0.3">
      <c r="E444" s="250" t="s">
        <v>1380</v>
      </c>
      <c r="F444" s="317">
        <v>4302085</v>
      </c>
      <c r="G444" s="318"/>
      <c r="H444" s="319"/>
      <c r="I444" s="320"/>
      <c r="J444" s="337">
        <v>0</v>
      </c>
      <c r="K444" s="321">
        <v>0</v>
      </c>
      <c r="L444" s="321">
        <v>0</v>
      </c>
      <c r="M444" s="321">
        <v>0</v>
      </c>
      <c r="N444" s="321">
        <v>0</v>
      </c>
      <c r="O444" s="321">
        <v>0</v>
      </c>
      <c r="P444" s="321">
        <v>0</v>
      </c>
      <c r="Q444" s="321">
        <v>0</v>
      </c>
      <c r="R444" s="321">
        <v>0</v>
      </c>
      <c r="S444" s="321">
        <v>0</v>
      </c>
      <c r="T444" s="321">
        <v>0</v>
      </c>
      <c r="U444" s="322">
        <v>0</v>
      </c>
      <c r="V444" s="323">
        <v>0</v>
      </c>
      <c r="W444" s="303"/>
      <c r="X444" s="324">
        <v>0</v>
      </c>
      <c r="Y444" s="325">
        <v>0</v>
      </c>
    </row>
    <row r="445" spans="5:25" x14ac:dyDescent="0.3">
      <c r="E445" s="250" t="s">
        <v>1381</v>
      </c>
      <c r="F445" s="317">
        <v>4302086</v>
      </c>
      <c r="G445" s="318"/>
      <c r="H445" s="319"/>
      <c r="I445" s="320"/>
      <c r="J445" s="337">
        <v>0</v>
      </c>
      <c r="K445" s="321">
        <v>0</v>
      </c>
      <c r="L445" s="321">
        <v>0</v>
      </c>
      <c r="M445" s="321">
        <v>0</v>
      </c>
      <c r="N445" s="321">
        <v>0</v>
      </c>
      <c r="O445" s="321">
        <v>0</v>
      </c>
      <c r="P445" s="321">
        <v>0</v>
      </c>
      <c r="Q445" s="321">
        <v>0</v>
      </c>
      <c r="R445" s="321">
        <v>0</v>
      </c>
      <c r="S445" s="321">
        <v>0</v>
      </c>
      <c r="T445" s="321">
        <v>0</v>
      </c>
      <c r="U445" s="322">
        <v>0</v>
      </c>
      <c r="V445" s="323">
        <v>0</v>
      </c>
      <c r="W445" s="303"/>
      <c r="X445" s="324">
        <v>0</v>
      </c>
      <c r="Y445" s="325">
        <v>0</v>
      </c>
    </row>
    <row r="446" spans="5:25" x14ac:dyDescent="0.3">
      <c r="E446" s="250" t="s">
        <v>1382</v>
      </c>
      <c r="F446" s="317">
        <v>4302087</v>
      </c>
      <c r="G446" s="318"/>
      <c r="H446" s="319"/>
      <c r="I446" s="320"/>
      <c r="J446" s="337">
        <v>0</v>
      </c>
      <c r="K446" s="321">
        <v>0</v>
      </c>
      <c r="L446" s="321">
        <v>0</v>
      </c>
      <c r="M446" s="321">
        <v>0</v>
      </c>
      <c r="N446" s="321">
        <v>0</v>
      </c>
      <c r="O446" s="321">
        <v>0</v>
      </c>
      <c r="P446" s="321">
        <v>0</v>
      </c>
      <c r="Q446" s="321">
        <v>0</v>
      </c>
      <c r="R446" s="321">
        <v>0</v>
      </c>
      <c r="S446" s="321">
        <v>0</v>
      </c>
      <c r="T446" s="321">
        <v>0</v>
      </c>
      <c r="U446" s="322">
        <v>0</v>
      </c>
      <c r="V446" s="323">
        <v>0</v>
      </c>
      <c r="W446" s="303"/>
      <c r="X446" s="324">
        <v>0</v>
      </c>
      <c r="Y446" s="325">
        <v>0</v>
      </c>
    </row>
    <row r="447" spans="5:25" x14ac:dyDescent="0.3">
      <c r="E447" s="250" t="s">
        <v>1383</v>
      </c>
      <c r="F447" s="317">
        <v>4302088</v>
      </c>
      <c r="G447" s="318"/>
      <c r="H447" s="319"/>
      <c r="I447" s="320"/>
      <c r="J447" s="337">
        <v>0</v>
      </c>
      <c r="K447" s="321">
        <v>0</v>
      </c>
      <c r="L447" s="321">
        <v>0</v>
      </c>
      <c r="M447" s="321">
        <v>0</v>
      </c>
      <c r="N447" s="321">
        <v>0</v>
      </c>
      <c r="O447" s="321">
        <v>0</v>
      </c>
      <c r="P447" s="321">
        <v>0</v>
      </c>
      <c r="Q447" s="321">
        <v>0</v>
      </c>
      <c r="R447" s="321">
        <v>0</v>
      </c>
      <c r="S447" s="321">
        <v>0</v>
      </c>
      <c r="T447" s="321">
        <v>0</v>
      </c>
      <c r="U447" s="322">
        <v>0</v>
      </c>
      <c r="V447" s="323">
        <v>0</v>
      </c>
      <c r="W447" s="303"/>
      <c r="X447" s="324">
        <v>0</v>
      </c>
      <c r="Y447" s="325">
        <v>0</v>
      </c>
    </row>
    <row r="448" spans="5:25" x14ac:dyDescent="0.3">
      <c r="E448" s="250" t="s">
        <v>1384</v>
      </c>
      <c r="F448" s="317">
        <v>4302089</v>
      </c>
      <c r="G448" s="318"/>
      <c r="H448" s="319"/>
      <c r="I448" s="320"/>
      <c r="J448" s="337">
        <v>0</v>
      </c>
      <c r="K448" s="321">
        <v>0</v>
      </c>
      <c r="L448" s="321">
        <v>0</v>
      </c>
      <c r="M448" s="321">
        <v>0</v>
      </c>
      <c r="N448" s="321">
        <v>0</v>
      </c>
      <c r="O448" s="321">
        <v>0</v>
      </c>
      <c r="P448" s="321">
        <v>0</v>
      </c>
      <c r="Q448" s="321">
        <v>0</v>
      </c>
      <c r="R448" s="321">
        <v>0</v>
      </c>
      <c r="S448" s="321">
        <v>0</v>
      </c>
      <c r="T448" s="321">
        <v>0</v>
      </c>
      <c r="U448" s="322">
        <v>0</v>
      </c>
      <c r="V448" s="323">
        <v>0</v>
      </c>
      <c r="W448" s="303"/>
      <c r="X448" s="324">
        <v>0</v>
      </c>
      <c r="Y448" s="325">
        <v>0</v>
      </c>
    </row>
    <row r="449" spans="1:25" x14ac:dyDescent="0.3">
      <c r="E449" s="250" t="s">
        <v>1385</v>
      </c>
      <c r="F449" s="317">
        <v>4302090</v>
      </c>
      <c r="G449" s="318"/>
      <c r="H449" s="319"/>
      <c r="I449" s="320"/>
      <c r="J449" s="337">
        <v>0</v>
      </c>
      <c r="K449" s="321">
        <v>0</v>
      </c>
      <c r="L449" s="321">
        <v>0</v>
      </c>
      <c r="M449" s="321">
        <v>0</v>
      </c>
      <c r="N449" s="321">
        <v>0</v>
      </c>
      <c r="O449" s="321">
        <v>0</v>
      </c>
      <c r="P449" s="321">
        <v>0</v>
      </c>
      <c r="Q449" s="321">
        <v>0</v>
      </c>
      <c r="R449" s="321">
        <v>0</v>
      </c>
      <c r="S449" s="321">
        <v>0</v>
      </c>
      <c r="T449" s="321">
        <v>0</v>
      </c>
      <c r="U449" s="322">
        <v>0</v>
      </c>
      <c r="V449" s="323">
        <v>0</v>
      </c>
      <c r="W449" s="303"/>
      <c r="X449" s="324">
        <v>0</v>
      </c>
      <c r="Y449" s="325">
        <v>0</v>
      </c>
    </row>
    <row r="450" spans="1:25" x14ac:dyDescent="0.3">
      <c r="E450" s="250" t="s">
        <v>1386</v>
      </c>
      <c r="F450" s="317">
        <v>4302091</v>
      </c>
      <c r="G450" s="318"/>
      <c r="H450" s="319"/>
      <c r="I450" s="320"/>
      <c r="J450" s="337">
        <v>0</v>
      </c>
      <c r="K450" s="321">
        <v>0</v>
      </c>
      <c r="L450" s="321">
        <v>0</v>
      </c>
      <c r="M450" s="321">
        <v>0</v>
      </c>
      <c r="N450" s="321">
        <v>0</v>
      </c>
      <c r="O450" s="321">
        <v>0</v>
      </c>
      <c r="P450" s="321">
        <v>0</v>
      </c>
      <c r="Q450" s="321">
        <v>0</v>
      </c>
      <c r="R450" s="321">
        <v>0</v>
      </c>
      <c r="S450" s="321">
        <v>0</v>
      </c>
      <c r="T450" s="321">
        <v>0</v>
      </c>
      <c r="U450" s="322">
        <v>0</v>
      </c>
      <c r="V450" s="323">
        <v>0</v>
      </c>
      <c r="W450" s="303"/>
      <c r="X450" s="324">
        <v>0</v>
      </c>
      <c r="Y450" s="325">
        <v>0</v>
      </c>
    </row>
    <row r="451" spans="1:25" x14ac:dyDescent="0.3">
      <c r="E451" s="250" t="s">
        <v>1387</v>
      </c>
      <c r="F451" s="317">
        <v>4302092</v>
      </c>
      <c r="G451" s="318"/>
      <c r="H451" s="319"/>
      <c r="I451" s="320"/>
      <c r="J451" s="337">
        <v>0</v>
      </c>
      <c r="K451" s="321">
        <v>0</v>
      </c>
      <c r="L451" s="321">
        <v>0</v>
      </c>
      <c r="M451" s="321">
        <v>0</v>
      </c>
      <c r="N451" s="321">
        <v>0</v>
      </c>
      <c r="O451" s="321">
        <v>0</v>
      </c>
      <c r="P451" s="321">
        <v>0</v>
      </c>
      <c r="Q451" s="321">
        <v>0</v>
      </c>
      <c r="R451" s="321">
        <v>0</v>
      </c>
      <c r="S451" s="321">
        <v>0</v>
      </c>
      <c r="T451" s="321">
        <v>0</v>
      </c>
      <c r="U451" s="322">
        <v>0</v>
      </c>
      <c r="V451" s="323">
        <v>0</v>
      </c>
      <c r="W451" s="303"/>
      <c r="X451" s="324">
        <v>0</v>
      </c>
      <c r="Y451" s="325">
        <v>0</v>
      </c>
    </row>
    <row r="452" spans="1:25" x14ac:dyDescent="0.3">
      <c r="E452" s="250" t="s">
        <v>1388</v>
      </c>
      <c r="F452" s="317">
        <v>4302094</v>
      </c>
      <c r="G452" s="318"/>
      <c r="H452" s="319"/>
      <c r="I452" s="320"/>
      <c r="J452" s="337">
        <v>0</v>
      </c>
      <c r="K452" s="321">
        <v>0</v>
      </c>
      <c r="L452" s="321">
        <v>0</v>
      </c>
      <c r="M452" s="321">
        <v>0</v>
      </c>
      <c r="N452" s="321">
        <v>0</v>
      </c>
      <c r="O452" s="321">
        <v>0</v>
      </c>
      <c r="P452" s="321">
        <v>0</v>
      </c>
      <c r="Q452" s="321">
        <v>0</v>
      </c>
      <c r="R452" s="321">
        <v>0</v>
      </c>
      <c r="S452" s="321">
        <v>0</v>
      </c>
      <c r="T452" s="321">
        <v>0</v>
      </c>
      <c r="U452" s="322">
        <v>0</v>
      </c>
      <c r="V452" s="323">
        <v>0</v>
      </c>
      <c r="W452" s="303"/>
      <c r="X452" s="324">
        <v>0</v>
      </c>
      <c r="Y452" s="325">
        <v>0</v>
      </c>
    </row>
    <row r="453" spans="1:25" x14ac:dyDescent="0.3">
      <c r="E453" s="250" t="s">
        <v>1389</v>
      </c>
      <c r="F453" s="317">
        <v>4302095</v>
      </c>
      <c r="G453" s="318"/>
      <c r="H453" s="319"/>
      <c r="I453" s="320"/>
      <c r="J453" s="337">
        <v>0</v>
      </c>
      <c r="K453" s="321">
        <v>0</v>
      </c>
      <c r="L453" s="321">
        <v>0</v>
      </c>
      <c r="M453" s="321">
        <v>0</v>
      </c>
      <c r="N453" s="321">
        <v>0</v>
      </c>
      <c r="O453" s="321">
        <v>0</v>
      </c>
      <c r="P453" s="321">
        <v>0</v>
      </c>
      <c r="Q453" s="321">
        <v>0</v>
      </c>
      <c r="R453" s="321">
        <v>0</v>
      </c>
      <c r="S453" s="321">
        <v>0</v>
      </c>
      <c r="T453" s="321">
        <v>0</v>
      </c>
      <c r="U453" s="322">
        <v>0</v>
      </c>
      <c r="V453" s="323">
        <v>0</v>
      </c>
      <c r="W453" s="303"/>
      <c r="X453" s="324">
        <v>0</v>
      </c>
      <c r="Y453" s="325">
        <v>0</v>
      </c>
    </row>
    <row r="454" spans="1:25" x14ac:dyDescent="0.3">
      <c r="E454" s="250" t="s">
        <v>1390</v>
      </c>
      <c r="F454" s="317">
        <v>4302096</v>
      </c>
      <c r="G454" s="318"/>
      <c r="H454" s="319"/>
      <c r="I454" s="320"/>
      <c r="J454" s="337">
        <v>0</v>
      </c>
      <c r="K454" s="321">
        <v>0</v>
      </c>
      <c r="L454" s="321">
        <v>0</v>
      </c>
      <c r="M454" s="321">
        <v>0</v>
      </c>
      <c r="N454" s="321">
        <v>0</v>
      </c>
      <c r="O454" s="321">
        <v>0</v>
      </c>
      <c r="P454" s="321">
        <v>0</v>
      </c>
      <c r="Q454" s="321">
        <v>0</v>
      </c>
      <c r="R454" s="321">
        <v>0</v>
      </c>
      <c r="S454" s="321">
        <v>0</v>
      </c>
      <c r="T454" s="321">
        <v>0</v>
      </c>
      <c r="U454" s="322">
        <v>0</v>
      </c>
      <c r="V454" s="323">
        <v>0</v>
      </c>
      <c r="W454" s="303"/>
      <c r="X454" s="324">
        <v>0</v>
      </c>
      <c r="Y454" s="325">
        <v>0</v>
      </c>
    </row>
    <row r="455" spans="1:25" x14ac:dyDescent="0.3">
      <c r="E455" s="250" t="s">
        <v>1391</v>
      </c>
      <c r="F455" s="317">
        <v>4302099</v>
      </c>
      <c r="G455" s="318"/>
      <c r="H455" s="319">
        <v>5101530101</v>
      </c>
      <c r="I455" s="320"/>
      <c r="J455" s="337">
        <v>218.02699999999999</v>
      </c>
      <c r="K455" s="321">
        <v>218.017</v>
      </c>
      <c r="L455" s="321">
        <v>0</v>
      </c>
      <c r="M455" s="321">
        <v>0</v>
      </c>
      <c r="N455" s="321">
        <v>0</v>
      </c>
      <c r="O455" s="321">
        <v>0</v>
      </c>
      <c r="P455" s="321">
        <v>0</v>
      </c>
      <c r="Q455" s="321">
        <v>0</v>
      </c>
      <c r="R455" s="321">
        <v>0</v>
      </c>
      <c r="S455" s="321">
        <v>0</v>
      </c>
      <c r="T455" s="321">
        <v>0</v>
      </c>
      <c r="U455" s="322">
        <v>0</v>
      </c>
      <c r="V455" s="323">
        <v>436.04399999999998</v>
      </c>
      <c r="W455" s="303"/>
      <c r="X455" s="324">
        <v>0</v>
      </c>
      <c r="Y455" s="325">
        <v>436.04399999999998</v>
      </c>
    </row>
    <row r="456" spans="1:25" x14ac:dyDescent="0.3">
      <c r="A456" s="361"/>
      <c r="B456" s="361"/>
      <c r="C456" s="361"/>
      <c r="D456" s="361"/>
      <c r="E456" s="326" t="s">
        <v>1392</v>
      </c>
      <c r="F456" s="351"/>
      <c r="G456" s="352"/>
      <c r="H456" s="353">
        <v>5101530134</v>
      </c>
      <c r="I456" s="354"/>
      <c r="J456" s="362">
        <v>0</v>
      </c>
      <c r="K456" s="355">
        <v>0</v>
      </c>
      <c r="L456" s="355">
        <v>0</v>
      </c>
      <c r="M456" s="355">
        <v>0</v>
      </c>
      <c r="N456" s="355">
        <v>0</v>
      </c>
      <c r="O456" s="355">
        <v>0</v>
      </c>
      <c r="P456" s="355">
        <v>0</v>
      </c>
      <c r="Q456" s="355">
        <v>0</v>
      </c>
      <c r="R456" s="355">
        <v>0</v>
      </c>
      <c r="S456" s="355">
        <v>0</v>
      </c>
      <c r="T456" s="355">
        <v>0</v>
      </c>
      <c r="U456" s="356">
        <v>0</v>
      </c>
      <c r="V456" s="357">
        <v>0</v>
      </c>
      <c r="W456" s="358"/>
      <c r="X456" s="359">
        <v>0</v>
      </c>
      <c r="Y456" s="360">
        <v>0</v>
      </c>
    </row>
    <row r="457" spans="1:25" x14ac:dyDescent="0.3">
      <c r="A457" s="361"/>
      <c r="B457" s="361"/>
      <c r="C457" s="361"/>
      <c r="D457" s="361"/>
      <c r="E457" s="326" t="s">
        <v>1393</v>
      </c>
      <c r="F457" s="351"/>
      <c r="G457" s="352"/>
      <c r="H457" s="353"/>
      <c r="I457" s="354"/>
      <c r="J457" s="362">
        <v>0</v>
      </c>
      <c r="K457" s="355">
        <v>0</v>
      </c>
      <c r="L457" s="355">
        <v>0</v>
      </c>
      <c r="M457" s="355">
        <v>0</v>
      </c>
      <c r="N457" s="355">
        <v>0</v>
      </c>
      <c r="O457" s="355">
        <v>0</v>
      </c>
      <c r="P457" s="355">
        <v>0</v>
      </c>
      <c r="Q457" s="355">
        <v>0</v>
      </c>
      <c r="R457" s="355">
        <v>0</v>
      </c>
      <c r="S457" s="355">
        <v>0</v>
      </c>
      <c r="T457" s="355">
        <v>0</v>
      </c>
      <c r="U457" s="356">
        <v>0</v>
      </c>
      <c r="V457" s="357">
        <v>0</v>
      </c>
      <c r="W457" s="358"/>
      <c r="X457" s="359">
        <v>0</v>
      </c>
      <c r="Y457" s="360">
        <v>0</v>
      </c>
    </row>
    <row r="458" spans="1:25" x14ac:dyDescent="0.3">
      <c r="A458" s="361"/>
      <c r="B458" s="361"/>
      <c r="C458" s="361"/>
      <c r="D458" s="361"/>
      <c r="E458" s="326" t="s">
        <v>1394</v>
      </c>
      <c r="F458" s="351"/>
      <c r="G458" s="352"/>
      <c r="H458" s="353"/>
      <c r="I458" s="354"/>
      <c r="J458" s="362">
        <v>0</v>
      </c>
      <c r="K458" s="355">
        <v>0</v>
      </c>
      <c r="L458" s="355">
        <v>0</v>
      </c>
      <c r="M458" s="355">
        <v>0</v>
      </c>
      <c r="N458" s="355">
        <v>0</v>
      </c>
      <c r="O458" s="355">
        <v>0</v>
      </c>
      <c r="P458" s="355">
        <v>0</v>
      </c>
      <c r="Q458" s="355">
        <v>0</v>
      </c>
      <c r="R458" s="355">
        <v>0</v>
      </c>
      <c r="S458" s="355">
        <v>0</v>
      </c>
      <c r="T458" s="355">
        <v>0</v>
      </c>
      <c r="U458" s="356">
        <v>0</v>
      </c>
      <c r="V458" s="357">
        <v>0</v>
      </c>
      <c r="W458" s="358"/>
      <c r="X458" s="359">
        <v>0</v>
      </c>
      <c r="Y458" s="360">
        <v>0</v>
      </c>
    </row>
    <row r="459" spans="1:25" x14ac:dyDescent="0.3">
      <c r="A459" s="233"/>
      <c r="B459" s="234" t="s">
        <v>22</v>
      </c>
      <c r="D459" s="293" t="s">
        <v>1395</v>
      </c>
      <c r="E459" s="294"/>
      <c r="F459" s="295" t="s">
        <v>1396</v>
      </c>
      <c r="G459" s="296"/>
      <c r="H459" s="297"/>
      <c r="I459" s="298"/>
      <c r="J459" s="299">
        <v>0</v>
      </c>
      <c r="K459" s="300">
        <v>8735.6299999999992</v>
      </c>
      <c r="L459" s="300">
        <v>3977.36</v>
      </c>
      <c r="M459" s="300">
        <v>4851.34</v>
      </c>
      <c r="N459" s="300">
        <v>4103.7</v>
      </c>
      <c r="O459" s="300">
        <v>3800.52</v>
      </c>
      <c r="P459" s="300">
        <v>2355.65</v>
      </c>
      <c r="Q459" s="300">
        <v>1973.52</v>
      </c>
      <c r="R459" s="300">
        <v>690.15</v>
      </c>
      <c r="S459" s="300">
        <v>796.08</v>
      </c>
      <c r="T459" s="300">
        <v>804.64</v>
      </c>
      <c r="U459" s="301">
        <v>780.03</v>
      </c>
      <c r="V459" s="302">
        <v>32868.62000000001</v>
      </c>
      <c r="W459" s="303"/>
      <c r="X459" s="304">
        <v>780.03</v>
      </c>
      <c r="Y459" s="305">
        <v>32868.62000000001</v>
      </c>
    </row>
    <row r="460" spans="1:25" x14ac:dyDescent="0.3">
      <c r="E460" s="250" t="s">
        <v>1397</v>
      </c>
      <c r="F460" s="317">
        <v>4302301</v>
      </c>
      <c r="G460" s="318"/>
      <c r="H460" s="319">
        <v>5101250101</v>
      </c>
      <c r="I460" s="320"/>
      <c r="J460" s="337">
        <v>0</v>
      </c>
      <c r="K460" s="321">
        <v>0</v>
      </c>
      <c r="L460" s="321">
        <v>0</v>
      </c>
      <c r="M460" s="321">
        <v>0</v>
      </c>
      <c r="N460" s="321">
        <v>0</v>
      </c>
      <c r="O460" s="321">
        <v>0</v>
      </c>
      <c r="P460" s="321">
        <v>0</v>
      </c>
      <c r="Q460" s="321">
        <v>0</v>
      </c>
      <c r="R460" s="321">
        <v>0</v>
      </c>
      <c r="S460" s="321">
        <v>0</v>
      </c>
      <c r="T460" s="321">
        <v>0</v>
      </c>
      <c r="U460" s="322">
        <v>0</v>
      </c>
      <c r="V460" s="323">
        <v>0</v>
      </c>
      <c r="W460" s="303"/>
      <c r="X460" s="324">
        <v>0</v>
      </c>
      <c r="Y460" s="325">
        <v>0</v>
      </c>
    </row>
    <row r="461" spans="1:25" x14ac:dyDescent="0.3">
      <c r="E461" s="250" t="s">
        <v>1398</v>
      </c>
      <c r="F461" s="317">
        <v>4302302</v>
      </c>
      <c r="G461" s="318"/>
      <c r="H461" s="319">
        <v>5101250105</v>
      </c>
      <c r="I461" s="320"/>
      <c r="J461" s="337">
        <v>0</v>
      </c>
      <c r="K461" s="321">
        <v>0</v>
      </c>
      <c r="L461" s="321">
        <v>0</v>
      </c>
      <c r="M461" s="321">
        <v>0</v>
      </c>
      <c r="N461" s="321">
        <v>0</v>
      </c>
      <c r="O461" s="321">
        <v>0</v>
      </c>
      <c r="P461" s="321">
        <v>0</v>
      </c>
      <c r="Q461" s="321">
        <v>0</v>
      </c>
      <c r="R461" s="321">
        <v>0</v>
      </c>
      <c r="S461" s="321">
        <v>0</v>
      </c>
      <c r="T461" s="321">
        <v>0</v>
      </c>
      <c r="U461" s="322">
        <v>0</v>
      </c>
      <c r="V461" s="323">
        <v>0</v>
      </c>
      <c r="W461" s="303"/>
      <c r="X461" s="324">
        <v>0</v>
      </c>
      <c r="Y461" s="325">
        <v>0</v>
      </c>
    </row>
    <row r="462" spans="1:25" x14ac:dyDescent="0.3">
      <c r="E462" s="250" t="s">
        <v>1399</v>
      </c>
      <c r="F462" s="317">
        <v>4302303</v>
      </c>
      <c r="G462" s="318"/>
      <c r="H462" s="319">
        <v>5101250103</v>
      </c>
      <c r="I462" s="320"/>
      <c r="J462" s="337">
        <v>0</v>
      </c>
      <c r="K462" s="321">
        <v>0</v>
      </c>
      <c r="L462" s="321">
        <v>0</v>
      </c>
      <c r="M462" s="321">
        <v>0</v>
      </c>
      <c r="N462" s="321">
        <v>0</v>
      </c>
      <c r="O462" s="321">
        <v>0</v>
      </c>
      <c r="P462" s="321">
        <v>0</v>
      </c>
      <c r="Q462" s="321">
        <v>0</v>
      </c>
      <c r="R462" s="321">
        <v>0</v>
      </c>
      <c r="S462" s="321">
        <v>0</v>
      </c>
      <c r="T462" s="321">
        <v>0</v>
      </c>
      <c r="U462" s="322">
        <v>0</v>
      </c>
      <c r="V462" s="323">
        <v>0</v>
      </c>
      <c r="W462" s="303"/>
      <c r="X462" s="324">
        <v>0</v>
      </c>
      <c r="Y462" s="325">
        <v>0</v>
      </c>
    </row>
    <row r="463" spans="1:25" x14ac:dyDescent="0.3">
      <c r="E463" s="250" t="s">
        <v>1400</v>
      </c>
      <c r="F463" s="317">
        <v>4302304</v>
      </c>
      <c r="G463" s="318"/>
      <c r="H463" s="319">
        <v>5101250109</v>
      </c>
      <c r="I463" s="320"/>
      <c r="J463" s="337">
        <v>0</v>
      </c>
      <c r="K463" s="321">
        <v>0</v>
      </c>
      <c r="L463" s="321">
        <v>0</v>
      </c>
      <c r="M463" s="321">
        <v>0</v>
      </c>
      <c r="N463" s="321">
        <v>0</v>
      </c>
      <c r="O463" s="321">
        <v>0</v>
      </c>
      <c r="P463" s="321">
        <v>0</v>
      </c>
      <c r="Q463" s="321">
        <v>0</v>
      </c>
      <c r="R463" s="321">
        <v>0</v>
      </c>
      <c r="S463" s="321">
        <v>0</v>
      </c>
      <c r="T463" s="321">
        <v>0</v>
      </c>
      <c r="U463" s="322">
        <v>0</v>
      </c>
      <c r="V463" s="323">
        <v>0</v>
      </c>
      <c r="W463" s="303"/>
      <c r="X463" s="324">
        <v>0</v>
      </c>
      <c r="Y463" s="325">
        <v>0</v>
      </c>
    </row>
    <row r="464" spans="1:25" x14ac:dyDescent="0.3">
      <c r="E464" s="250" t="s">
        <v>1401</v>
      </c>
      <c r="F464" s="376">
        <v>4302306</v>
      </c>
      <c r="G464" s="318"/>
      <c r="H464" s="319">
        <v>5101250111</v>
      </c>
      <c r="I464" s="320"/>
      <c r="J464" s="337">
        <v>0</v>
      </c>
      <c r="K464" s="321">
        <v>0</v>
      </c>
      <c r="L464" s="321">
        <v>0</v>
      </c>
      <c r="M464" s="321">
        <v>0</v>
      </c>
      <c r="N464" s="321">
        <v>0</v>
      </c>
      <c r="O464" s="321">
        <v>0</v>
      </c>
      <c r="P464" s="321">
        <v>0</v>
      </c>
      <c r="Q464" s="321">
        <v>0</v>
      </c>
      <c r="R464" s="321">
        <v>0</v>
      </c>
      <c r="S464" s="321">
        <v>0</v>
      </c>
      <c r="T464" s="321">
        <v>0</v>
      </c>
      <c r="U464" s="322">
        <v>0</v>
      </c>
      <c r="V464" s="323">
        <v>0</v>
      </c>
      <c r="W464" s="303"/>
      <c r="X464" s="324">
        <v>0</v>
      </c>
      <c r="Y464" s="325">
        <v>0</v>
      </c>
    </row>
    <row r="465" spans="1:25" x14ac:dyDescent="0.3">
      <c r="A465" s="326"/>
      <c r="B465" s="326"/>
      <c r="C465" s="326"/>
      <c r="D465" s="326"/>
      <c r="E465" s="250" t="s">
        <v>1402</v>
      </c>
      <c r="F465" s="376">
        <v>4302307</v>
      </c>
      <c r="G465" s="377"/>
      <c r="H465" s="378"/>
      <c r="I465" s="379"/>
      <c r="J465" s="337">
        <v>0</v>
      </c>
      <c r="K465" s="321">
        <v>0</v>
      </c>
      <c r="L465" s="321">
        <v>0</v>
      </c>
      <c r="M465" s="321">
        <v>0</v>
      </c>
      <c r="N465" s="321">
        <v>0</v>
      </c>
      <c r="O465" s="321">
        <v>0</v>
      </c>
      <c r="P465" s="321">
        <v>0</v>
      </c>
      <c r="Q465" s="321">
        <v>0</v>
      </c>
      <c r="R465" s="321">
        <v>0</v>
      </c>
      <c r="S465" s="321">
        <v>0</v>
      </c>
      <c r="T465" s="321">
        <v>0</v>
      </c>
      <c r="U465" s="322">
        <v>0</v>
      </c>
      <c r="V465" s="323">
        <v>0</v>
      </c>
      <c r="W465" s="303"/>
      <c r="X465" s="324">
        <v>0</v>
      </c>
      <c r="Y465" s="325">
        <v>0</v>
      </c>
    </row>
    <row r="466" spans="1:25" x14ac:dyDescent="0.3">
      <c r="A466" s="326"/>
      <c r="B466" s="326"/>
      <c r="C466" s="326"/>
      <c r="D466" s="326"/>
      <c r="E466" s="250" t="s">
        <v>1403</v>
      </c>
      <c r="F466" s="376">
        <v>4302308</v>
      </c>
      <c r="G466" s="377"/>
      <c r="H466" s="378"/>
      <c r="I466" s="379"/>
      <c r="J466" s="337">
        <v>0</v>
      </c>
      <c r="K466" s="321">
        <v>0</v>
      </c>
      <c r="L466" s="321">
        <v>0</v>
      </c>
      <c r="M466" s="321">
        <v>0</v>
      </c>
      <c r="N466" s="321">
        <v>0</v>
      </c>
      <c r="O466" s="321">
        <v>0</v>
      </c>
      <c r="P466" s="321">
        <v>0</v>
      </c>
      <c r="Q466" s="321">
        <v>0</v>
      </c>
      <c r="R466" s="321">
        <v>0</v>
      </c>
      <c r="S466" s="321">
        <v>0</v>
      </c>
      <c r="T466" s="321">
        <v>0</v>
      </c>
      <c r="U466" s="322">
        <v>0</v>
      </c>
      <c r="V466" s="323">
        <v>0</v>
      </c>
      <c r="W466" s="303"/>
      <c r="X466" s="324">
        <v>0</v>
      </c>
      <c r="Y466" s="325">
        <v>0</v>
      </c>
    </row>
    <row r="467" spans="1:25" x14ac:dyDescent="0.3">
      <c r="E467" s="250" t="s">
        <v>1404</v>
      </c>
      <c r="F467" s="376">
        <v>4302309</v>
      </c>
      <c r="G467" s="318"/>
      <c r="H467" s="319">
        <v>5101250199</v>
      </c>
      <c r="I467" s="320"/>
      <c r="J467" s="337">
        <v>0</v>
      </c>
      <c r="K467" s="321">
        <v>8735.6299999999992</v>
      </c>
      <c r="L467" s="321">
        <v>3977.36</v>
      </c>
      <c r="M467" s="321">
        <v>4851.34</v>
      </c>
      <c r="N467" s="321">
        <v>4103.7</v>
      </c>
      <c r="O467" s="321">
        <v>3800.52</v>
      </c>
      <c r="P467" s="321">
        <v>2355.65</v>
      </c>
      <c r="Q467" s="321">
        <v>1973.52</v>
      </c>
      <c r="R467" s="321">
        <v>690.15</v>
      </c>
      <c r="S467" s="321">
        <v>796.08</v>
      </c>
      <c r="T467" s="321">
        <v>804.64</v>
      </c>
      <c r="U467" s="322">
        <v>780.03</v>
      </c>
      <c r="V467" s="323">
        <v>32868.62000000001</v>
      </c>
      <c r="W467" s="303"/>
      <c r="X467" s="324">
        <v>780.03</v>
      </c>
      <c r="Y467" s="325">
        <v>32868.62000000001</v>
      </c>
    </row>
    <row r="468" spans="1:25" x14ac:dyDescent="0.3">
      <c r="A468" s="326"/>
      <c r="B468" s="326"/>
      <c r="C468" s="326"/>
      <c r="D468" s="326"/>
      <c r="E468" s="250" t="s">
        <v>1405</v>
      </c>
      <c r="F468" s="306">
        <v>4302310</v>
      </c>
      <c r="G468" s="307"/>
      <c r="H468" s="308"/>
      <c r="I468" s="309"/>
      <c r="J468" s="310">
        <v>0</v>
      </c>
      <c r="K468" s="311">
        <v>0</v>
      </c>
      <c r="L468" s="311">
        <v>0</v>
      </c>
      <c r="M468" s="311">
        <v>0</v>
      </c>
      <c r="N468" s="311">
        <v>0</v>
      </c>
      <c r="O468" s="311">
        <v>0</v>
      </c>
      <c r="P468" s="311">
        <v>0</v>
      </c>
      <c r="Q468" s="311">
        <v>0</v>
      </c>
      <c r="R468" s="311">
        <v>0</v>
      </c>
      <c r="S468" s="311">
        <v>0</v>
      </c>
      <c r="T468" s="311">
        <v>0</v>
      </c>
      <c r="U468" s="312">
        <v>0</v>
      </c>
      <c r="V468" s="313">
        <v>0</v>
      </c>
      <c r="W468" s="314"/>
      <c r="X468" s="315">
        <v>0</v>
      </c>
      <c r="Y468" s="316">
        <v>0</v>
      </c>
    </row>
    <row r="469" spans="1:25" x14ac:dyDescent="0.3">
      <c r="A469" s="2"/>
      <c r="B469" s="2"/>
      <c r="C469" s="2"/>
      <c r="D469" s="2"/>
      <c r="E469" s="2" t="s">
        <v>1406</v>
      </c>
      <c r="F469" s="380">
        <v>4302311</v>
      </c>
      <c r="G469" s="381"/>
      <c r="H469" s="382"/>
      <c r="I469" s="383"/>
      <c r="J469" s="384">
        <v>0</v>
      </c>
      <c r="K469" s="385">
        <v>0</v>
      </c>
      <c r="L469" s="385">
        <v>0</v>
      </c>
      <c r="M469" s="385">
        <v>0</v>
      </c>
      <c r="N469" s="385">
        <v>0</v>
      </c>
      <c r="O469" s="385">
        <v>0</v>
      </c>
      <c r="P469" s="385">
        <v>0</v>
      </c>
      <c r="Q469" s="385">
        <v>0</v>
      </c>
      <c r="R469" s="385">
        <v>0</v>
      </c>
      <c r="S469" s="385">
        <v>0</v>
      </c>
      <c r="T469" s="385">
        <v>0</v>
      </c>
      <c r="U469" s="386">
        <v>0</v>
      </c>
      <c r="V469" s="387">
        <v>0</v>
      </c>
      <c r="W469" s="388"/>
      <c r="X469" s="389">
        <v>0</v>
      </c>
      <c r="Y469" s="390">
        <v>0</v>
      </c>
    </row>
    <row r="470" spans="1:25" x14ac:dyDescent="0.3">
      <c r="A470" s="326"/>
      <c r="B470" s="326"/>
      <c r="C470" s="326"/>
      <c r="D470" s="326"/>
      <c r="E470" s="326" t="s">
        <v>1407</v>
      </c>
      <c r="F470" s="336"/>
      <c r="G470" s="327"/>
      <c r="H470" s="328"/>
      <c r="I470" s="329"/>
      <c r="J470" s="338">
        <v>0</v>
      </c>
      <c r="K470" s="330">
        <v>0</v>
      </c>
      <c r="L470" s="330">
        <v>0</v>
      </c>
      <c r="M470" s="330">
        <v>0</v>
      </c>
      <c r="N470" s="330">
        <v>0</v>
      </c>
      <c r="O470" s="330">
        <v>0</v>
      </c>
      <c r="P470" s="330">
        <v>0</v>
      </c>
      <c r="Q470" s="330">
        <v>0</v>
      </c>
      <c r="R470" s="330">
        <v>0</v>
      </c>
      <c r="S470" s="330">
        <v>0</v>
      </c>
      <c r="T470" s="330">
        <v>0</v>
      </c>
      <c r="U470" s="331">
        <v>0</v>
      </c>
      <c r="V470" s="332">
        <v>0</v>
      </c>
      <c r="W470" s="333"/>
      <c r="X470" s="334">
        <v>0</v>
      </c>
      <c r="Y470" s="335">
        <v>0</v>
      </c>
    </row>
    <row r="471" spans="1:25" x14ac:dyDescent="0.3">
      <c r="A471" s="326"/>
      <c r="B471" s="326"/>
      <c r="C471" s="326"/>
      <c r="D471" s="326"/>
      <c r="E471" s="326" t="s">
        <v>1408</v>
      </c>
      <c r="F471" s="336"/>
      <c r="G471" s="327"/>
      <c r="H471" s="328"/>
      <c r="I471" s="329"/>
      <c r="J471" s="338">
        <v>0</v>
      </c>
      <c r="K471" s="330">
        <v>0</v>
      </c>
      <c r="L471" s="330">
        <v>0</v>
      </c>
      <c r="M471" s="330">
        <v>0</v>
      </c>
      <c r="N471" s="330">
        <v>0</v>
      </c>
      <c r="O471" s="330">
        <v>0</v>
      </c>
      <c r="P471" s="330">
        <v>0</v>
      </c>
      <c r="Q471" s="330">
        <v>0</v>
      </c>
      <c r="R471" s="330">
        <v>0</v>
      </c>
      <c r="S471" s="330">
        <v>0</v>
      </c>
      <c r="T471" s="330">
        <v>0</v>
      </c>
      <c r="U471" s="331">
        <v>0</v>
      </c>
      <c r="V471" s="332">
        <v>0</v>
      </c>
      <c r="W471" s="333"/>
      <c r="X471" s="334">
        <v>0</v>
      </c>
      <c r="Y471" s="335">
        <v>0</v>
      </c>
    </row>
    <row r="472" spans="1:25" x14ac:dyDescent="0.3">
      <c r="A472" s="233"/>
      <c r="B472" s="234" t="s">
        <v>23</v>
      </c>
      <c r="D472" s="293" t="s">
        <v>1409</v>
      </c>
      <c r="E472" s="294"/>
      <c r="F472" s="295" t="s">
        <v>1410</v>
      </c>
      <c r="G472" s="296"/>
      <c r="H472" s="297"/>
      <c r="I472" s="298"/>
      <c r="J472" s="299">
        <v>0</v>
      </c>
      <c r="K472" s="300">
        <v>0</v>
      </c>
      <c r="L472" s="300">
        <v>0</v>
      </c>
      <c r="M472" s="300">
        <v>0</v>
      </c>
      <c r="N472" s="300">
        <v>0</v>
      </c>
      <c r="O472" s="300">
        <v>0</v>
      </c>
      <c r="P472" s="300">
        <v>0</v>
      </c>
      <c r="Q472" s="300">
        <v>0</v>
      </c>
      <c r="R472" s="300">
        <v>0</v>
      </c>
      <c r="S472" s="300">
        <v>0</v>
      </c>
      <c r="T472" s="300">
        <v>0</v>
      </c>
      <c r="U472" s="301">
        <v>0</v>
      </c>
      <c r="V472" s="302">
        <v>0</v>
      </c>
      <c r="W472" s="303"/>
      <c r="X472" s="304">
        <v>0</v>
      </c>
      <c r="Y472" s="305">
        <v>0</v>
      </c>
    </row>
    <row r="473" spans="1:25" x14ac:dyDescent="0.3">
      <c r="E473" s="250" t="s">
        <v>1411</v>
      </c>
      <c r="F473" s="317">
        <v>4302601</v>
      </c>
      <c r="G473" s="318"/>
      <c r="H473" s="319">
        <v>5101270101</v>
      </c>
      <c r="I473" s="320"/>
      <c r="J473" s="337">
        <v>0</v>
      </c>
      <c r="K473" s="321">
        <v>0</v>
      </c>
      <c r="L473" s="321">
        <v>0</v>
      </c>
      <c r="M473" s="321">
        <v>0</v>
      </c>
      <c r="N473" s="321">
        <v>0</v>
      </c>
      <c r="O473" s="321">
        <v>0</v>
      </c>
      <c r="P473" s="321">
        <v>0</v>
      </c>
      <c r="Q473" s="321">
        <v>0</v>
      </c>
      <c r="R473" s="321">
        <v>0</v>
      </c>
      <c r="S473" s="321">
        <v>0</v>
      </c>
      <c r="T473" s="321">
        <v>0</v>
      </c>
      <c r="U473" s="322">
        <v>0</v>
      </c>
      <c r="V473" s="323">
        <v>0</v>
      </c>
      <c r="W473" s="303"/>
      <c r="X473" s="324">
        <v>0</v>
      </c>
      <c r="Y473" s="325">
        <v>0</v>
      </c>
    </row>
    <row r="474" spans="1:25" x14ac:dyDescent="0.3">
      <c r="E474" s="250" t="s">
        <v>1412</v>
      </c>
      <c r="F474" s="317">
        <v>4302603</v>
      </c>
      <c r="G474" s="318"/>
      <c r="H474" s="319"/>
      <c r="I474" s="320"/>
      <c r="J474" s="337">
        <v>0</v>
      </c>
      <c r="K474" s="321">
        <v>0</v>
      </c>
      <c r="L474" s="321">
        <v>0</v>
      </c>
      <c r="M474" s="321">
        <v>0</v>
      </c>
      <c r="N474" s="321">
        <v>0</v>
      </c>
      <c r="O474" s="321">
        <v>0</v>
      </c>
      <c r="P474" s="321">
        <v>0</v>
      </c>
      <c r="Q474" s="321">
        <v>0</v>
      </c>
      <c r="R474" s="321">
        <v>0</v>
      </c>
      <c r="S474" s="321">
        <v>0</v>
      </c>
      <c r="T474" s="321">
        <v>0</v>
      </c>
      <c r="U474" s="322">
        <v>0</v>
      </c>
      <c r="V474" s="323">
        <v>0</v>
      </c>
      <c r="W474" s="303"/>
      <c r="X474" s="324">
        <v>0</v>
      </c>
      <c r="Y474" s="325">
        <v>0</v>
      </c>
    </row>
    <row r="475" spans="1:25" x14ac:dyDescent="0.3">
      <c r="E475" s="250" t="s">
        <v>1413</v>
      </c>
      <c r="F475" s="317">
        <v>4302604</v>
      </c>
      <c r="G475" s="318"/>
      <c r="H475" s="319">
        <v>5101270105</v>
      </c>
      <c r="I475" s="320"/>
      <c r="J475" s="337">
        <v>0</v>
      </c>
      <c r="K475" s="321">
        <v>0</v>
      </c>
      <c r="L475" s="321">
        <v>0</v>
      </c>
      <c r="M475" s="321">
        <v>0</v>
      </c>
      <c r="N475" s="321">
        <v>0</v>
      </c>
      <c r="O475" s="321">
        <v>0</v>
      </c>
      <c r="P475" s="321">
        <v>0</v>
      </c>
      <c r="Q475" s="321">
        <v>0</v>
      </c>
      <c r="R475" s="321">
        <v>0</v>
      </c>
      <c r="S475" s="321">
        <v>0</v>
      </c>
      <c r="T475" s="321">
        <v>0</v>
      </c>
      <c r="U475" s="322">
        <v>0</v>
      </c>
      <c r="V475" s="323">
        <v>0</v>
      </c>
      <c r="W475" s="303"/>
      <c r="X475" s="324">
        <v>0</v>
      </c>
      <c r="Y475" s="325">
        <v>0</v>
      </c>
    </row>
    <row r="476" spans="1:25" x14ac:dyDescent="0.3">
      <c r="E476" s="250" t="s">
        <v>1414</v>
      </c>
      <c r="F476" s="317">
        <v>4302605</v>
      </c>
      <c r="G476" s="318"/>
      <c r="H476" s="319"/>
      <c r="I476" s="320"/>
      <c r="J476" s="337">
        <v>0</v>
      </c>
      <c r="K476" s="321">
        <v>0</v>
      </c>
      <c r="L476" s="321">
        <v>0</v>
      </c>
      <c r="M476" s="321">
        <v>0</v>
      </c>
      <c r="N476" s="321">
        <v>0</v>
      </c>
      <c r="O476" s="321">
        <v>0</v>
      </c>
      <c r="P476" s="321">
        <v>0</v>
      </c>
      <c r="Q476" s="321">
        <v>0</v>
      </c>
      <c r="R476" s="321">
        <v>0</v>
      </c>
      <c r="S476" s="321">
        <v>0</v>
      </c>
      <c r="T476" s="321">
        <v>0</v>
      </c>
      <c r="U476" s="322">
        <v>0</v>
      </c>
      <c r="V476" s="323">
        <v>0</v>
      </c>
      <c r="W476" s="303"/>
      <c r="X476" s="324">
        <v>0</v>
      </c>
      <c r="Y476" s="325">
        <v>0</v>
      </c>
    </row>
    <row r="477" spans="1:25" x14ac:dyDescent="0.3">
      <c r="E477" s="250" t="s">
        <v>1415</v>
      </c>
      <c r="F477" s="317">
        <v>4302607</v>
      </c>
      <c r="G477" s="318"/>
      <c r="H477" s="319"/>
      <c r="I477" s="320"/>
      <c r="J477" s="337">
        <v>0</v>
      </c>
      <c r="K477" s="321">
        <v>0</v>
      </c>
      <c r="L477" s="321">
        <v>0</v>
      </c>
      <c r="M477" s="321">
        <v>0</v>
      </c>
      <c r="N477" s="321">
        <v>0</v>
      </c>
      <c r="O477" s="321">
        <v>0</v>
      </c>
      <c r="P477" s="321">
        <v>0</v>
      </c>
      <c r="Q477" s="321">
        <v>0</v>
      </c>
      <c r="R477" s="321">
        <v>0</v>
      </c>
      <c r="S477" s="321">
        <v>0</v>
      </c>
      <c r="T477" s="321">
        <v>0</v>
      </c>
      <c r="U477" s="322">
        <v>0</v>
      </c>
      <c r="V477" s="323">
        <v>0</v>
      </c>
      <c r="W477" s="303"/>
      <c r="X477" s="324">
        <v>0</v>
      </c>
      <c r="Y477" s="325">
        <v>0</v>
      </c>
    </row>
    <row r="478" spans="1:25" x14ac:dyDescent="0.3">
      <c r="E478" s="250" t="s">
        <v>1416</v>
      </c>
      <c r="F478" s="317">
        <v>4302611</v>
      </c>
      <c r="G478" s="318"/>
      <c r="H478" s="319"/>
      <c r="I478" s="320"/>
      <c r="J478" s="337">
        <v>0</v>
      </c>
      <c r="K478" s="321">
        <v>0</v>
      </c>
      <c r="L478" s="321">
        <v>0</v>
      </c>
      <c r="M478" s="321">
        <v>0</v>
      </c>
      <c r="N478" s="321">
        <v>0</v>
      </c>
      <c r="O478" s="321">
        <v>0</v>
      </c>
      <c r="P478" s="321">
        <v>0</v>
      </c>
      <c r="Q478" s="321">
        <v>0</v>
      </c>
      <c r="R478" s="321">
        <v>0</v>
      </c>
      <c r="S478" s="321">
        <v>0</v>
      </c>
      <c r="T478" s="321">
        <v>0</v>
      </c>
      <c r="U478" s="322">
        <v>0</v>
      </c>
      <c r="V478" s="323">
        <v>0</v>
      </c>
      <c r="W478" s="303"/>
      <c r="X478" s="324">
        <v>0</v>
      </c>
      <c r="Y478" s="325">
        <v>0</v>
      </c>
    </row>
    <row r="479" spans="1:25" x14ac:dyDescent="0.3">
      <c r="E479" s="250" t="s">
        <v>1417</v>
      </c>
      <c r="F479" s="317">
        <v>4302612</v>
      </c>
      <c r="G479" s="318"/>
      <c r="H479" s="319"/>
      <c r="I479" s="320"/>
      <c r="J479" s="337">
        <v>0</v>
      </c>
      <c r="K479" s="321">
        <v>0</v>
      </c>
      <c r="L479" s="321">
        <v>0</v>
      </c>
      <c r="M479" s="321">
        <v>0</v>
      </c>
      <c r="N479" s="321">
        <v>0</v>
      </c>
      <c r="O479" s="321">
        <v>0</v>
      </c>
      <c r="P479" s="321">
        <v>0</v>
      </c>
      <c r="Q479" s="321">
        <v>0</v>
      </c>
      <c r="R479" s="321">
        <v>0</v>
      </c>
      <c r="S479" s="321">
        <v>0</v>
      </c>
      <c r="T479" s="321">
        <v>0</v>
      </c>
      <c r="U479" s="322">
        <v>0</v>
      </c>
      <c r="V479" s="323">
        <v>0</v>
      </c>
      <c r="W479" s="303"/>
      <c r="X479" s="324">
        <v>0</v>
      </c>
      <c r="Y479" s="325">
        <v>0</v>
      </c>
    </row>
    <row r="480" spans="1:25" x14ac:dyDescent="0.3">
      <c r="E480" s="250" t="s">
        <v>1418</v>
      </c>
      <c r="F480" s="317">
        <v>4302699</v>
      </c>
      <c r="G480" s="318"/>
      <c r="H480" s="319">
        <v>5101270199</v>
      </c>
      <c r="I480" s="320"/>
      <c r="J480" s="337">
        <v>0</v>
      </c>
      <c r="K480" s="321">
        <v>0</v>
      </c>
      <c r="L480" s="321">
        <v>0</v>
      </c>
      <c r="M480" s="321">
        <v>0</v>
      </c>
      <c r="N480" s="321">
        <v>0</v>
      </c>
      <c r="O480" s="321">
        <v>0</v>
      </c>
      <c r="P480" s="321">
        <v>0</v>
      </c>
      <c r="Q480" s="321">
        <v>0</v>
      </c>
      <c r="R480" s="321">
        <v>0</v>
      </c>
      <c r="S480" s="321">
        <v>0</v>
      </c>
      <c r="T480" s="321">
        <v>0</v>
      </c>
      <c r="U480" s="322">
        <v>0</v>
      </c>
      <c r="V480" s="323">
        <v>0</v>
      </c>
      <c r="W480" s="303"/>
      <c r="X480" s="324">
        <v>0</v>
      </c>
      <c r="Y480" s="325">
        <v>0</v>
      </c>
    </row>
    <row r="481" spans="1:25" x14ac:dyDescent="0.3">
      <c r="A481" s="361"/>
      <c r="B481" s="361"/>
      <c r="C481" s="361"/>
      <c r="D481" s="361"/>
      <c r="E481" s="350" t="s">
        <v>1419</v>
      </c>
      <c r="F481" s="306">
        <v>4302613</v>
      </c>
      <c r="G481" s="307"/>
      <c r="H481" s="308"/>
      <c r="I481" s="309"/>
      <c r="J481" s="310">
        <v>0</v>
      </c>
      <c r="K481" s="311">
        <v>0</v>
      </c>
      <c r="L481" s="311">
        <v>0</v>
      </c>
      <c r="M481" s="311">
        <v>0</v>
      </c>
      <c r="N481" s="311">
        <v>0</v>
      </c>
      <c r="O481" s="311">
        <v>0</v>
      </c>
      <c r="P481" s="311">
        <v>0</v>
      </c>
      <c r="Q481" s="311">
        <v>0</v>
      </c>
      <c r="R481" s="311">
        <v>0</v>
      </c>
      <c r="S481" s="311">
        <v>0</v>
      </c>
      <c r="T481" s="311">
        <v>0</v>
      </c>
      <c r="U481" s="312">
        <v>0</v>
      </c>
      <c r="V481" s="313">
        <v>0</v>
      </c>
      <c r="W481" s="314"/>
      <c r="X481" s="315">
        <v>0</v>
      </c>
      <c r="Y481" s="316">
        <v>0</v>
      </c>
    </row>
    <row r="482" spans="1:25" x14ac:dyDescent="0.3">
      <c r="A482" s="361"/>
      <c r="B482" s="361"/>
      <c r="C482" s="361"/>
      <c r="D482" s="361"/>
      <c r="E482" s="326" t="s">
        <v>1420</v>
      </c>
      <c r="F482" s="351"/>
      <c r="G482" s="352"/>
      <c r="H482" s="353"/>
      <c r="I482" s="354"/>
      <c r="J482" s="362">
        <v>0</v>
      </c>
      <c r="K482" s="355">
        <v>0</v>
      </c>
      <c r="L482" s="355">
        <v>0</v>
      </c>
      <c r="M482" s="355">
        <v>0</v>
      </c>
      <c r="N482" s="355">
        <v>0</v>
      </c>
      <c r="O482" s="355">
        <v>0</v>
      </c>
      <c r="P482" s="355">
        <v>0</v>
      </c>
      <c r="Q482" s="355">
        <v>0</v>
      </c>
      <c r="R482" s="355">
        <v>0</v>
      </c>
      <c r="S482" s="355">
        <v>0</v>
      </c>
      <c r="T482" s="355">
        <v>0</v>
      </c>
      <c r="U482" s="356">
        <v>0</v>
      </c>
      <c r="V482" s="357">
        <v>0</v>
      </c>
      <c r="W482" s="358"/>
      <c r="X482" s="359">
        <v>0</v>
      </c>
      <c r="Y482" s="360">
        <v>0</v>
      </c>
    </row>
    <row r="483" spans="1:25" x14ac:dyDescent="0.3">
      <c r="A483" s="361"/>
      <c r="B483" s="361"/>
      <c r="C483" s="361"/>
      <c r="D483" s="361"/>
      <c r="E483" s="326" t="s">
        <v>1421</v>
      </c>
      <c r="F483" s="351"/>
      <c r="G483" s="352"/>
      <c r="H483" s="353"/>
      <c r="I483" s="354"/>
      <c r="J483" s="362">
        <v>0</v>
      </c>
      <c r="K483" s="355">
        <v>0</v>
      </c>
      <c r="L483" s="355">
        <v>0</v>
      </c>
      <c r="M483" s="355">
        <v>0</v>
      </c>
      <c r="N483" s="355">
        <v>0</v>
      </c>
      <c r="O483" s="355">
        <v>0</v>
      </c>
      <c r="P483" s="355">
        <v>0</v>
      </c>
      <c r="Q483" s="355">
        <v>0</v>
      </c>
      <c r="R483" s="355">
        <v>0</v>
      </c>
      <c r="S483" s="355">
        <v>0</v>
      </c>
      <c r="T483" s="355">
        <v>0</v>
      </c>
      <c r="U483" s="356">
        <v>0</v>
      </c>
      <c r="V483" s="357">
        <v>0</v>
      </c>
      <c r="W483" s="358"/>
      <c r="X483" s="359">
        <v>0</v>
      </c>
      <c r="Y483" s="360">
        <v>0</v>
      </c>
    </row>
    <row r="484" spans="1:25" x14ac:dyDescent="0.3">
      <c r="A484" s="233"/>
      <c r="B484" s="234" t="s">
        <v>16</v>
      </c>
      <c r="D484" s="293" t="s">
        <v>1422</v>
      </c>
      <c r="E484" s="294"/>
      <c r="F484" s="295" t="s">
        <v>1423</v>
      </c>
      <c r="G484" s="296"/>
      <c r="H484" s="297"/>
      <c r="I484" s="298"/>
      <c r="J484" s="299">
        <v>0</v>
      </c>
      <c r="K484" s="300">
        <v>0</v>
      </c>
      <c r="L484" s="300">
        <v>0</v>
      </c>
      <c r="M484" s="300">
        <v>0</v>
      </c>
      <c r="N484" s="300">
        <v>0</v>
      </c>
      <c r="O484" s="300">
        <v>0</v>
      </c>
      <c r="P484" s="300">
        <v>0</v>
      </c>
      <c r="Q484" s="300">
        <v>0</v>
      </c>
      <c r="R484" s="300">
        <v>0</v>
      </c>
      <c r="S484" s="300">
        <v>0</v>
      </c>
      <c r="T484" s="300">
        <v>0</v>
      </c>
      <c r="U484" s="301">
        <v>0</v>
      </c>
      <c r="V484" s="302">
        <v>0</v>
      </c>
      <c r="W484" s="303"/>
      <c r="X484" s="304">
        <v>0</v>
      </c>
      <c r="Y484" s="305">
        <v>0</v>
      </c>
    </row>
    <row r="485" spans="1:25" x14ac:dyDescent="0.3">
      <c r="E485" s="250" t="s">
        <v>1424</v>
      </c>
      <c r="F485" s="317">
        <v>4300801</v>
      </c>
      <c r="G485" s="318"/>
      <c r="H485" s="319">
        <v>5101290101</v>
      </c>
      <c r="I485" s="320"/>
      <c r="J485" s="337">
        <v>0</v>
      </c>
      <c r="K485" s="321">
        <v>0</v>
      </c>
      <c r="L485" s="321">
        <v>0</v>
      </c>
      <c r="M485" s="321">
        <v>0</v>
      </c>
      <c r="N485" s="321">
        <v>0</v>
      </c>
      <c r="O485" s="321">
        <v>0</v>
      </c>
      <c r="P485" s="321">
        <v>0</v>
      </c>
      <c r="Q485" s="321">
        <v>0</v>
      </c>
      <c r="R485" s="321">
        <v>0</v>
      </c>
      <c r="S485" s="321">
        <v>0</v>
      </c>
      <c r="T485" s="321">
        <v>0</v>
      </c>
      <c r="U485" s="322">
        <v>0</v>
      </c>
      <c r="V485" s="323">
        <v>0</v>
      </c>
      <c r="W485" s="303"/>
      <c r="X485" s="324">
        <v>0</v>
      </c>
      <c r="Y485" s="325">
        <v>0</v>
      </c>
    </row>
    <row r="486" spans="1:25" x14ac:dyDescent="0.3">
      <c r="E486" s="250" t="s">
        <v>1425</v>
      </c>
      <c r="F486" s="317">
        <v>4300802</v>
      </c>
      <c r="G486" s="318"/>
      <c r="H486" s="319">
        <v>5101290103</v>
      </c>
      <c r="I486" s="320"/>
      <c r="J486" s="337">
        <v>0</v>
      </c>
      <c r="K486" s="321">
        <v>0</v>
      </c>
      <c r="L486" s="321">
        <v>0</v>
      </c>
      <c r="M486" s="321">
        <v>0</v>
      </c>
      <c r="N486" s="321">
        <v>0</v>
      </c>
      <c r="O486" s="321">
        <v>0</v>
      </c>
      <c r="P486" s="321">
        <v>0</v>
      </c>
      <c r="Q486" s="321">
        <v>0</v>
      </c>
      <c r="R486" s="321">
        <v>0</v>
      </c>
      <c r="S486" s="321">
        <v>0</v>
      </c>
      <c r="T486" s="321">
        <v>0</v>
      </c>
      <c r="U486" s="322">
        <v>0</v>
      </c>
      <c r="V486" s="323">
        <v>0</v>
      </c>
      <c r="W486" s="303"/>
      <c r="X486" s="324">
        <v>0</v>
      </c>
      <c r="Y486" s="325">
        <v>0</v>
      </c>
    </row>
    <row r="487" spans="1:25" x14ac:dyDescent="0.3">
      <c r="E487" s="250" t="s">
        <v>1426</v>
      </c>
      <c r="F487" s="317">
        <v>4300803</v>
      </c>
      <c r="G487" s="318"/>
      <c r="H487" s="319"/>
      <c r="I487" s="320"/>
      <c r="J487" s="337">
        <v>0</v>
      </c>
      <c r="K487" s="321">
        <v>0</v>
      </c>
      <c r="L487" s="321">
        <v>0</v>
      </c>
      <c r="M487" s="321">
        <v>0</v>
      </c>
      <c r="N487" s="321">
        <v>0</v>
      </c>
      <c r="O487" s="321">
        <v>0</v>
      </c>
      <c r="P487" s="321">
        <v>0</v>
      </c>
      <c r="Q487" s="321">
        <v>0</v>
      </c>
      <c r="R487" s="321">
        <v>0</v>
      </c>
      <c r="S487" s="321">
        <v>0</v>
      </c>
      <c r="T487" s="321">
        <v>0</v>
      </c>
      <c r="U487" s="322">
        <v>0</v>
      </c>
      <c r="V487" s="323">
        <v>0</v>
      </c>
      <c r="W487" s="303"/>
      <c r="X487" s="324">
        <v>0</v>
      </c>
      <c r="Y487" s="325">
        <v>0</v>
      </c>
    </row>
    <row r="488" spans="1:25" x14ac:dyDescent="0.3">
      <c r="E488" s="250" t="s">
        <v>1427</v>
      </c>
      <c r="F488" s="317">
        <v>4300805</v>
      </c>
      <c r="G488" s="318"/>
      <c r="H488" s="319"/>
      <c r="I488" s="320"/>
      <c r="J488" s="337">
        <v>0</v>
      </c>
      <c r="K488" s="321">
        <v>0</v>
      </c>
      <c r="L488" s="321">
        <v>0</v>
      </c>
      <c r="M488" s="321">
        <v>0</v>
      </c>
      <c r="N488" s="321">
        <v>0</v>
      </c>
      <c r="O488" s="321">
        <v>0</v>
      </c>
      <c r="P488" s="321">
        <v>0</v>
      </c>
      <c r="Q488" s="321">
        <v>0</v>
      </c>
      <c r="R488" s="321">
        <v>0</v>
      </c>
      <c r="S488" s="321">
        <v>0</v>
      </c>
      <c r="T488" s="321">
        <v>0</v>
      </c>
      <c r="U488" s="322">
        <v>0</v>
      </c>
      <c r="V488" s="323">
        <v>0</v>
      </c>
      <c r="W488" s="303"/>
      <c r="X488" s="324">
        <v>0</v>
      </c>
      <c r="Y488" s="325">
        <v>0</v>
      </c>
    </row>
    <row r="489" spans="1:25" x14ac:dyDescent="0.3">
      <c r="E489" s="250" t="s">
        <v>1428</v>
      </c>
      <c r="F489" s="317">
        <v>4300899</v>
      </c>
      <c r="G489" s="318"/>
      <c r="H489" s="319">
        <v>5101290199</v>
      </c>
      <c r="I489" s="320"/>
      <c r="J489" s="337">
        <v>0</v>
      </c>
      <c r="K489" s="321">
        <v>0</v>
      </c>
      <c r="L489" s="321">
        <v>0</v>
      </c>
      <c r="M489" s="321">
        <v>0</v>
      </c>
      <c r="N489" s="321">
        <v>0</v>
      </c>
      <c r="O489" s="321">
        <v>0</v>
      </c>
      <c r="P489" s="321">
        <v>0</v>
      </c>
      <c r="Q489" s="321">
        <v>0</v>
      </c>
      <c r="R489" s="321">
        <v>0</v>
      </c>
      <c r="S489" s="321">
        <v>0</v>
      </c>
      <c r="T489" s="321">
        <v>0</v>
      </c>
      <c r="U489" s="322">
        <v>0</v>
      </c>
      <c r="V489" s="323">
        <v>0</v>
      </c>
      <c r="W489" s="303"/>
      <c r="X489" s="324">
        <v>0</v>
      </c>
      <c r="Y489" s="325">
        <v>0</v>
      </c>
    </row>
    <row r="490" spans="1:25" x14ac:dyDescent="0.3">
      <c r="A490" s="326"/>
      <c r="B490" s="326"/>
      <c r="C490" s="326"/>
      <c r="D490" s="326"/>
      <c r="E490" s="326" t="s">
        <v>1429</v>
      </c>
      <c r="F490" s="336"/>
      <c r="G490" s="327"/>
      <c r="H490" s="328"/>
      <c r="I490" s="329"/>
      <c r="J490" s="338">
        <v>0</v>
      </c>
      <c r="K490" s="330">
        <v>0</v>
      </c>
      <c r="L490" s="330">
        <v>0</v>
      </c>
      <c r="M490" s="330">
        <v>0</v>
      </c>
      <c r="N490" s="330">
        <v>0</v>
      </c>
      <c r="O490" s="330">
        <v>0</v>
      </c>
      <c r="P490" s="330">
        <v>0</v>
      </c>
      <c r="Q490" s="330">
        <v>0</v>
      </c>
      <c r="R490" s="330">
        <v>0</v>
      </c>
      <c r="S490" s="330">
        <v>0</v>
      </c>
      <c r="T490" s="330">
        <v>0</v>
      </c>
      <c r="U490" s="331">
        <v>0</v>
      </c>
      <c r="V490" s="332">
        <v>0</v>
      </c>
      <c r="W490" s="333"/>
      <c r="X490" s="334">
        <v>0</v>
      </c>
      <c r="Y490" s="335">
        <v>0</v>
      </c>
    </row>
    <row r="491" spans="1:25" x14ac:dyDescent="0.3">
      <c r="A491" s="326"/>
      <c r="B491" s="326"/>
      <c r="C491" s="326"/>
      <c r="D491" s="326"/>
      <c r="E491" s="326" t="s">
        <v>1430</v>
      </c>
      <c r="F491" s="336"/>
      <c r="G491" s="327"/>
      <c r="H491" s="328"/>
      <c r="I491" s="329"/>
      <c r="J491" s="338">
        <v>0</v>
      </c>
      <c r="K491" s="330">
        <v>0</v>
      </c>
      <c r="L491" s="330">
        <v>0</v>
      </c>
      <c r="M491" s="330">
        <v>0</v>
      </c>
      <c r="N491" s="330">
        <v>0</v>
      </c>
      <c r="O491" s="330">
        <v>0</v>
      </c>
      <c r="P491" s="330">
        <v>0</v>
      </c>
      <c r="Q491" s="330">
        <v>0</v>
      </c>
      <c r="R491" s="330">
        <v>0</v>
      </c>
      <c r="S491" s="330">
        <v>0</v>
      </c>
      <c r="T491" s="330">
        <v>0</v>
      </c>
      <c r="U491" s="331">
        <v>0</v>
      </c>
      <c r="V491" s="332">
        <v>0</v>
      </c>
      <c r="W491" s="333"/>
      <c r="X491" s="334">
        <v>0</v>
      </c>
      <c r="Y491" s="335">
        <v>0</v>
      </c>
    </row>
    <row r="492" spans="1:25" x14ac:dyDescent="0.3">
      <c r="A492" s="326"/>
      <c r="B492" s="326"/>
      <c r="C492" s="326"/>
      <c r="D492" s="326"/>
      <c r="E492" s="326" t="s">
        <v>1431</v>
      </c>
      <c r="F492" s="336"/>
      <c r="G492" s="327"/>
      <c r="H492" s="328"/>
      <c r="I492" s="329"/>
      <c r="J492" s="338">
        <v>0</v>
      </c>
      <c r="K492" s="330">
        <v>0</v>
      </c>
      <c r="L492" s="330">
        <v>0</v>
      </c>
      <c r="M492" s="330">
        <v>0</v>
      </c>
      <c r="N492" s="330">
        <v>0</v>
      </c>
      <c r="O492" s="330">
        <v>0</v>
      </c>
      <c r="P492" s="330">
        <v>0</v>
      </c>
      <c r="Q492" s="330">
        <v>0</v>
      </c>
      <c r="R492" s="330">
        <v>0</v>
      </c>
      <c r="S492" s="330">
        <v>0</v>
      </c>
      <c r="T492" s="330">
        <v>0</v>
      </c>
      <c r="U492" s="331">
        <v>0</v>
      </c>
      <c r="V492" s="332">
        <v>0</v>
      </c>
      <c r="W492" s="333"/>
      <c r="X492" s="334">
        <v>0</v>
      </c>
      <c r="Y492" s="335">
        <v>0</v>
      </c>
    </row>
    <row r="493" spans="1:25" x14ac:dyDescent="0.3">
      <c r="A493" s="233"/>
      <c r="B493" s="234" t="s">
        <v>24</v>
      </c>
      <c r="D493" s="293" t="s">
        <v>1432</v>
      </c>
      <c r="E493" s="294"/>
      <c r="F493" s="295" t="s">
        <v>1433</v>
      </c>
      <c r="G493" s="296"/>
      <c r="H493" s="297"/>
      <c r="I493" s="298"/>
      <c r="J493" s="299">
        <v>0</v>
      </c>
      <c r="K493" s="300">
        <v>0</v>
      </c>
      <c r="L493" s="300">
        <v>0</v>
      </c>
      <c r="M493" s="300">
        <v>0</v>
      </c>
      <c r="N493" s="300">
        <v>0</v>
      </c>
      <c r="O493" s="300">
        <v>0</v>
      </c>
      <c r="P493" s="300">
        <v>0</v>
      </c>
      <c r="Q493" s="300">
        <v>0</v>
      </c>
      <c r="R493" s="300">
        <v>0</v>
      </c>
      <c r="S493" s="300">
        <v>0</v>
      </c>
      <c r="T493" s="300">
        <v>0</v>
      </c>
      <c r="U493" s="301">
        <v>0</v>
      </c>
      <c r="V493" s="302">
        <v>0</v>
      </c>
      <c r="W493" s="303"/>
      <c r="X493" s="304">
        <v>0</v>
      </c>
      <c r="Y493" s="305">
        <v>0</v>
      </c>
    </row>
    <row r="494" spans="1:25" x14ac:dyDescent="0.3">
      <c r="E494" s="250" t="s">
        <v>1434</v>
      </c>
      <c r="F494" s="317">
        <v>4302902</v>
      </c>
      <c r="G494" s="318"/>
      <c r="H494" s="319">
        <v>5101310105</v>
      </c>
      <c r="I494" s="320"/>
      <c r="J494" s="337">
        <v>0</v>
      </c>
      <c r="K494" s="321">
        <v>0</v>
      </c>
      <c r="L494" s="321">
        <v>0</v>
      </c>
      <c r="M494" s="321">
        <v>0</v>
      </c>
      <c r="N494" s="321">
        <v>0</v>
      </c>
      <c r="O494" s="321">
        <v>0</v>
      </c>
      <c r="P494" s="321">
        <v>0</v>
      </c>
      <c r="Q494" s="321">
        <v>0</v>
      </c>
      <c r="R494" s="321">
        <v>0</v>
      </c>
      <c r="S494" s="321">
        <v>0</v>
      </c>
      <c r="T494" s="321">
        <v>0</v>
      </c>
      <c r="U494" s="322">
        <v>0</v>
      </c>
      <c r="V494" s="323">
        <v>0</v>
      </c>
      <c r="W494" s="303"/>
      <c r="X494" s="324">
        <v>0</v>
      </c>
      <c r="Y494" s="325">
        <v>0</v>
      </c>
    </row>
    <row r="495" spans="1:25" x14ac:dyDescent="0.3">
      <c r="E495" s="250" t="s">
        <v>1435</v>
      </c>
      <c r="F495" s="317">
        <v>4302903</v>
      </c>
      <c r="G495" s="318"/>
      <c r="H495" s="319">
        <v>5101310103</v>
      </c>
      <c r="I495" s="320"/>
      <c r="J495" s="337">
        <v>0</v>
      </c>
      <c r="K495" s="321">
        <v>0</v>
      </c>
      <c r="L495" s="321">
        <v>0</v>
      </c>
      <c r="M495" s="321">
        <v>0</v>
      </c>
      <c r="N495" s="321">
        <v>0</v>
      </c>
      <c r="O495" s="321">
        <v>0</v>
      </c>
      <c r="P495" s="321">
        <v>0</v>
      </c>
      <c r="Q495" s="321">
        <v>0</v>
      </c>
      <c r="R495" s="321">
        <v>0</v>
      </c>
      <c r="S495" s="321">
        <v>0</v>
      </c>
      <c r="T495" s="321">
        <v>0</v>
      </c>
      <c r="U495" s="322">
        <v>0</v>
      </c>
      <c r="V495" s="323">
        <v>0</v>
      </c>
      <c r="W495" s="303"/>
      <c r="X495" s="324">
        <v>0</v>
      </c>
      <c r="Y495" s="325">
        <v>0</v>
      </c>
    </row>
    <row r="496" spans="1:25" x14ac:dyDescent="0.3">
      <c r="E496" s="250" t="s">
        <v>1436</v>
      </c>
      <c r="F496" s="317">
        <v>4302904</v>
      </c>
      <c r="G496" s="318"/>
      <c r="H496" s="319"/>
      <c r="I496" s="320"/>
      <c r="J496" s="337">
        <v>0</v>
      </c>
      <c r="K496" s="321">
        <v>0</v>
      </c>
      <c r="L496" s="321">
        <v>0</v>
      </c>
      <c r="M496" s="321">
        <v>0</v>
      </c>
      <c r="N496" s="321">
        <v>0</v>
      </c>
      <c r="O496" s="321">
        <v>0</v>
      </c>
      <c r="P496" s="321">
        <v>0</v>
      </c>
      <c r="Q496" s="321">
        <v>0</v>
      </c>
      <c r="R496" s="321">
        <v>0</v>
      </c>
      <c r="S496" s="321">
        <v>0</v>
      </c>
      <c r="T496" s="321">
        <v>0</v>
      </c>
      <c r="U496" s="322">
        <v>0</v>
      </c>
      <c r="V496" s="323">
        <v>0</v>
      </c>
      <c r="W496" s="303"/>
      <c r="X496" s="324">
        <v>0</v>
      </c>
      <c r="Y496" s="325">
        <v>0</v>
      </c>
    </row>
    <row r="497" spans="1:25" x14ac:dyDescent="0.3">
      <c r="E497" s="250" t="s">
        <v>1437</v>
      </c>
      <c r="F497" s="317">
        <v>4302906</v>
      </c>
      <c r="G497" s="318"/>
      <c r="H497" s="319">
        <v>5101310101</v>
      </c>
      <c r="I497" s="320"/>
      <c r="J497" s="337">
        <v>0</v>
      </c>
      <c r="K497" s="321">
        <v>0</v>
      </c>
      <c r="L497" s="321">
        <v>0</v>
      </c>
      <c r="M497" s="321">
        <v>0</v>
      </c>
      <c r="N497" s="321">
        <v>0</v>
      </c>
      <c r="O497" s="321">
        <v>0</v>
      </c>
      <c r="P497" s="321">
        <v>0</v>
      </c>
      <c r="Q497" s="321">
        <v>0</v>
      </c>
      <c r="R497" s="321">
        <v>0</v>
      </c>
      <c r="S497" s="321">
        <v>0</v>
      </c>
      <c r="T497" s="321">
        <v>0</v>
      </c>
      <c r="U497" s="322">
        <v>0</v>
      </c>
      <c r="V497" s="323">
        <v>0</v>
      </c>
      <c r="W497" s="303"/>
      <c r="X497" s="324">
        <v>0</v>
      </c>
      <c r="Y497" s="325">
        <v>0</v>
      </c>
    </row>
    <row r="498" spans="1:25" x14ac:dyDescent="0.3">
      <c r="E498" s="250" t="s">
        <v>1438</v>
      </c>
      <c r="F498" s="317">
        <v>4302907</v>
      </c>
      <c r="G498" s="318"/>
      <c r="H498" s="319"/>
      <c r="I498" s="320"/>
      <c r="J498" s="337">
        <v>0</v>
      </c>
      <c r="K498" s="321">
        <v>0</v>
      </c>
      <c r="L498" s="321">
        <v>0</v>
      </c>
      <c r="M498" s="321">
        <v>0</v>
      </c>
      <c r="N498" s="321">
        <v>0</v>
      </c>
      <c r="O498" s="321">
        <v>0</v>
      </c>
      <c r="P498" s="321">
        <v>0</v>
      </c>
      <c r="Q498" s="321">
        <v>0</v>
      </c>
      <c r="R498" s="321">
        <v>0</v>
      </c>
      <c r="S498" s="321">
        <v>0</v>
      </c>
      <c r="T498" s="321">
        <v>0</v>
      </c>
      <c r="U498" s="322">
        <v>0</v>
      </c>
      <c r="V498" s="323">
        <v>0</v>
      </c>
      <c r="W498" s="303"/>
      <c r="X498" s="324">
        <v>0</v>
      </c>
      <c r="Y498" s="325">
        <v>0</v>
      </c>
    </row>
    <row r="499" spans="1:25" x14ac:dyDescent="0.3">
      <c r="E499" s="250" t="s">
        <v>1439</v>
      </c>
      <c r="F499" s="317">
        <v>4302908</v>
      </c>
      <c r="G499" s="318"/>
      <c r="H499" s="319">
        <v>5101310199</v>
      </c>
      <c r="I499" s="320"/>
      <c r="J499" s="337">
        <v>0</v>
      </c>
      <c r="K499" s="321">
        <v>0</v>
      </c>
      <c r="L499" s="321">
        <v>0</v>
      </c>
      <c r="M499" s="321">
        <v>0</v>
      </c>
      <c r="N499" s="321">
        <v>0</v>
      </c>
      <c r="O499" s="321">
        <v>0</v>
      </c>
      <c r="P499" s="321">
        <v>0</v>
      </c>
      <c r="Q499" s="321">
        <v>0</v>
      </c>
      <c r="R499" s="321">
        <v>0</v>
      </c>
      <c r="S499" s="321">
        <v>0</v>
      </c>
      <c r="T499" s="321">
        <v>0</v>
      </c>
      <c r="U499" s="322">
        <v>0</v>
      </c>
      <c r="V499" s="323">
        <v>0</v>
      </c>
      <c r="W499" s="303"/>
      <c r="X499" s="324">
        <v>0</v>
      </c>
      <c r="Y499" s="325">
        <v>0</v>
      </c>
    </row>
    <row r="500" spans="1:25" x14ac:dyDescent="0.3">
      <c r="A500" s="350"/>
      <c r="B500" s="350"/>
      <c r="C500" s="350"/>
      <c r="D500" s="350"/>
      <c r="E500" s="350" t="s">
        <v>1440</v>
      </c>
      <c r="F500" s="306">
        <v>4302999</v>
      </c>
      <c r="G500" s="307"/>
      <c r="H500" s="308"/>
      <c r="I500" s="309"/>
      <c r="J500" s="310">
        <v>0</v>
      </c>
      <c r="K500" s="311">
        <v>0</v>
      </c>
      <c r="L500" s="311">
        <v>0</v>
      </c>
      <c r="M500" s="311">
        <v>0</v>
      </c>
      <c r="N500" s="311">
        <v>0</v>
      </c>
      <c r="O500" s="311">
        <v>0</v>
      </c>
      <c r="P500" s="311">
        <v>0</v>
      </c>
      <c r="Q500" s="311">
        <v>0</v>
      </c>
      <c r="R500" s="311">
        <v>0</v>
      </c>
      <c r="S500" s="311">
        <v>0</v>
      </c>
      <c r="T500" s="311">
        <v>0</v>
      </c>
      <c r="U500" s="312">
        <v>0</v>
      </c>
      <c r="V500" s="313">
        <v>0</v>
      </c>
      <c r="W500" s="314"/>
      <c r="X500" s="315">
        <v>0</v>
      </c>
      <c r="Y500" s="316">
        <v>0</v>
      </c>
    </row>
    <row r="501" spans="1:25" x14ac:dyDescent="0.3">
      <c r="A501" s="361"/>
      <c r="B501" s="361"/>
      <c r="C501" s="361"/>
      <c r="D501" s="361"/>
      <c r="E501" s="326" t="s">
        <v>1441</v>
      </c>
      <c r="F501" s="351"/>
      <c r="G501" s="352"/>
      <c r="H501" s="353"/>
      <c r="I501" s="354"/>
      <c r="J501" s="362">
        <v>0</v>
      </c>
      <c r="K501" s="355">
        <v>0</v>
      </c>
      <c r="L501" s="355">
        <v>0</v>
      </c>
      <c r="M501" s="355">
        <v>0</v>
      </c>
      <c r="N501" s="355">
        <v>0</v>
      </c>
      <c r="O501" s="355">
        <v>0</v>
      </c>
      <c r="P501" s="355">
        <v>0</v>
      </c>
      <c r="Q501" s="355">
        <v>0</v>
      </c>
      <c r="R501" s="355">
        <v>0</v>
      </c>
      <c r="S501" s="355">
        <v>0</v>
      </c>
      <c r="T501" s="355">
        <v>0</v>
      </c>
      <c r="U501" s="356">
        <v>0</v>
      </c>
      <c r="V501" s="357">
        <v>0</v>
      </c>
      <c r="W501" s="358"/>
      <c r="X501" s="359">
        <v>0</v>
      </c>
      <c r="Y501" s="360">
        <v>0</v>
      </c>
    </row>
    <row r="502" spans="1:25" x14ac:dyDescent="0.3">
      <c r="A502" s="361"/>
      <c r="B502" s="361"/>
      <c r="C502" s="361"/>
      <c r="D502" s="361"/>
      <c r="E502" s="326" t="s">
        <v>1442</v>
      </c>
      <c r="F502" s="351"/>
      <c r="G502" s="352"/>
      <c r="H502" s="353"/>
      <c r="I502" s="354"/>
      <c r="J502" s="362">
        <v>0</v>
      </c>
      <c r="K502" s="355">
        <v>0</v>
      </c>
      <c r="L502" s="355">
        <v>0</v>
      </c>
      <c r="M502" s="355">
        <v>0</v>
      </c>
      <c r="N502" s="355">
        <v>0</v>
      </c>
      <c r="O502" s="355">
        <v>0</v>
      </c>
      <c r="P502" s="355">
        <v>0</v>
      </c>
      <c r="Q502" s="355">
        <v>0</v>
      </c>
      <c r="R502" s="355">
        <v>0</v>
      </c>
      <c r="S502" s="355">
        <v>0</v>
      </c>
      <c r="T502" s="355">
        <v>0</v>
      </c>
      <c r="U502" s="356">
        <v>0</v>
      </c>
      <c r="V502" s="357">
        <v>0</v>
      </c>
      <c r="W502" s="358"/>
      <c r="X502" s="359">
        <v>0</v>
      </c>
      <c r="Y502" s="360">
        <v>0</v>
      </c>
    </row>
    <row r="503" spans="1:25" x14ac:dyDescent="0.3">
      <c r="A503" s="361"/>
      <c r="B503" s="361"/>
      <c r="C503" s="361"/>
      <c r="D503" s="361"/>
      <c r="E503" s="326" t="s">
        <v>1443</v>
      </c>
      <c r="F503" s="351"/>
      <c r="G503" s="352"/>
      <c r="H503" s="353"/>
      <c r="I503" s="354"/>
      <c r="J503" s="362">
        <v>0</v>
      </c>
      <c r="K503" s="355">
        <v>0</v>
      </c>
      <c r="L503" s="355">
        <v>0</v>
      </c>
      <c r="M503" s="355">
        <v>0</v>
      </c>
      <c r="N503" s="355">
        <v>0</v>
      </c>
      <c r="O503" s="355">
        <v>0</v>
      </c>
      <c r="P503" s="355">
        <v>0</v>
      </c>
      <c r="Q503" s="355">
        <v>0</v>
      </c>
      <c r="R503" s="355">
        <v>0</v>
      </c>
      <c r="S503" s="355">
        <v>0</v>
      </c>
      <c r="T503" s="355">
        <v>0</v>
      </c>
      <c r="U503" s="356">
        <v>0</v>
      </c>
      <c r="V503" s="357">
        <v>0</v>
      </c>
      <c r="W503" s="358"/>
      <c r="X503" s="359">
        <v>0</v>
      </c>
      <c r="Y503" s="360">
        <v>0</v>
      </c>
    </row>
    <row r="504" spans="1:25" x14ac:dyDescent="0.3">
      <c r="A504" s="233"/>
      <c r="B504" s="234" t="s">
        <v>25</v>
      </c>
      <c r="D504" s="293" t="s">
        <v>1444</v>
      </c>
      <c r="E504" s="294"/>
      <c r="F504" s="295" t="s">
        <v>1445</v>
      </c>
      <c r="G504" s="296"/>
      <c r="H504" s="297"/>
      <c r="I504" s="298"/>
      <c r="J504" s="299">
        <v>0</v>
      </c>
      <c r="K504" s="300">
        <v>0</v>
      </c>
      <c r="L504" s="300">
        <v>0</v>
      </c>
      <c r="M504" s="300">
        <v>0</v>
      </c>
      <c r="N504" s="300">
        <v>0</v>
      </c>
      <c r="O504" s="300">
        <v>0</v>
      </c>
      <c r="P504" s="300">
        <v>0</v>
      </c>
      <c r="Q504" s="300">
        <v>0</v>
      </c>
      <c r="R504" s="300">
        <v>0</v>
      </c>
      <c r="S504" s="300">
        <v>0</v>
      </c>
      <c r="T504" s="300">
        <v>0</v>
      </c>
      <c r="U504" s="301">
        <v>0</v>
      </c>
      <c r="V504" s="302">
        <v>0</v>
      </c>
      <c r="W504" s="303"/>
      <c r="X504" s="304">
        <v>0</v>
      </c>
      <c r="Y504" s="305">
        <v>0</v>
      </c>
    </row>
    <row r="505" spans="1:25" x14ac:dyDescent="0.3">
      <c r="E505" s="250" t="s">
        <v>1446</v>
      </c>
      <c r="F505" s="317">
        <v>4303201</v>
      </c>
      <c r="G505" s="318"/>
      <c r="H505" s="319">
        <v>5101330101</v>
      </c>
      <c r="I505" s="320"/>
      <c r="J505" s="337">
        <v>0</v>
      </c>
      <c r="K505" s="321">
        <v>0</v>
      </c>
      <c r="L505" s="321">
        <v>0</v>
      </c>
      <c r="M505" s="321">
        <v>0</v>
      </c>
      <c r="N505" s="321">
        <v>0</v>
      </c>
      <c r="O505" s="321">
        <v>0</v>
      </c>
      <c r="P505" s="321">
        <v>0</v>
      </c>
      <c r="Q505" s="321">
        <v>0</v>
      </c>
      <c r="R505" s="321">
        <v>0</v>
      </c>
      <c r="S505" s="321">
        <v>0</v>
      </c>
      <c r="T505" s="321">
        <v>0</v>
      </c>
      <c r="U505" s="322">
        <v>0</v>
      </c>
      <c r="V505" s="323">
        <v>0</v>
      </c>
      <c r="W505" s="303"/>
      <c r="X505" s="324">
        <v>0</v>
      </c>
      <c r="Y505" s="325">
        <v>0</v>
      </c>
    </row>
    <row r="506" spans="1:25" x14ac:dyDescent="0.3">
      <c r="E506" s="250" t="s">
        <v>1447</v>
      </c>
      <c r="F506" s="317">
        <v>4303202</v>
      </c>
      <c r="G506" s="318"/>
      <c r="H506" s="319">
        <v>5101330103</v>
      </c>
      <c r="I506" s="320"/>
      <c r="J506" s="337">
        <v>0</v>
      </c>
      <c r="K506" s="321">
        <v>0</v>
      </c>
      <c r="L506" s="321">
        <v>0</v>
      </c>
      <c r="M506" s="321">
        <v>0</v>
      </c>
      <c r="N506" s="321">
        <v>0</v>
      </c>
      <c r="O506" s="321">
        <v>0</v>
      </c>
      <c r="P506" s="321">
        <v>0</v>
      </c>
      <c r="Q506" s="321">
        <v>0</v>
      </c>
      <c r="R506" s="321">
        <v>0</v>
      </c>
      <c r="S506" s="321">
        <v>0</v>
      </c>
      <c r="T506" s="321">
        <v>0</v>
      </c>
      <c r="U506" s="322">
        <v>0</v>
      </c>
      <c r="V506" s="323">
        <v>0</v>
      </c>
      <c r="W506" s="303"/>
      <c r="X506" s="324">
        <v>0</v>
      </c>
      <c r="Y506" s="325">
        <v>0</v>
      </c>
    </row>
    <row r="507" spans="1:25" x14ac:dyDescent="0.3">
      <c r="E507" s="250" t="s">
        <v>1448</v>
      </c>
      <c r="F507" s="317">
        <v>4303203</v>
      </c>
      <c r="G507" s="318"/>
      <c r="H507" s="319">
        <v>5101330105</v>
      </c>
      <c r="I507" s="320"/>
      <c r="J507" s="337">
        <v>0</v>
      </c>
      <c r="K507" s="321">
        <v>0</v>
      </c>
      <c r="L507" s="321">
        <v>0</v>
      </c>
      <c r="M507" s="321">
        <v>0</v>
      </c>
      <c r="N507" s="321">
        <v>0</v>
      </c>
      <c r="O507" s="321">
        <v>0</v>
      </c>
      <c r="P507" s="321">
        <v>0</v>
      </c>
      <c r="Q507" s="321">
        <v>0</v>
      </c>
      <c r="R507" s="321">
        <v>0</v>
      </c>
      <c r="S507" s="321">
        <v>0</v>
      </c>
      <c r="T507" s="321">
        <v>0</v>
      </c>
      <c r="U507" s="322">
        <v>0</v>
      </c>
      <c r="V507" s="323">
        <v>0</v>
      </c>
      <c r="W507" s="303"/>
      <c r="X507" s="324">
        <v>0</v>
      </c>
      <c r="Y507" s="325">
        <v>0</v>
      </c>
    </row>
    <row r="508" spans="1:25" x14ac:dyDescent="0.3">
      <c r="E508" s="250" t="s">
        <v>1449</v>
      </c>
      <c r="F508" s="317">
        <v>4303204</v>
      </c>
      <c r="G508" s="318"/>
      <c r="H508" s="319">
        <v>5101330199</v>
      </c>
      <c r="I508" s="320"/>
      <c r="J508" s="337">
        <v>0</v>
      </c>
      <c r="K508" s="321">
        <v>0</v>
      </c>
      <c r="L508" s="321">
        <v>0</v>
      </c>
      <c r="M508" s="321">
        <v>0</v>
      </c>
      <c r="N508" s="321">
        <v>0</v>
      </c>
      <c r="O508" s="321">
        <v>0</v>
      </c>
      <c r="P508" s="321">
        <v>0</v>
      </c>
      <c r="Q508" s="321">
        <v>0</v>
      </c>
      <c r="R508" s="321">
        <v>0</v>
      </c>
      <c r="S508" s="321">
        <v>0</v>
      </c>
      <c r="T508" s="321">
        <v>0</v>
      </c>
      <c r="U508" s="322">
        <v>0</v>
      </c>
      <c r="V508" s="323">
        <v>0</v>
      </c>
      <c r="W508" s="303"/>
      <c r="X508" s="324">
        <v>0</v>
      </c>
      <c r="Y508" s="325">
        <v>0</v>
      </c>
    </row>
    <row r="509" spans="1:25" x14ac:dyDescent="0.3">
      <c r="E509" s="250" t="s">
        <v>1450</v>
      </c>
      <c r="F509" s="317">
        <v>4303205</v>
      </c>
      <c r="G509" s="318"/>
      <c r="H509" s="319"/>
      <c r="I509" s="320"/>
      <c r="J509" s="337">
        <v>0</v>
      </c>
      <c r="K509" s="321">
        <v>0</v>
      </c>
      <c r="L509" s="321">
        <v>0</v>
      </c>
      <c r="M509" s="321">
        <v>0</v>
      </c>
      <c r="N509" s="321">
        <v>0</v>
      </c>
      <c r="O509" s="321">
        <v>0</v>
      </c>
      <c r="P509" s="321">
        <v>0</v>
      </c>
      <c r="Q509" s="321">
        <v>0</v>
      </c>
      <c r="R509" s="321">
        <v>0</v>
      </c>
      <c r="S509" s="321">
        <v>0</v>
      </c>
      <c r="T509" s="321">
        <v>0</v>
      </c>
      <c r="U509" s="322">
        <v>0</v>
      </c>
      <c r="V509" s="323">
        <v>0</v>
      </c>
      <c r="W509" s="303"/>
      <c r="X509" s="324">
        <v>0</v>
      </c>
      <c r="Y509" s="325">
        <v>0</v>
      </c>
    </row>
    <row r="510" spans="1:25" x14ac:dyDescent="0.3">
      <c r="E510" s="250" t="s">
        <v>1451</v>
      </c>
      <c r="F510" s="317">
        <v>4303210</v>
      </c>
      <c r="G510" s="318"/>
      <c r="H510" s="319"/>
      <c r="I510" s="320"/>
      <c r="J510" s="337">
        <v>0</v>
      </c>
      <c r="K510" s="321">
        <v>0</v>
      </c>
      <c r="L510" s="321">
        <v>0</v>
      </c>
      <c r="M510" s="321">
        <v>0</v>
      </c>
      <c r="N510" s="321">
        <v>0</v>
      </c>
      <c r="O510" s="321">
        <v>0</v>
      </c>
      <c r="P510" s="321">
        <v>0</v>
      </c>
      <c r="Q510" s="321">
        <v>0</v>
      </c>
      <c r="R510" s="321">
        <v>0</v>
      </c>
      <c r="S510" s="321">
        <v>0</v>
      </c>
      <c r="T510" s="321">
        <v>0</v>
      </c>
      <c r="U510" s="322">
        <v>0</v>
      </c>
      <c r="V510" s="323">
        <v>0</v>
      </c>
      <c r="W510" s="303"/>
      <c r="X510" s="324">
        <v>0</v>
      </c>
      <c r="Y510" s="325">
        <v>0</v>
      </c>
    </row>
    <row r="511" spans="1:25" x14ac:dyDescent="0.3">
      <c r="E511" s="250" t="s">
        <v>1452</v>
      </c>
      <c r="F511" s="317">
        <v>4303214</v>
      </c>
      <c r="G511" s="318"/>
      <c r="H511" s="319"/>
      <c r="I511" s="320"/>
      <c r="J511" s="337">
        <v>0</v>
      </c>
      <c r="K511" s="321">
        <v>0</v>
      </c>
      <c r="L511" s="321">
        <v>0</v>
      </c>
      <c r="M511" s="321">
        <v>0</v>
      </c>
      <c r="N511" s="321">
        <v>0</v>
      </c>
      <c r="O511" s="321">
        <v>0</v>
      </c>
      <c r="P511" s="321">
        <v>0</v>
      </c>
      <c r="Q511" s="321">
        <v>0</v>
      </c>
      <c r="R511" s="321">
        <v>0</v>
      </c>
      <c r="S511" s="321">
        <v>0</v>
      </c>
      <c r="T511" s="321">
        <v>0</v>
      </c>
      <c r="U511" s="322">
        <v>0</v>
      </c>
      <c r="V511" s="323">
        <v>0</v>
      </c>
      <c r="W511" s="303"/>
      <c r="X511" s="324">
        <v>0</v>
      </c>
      <c r="Y511" s="325">
        <v>0</v>
      </c>
    </row>
    <row r="512" spans="1:25" x14ac:dyDescent="0.3">
      <c r="E512" s="250" t="s">
        <v>1453</v>
      </c>
      <c r="F512" s="317">
        <v>4303215</v>
      </c>
      <c r="G512" s="318"/>
      <c r="H512" s="319"/>
      <c r="I512" s="320"/>
      <c r="J512" s="337">
        <v>0</v>
      </c>
      <c r="K512" s="321">
        <v>0</v>
      </c>
      <c r="L512" s="321">
        <v>0</v>
      </c>
      <c r="M512" s="321">
        <v>0</v>
      </c>
      <c r="N512" s="321">
        <v>0</v>
      </c>
      <c r="O512" s="321">
        <v>0</v>
      </c>
      <c r="P512" s="321">
        <v>0</v>
      </c>
      <c r="Q512" s="321">
        <v>0</v>
      </c>
      <c r="R512" s="321">
        <v>0</v>
      </c>
      <c r="S512" s="321">
        <v>0</v>
      </c>
      <c r="T512" s="321">
        <v>0</v>
      </c>
      <c r="U512" s="322">
        <v>0</v>
      </c>
      <c r="V512" s="323">
        <v>0</v>
      </c>
      <c r="W512" s="303"/>
      <c r="X512" s="324">
        <v>0</v>
      </c>
      <c r="Y512" s="325">
        <v>0</v>
      </c>
    </row>
    <row r="513" spans="1:25" x14ac:dyDescent="0.3">
      <c r="E513" s="250" t="s">
        <v>1454</v>
      </c>
      <c r="F513" s="317">
        <v>4303216</v>
      </c>
      <c r="G513" s="318"/>
      <c r="H513" s="319"/>
      <c r="I513" s="320"/>
      <c r="J513" s="337">
        <v>0</v>
      </c>
      <c r="K513" s="321">
        <v>0</v>
      </c>
      <c r="L513" s="321">
        <v>0</v>
      </c>
      <c r="M513" s="321">
        <v>0</v>
      </c>
      <c r="N513" s="321">
        <v>0</v>
      </c>
      <c r="O513" s="321">
        <v>0</v>
      </c>
      <c r="P513" s="321">
        <v>0</v>
      </c>
      <c r="Q513" s="321">
        <v>0</v>
      </c>
      <c r="R513" s="321">
        <v>0</v>
      </c>
      <c r="S513" s="321">
        <v>0</v>
      </c>
      <c r="T513" s="321">
        <v>0</v>
      </c>
      <c r="U513" s="322">
        <v>0</v>
      </c>
      <c r="V513" s="323">
        <v>0</v>
      </c>
      <c r="W513" s="303"/>
      <c r="X513" s="324">
        <v>0</v>
      </c>
      <c r="Y513" s="325">
        <v>0</v>
      </c>
    </row>
    <row r="514" spans="1:25" x14ac:dyDescent="0.3">
      <c r="E514" s="250" t="s">
        <v>1455</v>
      </c>
      <c r="F514" s="317">
        <v>4303217</v>
      </c>
      <c r="G514" s="318"/>
      <c r="H514" s="319"/>
      <c r="I514" s="320"/>
      <c r="J514" s="337">
        <v>0</v>
      </c>
      <c r="K514" s="321">
        <v>0</v>
      </c>
      <c r="L514" s="321">
        <v>0</v>
      </c>
      <c r="M514" s="321">
        <v>0</v>
      </c>
      <c r="N514" s="321">
        <v>0</v>
      </c>
      <c r="O514" s="321">
        <v>0</v>
      </c>
      <c r="P514" s="321">
        <v>0</v>
      </c>
      <c r="Q514" s="321">
        <v>0</v>
      </c>
      <c r="R514" s="321">
        <v>0</v>
      </c>
      <c r="S514" s="321">
        <v>0</v>
      </c>
      <c r="T514" s="321">
        <v>0</v>
      </c>
      <c r="U514" s="322">
        <v>0</v>
      </c>
      <c r="V514" s="323">
        <v>0</v>
      </c>
      <c r="W514" s="303"/>
      <c r="X514" s="324">
        <v>0</v>
      </c>
      <c r="Y514" s="325">
        <v>0</v>
      </c>
    </row>
    <row r="515" spans="1:25" x14ac:dyDescent="0.3">
      <c r="E515" s="250" t="s">
        <v>1456</v>
      </c>
      <c r="F515" s="317">
        <v>4303218</v>
      </c>
      <c r="G515" s="318"/>
      <c r="H515" s="319"/>
      <c r="I515" s="320"/>
      <c r="J515" s="337">
        <v>0</v>
      </c>
      <c r="K515" s="321">
        <v>0</v>
      </c>
      <c r="L515" s="321">
        <v>0</v>
      </c>
      <c r="M515" s="321">
        <v>0</v>
      </c>
      <c r="N515" s="321">
        <v>0</v>
      </c>
      <c r="O515" s="321">
        <v>0</v>
      </c>
      <c r="P515" s="321">
        <v>0</v>
      </c>
      <c r="Q515" s="321">
        <v>0</v>
      </c>
      <c r="R515" s="321">
        <v>0</v>
      </c>
      <c r="S515" s="321">
        <v>0</v>
      </c>
      <c r="T515" s="321">
        <v>0</v>
      </c>
      <c r="U515" s="322">
        <v>0</v>
      </c>
      <c r="V515" s="323">
        <v>0</v>
      </c>
      <c r="W515" s="303"/>
      <c r="X515" s="324">
        <v>0</v>
      </c>
      <c r="Y515" s="325">
        <v>0</v>
      </c>
    </row>
    <row r="516" spans="1:25" x14ac:dyDescent="0.3">
      <c r="E516" s="250" t="s">
        <v>1457</v>
      </c>
      <c r="F516" s="317">
        <v>4303220</v>
      </c>
      <c r="G516" s="318"/>
      <c r="H516" s="319"/>
      <c r="I516" s="320"/>
      <c r="J516" s="337">
        <v>0</v>
      </c>
      <c r="K516" s="321">
        <v>0</v>
      </c>
      <c r="L516" s="321">
        <v>0</v>
      </c>
      <c r="M516" s="321">
        <v>0</v>
      </c>
      <c r="N516" s="321">
        <v>0</v>
      </c>
      <c r="O516" s="321">
        <v>0</v>
      </c>
      <c r="P516" s="321">
        <v>0</v>
      </c>
      <c r="Q516" s="321">
        <v>0</v>
      </c>
      <c r="R516" s="321">
        <v>0</v>
      </c>
      <c r="S516" s="321">
        <v>0</v>
      </c>
      <c r="T516" s="321">
        <v>0</v>
      </c>
      <c r="U516" s="322">
        <v>0</v>
      </c>
      <c r="V516" s="323">
        <v>0</v>
      </c>
      <c r="W516" s="303"/>
      <c r="X516" s="324">
        <v>0</v>
      </c>
      <c r="Y516" s="325">
        <v>0</v>
      </c>
    </row>
    <row r="517" spans="1:25" x14ac:dyDescent="0.3">
      <c r="E517" s="250" t="s">
        <v>1458</v>
      </c>
      <c r="F517" s="317">
        <v>4303221</v>
      </c>
      <c r="G517" s="318"/>
      <c r="H517" s="319"/>
      <c r="I517" s="320"/>
      <c r="J517" s="337">
        <v>0</v>
      </c>
      <c r="K517" s="321">
        <v>0</v>
      </c>
      <c r="L517" s="321">
        <v>0</v>
      </c>
      <c r="M517" s="321">
        <v>0</v>
      </c>
      <c r="N517" s="321">
        <v>0</v>
      </c>
      <c r="O517" s="321">
        <v>0</v>
      </c>
      <c r="P517" s="321">
        <v>0</v>
      </c>
      <c r="Q517" s="321">
        <v>0</v>
      </c>
      <c r="R517" s="321">
        <v>0</v>
      </c>
      <c r="S517" s="321">
        <v>0</v>
      </c>
      <c r="T517" s="321">
        <v>0</v>
      </c>
      <c r="U517" s="322">
        <v>0</v>
      </c>
      <c r="V517" s="323">
        <v>0</v>
      </c>
      <c r="W517" s="303"/>
      <c r="X517" s="324">
        <v>0</v>
      </c>
      <c r="Y517" s="325">
        <v>0</v>
      </c>
    </row>
    <row r="518" spans="1:25" x14ac:dyDescent="0.3">
      <c r="E518" s="250" t="s">
        <v>1459</v>
      </c>
      <c r="F518" s="317">
        <v>4303299</v>
      </c>
      <c r="G518" s="318"/>
      <c r="H518" s="319"/>
      <c r="I518" s="320"/>
      <c r="J518" s="337">
        <v>0</v>
      </c>
      <c r="K518" s="321">
        <v>0</v>
      </c>
      <c r="L518" s="321">
        <v>0</v>
      </c>
      <c r="M518" s="321">
        <v>0</v>
      </c>
      <c r="N518" s="321">
        <v>0</v>
      </c>
      <c r="O518" s="321">
        <v>0</v>
      </c>
      <c r="P518" s="321">
        <v>0</v>
      </c>
      <c r="Q518" s="321">
        <v>0</v>
      </c>
      <c r="R518" s="321">
        <v>0</v>
      </c>
      <c r="S518" s="321">
        <v>0</v>
      </c>
      <c r="T518" s="321">
        <v>0</v>
      </c>
      <c r="U518" s="322">
        <v>0</v>
      </c>
      <c r="V518" s="323">
        <v>0</v>
      </c>
      <c r="W518" s="303"/>
      <c r="X518" s="324">
        <v>0</v>
      </c>
      <c r="Y518" s="325">
        <v>0</v>
      </c>
    </row>
    <row r="519" spans="1:25" x14ac:dyDescent="0.3">
      <c r="A519" s="361"/>
      <c r="B519" s="361"/>
      <c r="C519" s="361"/>
      <c r="D519" s="361"/>
      <c r="E519" s="326" t="s">
        <v>1460</v>
      </c>
      <c r="F519" s="351"/>
      <c r="G519" s="352"/>
      <c r="H519" s="353"/>
      <c r="I519" s="354"/>
      <c r="J519" s="362">
        <v>0</v>
      </c>
      <c r="K519" s="355">
        <v>0</v>
      </c>
      <c r="L519" s="355">
        <v>0</v>
      </c>
      <c r="M519" s="355">
        <v>0</v>
      </c>
      <c r="N519" s="355">
        <v>0</v>
      </c>
      <c r="O519" s="355">
        <v>0</v>
      </c>
      <c r="P519" s="355">
        <v>0</v>
      </c>
      <c r="Q519" s="355">
        <v>0</v>
      </c>
      <c r="R519" s="355">
        <v>0</v>
      </c>
      <c r="S519" s="355">
        <v>0</v>
      </c>
      <c r="T519" s="355">
        <v>0</v>
      </c>
      <c r="U519" s="356">
        <v>0</v>
      </c>
      <c r="V519" s="357">
        <v>0</v>
      </c>
      <c r="W519" s="358"/>
      <c r="X519" s="359">
        <v>0</v>
      </c>
      <c r="Y519" s="360">
        <v>0</v>
      </c>
    </row>
    <row r="520" spans="1:25" x14ac:dyDescent="0.3">
      <c r="A520" s="361"/>
      <c r="B520" s="361"/>
      <c r="C520" s="361"/>
      <c r="D520" s="361"/>
      <c r="E520" s="326" t="s">
        <v>1461</v>
      </c>
      <c r="F520" s="351"/>
      <c r="G520" s="352"/>
      <c r="H520" s="353"/>
      <c r="I520" s="354"/>
      <c r="J520" s="362">
        <v>0</v>
      </c>
      <c r="K520" s="355">
        <v>0</v>
      </c>
      <c r="L520" s="355">
        <v>0</v>
      </c>
      <c r="M520" s="355">
        <v>0</v>
      </c>
      <c r="N520" s="355">
        <v>0</v>
      </c>
      <c r="O520" s="355">
        <v>0</v>
      </c>
      <c r="P520" s="355">
        <v>0</v>
      </c>
      <c r="Q520" s="355">
        <v>0</v>
      </c>
      <c r="R520" s="355">
        <v>0</v>
      </c>
      <c r="S520" s="355">
        <v>0</v>
      </c>
      <c r="T520" s="355">
        <v>0</v>
      </c>
      <c r="U520" s="356">
        <v>0</v>
      </c>
      <c r="V520" s="357">
        <v>0</v>
      </c>
      <c r="W520" s="358"/>
      <c r="X520" s="359">
        <v>0</v>
      </c>
      <c r="Y520" s="360">
        <v>0</v>
      </c>
    </row>
    <row r="521" spans="1:25" x14ac:dyDescent="0.3">
      <c r="A521" s="361"/>
      <c r="B521" s="361"/>
      <c r="C521" s="361"/>
      <c r="D521" s="361"/>
      <c r="E521" s="326" t="s">
        <v>1462</v>
      </c>
      <c r="F521" s="351"/>
      <c r="G521" s="352"/>
      <c r="H521" s="353"/>
      <c r="I521" s="354"/>
      <c r="J521" s="362">
        <v>0</v>
      </c>
      <c r="K521" s="355">
        <v>0</v>
      </c>
      <c r="L521" s="355">
        <v>0</v>
      </c>
      <c r="M521" s="355">
        <v>0</v>
      </c>
      <c r="N521" s="355">
        <v>0</v>
      </c>
      <c r="O521" s="355">
        <v>0</v>
      </c>
      <c r="P521" s="355">
        <v>0</v>
      </c>
      <c r="Q521" s="355">
        <v>0</v>
      </c>
      <c r="R521" s="355">
        <v>0</v>
      </c>
      <c r="S521" s="355">
        <v>0</v>
      </c>
      <c r="T521" s="355">
        <v>0</v>
      </c>
      <c r="U521" s="356">
        <v>0</v>
      </c>
      <c r="V521" s="357">
        <v>0</v>
      </c>
      <c r="W521" s="358"/>
      <c r="X521" s="359">
        <v>0</v>
      </c>
      <c r="Y521" s="360">
        <v>0</v>
      </c>
    </row>
    <row r="522" spans="1:25" x14ac:dyDescent="0.3">
      <c r="A522" s="233"/>
      <c r="B522" s="234" t="s">
        <v>26</v>
      </c>
      <c r="D522" s="293" t="s">
        <v>1463</v>
      </c>
      <c r="E522" s="294"/>
      <c r="F522" s="295" t="s">
        <v>1464</v>
      </c>
      <c r="G522" s="296"/>
      <c r="H522" s="297"/>
      <c r="I522" s="298"/>
      <c r="J522" s="299">
        <v>0</v>
      </c>
      <c r="K522" s="300">
        <v>0</v>
      </c>
      <c r="L522" s="300">
        <v>0</v>
      </c>
      <c r="M522" s="300">
        <v>0</v>
      </c>
      <c r="N522" s="300">
        <v>0</v>
      </c>
      <c r="O522" s="300">
        <v>0</v>
      </c>
      <c r="P522" s="300">
        <v>0</v>
      </c>
      <c r="Q522" s="300">
        <v>0</v>
      </c>
      <c r="R522" s="300">
        <v>0</v>
      </c>
      <c r="S522" s="300">
        <v>0</v>
      </c>
      <c r="T522" s="300">
        <v>0</v>
      </c>
      <c r="U522" s="301">
        <v>0</v>
      </c>
      <c r="V522" s="302">
        <v>0</v>
      </c>
      <c r="W522" s="303"/>
      <c r="X522" s="304">
        <v>0</v>
      </c>
      <c r="Y522" s="305">
        <v>0</v>
      </c>
    </row>
    <row r="523" spans="1:25" x14ac:dyDescent="0.3">
      <c r="E523" s="250" t="s">
        <v>1465</v>
      </c>
      <c r="F523" s="317">
        <v>4303501</v>
      </c>
      <c r="G523" s="318"/>
      <c r="H523" s="319">
        <v>5101350101</v>
      </c>
      <c r="I523" s="320"/>
      <c r="J523" s="337">
        <v>0</v>
      </c>
      <c r="K523" s="321">
        <v>0</v>
      </c>
      <c r="L523" s="321">
        <v>0</v>
      </c>
      <c r="M523" s="321">
        <v>0</v>
      </c>
      <c r="N523" s="321">
        <v>0</v>
      </c>
      <c r="O523" s="321">
        <v>0</v>
      </c>
      <c r="P523" s="321">
        <v>0</v>
      </c>
      <c r="Q523" s="321">
        <v>0</v>
      </c>
      <c r="R523" s="321">
        <v>0</v>
      </c>
      <c r="S523" s="321">
        <v>0</v>
      </c>
      <c r="T523" s="321">
        <v>0</v>
      </c>
      <c r="U523" s="322">
        <v>0</v>
      </c>
      <c r="V523" s="323">
        <v>0</v>
      </c>
      <c r="W523" s="303"/>
      <c r="X523" s="324">
        <v>0</v>
      </c>
      <c r="Y523" s="325">
        <v>0</v>
      </c>
    </row>
    <row r="524" spans="1:25" x14ac:dyDescent="0.3">
      <c r="E524" s="250" t="s">
        <v>1466</v>
      </c>
      <c r="F524" s="317">
        <v>4303502</v>
      </c>
      <c r="G524" s="318"/>
      <c r="H524" s="319">
        <v>5101350103</v>
      </c>
      <c r="I524" s="320"/>
      <c r="J524" s="337">
        <v>0</v>
      </c>
      <c r="K524" s="321">
        <v>0</v>
      </c>
      <c r="L524" s="321">
        <v>0</v>
      </c>
      <c r="M524" s="321">
        <v>0</v>
      </c>
      <c r="N524" s="321">
        <v>0</v>
      </c>
      <c r="O524" s="321">
        <v>0</v>
      </c>
      <c r="P524" s="321">
        <v>0</v>
      </c>
      <c r="Q524" s="321">
        <v>0</v>
      </c>
      <c r="R524" s="321">
        <v>0</v>
      </c>
      <c r="S524" s="321">
        <v>0</v>
      </c>
      <c r="T524" s="321">
        <v>0</v>
      </c>
      <c r="U524" s="322">
        <v>0</v>
      </c>
      <c r="V524" s="323">
        <v>0</v>
      </c>
      <c r="W524" s="303"/>
      <c r="X524" s="324">
        <v>0</v>
      </c>
      <c r="Y524" s="325">
        <v>0</v>
      </c>
    </row>
    <row r="525" spans="1:25" x14ac:dyDescent="0.3">
      <c r="E525" s="250" t="s">
        <v>1467</v>
      </c>
      <c r="F525" s="317">
        <v>4303504</v>
      </c>
      <c r="G525" s="318"/>
      <c r="H525" s="319">
        <v>5101350105</v>
      </c>
      <c r="I525" s="320"/>
      <c r="J525" s="337">
        <v>0</v>
      </c>
      <c r="K525" s="321">
        <v>0</v>
      </c>
      <c r="L525" s="321">
        <v>0</v>
      </c>
      <c r="M525" s="321">
        <v>0</v>
      </c>
      <c r="N525" s="321">
        <v>0</v>
      </c>
      <c r="O525" s="321">
        <v>0</v>
      </c>
      <c r="P525" s="321">
        <v>0</v>
      </c>
      <c r="Q525" s="321">
        <v>0</v>
      </c>
      <c r="R525" s="321">
        <v>0</v>
      </c>
      <c r="S525" s="321">
        <v>0</v>
      </c>
      <c r="T525" s="321">
        <v>0</v>
      </c>
      <c r="U525" s="322">
        <v>0</v>
      </c>
      <c r="V525" s="323">
        <v>0</v>
      </c>
      <c r="W525" s="303"/>
      <c r="X525" s="324">
        <v>0</v>
      </c>
      <c r="Y525" s="325">
        <v>0</v>
      </c>
    </row>
    <row r="526" spans="1:25" x14ac:dyDescent="0.3">
      <c r="E526" s="250" t="s">
        <v>1468</v>
      </c>
      <c r="F526" s="317">
        <v>4303599</v>
      </c>
      <c r="G526" s="318"/>
      <c r="H526" s="319">
        <v>5101350199</v>
      </c>
      <c r="I526" s="320"/>
      <c r="J526" s="337">
        <v>0</v>
      </c>
      <c r="K526" s="321">
        <v>0</v>
      </c>
      <c r="L526" s="321">
        <v>0</v>
      </c>
      <c r="M526" s="321">
        <v>0</v>
      </c>
      <c r="N526" s="321">
        <v>0</v>
      </c>
      <c r="O526" s="321">
        <v>0</v>
      </c>
      <c r="P526" s="321">
        <v>0</v>
      </c>
      <c r="Q526" s="321">
        <v>0</v>
      </c>
      <c r="R526" s="321">
        <v>0</v>
      </c>
      <c r="S526" s="321">
        <v>0</v>
      </c>
      <c r="T526" s="321">
        <v>0</v>
      </c>
      <c r="U526" s="322">
        <v>0</v>
      </c>
      <c r="V526" s="323">
        <v>0</v>
      </c>
      <c r="W526" s="303"/>
      <c r="X526" s="324">
        <v>0</v>
      </c>
      <c r="Y526" s="325">
        <v>0</v>
      </c>
    </row>
    <row r="527" spans="1:25" x14ac:dyDescent="0.3">
      <c r="A527" s="326"/>
      <c r="B527" s="326"/>
      <c r="C527" s="326"/>
      <c r="D527" s="326"/>
      <c r="E527" s="326" t="s">
        <v>1469</v>
      </c>
      <c r="F527" s="336"/>
      <c r="G527" s="327"/>
      <c r="H527" s="328"/>
      <c r="I527" s="329"/>
      <c r="J527" s="338">
        <v>0</v>
      </c>
      <c r="K527" s="330">
        <v>0</v>
      </c>
      <c r="L527" s="330">
        <v>0</v>
      </c>
      <c r="M527" s="330">
        <v>0</v>
      </c>
      <c r="N527" s="330">
        <v>0</v>
      </c>
      <c r="O527" s="330">
        <v>0</v>
      </c>
      <c r="P527" s="330">
        <v>0</v>
      </c>
      <c r="Q527" s="330">
        <v>0</v>
      </c>
      <c r="R527" s="330">
        <v>0</v>
      </c>
      <c r="S527" s="330">
        <v>0</v>
      </c>
      <c r="T527" s="330">
        <v>0</v>
      </c>
      <c r="U527" s="331">
        <v>0</v>
      </c>
      <c r="V527" s="332">
        <v>0</v>
      </c>
      <c r="W527" s="333"/>
      <c r="X527" s="334">
        <v>0</v>
      </c>
      <c r="Y527" s="335">
        <v>0</v>
      </c>
    </row>
    <row r="528" spans="1:25" x14ac:dyDescent="0.3">
      <c r="A528" s="326"/>
      <c r="B528" s="326"/>
      <c r="C528" s="326"/>
      <c r="D528" s="326"/>
      <c r="E528" s="326" t="s">
        <v>1470</v>
      </c>
      <c r="F528" s="336"/>
      <c r="G528" s="327"/>
      <c r="H528" s="328"/>
      <c r="I528" s="329"/>
      <c r="J528" s="338">
        <v>0</v>
      </c>
      <c r="K528" s="330">
        <v>0</v>
      </c>
      <c r="L528" s="330">
        <v>0</v>
      </c>
      <c r="M528" s="330">
        <v>0</v>
      </c>
      <c r="N528" s="330">
        <v>0</v>
      </c>
      <c r="O528" s="330">
        <v>0</v>
      </c>
      <c r="P528" s="330">
        <v>0</v>
      </c>
      <c r="Q528" s="330">
        <v>0</v>
      </c>
      <c r="R528" s="330">
        <v>0</v>
      </c>
      <c r="S528" s="330">
        <v>0</v>
      </c>
      <c r="T528" s="330">
        <v>0</v>
      </c>
      <c r="U528" s="331">
        <v>0</v>
      </c>
      <c r="V528" s="332">
        <v>0</v>
      </c>
      <c r="W528" s="333"/>
      <c r="X528" s="334">
        <v>0</v>
      </c>
      <c r="Y528" s="335">
        <v>0</v>
      </c>
    </row>
    <row r="529" spans="1:25" x14ac:dyDescent="0.3">
      <c r="A529" s="326"/>
      <c r="B529" s="326"/>
      <c r="C529" s="326"/>
      <c r="D529" s="326"/>
      <c r="E529" s="326" t="s">
        <v>1471</v>
      </c>
      <c r="F529" s="336"/>
      <c r="G529" s="327"/>
      <c r="H529" s="328"/>
      <c r="I529" s="329"/>
      <c r="J529" s="338">
        <v>0</v>
      </c>
      <c r="K529" s="330">
        <v>0</v>
      </c>
      <c r="L529" s="330">
        <v>0</v>
      </c>
      <c r="M529" s="330">
        <v>0</v>
      </c>
      <c r="N529" s="330">
        <v>0</v>
      </c>
      <c r="O529" s="330">
        <v>0</v>
      </c>
      <c r="P529" s="330">
        <v>0</v>
      </c>
      <c r="Q529" s="330">
        <v>0</v>
      </c>
      <c r="R529" s="330">
        <v>0</v>
      </c>
      <c r="S529" s="330">
        <v>0</v>
      </c>
      <c r="T529" s="330">
        <v>0</v>
      </c>
      <c r="U529" s="331">
        <v>0</v>
      </c>
      <c r="V529" s="332">
        <v>0</v>
      </c>
      <c r="W529" s="333"/>
      <c r="X529" s="334">
        <v>0</v>
      </c>
      <c r="Y529" s="335">
        <v>0</v>
      </c>
    </row>
    <row r="530" spans="1:25" x14ac:dyDescent="0.3">
      <c r="A530" s="233"/>
      <c r="B530" s="234" t="s">
        <v>18</v>
      </c>
      <c r="D530" s="293" t="s">
        <v>1472</v>
      </c>
      <c r="E530" s="294"/>
      <c r="F530" s="295" t="s">
        <v>1473</v>
      </c>
      <c r="G530" s="296"/>
      <c r="H530" s="297"/>
      <c r="I530" s="298"/>
      <c r="J530" s="299">
        <v>96.691000000000003</v>
      </c>
      <c r="K530" s="300">
        <v>96.688999999999993</v>
      </c>
      <c r="L530" s="300">
        <v>96.691000000000003</v>
      </c>
      <c r="M530" s="300">
        <v>96.69</v>
      </c>
      <c r="N530" s="300">
        <v>96.688000000000002</v>
      </c>
      <c r="O530" s="300">
        <v>96.688999999999993</v>
      </c>
      <c r="P530" s="300">
        <v>75.887</v>
      </c>
      <c r="Q530" s="300">
        <v>75.885999999999996</v>
      </c>
      <c r="R530" s="300">
        <v>71.322999999999993</v>
      </c>
      <c r="S530" s="300">
        <v>71.322000000000003</v>
      </c>
      <c r="T530" s="300">
        <v>73.073999999999998</v>
      </c>
      <c r="U530" s="301">
        <v>73.096999999999994</v>
      </c>
      <c r="V530" s="302">
        <v>1020.727</v>
      </c>
      <c r="W530" s="303"/>
      <c r="X530" s="304">
        <v>73.096999999999994</v>
      </c>
      <c r="Y530" s="305">
        <v>1020.727</v>
      </c>
    </row>
    <row r="531" spans="1:25" x14ac:dyDescent="0.3">
      <c r="E531" s="250" t="s">
        <v>1474</v>
      </c>
      <c r="F531" s="317">
        <v>4301401</v>
      </c>
      <c r="G531" s="318"/>
      <c r="H531" s="319">
        <v>5101370101</v>
      </c>
      <c r="I531" s="320"/>
      <c r="J531" s="337">
        <v>0</v>
      </c>
      <c r="K531" s="321">
        <v>0</v>
      </c>
      <c r="L531" s="321">
        <v>0</v>
      </c>
      <c r="M531" s="321">
        <v>0</v>
      </c>
      <c r="N531" s="321">
        <v>0</v>
      </c>
      <c r="O531" s="321">
        <v>0</v>
      </c>
      <c r="P531" s="321">
        <v>0</v>
      </c>
      <c r="Q531" s="321">
        <v>0</v>
      </c>
      <c r="R531" s="321">
        <v>0</v>
      </c>
      <c r="S531" s="321">
        <v>0</v>
      </c>
      <c r="T531" s="321">
        <v>0</v>
      </c>
      <c r="U531" s="322">
        <v>0</v>
      </c>
      <c r="V531" s="323">
        <v>0</v>
      </c>
      <c r="W531" s="303"/>
      <c r="X531" s="324">
        <v>0</v>
      </c>
      <c r="Y531" s="325">
        <v>0</v>
      </c>
    </row>
    <row r="532" spans="1:25" x14ac:dyDescent="0.3">
      <c r="E532" s="250" t="s">
        <v>1475</v>
      </c>
      <c r="F532" s="317">
        <v>4301402</v>
      </c>
      <c r="G532" s="318"/>
      <c r="H532" s="319">
        <v>5101370103</v>
      </c>
      <c r="I532" s="320"/>
      <c r="J532" s="337">
        <v>0</v>
      </c>
      <c r="K532" s="321">
        <v>0</v>
      </c>
      <c r="L532" s="321">
        <v>0</v>
      </c>
      <c r="M532" s="321">
        <v>0</v>
      </c>
      <c r="N532" s="321">
        <v>0</v>
      </c>
      <c r="O532" s="321">
        <v>0</v>
      </c>
      <c r="P532" s="321">
        <v>0</v>
      </c>
      <c r="Q532" s="321">
        <v>0</v>
      </c>
      <c r="R532" s="321">
        <v>0</v>
      </c>
      <c r="S532" s="321">
        <v>0</v>
      </c>
      <c r="T532" s="321">
        <v>0</v>
      </c>
      <c r="U532" s="322">
        <v>0</v>
      </c>
      <c r="V532" s="323">
        <v>0</v>
      </c>
      <c r="W532" s="303"/>
      <c r="X532" s="324">
        <v>0</v>
      </c>
      <c r="Y532" s="325">
        <v>0</v>
      </c>
    </row>
    <row r="533" spans="1:25" x14ac:dyDescent="0.3">
      <c r="E533" s="250" t="s">
        <v>1476</v>
      </c>
      <c r="F533" s="317">
        <v>4301403</v>
      </c>
      <c r="G533" s="318"/>
      <c r="H533" s="319">
        <v>5101370105</v>
      </c>
      <c r="I533" s="320"/>
      <c r="J533" s="337">
        <v>0</v>
      </c>
      <c r="K533" s="321">
        <v>0</v>
      </c>
      <c r="L533" s="321">
        <v>0</v>
      </c>
      <c r="M533" s="321">
        <v>0</v>
      </c>
      <c r="N533" s="321">
        <v>0</v>
      </c>
      <c r="O533" s="321">
        <v>0</v>
      </c>
      <c r="P533" s="321">
        <v>0</v>
      </c>
      <c r="Q533" s="321">
        <v>0</v>
      </c>
      <c r="R533" s="321">
        <v>0</v>
      </c>
      <c r="S533" s="321">
        <v>0</v>
      </c>
      <c r="T533" s="321">
        <v>0</v>
      </c>
      <c r="U533" s="322">
        <v>0</v>
      </c>
      <c r="V533" s="323">
        <v>0</v>
      </c>
      <c r="W533" s="303"/>
      <c r="X533" s="324">
        <v>0</v>
      </c>
      <c r="Y533" s="325">
        <v>0</v>
      </c>
    </row>
    <row r="534" spans="1:25" x14ac:dyDescent="0.3">
      <c r="E534" s="250" t="s">
        <v>1477</v>
      </c>
      <c r="F534" s="317">
        <v>4301404</v>
      </c>
      <c r="G534" s="318"/>
      <c r="H534" s="319">
        <v>5101370107</v>
      </c>
      <c r="I534" s="320"/>
      <c r="J534" s="337">
        <v>0</v>
      </c>
      <c r="K534" s="321">
        <v>0</v>
      </c>
      <c r="L534" s="321">
        <v>0</v>
      </c>
      <c r="M534" s="321">
        <v>0</v>
      </c>
      <c r="N534" s="321">
        <v>0</v>
      </c>
      <c r="O534" s="321">
        <v>0</v>
      </c>
      <c r="P534" s="321">
        <v>0</v>
      </c>
      <c r="Q534" s="321">
        <v>0</v>
      </c>
      <c r="R534" s="321">
        <v>0</v>
      </c>
      <c r="S534" s="321">
        <v>0</v>
      </c>
      <c r="T534" s="321">
        <v>0</v>
      </c>
      <c r="U534" s="322">
        <v>0</v>
      </c>
      <c r="V534" s="323">
        <v>0</v>
      </c>
      <c r="W534" s="303"/>
      <c r="X534" s="324">
        <v>0</v>
      </c>
      <c r="Y534" s="325">
        <v>0</v>
      </c>
    </row>
    <row r="535" spans="1:25" x14ac:dyDescent="0.3">
      <c r="E535" s="250" t="s">
        <v>1478</v>
      </c>
      <c r="F535" s="317">
        <v>4301405</v>
      </c>
      <c r="G535" s="318"/>
      <c r="H535" s="319">
        <v>5101370109</v>
      </c>
      <c r="I535" s="320"/>
      <c r="J535" s="337">
        <v>0</v>
      </c>
      <c r="K535" s="321">
        <v>0</v>
      </c>
      <c r="L535" s="321">
        <v>0</v>
      </c>
      <c r="M535" s="321">
        <v>0</v>
      </c>
      <c r="N535" s="321">
        <v>0</v>
      </c>
      <c r="O535" s="321">
        <v>0</v>
      </c>
      <c r="P535" s="321">
        <v>0</v>
      </c>
      <c r="Q535" s="321">
        <v>0</v>
      </c>
      <c r="R535" s="321">
        <v>0</v>
      </c>
      <c r="S535" s="321">
        <v>0</v>
      </c>
      <c r="T535" s="321">
        <v>0</v>
      </c>
      <c r="U535" s="322">
        <v>0</v>
      </c>
      <c r="V535" s="323">
        <v>0</v>
      </c>
      <c r="W535" s="303"/>
      <c r="X535" s="324">
        <v>0</v>
      </c>
      <c r="Y535" s="325">
        <v>0</v>
      </c>
    </row>
    <row r="536" spans="1:25" x14ac:dyDescent="0.3">
      <c r="E536" s="250" t="s">
        <v>1479</v>
      </c>
      <c r="F536" s="317">
        <v>4301406</v>
      </c>
      <c r="G536" s="318"/>
      <c r="H536" s="319">
        <v>5101370111</v>
      </c>
      <c r="I536" s="320"/>
      <c r="J536" s="337">
        <v>0</v>
      </c>
      <c r="K536" s="321">
        <v>0</v>
      </c>
      <c r="L536" s="321">
        <v>0</v>
      </c>
      <c r="M536" s="321">
        <v>0</v>
      </c>
      <c r="N536" s="321">
        <v>0</v>
      </c>
      <c r="O536" s="321">
        <v>0</v>
      </c>
      <c r="P536" s="321">
        <v>0</v>
      </c>
      <c r="Q536" s="321">
        <v>0</v>
      </c>
      <c r="R536" s="321">
        <v>0</v>
      </c>
      <c r="S536" s="321">
        <v>0</v>
      </c>
      <c r="T536" s="321">
        <v>0</v>
      </c>
      <c r="U536" s="322">
        <v>0</v>
      </c>
      <c r="V536" s="323">
        <v>0</v>
      </c>
      <c r="W536" s="303"/>
      <c r="X536" s="324">
        <v>0</v>
      </c>
      <c r="Y536" s="325">
        <v>0</v>
      </c>
    </row>
    <row r="537" spans="1:25" x14ac:dyDescent="0.3">
      <c r="E537" s="250" t="s">
        <v>1480</v>
      </c>
      <c r="F537" s="317">
        <v>4301407</v>
      </c>
      <c r="G537" s="318"/>
      <c r="H537" s="319">
        <v>5101370113</v>
      </c>
      <c r="I537" s="320"/>
      <c r="J537" s="337">
        <v>0</v>
      </c>
      <c r="K537" s="321">
        <v>0</v>
      </c>
      <c r="L537" s="321">
        <v>0</v>
      </c>
      <c r="M537" s="321">
        <v>0</v>
      </c>
      <c r="N537" s="321">
        <v>0</v>
      </c>
      <c r="O537" s="321">
        <v>0</v>
      </c>
      <c r="P537" s="321">
        <v>0</v>
      </c>
      <c r="Q537" s="321">
        <v>0</v>
      </c>
      <c r="R537" s="321">
        <v>0</v>
      </c>
      <c r="S537" s="321">
        <v>0</v>
      </c>
      <c r="T537" s="321">
        <v>0</v>
      </c>
      <c r="U537" s="322">
        <v>0</v>
      </c>
      <c r="V537" s="323">
        <v>0</v>
      </c>
      <c r="W537" s="303"/>
      <c r="X537" s="324">
        <v>0</v>
      </c>
      <c r="Y537" s="325">
        <v>0</v>
      </c>
    </row>
    <row r="538" spans="1:25" x14ac:dyDescent="0.3">
      <c r="E538" s="250" t="s">
        <v>1481</v>
      </c>
      <c r="F538" s="317">
        <v>4301408</v>
      </c>
      <c r="G538" s="318"/>
      <c r="H538" s="319">
        <v>5101370115</v>
      </c>
      <c r="I538" s="320"/>
      <c r="J538" s="337">
        <v>0</v>
      </c>
      <c r="K538" s="321">
        <v>0</v>
      </c>
      <c r="L538" s="321">
        <v>0</v>
      </c>
      <c r="M538" s="321">
        <v>0</v>
      </c>
      <c r="N538" s="321">
        <v>0</v>
      </c>
      <c r="O538" s="321">
        <v>0</v>
      </c>
      <c r="P538" s="321">
        <v>0</v>
      </c>
      <c r="Q538" s="321">
        <v>0</v>
      </c>
      <c r="R538" s="321">
        <v>0</v>
      </c>
      <c r="S538" s="321">
        <v>0</v>
      </c>
      <c r="T538" s="321">
        <v>0</v>
      </c>
      <c r="U538" s="322">
        <v>0</v>
      </c>
      <c r="V538" s="323">
        <v>0</v>
      </c>
      <c r="W538" s="303"/>
      <c r="X538" s="324">
        <v>0</v>
      </c>
      <c r="Y538" s="325">
        <v>0</v>
      </c>
    </row>
    <row r="539" spans="1:25" x14ac:dyDescent="0.3">
      <c r="E539" s="250" t="s">
        <v>1482</v>
      </c>
      <c r="F539" s="317">
        <v>4301410</v>
      </c>
      <c r="G539" s="318"/>
      <c r="H539" s="319">
        <v>5101370117</v>
      </c>
      <c r="I539" s="320"/>
      <c r="J539" s="337">
        <v>96.691000000000003</v>
      </c>
      <c r="K539" s="321">
        <v>96.688999999999993</v>
      </c>
      <c r="L539" s="321">
        <v>96.691000000000003</v>
      </c>
      <c r="M539" s="321">
        <v>96.69</v>
      </c>
      <c r="N539" s="321">
        <v>96.688000000000002</v>
      </c>
      <c r="O539" s="321">
        <v>96.688999999999993</v>
      </c>
      <c r="P539" s="321">
        <v>75.887</v>
      </c>
      <c r="Q539" s="321">
        <v>75.885999999999996</v>
      </c>
      <c r="R539" s="321">
        <v>71.322999999999993</v>
      </c>
      <c r="S539" s="321">
        <v>71.322000000000003</v>
      </c>
      <c r="T539" s="321">
        <v>73.073999999999998</v>
      </c>
      <c r="U539" s="322">
        <v>73.096999999999994</v>
      </c>
      <c r="V539" s="323">
        <v>1020.727</v>
      </c>
      <c r="W539" s="303"/>
      <c r="X539" s="324">
        <v>73.096999999999994</v>
      </c>
      <c r="Y539" s="325">
        <v>1020.727</v>
      </c>
    </row>
    <row r="540" spans="1:25" x14ac:dyDescent="0.3">
      <c r="E540" s="250" t="s">
        <v>1483</v>
      </c>
      <c r="F540" s="317">
        <v>4301496</v>
      </c>
      <c r="G540" s="318"/>
      <c r="H540" s="319">
        <v>5101370119</v>
      </c>
      <c r="I540" s="320"/>
      <c r="J540" s="337">
        <v>0</v>
      </c>
      <c r="K540" s="321">
        <v>0</v>
      </c>
      <c r="L540" s="321">
        <v>0</v>
      </c>
      <c r="M540" s="321">
        <v>0</v>
      </c>
      <c r="N540" s="321">
        <v>0</v>
      </c>
      <c r="O540" s="321">
        <v>0</v>
      </c>
      <c r="P540" s="321">
        <v>0</v>
      </c>
      <c r="Q540" s="321">
        <v>0</v>
      </c>
      <c r="R540" s="321">
        <v>0</v>
      </c>
      <c r="S540" s="321">
        <v>0</v>
      </c>
      <c r="T540" s="321">
        <v>0</v>
      </c>
      <c r="U540" s="322">
        <v>0</v>
      </c>
      <c r="V540" s="323">
        <v>0</v>
      </c>
      <c r="W540" s="303"/>
      <c r="X540" s="324">
        <v>0</v>
      </c>
      <c r="Y540" s="325">
        <v>0</v>
      </c>
    </row>
    <row r="541" spans="1:25" x14ac:dyDescent="0.3">
      <c r="E541" s="250" t="s">
        <v>1484</v>
      </c>
      <c r="F541" s="317">
        <v>4301497</v>
      </c>
      <c r="G541" s="318"/>
      <c r="H541" s="319"/>
      <c r="I541" s="320"/>
      <c r="J541" s="337">
        <v>0</v>
      </c>
      <c r="K541" s="321">
        <v>0</v>
      </c>
      <c r="L541" s="321">
        <v>0</v>
      </c>
      <c r="M541" s="321">
        <v>0</v>
      </c>
      <c r="N541" s="321">
        <v>0</v>
      </c>
      <c r="O541" s="321">
        <v>0</v>
      </c>
      <c r="P541" s="321">
        <v>0</v>
      </c>
      <c r="Q541" s="321">
        <v>0</v>
      </c>
      <c r="R541" s="321">
        <v>0</v>
      </c>
      <c r="S541" s="321">
        <v>0</v>
      </c>
      <c r="T541" s="321">
        <v>0</v>
      </c>
      <c r="U541" s="322">
        <v>0</v>
      </c>
      <c r="V541" s="323">
        <v>0</v>
      </c>
      <c r="W541" s="303"/>
      <c r="X541" s="324">
        <v>0</v>
      </c>
      <c r="Y541" s="325">
        <v>0</v>
      </c>
    </row>
    <row r="542" spans="1:25" x14ac:dyDescent="0.3">
      <c r="E542" s="250" t="s">
        <v>1485</v>
      </c>
      <c r="F542" s="317">
        <v>4301480</v>
      </c>
      <c r="G542" s="318"/>
      <c r="H542" s="319">
        <v>5101370199</v>
      </c>
      <c r="I542" s="320"/>
      <c r="J542" s="337">
        <v>0</v>
      </c>
      <c r="K542" s="321">
        <v>0</v>
      </c>
      <c r="L542" s="321">
        <v>0</v>
      </c>
      <c r="M542" s="321">
        <v>0</v>
      </c>
      <c r="N542" s="321">
        <v>0</v>
      </c>
      <c r="O542" s="321">
        <v>0</v>
      </c>
      <c r="P542" s="321">
        <v>0</v>
      </c>
      <c r="Q542" s="321">
        <v>0</v>
      </c>
      <c r="R542" s="321">
        <v>0</v>
      </c>
      <c r="S542" s="321">
        <v>0</v>
      </c>
      <c r="T542" s="321">
        <v>0</v>
      </c>
      <c r="U542" s="322">
        <v>0</v>
      </c>
      <c r="V542" s="323">
        <v>0</v>
      </c>
      <c r="W542" s="303"/>
      <c r="X542" s="324">
        <v>0</v>
      </c>
      <c r="Y542" s="325">
        <v>0</v>
      </c>
    </row>
    <row r="543" spans="1:25" x14ac:dyDescent="0.3">
      <c r="E543" s="250" t="s">
        <v>1486</v>
      </c>
      <c r="F543" s="317">
        <v>4301411</v>
      </c>
      <c r="G543" s="318"/>
      <c r="H543" s="319"/>
      <c r="I543" s="320"/>
      <c r="J543" s="337">
        <v>0</v>
      </c>
      <c r="K543" s="321">
        <v>0</v>
      </c>
      <c r="L543" s="321">
        <v>0</v>
      </c>
      <c r="M543" s="321">
        <v>0</v>
      </c>
      <c r="N543" s="321">
        <v>0</v>
      </c>
      <c r="O543" s="321">
        <v>0</v>
      </c>
      <c r="P543" s="321">
        <v>0</v>
      </c>
      <c r="Q543" s="321">
        <v>0</v>
      </c>
      <c r="R543" s="321">
        <v>0</v>
      </c>
      <c r="S543" s="321">
        <v>0</v>
      </c>
      <c r="T543" s="321">
        <v>0</v>
      </c>
      <c r="U543" s="322">
        <v>0</v>
      </c>
      <c r="V543" s="323">
        <v>0</v>
      </c>
      <c r="W543" s="303"/>
      <c r="X543" s="324">
        <v>0</v>
      </c>
      <c r="Y543" s="325">
        <v>0</v>
      </c>
    </row>
    <row r="544" spans="1:25" x14ac:dyDescent="0.3">
      <c r="A544" s="326"/>
      <c r="B544" s="326"/>
      <c r="C544" s="326"/>
      <c r="D544" s="326"/>
      <c r="E544" s="326" t="s">
        <v>1487</v>
      </c>
      <c r="F544" s="336"/>
      <c r="G544" s="327"/>
      <c r="H544" s="328"/>
      <c r="I544" s="329"/>
      <c r="J544" s="338">
        <v>0</v>
      </c>
      <c r="K544" s="330">
        <v>0</v>
      </c>
      <c r="L544" s="330">
        <v>0</v>
      </c>
      <c r="M544" s="330">
        <v>0</v>
      </c>
      <c r="N544" s="330">
        <v>0</v>
      </c>
      <c r="O544" s="330">
        <v>0</v>
      </c>
      <c r="P544" s="330">
        <v>0</v>
      </c>
      <c r="Q544" s="330">
        <v>0</v>
      </c>
      <c r="R544" s="330">
        <v>0</v>
      </c>
      <c r="S544" s="330">
        <v>0</v>
      </c>
      <c r="T544" s="330">
        <v>0</v>
      </c>
      <c r="U544" s="331">
        <v>0</v>
      </c>
      <c r="V544" s="332">
        <v>0</v>
      </c>
      <c r="W544" s="333"/>
      <c r="X544" s="334">
        <v>0</v>
      </c>
      <c r="Y544" s="335">
        <v>0</v>
      </c>
    </row>
    <row r="545" spans="1:25" x14ac:dyDescent="0.3">
      <c r="A545" s="326"/>
      <c r="B545" s="326"/>
      <c r="C545" s="326"/>
      <c r="D545" s="326"/>
      <c r="E545" s="326" t="s">
        <v>1488</v>
      </c>
      <c r="F545" s="336"/>
      <c r="G545" s="327"/>
      <c r="H545" s="328"/>
      <c r="I545" s="329"/>
      <c r="J545" s="338">
        <v>0</v>
      </c>
      <c r="K545" s="330">
        <v>0</v>
      </c>
      <c r="L545" s="330">
        <v>0</v>
      </c>
      <c r="M545" s="330">
        <v>0</v>
      </c>
      <c r="N545" s="330">
        <v>0</v>
      </c>
      <c r="O545" s="330">
        <v>0</v>
      </c>
      <c r="P545" s="330">
        <v>0</v>
      </c>
      <c r="Q545" s="330">
        <v>0</v>
      </c>
      <c r="R545" s="330">
        <v>0</v>
      </c>
      <c r="S545" s="330">
        <v>0</v>
      </c>
      <c r="T545" s="330">
        <v>0</v>
      </c>
      <c r="U545" s="331">
        <v>0</v>
      </c>
      <c r="V545" s="332">
        <v>0</v>
      </c>
      <c r="W545" s="333"/>
      <c r="X545" s="334">
        <v>0</v>
      </c>
      <c r="Y545" s="335">
        <v>0</v>
      </c>
    </row>
    <row r="546" spans="1:25" x14ac:dyDescent="0.3">
      <c r="A546" s="326"/>
      <c r="B546" s="326"/>
      <c r="C546" s="326"/>
      <c r="D546" s="326"/>
      <c r="E546" s="326" t="s">
        <v>1489</v>
      </c>
      <c r="F546" s="336"/>
      <c r="G546" s="327"/>
      <c r="H546" s="328"/>
      <c r="I546" s="329"/>
      <c r="J546" s="338">
        <v>0</v>
      </c>
      <c r="K546" s="330">
        <v>0</v>
      </c>
      <c r="L546" s="330">
        <v>0</v>
      </c>
      <c r="M546" s="330">
        <v>0</v>
      </c>
      <c r="N546" s="330">
        <v>0</v>
      </c>
      <c r="O546" s="330">
        <v>0</v>
      </c>
      <c r="P546" s="330">
        <v>0</v>
      </c>
      <c r="Q546" s="330">
        <v>0</v>
      </c>
      <c r="R546" s="330">
        <v>0</v>
      </c>
      <c r="S546" s="330">
        <v>0</v>
      </c>
      <c r="T546" s="330">
        <v>0</v>
      </c>
      <c r="U546" s="331">
        <v>0</v>
      </c>
      <c r="V546" s="332">
        <v>0</v>
      </c>
      <c r="W546" s="333"/>
      <c r="X546" s="334">
        <v>0</v>
      </c>
      <c r="Y546" s="335">
        <v>0</v>
      </c>
    </row>
    <row r="547" spans="1:25" x14ac:dyDescent="0.3">
      <c r="A547" s="233"/>
      <c r="B547" s="234" t="s">
        <v>18</v>
      </c>
      <c r="D547" s="293" t="s">
        <v>1490</v>
      </c>
      <c r="E547" s="294"/>
      <c r="F547" s="295" t="s">
        <v>1491</v>
      </c>
      <c r="G547" s="296"/>
      <c r="H547" s="297"/>
      <c r="I547" s="298"/>
      <c r="J547" s="299">
        <v>0</v>
      </c>
      <c r="K547" s="300">
        <v>0</v>
      </c>
      <c r="L547" s="300">
        <v>0</v>
      </c>
      <c r="M547" s="300">
        <v>0</v>
      </c>
      <c r="N547" s="300">
        <v>0</v>
      </c>
      <c r="O547" s="300">
        <v>0</v>
      </c>
      <c r="P547" s="300">
        <v>0</v>
      </c>
      <c r="Q547" s="300">
        <v>0</v>
      </c>
      <c r="R547" s="300">
        <v>0</v>
      </c>
      <c r="S547" s="300">
        <v>0</v>
      </c>
      <c r="T547" s="300">
        <v>0</v>
      </c>
      <c r="U547" s="301">
        <v>0</v>
      </c>
      <c r="V547" s="302">
        <v>0</v>
      </c>
      <c r="W547" s="303"/>
      <c r="X547" s="304">
        <v>0</v>
      </c>
      <c r="Y547" s="305">
        <v>0</v>
      </c>
    </row>
    <row r="548" spans="1:25" x14ac:dyDescent="0.3">
      <c r="E548" s="250" t="s">
        <v>1492</v>
      </c>
      <c r="F548" s="317">
        <v>4301491</v>
      </c>
      <c r="G548" s="318"/>
      <c r="H548" s="319">
        <v>5101370200</v>
      </c>
      <c r="I548" s="320"/>
      <c r="J548" s="337">
        <v>0</v>
      </c>
      <c r="K548" s="321">
        <v>0</v>
      </c>
      <c r="L548" s="321">
        <v>0</v>
      </c>
      <c r="M548" s="321">
        <v>0</v>
      </c>
      <c r="N548" s="321">
        <v>0</v>
      </c>
      <c r="O548" s="321">
        <v>0</v>
      </c>
      <c r="P548" s="321">
        <v>0</v>
      </c>
      <c r="Q548" s="321">
        <v>0</v>
      </c>
      <c r="R548" s="321">
        <v>0</v>
      </c>
      <c r="S548" s="321">
        <v>0</v>
      </c>
      <c r="T548" s="321">
        <v>0</v>
      </c>
      <c r="U548" s="322">
        <v>0</v>
      </c>
      <c r="V548" s="323">
        <v>0</v>
      </c>
      <c r="W548" s="303"/>
      <c r="X548" s="324">
        <v>0</v>
      </c>
      <c r="Y548" s="325">
        <v>0</v>
      </c>
    </row>
    <row r="549" spans="1:25" x14ac:dyDescent="0.3">
      <c r="E549" s="250" t="s">
        <v>1493</v>
      </c>
      <c r="F549" s="317">
        <v>4301492</v>
      </c>
      <c r="G549" s="318"/>
      <c r="H549" s="319"/>
      <c r="I549" s="320"/>
      <c r="J549" s="337">
        <v>0</v>
      </c>
      <c r="K549" s="321">
        <v>0</v>
      </c>
      <c r="L549" s="321">
        <v>0</v>
      </c>
      <c r="M549" s="321">
        <v>0</v>
      </c>
      <c r="N549" s="321">
        <v>0</v>
      </c>
      <c r="O549" s="321">
        <v>0</v>
      </c>
      <c r="P549" s="321">
        <v>0</v>
      </c>
      <c r="Q549" s="321">
        <v>0</v>
      </c>
      <c r="R549" s="321">
        <v>0</v>
      </c>
      <c r="S549" s="321">
        <v>0</v>
      </c>
      <c r="T549" s="321">
        <v>0</v>
      </c>
      <c r="U549" s="322">
        <v>0</v>
      </c>
      <c r="V549" s="323">
        <v>0</v>
      </c>
      <c r="W549" s="303"/>
      <c r="X549" s="324">
        <v>0</v>
      </c>
      <c r="Y549" s="325">
        <v>0</v>
      </c>
    </row>
    <row r="550" spans="1:25" x14ac:dyDescent="0.3">
      <c r="E550" s="250" t="s">
        <v>1494</v>
      </c>
      <c r="F550" s="317">
        <v>4301493</v>
      </c>
      <c r="G550" s="318"/>
      <c r="H550" s="319"/>
      <c r="I550" s="320"/>
      <c r="J550" s="337">
        <v>0</v>
      </c>
      <c r="K550" s="321">
        <v>0</v>
      </c>
      <c r="L550" s="321">
        <v>0</v>
      </c>
      <c r="M550" s="321">
        <v>0</v>
      </c>
      <c r="N550" s="321">
        <v>0</v>
      </c>
      <c r="O550" s="321">
        <v>0</v>
      </c>
      <c r="P550" s="321">
        <v>0</v>
      </c>
      <c r="Q550" s="321">
        <v>0</v>
      </c>
      <c r="R550" s="321">
        <v>0</v>
      </c>
      <c r="S550" s="321">
        <v>0</v>
      </c>
      <c r="T550" s="321">
        <v>0</v>
      </c>
      <c r="U550" s="322">
        <v>0</v>
      </c>
      <c r="V550" s="323">
        <v>0</v>
      </c>
      <c r="W550" s="303"/>
      <c r="X550" s="324">
        <v>0</v>
      </c>
      <c r="Y550" s="325">
        <v>0</v>
      </c>
    </row>
    <row r="551" spans="1:25" x14ac:dyDescent="0.3">
      <c r="E551" s="250" t="s">
        <v>1495</v>
      </c>
      <c r="F551" s="317">
        <v>4301494</v>
      </c>
      <c r="G551" s="318"/>
      <c r="H551" s="319">
        <v>5101370203</v>
      </c>
      <c r="I551" s="320"/>
      <c r="J551" s="337">
        <v>0</v>
      </c>
      <c r="K551" s="321">
        <v>0</v>
      </c>
      <c r="L551" s="321">
        <v>0</v>
      </c>
      <c r="M551" s="321">
        <v>0</v>
      </c>
      <c r="N551" s="321">
        <v>0</v>
      </c>
      <c r="O551" s="321">
        <v>0</v>
      </c>
      <c r="P551" s="321">
        <v>0</v>
      </c>
      <c r="Q551" s="321">
        <v>0</v>
      </c>
      <c r="R551" s="321">
        <v>0</v>
      </c>
      <c r="S551" s="321">
        <v>0</v>
      </c>
      <c r="T551" s="321">
        <v>0</v>
      </c>
      <c r="U551" s="322">
        <v>0</v>
      </c>
      <c r="V551" s="323">
        <v>0</v>
      </c>
      <c r="W551" s="303"/>
      <c r="X551" s="324">
        <v>0</v>
      </c>
      <c r="Y551" s="325">
        <v>0</v>
      </c>
    </row>
    <row r="552" spans="1:25" x14ac:dyDescent="0.3">
      <c r="E552" s="250" t="s">
        <v>1496</v>
      </c>
      <c r="F552" s="317">
        <v>4301495</v>
      </c>
      <c r="G552" s="318"/>
      <c r="H552" s="319"/>
      <c r="I552" s="320"/>
      <c r="J552" s="337">
        <v>0</v>
      </c>
      <c r="K552" s="321">
        <v>0</v>
      </c>
      <c r="L552" s="321">
        <v>0</v>
      </c>
      <c r="M552" s="321">
        <v>0</v>
      </c>
      <c r="N552" s="321">
        <v>0</v>
      </c>
      <c r="O552" s="321">
        <v>0</v>
      </c>
      <c r="P552" s="321">
        <v>0</v>
      </c>
      <c r="Q552" s="321">
        <v>0</v>
      </c>
      <c r="R552" s="321">
        <v>0</v>
      </c>
      <c r="S552" s="321">
        <v>0</v>
      </c>
      <c r="T552" s="321">
        <v>0</v>
      </c>
      <c r="U552" s="322">
        <v>0</v>
      </c>
      <c r="V552" s="323">
        <v>0</v>
      </c>
      <c r="W552" s="303"/>
      <c r="X552" s="324">
        <v>0</v>
      </c>
      <c r="Y552" s="325">
        <v>0</v>
      </c>
    </row>
    <row r="553" spans="1:25" x14ac:dyDescent="0.3">
      <c r="E553" s="250" t="s">
        <v>1497</v>
      </c>
      <c r="F553" s="317">
        <v>4301500</v>
      </c>
      <c r="G553" s="318"/>
      <c r="H553" s="319"/>
      <c r="I553" s="320"/>
      <c r="J553" s="337">
        <v>0</v>
      </c>
      <c r="K553" s="321">
        <v>0</v>
      </c>
      <c r="L553" s="321">
        <v>0</v>
      </c>
      <c r="M553" s="321">
        <v>0</v>
      </c>
      <c r="N553" s="321">
        <v>0</v>
      </c>
      <c r="O553" s="321">
        <v>0</v>
      </c>
      <c r="P553" s="321">
        <v>0</v>
      </c>
      <c r="Q553" s="321">
        <v>0</v>
      </c>
      <c r="R553" s="321">
        <v>0</v>
      </c>
      <c r="S553" s="321">
        <v>0</v>
      </c>
      <c r="T553" s="321">
        <v>0</v>
      </c>
      <c r="U553" s="322">
        <v>0</v>
      </c>
      <c r="V553" s="323">
        <v>0</v>
      </c>
      <c r="W553" s="303"/>
      <c r="X553" s="324">
        <v>0</v>
      </c>
      <c r="Y553" s="325">
        <v>0</v>
      </c>
    </row>
    <row r="554" spans="1:25" x14ac:dyDescent="0.3">
      <c r="A554" s="361"/>
      <c r="B554" s="361"/>
      <c r="C554" s="361"/>
      <c r="D554" s="361"/>
      <c r="E554" s="326" t="s">
        <v>1498</v>
      </c>
      <c r="F554" s="351"/>
      <c r="G554" s="352"/>
      <c r="H554" s="353"/>
      <c r="I554" s="354"/>
      <c r="J554" s="362">
        <v>0</v>
      </c>
      <c r="K554" s="355">
        <v>0</v>
      </c>
      <c r="L554" s="355">
        <v>0</v>
      </c>
      <c r="M554" s="355">
        <v>0</v>
      </c>
      <c r="N554" s="355">
        <v>0</v>
      </c>
      <c r="O554" s="355">
        <v>0</v>
      </c>
      <c r="P554" s="355">
        <v>0</v>
      </c>
      <c r="Q554" s="355">
        <v>0</v>
      </c>
      <c r="R554" s="355">
        <v>0</v>
      </c>
      <c r="S554" s="355">
        <v>0</v>
      </c>
      <c r="T554" s="355">
        <v>0</v>
      </c>
      <c r="U554" s="356">
        <v>0</v>
      </c>
      <c r="V554" s="357">
        <v>0</v>
      </c>
      <c r="W554" s="358"/>
      <c r="X554" s="359">
        <v>0</v>
      </c>
      <c r="Y554" s="360">
        <v>0</v>
      </c>
    </row>
    <row r="555" spans="1:25" x14ac:dyDescent="0.3">
      <c r="A555" s="361"/>
      <c r="B555" s="361"/>
      <c r="C555" s="361"/>
      <c r="D555" s="361"/>
      <c r="E555" s="326" t="s">
        <v>1499</v>
      </c>
      <c r="F555" s="351"/>
      <c r="G555" s="352"/>
      <c r="H555" s="353"/>
      <c r="I555" s="354"/>
      <c r="J555" s="362">
        <v>0</v>
      </c>
      <c r="K555" s="355">
        <v>0</v>
      </c>
      <c r="L555" s="355">
        <v>0</v>
      </c>
      <c r="M555" s="355">
        <v>0</v>
      </c>
      <c r="N555" s="355">
        <v>0</v>
      </c>
      <c r="O555" s="355">
        <v>0</v>
      </c>
      <c r="P555" s="355">
        <v>0</v>
      </c>
      <c r="Q555" s="355">
        <v>0</v>
      </c>
      <c r="R555" s="355">
        <v>0</v>
      </c>
      <c r="S555" s="355">
        <v>0</v>
      </c>
      <c r="T555" s="355">
        <v>0</v>
      </c>
      <c r="U555" s="356">
        <v>0</v>
      </c>
      <c r="V555" s="357">
        <v>0</v>
      </c>
      <c r="W555" s="358"/>
      <c r="X555" s="359">
        <v>0</v>
      </c>
      <c r="Y555" s="360">
        <v>0</v>
      </c>
    </row>
    <row r="556" spans="1:25" x14ac:dyDescent="0.3">
      <c r="A556" s="361"/>
      <c r="B556" s="361"/>
      <c r="C556" s="361"/>
      <c r="D556" s="361"/>
      <c r="E556" s="326" t="s">
        <v>1500</v>
      </c>
      <c r="F556" s="351"/>
      <c r="G556" s="352"/>
      <c r="H556" s="353"/>
      <c r="I556" s="354"/>
      <c r="J556" s="362">
        <v>0</v>
      </c>
      <c r="K556" s="355">
        <v>0</v>
      </c>
      <c r="L556" s="355">
        <v>0</v>
      </c>
      <c r="M556" s="355">
        <v>0</v>
      </c>
      <c r="N556" s="355">
        <v>0</v>
      </c>
      <c r="O556" s="355">
        <v>0</v>
      </c>
      <c r="P556" s="355">
        <v>0</v>
      </c>
      <c r="Q556" s="355">
        <v>0</v>
      </c>
      <c r="R556" s="355">
        <v>0</v>
      </c>
      <c r="S556" s="355">
        <v>0</v>
      </c>
      <c r="T556" s="355">
        <v>0</v>
      </c>
      <c r="U556" s="356">
        <v>0</v>
      </c>
      <c r="V556" s="357">
        <v>0</v>
      </c>
      <c r="W556" s="358"/>
      <c r="X556" s="359">
        <v>0</v>
      </c>
      <c r="Y556" s="360">
        <v>0</v>
      </c>
    </row>
    <row r="557" spans="1:25" x14ac:dyDescent="0.3">
      <c r="A557" s="233"/>
      <c r="B557" s="234" t="s">
        <v>19</v>
      </c>
      <c r="D557" s="293" t="s">
        <v>1501</v>
      </c>
      <c r="E557" s="294"/>
      <c r="F557" s="295" t="s">
        <v>1502</v>
      </c>
      <c r="G557" s="296"/>
      <c r="H557" s="297"/>
      <c r="I557" s="298"/>
      <c r="J557" s="299">
        <v>0</v>
      </c>
      <c r="K557" s="300">
        <v>0</v>
      </c>
      <c r="L557" s="300">
        <v>0</v>
      </c>
      <c r="M557" s="300">
        <v>0</v>
      </c>
      <c r="N557" s="300">
        <v>0</v>
      </c>
      <c r="O557" s="300">
        <v>0</v>
      </c>
      <c r="P557" s="300">
        <v>0</v>
      </c>
      <c r="Q557" s="300">
        <v>0</v>
      </c>
      <c r="R557" s="300">
        <v>0</v>
      </c>
      <c r="S557" s="300">
        <v>0</v>
      </c>
      <c r="T557" s="300">
        <v>0</v>
      </c>
      <c r="U557" s="301">
        <v>0</v>
      </c>
      <c r="V557" s="302">
        <v>0</v>
      </c>
      <c r="W557" s="303"/>
      <c r="X557" s="304">
        <v>0</v>
      </c>
      <c r="Y557" s="305">
        <v>0</v>
      </c>
    </row>
    <row r="558" spans="1:25" x14ac:dyDescent="0.3">
      <c r="E558" s="250" t="s">
        <v>1503</v>
      </c>
      <c r="F558" s="317">
        <v>4309501</v>
      </c>
      <c r="G558" s="318"/>
      <c r="H558" s="319">
        <v>5101390199</v>
      </c>
      <c r="I558" s="320"/>
      <c r="J558" s="337">
        <v>0</v>
      </c>
      <c r="K558" s="321">
        <v>0</v>
      </c>
      <c r="L558" s="321">
        <v>0</v>
      </c>
      <c r="M558" s="321">
        <v>0</v>
      </c>
      <c r="N558" s="321">
        <v>0</v>
      </c>
      <c r="O558" s="321">
        <v>0</v>
      </c>
      <c r="P558" s="321">
        <v>0</v>
      </c>
      <c r="Q558" s="321">
        <v>0</v>
      </c>
      <c r="R558" s="321">
        <v>0</v>
      </c>
      <c r="S558" s="321">
        <v>0</v>
      </c>
      <c r="T558" s="321">
        <v>0</v>
      </c>
      <c r="U558" s="322">
        <v>0</v>
      </c>
      <c r="V558" s="323">
        <v>0</v>
      </c>
      <c r="W558" s="303"/>
      <c r="X558" s="324">
        <v>0</v>
      </c>
      <c r="Y558" s="325">
        <v>0</v>
      </c>
    </row>
    <row r="559" spans="1:25" x14ac:dyDescent="0.3">
      <c r="E559" s="250" t="s">
        <v>1504</v>
      </c>
      <c r="F559" s="317">
        <v>4309503</v>
      </c>
      <c r="G559" s="318"/>
      <c r="H559" s="319">
        <v>5101390105</v>
      </c>
      <c r="I559" s="320"/>
      <c r="J559" s="337">
        <v>0</v>
      </c>
      <c r="K559" s="321">
        <v>0</v>
      </c>
      <c r="L559" s="321">
        <v>0</v>
      </c>
      <c r="M559" s="321">
        <v>0</v>
      </c>
      <c r="N559" s="321">
        <v>0</v>
      </c>
      <c r="O559" s="321">
        <v>0</v>
      </c>
      <c r="P559" s="321">
        <v>0</v>
      </c>
      <c r="Q559" s="321">
        <v>0</v>
      </c>
      <c r="R559" s="321">
        <v>0</v>
      </c>
      <c r="S559" s="321">
        <v>0</v>
      </c>
      <c r="T559" s="321">
        <v>0</v>
      </c>
      <c r="U559" s="322">
        <v>0</v>
      </c>
      <c r="V559" s="323">
        <v>0</v>
      </c>
      <c r="W559" s="303"/>
      <c r="X559" s="324">
        <v>0</v>
      </c>
      <c r="Y559" s="325">
        <v>0</v>
      </c>
    </row>
    <row r="560" spans="1:25" x14ac:dyDescent="0.3">
      <c r="E560" s="250" t="s">
        <v>1505</v>
      </c>
      <c r="F560" s="317">
        <v>4309509</v>
      </c>
      <c r="G560" s="318"/>
      <c r="H560" s="319">
        <v>5101390115</v>
      </c>
      <c r="I560" s="320"/>
      <c r="J560" s="337">
        <v>0</v>
      </c>
      <c r="K560" s="321">
        <v>0</v>
      </c>
      <c r="L560" s="321">
        <v>0</v>
      </c>
      <c r="M560" s="321">
        <v>0</v>
      </c>
      <c r="N560" s="321">
        <v>0</v>
      </c>
      <c r="O560" s="321">
        <v>0</v>
      </c>
      <c r="P560" s="321">
        <v>0</v>
      </c>
      <c r="Q560" s="321">
        <v>0</v>
      </c>
      <c r="R560" s="321">
        <v>0</v>
      </c>
      <c r="S560" s="321">
        <v>0</v>
      </c>
      <c r="T560" s="321">
        <v>0</v>
      </c>
      <c r="U560" s="322">
        <v>0</v>
      </c>
      <c r="V560" s="323">
        <v>0</v>
      </c>
      <c r="W560" s="303"/>
      <c r="X560" s="324">
        <v>0</v>
      </c>
      <c r="Y560" s="325">
        <v>0</v>
      </c>
    </row>
    <row r="561" spans="1:25" x14ac:dyDescent="0.3">
      <c r="E561" s="250" t="s">
        <v>1506</v>
      </c>
      <c r="F561" s="317">
        <v>4309502</v>
      </c>
      <c r="G561" s="318"/>
      <c r="H561" s="319">
        <v>5101390103</v>
      </c>
      <c r="I561" s="320"/>
      <c r="J561" s="337">
        <v>0</v>
      </c>
      <c r="K561" s="321">
        <v>0</v>
      </c>
      <c r="L561" s="321">
        <v>0</v>
      </c>
      <c r="M561" s="321">
        <v>0</v>
      </c>
      <c r="N561" s="321">
        <v>0</v>
      </c>
      <c r="O561" s="321">
        <v>0</v>
      </c>
      <c r="P561" s="321">
        <v>0</v>
      </c>
      <c r="Q561" s="321">
        <v>0</v>
      </c>
      <c r="R561" s="321">
        <v>0</v>
      </c>
      <c r="S561" s="321">
        <v>0</v>
      </c>
      <c r="T561" s="321">
        <v>0</v>
      </c>
      <c r="U561" s="322">
        <v>0</v>
      </c>
      <c r="V561" s="323">
        <v>0</v>
      </c>
      <c r="W561" s="303"/>
      <c r="X561" s="324">
        <v>0</v>
      </c>
      <c r="Y561" s="325">
        <v>0</v>
      </c>
    </row>
    <row r="562" spans="1:25" x14ac:dyDescent="0.3">
      <c r="E562" s="250" t="s">
        <v>1507</v>
      </c>
      <c r="F562" s="317">
        <v>4309780</v>
      </c>
      <c r="G562" s="318"/>
      <c r="H562" s="319"/>
      <c r="I562" s="320"/>
      <c r="J562" s="337">
        <v>0</v>
      </c>
      <c r="K562" s="321">
        <v>0</v>
      </c>
      <c r="L562" s="321">
        <v>0</v>
      </c>
      <c r="M562" s="321">
        <v>0</v>
      </c>
      <c r="N562" s="321">
        <v>0</v>
      </c>
      <c r="O562" s="321">
        <v>0</v>
      </c>
      <c r="P562" s="321">
        <v>0</v>
      </c>
      <c r="Q562" s="321">
        <v>0</v>
      </c>
      <c r="R562" s="321">
        <v>0</v>
      </c>
      <c r="S562" s="321">
        <v>0</v>
      </c>
      <c r="T562" s="321">
        <v>0</v>
      </c>
      <c r="U562" s="322">
        <v>0</v>
      </c>
      <c r="V562" s="323">
        <v>0</v>
      </c>
      <c r="W562" s="303"/>
      <c r="X562" s="324">
        <v>0</v>
      </c>
      <c r="Y562" s="325">
        <v>0</v>
      </c>
    </row>
    <row r="563" spans="1:25" x14ac:dyDescent="0.3">
      <c r="E563" s="250" t="s">
        <v>1508</v>
      </c>
      <c r="F563" s="317">
        <v>4309505</v>
      </c>
      <c r="G563" s="318"/>
      <c r="H563" s="319"/>
      <c r="I563" s="320"/>
      <c r="J563" s="337">
        <v>0</v>
      </c>
      <c r="K563" s="321">
        <v>0</v>
      </c>
      <c r="L563" s="321">
        <v>0</v>
      </c>
      <c r="M563" s="321">
        <v>0</v>
      </c>
      <c r="N563" s="321">
        <v>0</v>
      </c>
      <c r="O563" s="321">
        <v>0</v>
      </c>
      <c r="P563" s="321">
        <v>0</v>
      </c>
      <c r="Q563" s="321">
        <v>0</v>
      </c>
      <c r="R563" s="321">
        <v>0</v>
      </c>
      <c r="S563" s="321">
        <v>0</v>
      </c>
      <c r="T563" s="321">
        <v>0</v>
      </c>
      <c r="U563" s="322">
        <v>0</v>
      </c>
      <c r="V563" s="323">
        <v>0</v>
      </c>
      <c r="W563" s="303"/>
      <c r="X563" s="324">
        <v>0</v>
      </c>
      <c r="Y563" s="325">
        <v>0</v>
      </c>
    </row>
    <row r="564" spans="1:25" x14ac:dyDescent="0.3">
      <c r="A564" s="350"/>
      <c r="B564" s="350"/>
      <c r="C564" s="350"/>
      <c r="D564" s="350"/>
      <c r="E564" s="250" t="s">
        <v>1509</v>
      </c>
      <c r="F564" s="306">
        <v>4309600</v>
      </c>
      <c r="G564" s="307"/>
      <c r="H564" s="308">
        <v>5101390117</v>
      </c>
      <c r="I564" s="309"/>
      <c r="J564" s="310">
        <v>0</v>
      </c>
      <c r="K564" s="311">
        <v>0</v>
      </c>
      <c r="L564" s="311">
        <v>0</v>
      </c>
      <c r="M564" s="311">
        <v>0</v>
      </c>
      <c r="N564" s="311">
        <v>0</v>
      </c>
      <c r="O564" s="311">
        <v>0</v>
      </c>
      <c r="P564" s="311">
        <v>0</v>
      </c>
      <c r="Q564" s="311">
        <v>0</v>
      </c>
      <c r="R564" s="311">
        <v>0</v>
      </c>
      <c r="S564" s="311">
        <v>0</v>
      </c>
      <c r="T564" s="311">
        <v>0</v>
      </c>
      <c r="U564" s="312">
        <v>0</v>
      </c>
      <c r="V564" s="313">
        <v>0</v>
      </c>
      <c r="W564" s="314"/>
      <c r="X564" s="315">
        <v>0</v>
      </c>
      <c r="Y564" s="316">
        <v>0</v>
      </c>
    </row>
    <row r="565" spans="1:25" x14ac:dyDescent="0.3">
      <c r="C565" s="361"/>
      <c r="D565" s="361"/>
      <c r="E565" s="326" t="s">
        <v>1510</v>
      </c>
      <c r="F565" s="351"/>
      <c r="G565" s="352"/>
      <c r="H565" s="353"/>
      <c r="I565" s="354"/>
      <c r="J565" s="362">
        <v>0</v>
      </c>
      <c r="K565" s="355">
        <v>0</v>
      </c>
      <c r="L565" s="355">
        <v>0</v>
      </c>
      <c r="M565" s="355">
        <v>0</v>
      </c>
      <c r="N565" s="355">
        <v>0</v>
      </c>
      <c r="O565" s="355">
        <v>0</v>
      </c>
      <c r="P565" s="355">
        <v>0</v>
      </c>
      <c r="Q565" s="355">
        <v>0</v>
      </c>
      <c r="R565" s="355">
        <v>0</v>
      </c>
      <c r="S565" s="355">
        <v>0</v>
      </c>
      <c r="T565" s="355">
        <v>0</v>
      </c>
      <c r="U565" s="356">
        <v>0</v>
      </c>
      <c r="V565" s="357">
        <v>0</v>
      </c>
      <c r="W565" s="358"/>
      <c r="X565" s="359">
        <v>0</v>
      </c>
      <c r="Y565" s="360">
        <v>0</v>
      </c>
    </row>
    <row r="566" spans="1:25" x14ac:dyDescent="0.3">
      <c r="A566" s="361"/>
      <c r="B566" s="361"/>
      <c r="C566" s="361"/>
      <c r="D566" s="361"/>
      <c r="E566" s="326" t="s">
        <v>1511</v>
      </c>
      <c r="F566" s="351"/>
      <c r="G566" s="352"/>
      <c r="H566" s="353"/>
      <c r="I566" s="354"/>
      <c r="J566" s="362">
        <v>0</v>
      </c>
      <c r="K566" s="355">
        <v>0</v>
      </c>
      <c r="L566" s="355">
        <v>0</v>
      </c>
      <c r="M566" s="355">
        <v>0</v>
      </c>
      <c r="N566" s="355">
        <v>0</v>
      </c>
      <c r="O566" s="355">
        <v>0</v>
      </c>
      <c r="P566" s="355">
        <v>0</v>
      </c>
      <c r="Q566" s="355">
        <v>0</v>
      </c>
      <c r="R566" s="355">
        <v>0</v>
      </c>
      <c r="S566" s="355">
        <v>0</v>
      </c>
      <c r="T566" s="355">
        <v>0</v>
      </c>
      <c r="U566" s="356">
        <v>0</v>
      </c>
      <c r="V566" s="357">
        <v>0</v>
      </c>
      <c r="W566" s="358"/>
      <c r="X566" s="359">
        <v>0</v>
      </c>
      <c r="Y566" s="360">
        <v>0</v>
      </c>
    </row>
    <row r="567" spans="1:25" x14ac:dyDescent="0.3">
      <c r="A567" s="361"/>
      <c r="B567" s="361"/>
      <c r="C567" s="361"/>
      <c r="D567" s="361"/>
      <c r="E567" s="326" t="s">
        <v>1512</v>
      </c>
      <c r="F567" s="351"/>
      <c r="G567" s="352"/>
      <c r="H567" s="353"/>
      <c r="I567" s="354"/>
      <c r="J567" s="362">
        <v>0</v>
      </c>
      <c r="K567" s="355">
        <v>0</v>
      </c>
      <c r="L567" s="355">
        <v>0</v>
      </c>
      <c r="M567" s="355">
        <v>0</v>
      </c>
      <c r="N567" s="355">
        <v>0</v>
      </c>
      <c r="O567" s="355">
        <v>0</v>
      </c>
      <c r="P567" s="355">
        <v>0</v>
      </c>
      <c r="Q567" s="355">
        <v>0</v>
      </c>
      <c r="R567" s="355">
        <v>0</v>
      </c>
      <c r="S567" s="355">
        <v>0</v>
      </c>
      <c r="T567" s="355">
        <v>0</v>
      </c>
      <c r="U567" s="356">
        <v>0</v>
      </c>
      <c r="V567" s="357">
        <v>0</v>
      </c>
      <c r="W567" s="358"/>
      <c r="X567" s="359">
        <v>0</v>
      </c>
      <c r="Y567" s="360">
        <v>0</v>
      </c>
    </row>
    <row r="568" spans="1:25" x14ac:dyDescent="0.3">
      <c r="A568" s="233"/>
      <c r="B568" s="234" t="s">
        <v>18</v>
      </c>
      <c r="D568" s="293" t="s">
        <v>1513</v>
      </c>
      <c r="E568" s="294"/>
      <c r="F568" s="295" t="s">
        <v>1514</v>
      </c>
      <c r="G568" s="296"/>
      <c r="H568" s="297"/>
      <c r="I568" s="298"/>
      <c r="J568" s="299">
        <v>0</v>
      </c>
      <c r="K568" s="300">
        <v>0</v>
      </c>
      <c r="L568" s="300">
        <v>0</v>
      </c>
      <c r="M568" s="300">
        <v>0</v>
      </c>
      <c r="N568" s="300">
        <v>0</v>
      </c>
      <c r="O568" s="300">
        <v>0</v>
      </c>
      <c r="P568" s="300">
        <v>0</v>
      </c>
      <c r="Q568" s="300">
        <v>0</v>
      </c>
      <c r="R568" s="300">
        <v>0</v>
      </c>
      <c r="S568" s="300">
        <v>0</v>
      </c>
      <c r="T568" s="300">
        <v>0</v>
      </c>
      <c r="U568" s="301">
        <v>0</v>
      </c>
      <c r="V568" s="302">
        <v>0</v>
      </c>
      <c r="W568" s="303"/>
      <c r="X568" s="304">
        <v>0</v>
      </c>
      <c r="Y568" s="305">
        <v>0</v>
      </c>
    </row>
    <row r="569" spans="1:25" x14ac:dyDescent="0.3">
      <c r="E569" s="250" t="s">
        <v>1515</v>
      </c>
      <c r="F569" s="317">
        <v>4309683</v>
      </c>
      <c r="G569" s="318"/>
      <c r="H569" s="319"/>
      <c r="I569" s="320"/>
      <c r="J569" s="337">
        <v>0</v>
      </c>
      <c r="K569" s="321">
        <v>0</v>
      </c>
      <c r="L569" s="321">
        <v>0</v>
      </c>
      <c r="M569" s="321">
        <v>0</v>
      </c>
      <c r="N569" s="321">
        <v>0</v>
      </c>
      <c r="O569" s="321">
        <v>0</v>
      </c>
      <c r="P569" s="321">
        <v>0</v>
      </c>
      <c r="Q569" s="321">
        <v>0</v>
      </c>
      <c r="R569" s="321">
        <v>0</v>
      </c>
      <c r="S569" s="321">
        <v>0</v>
      </c>
      <c r="T569" s="321">
        <v>0</v>
      </c>
      <c r="U569" s="322">
        <v>0</v>
      </c>
      <c r="V569" s="323">
        <v>0</v>
      </c>
      <c r="W569" s="303"/>
      <c r="X569" s="324">
        <v>0</v>
      </c>
      <c r="Y569" s="325">
        <v>0</v>
      </c>
    </row>
    <row r="570" spans="1:25" x14ac:dyDescent="0.3">
      <c r="E570" s="250" t="s">
        <v>1516</v>
      </c>
      <c r="F570" s="317">
        <v>4309681</v>
      </c>
      <c r="G570" s="318"/>
      <c r="H570" s="319">
        <v>5101410200</v>
      </c>
      <c r="I570" s="320"/>
      <c r="J570" s="337">
        <v>0</v>
      </c>
      <c r="K570" s="321">
        <v>0</v>
      </c>
      <c r="L570" s="321">
        <v>0</v>
      </c>
      <c r="M570" s="321">
        <v>0</v>
      </c>
      <c r="N570" s="321">
        <v>0</v>
      </c>
      <c r="O570" s="321">
        <v>0</v>
      </c>
      <c r="P570" s="321">
        <v>0</v>
      </c>
      <c r="Q570" s="321">
        <v>0</v>
      </c>
      <c r="R570" s="321">
        <v>0</v>
      </c>
      <c r="S570" s="321">
        <v>0</v>
      </c>
      <c r="T570" s="321">
        <v>0</v>
      </c>
      <c r="U570" s="322">
        <v>0</v>
      </c>
      <c r="V570" s="323">
        <v>0</v>
      </c>
      <c r="W570" s="303"/>
      <c r="X570" s="324">
        <v>0</v>
      </c>
      <c r="Y570" s="325">
        <v>0</v>
      </c>
    </row>
    <row r="571" spans="1:25" x14ac:dyDescent="0.3">
      <c r="E571" s="250" t="s">
        <v>1517</v>
      </c>
      <c r="F571" s="317">
        <v>4309685</v>
      </c>
      <c r="G571" s="318"/>
      <c r="H571" s="319">
        <v>5101410101</v>
      </c>
      <c r="I571" s="320"/>
      <c r="J571" s="337">
        <v>0</v>
      </c>
      <c r="K571" s="321">
        <v>0</v>
      </c>
      <c r="L571" s="321">
        <v>0</v>
      </c>
      <c r="M571" s="321">
        <v>0</v>
      </c>
      <c r="N571" s="321">
        <v>0</v>
      </c>
      <c r="O571" s="321">
        <v>0</v>
      </c>
      <c r="P571" s="321">
        <v>0</v>
      </c>
      <c r="Q571" s="321">
        <v>0</v>
      </c>
      <c r="R571" s="321">
        <v>0</v>
      </c>
      <c r="S571" s="321">
        <v>0</v>
      </c>
      <c r="T571" s="321">
        <v>0</v>
      </c>
      <c r="U571" s="322">
        <v>0</v>
      </c>
      <c r="V571" s="323">
        <v>0</v>
      </c>
      <c r="W571" s="303"/>
      <c r="X571" s="324">
        <v>0</v>
      </c>
      <c r="Y571" s="325">
        <v>0</v>
      </c>
    </row>
    <row r="572" spans="1:25" x14ac:dyDescent="0.3">
      <c r="A572" s="361"/>
      <c r="B572" s="361"/>
      <c r="C572" s="361"/>
      <c r="D572" s="361"/>
      <c r="E572" s="326" t="s">
        <v>1518</v>
      </c>
      <c r="F572" s="351"/>
      <c r="G572" s="352"/>
      <c r="H572" s="353"/>
      <c r="I572" s="354"/>
      <c r="J572" s="362">
        <v>0</v>
      </c>
      <c r="K572" s="355">
        <v>0</v>
      </c>
      <c r="L572" s="355">
        <v>0</v>
      </c>
      <c r="M572" s="355">
        <v>0</v>
      </c>
      <c r="N572" s="355">
        <v>0</v>
      </c>
      <c r="O572" s="355">
        <v>0</v>
      </c>
      <c r="P572" s="355">
        <v>0</v>
      </c>
      <c r="Q572" s="355">
        <v>0</v>
      </c>
      <c r="R572" s="355">
        <v>0</v>
      </c>
      <c r="S572" s="355">
        <v>0</v>
      </c>
      <c r="T572" s="355">
        <v>0</v>
      </c>
      <c r="U572" s="356">
        <v>0</v>
      </c>
      <c r="V572" s="357">
        <v>0</v>
      </c>
      <c r="W572" s="358"/>
      <c r="X572" s="359">
        <v>0</v>
      </c>
      <c r="Y572" s="360">
        <v>0</v>
      </c>
    </row>
    <row r="573" spans="1:25" x14ac:dyDescent="0.3">
      <c r="A573" s="361"/>
      <c r="B573" s="361"/>
      <c r="C573" s="361"/>
      <c r="D573" s="361"/>
      <c r="E573" s="326" t="s">
        <v>1518</v>
      </c>
      <c r="F573" s="351"/>
      <c r="G573" s="352"/>
      <c r="H573" s="353"/>
      <c r="I573" s="354"/>
      <c r="J573" s="362">
        <v>0</v>
      </c>
      <c r="K573" s="355">
        <v>0</v>
      </c>
      <c r="L573" s="355">
        <v>0</v>
      </c>
      <c r="M573" s="355">
        <v>0</v>
      </c>
      <c r="N573" s="355">
        <v>0</v>
      </c>
      <c r="O573" s="355">
        <v>0</v>
      </c>
      <c r="P573" s="355">
        <v>0</v>
      </c>
      <c r="Q573" s="355">
        <v>0</v>
      </c>
      <c r="R573" s="355">
        <v>0</v>
      </c>
      <c r="S573" s="355">
        <v>0</v>
      </c>
      <c r="T573" s="355">
        <v>0</v>
      </c>
      <c r="U573" s="356">
        <v>0</v>
      </c>
      <c r="V573" s="357">
        <v>0</v>
      </c>
      <c r="W573" s="358"/>
      <c r="X573" s="359">
        <v>0</v>
      </c>
      <c r="Y573" s="360">
        <v>0</v>
      </c>
    </row>
    <row r="574" spans="1:25" x14ac:dyDescent="0.3">
      <c r="A574" s="361"/>
      <c r="B574" s="361"/>
      <c r="C574" s="361"/>
      <c r="D574" s="361"/>
      <c r="E574" s="326" t="s">
        <v>1519</v>
      </c>
      <c r="F574" s="351"/>
      <c r="G574" s="352"/>
      <c r="H574" s="353"/>
      <c r="I574" s="354"/>
      <c r="J574" s="362">
        <v>0</v>
      </c>
      <c r="K574" s="355">
        <v>0</v>
      </c>
      <c r="L574" s="355">
        <v>0</v>
      </c>
      <c r="M574" s="355">
        <v>0</v>
      </c>
      <c r="N574" s="355">
        <v>0</v>
      </c>
      <c r="O574" s="355">
        <v>0</v>
      </c>
      <c r="P574" s="355">
        <v>0</v>
      </c>
      <c r="Q574" s="355">
        <v>0</v>
      </c>
      <c r="R574" s="355">
        <v>0</v>
      </c>
      <c r="S574" s="355">
        <v>0</v>
      </c>
      <c r="T574" s="355">
        <v>0</v>
      </c>
      <c r="U574" s="356">
        <v>0</v>
      </c>
      <c r="V574" s="357">
        <v>0</v>
      </c>
      <c r="W574" s="358"/>
      <c r="X574" s="359">
        <v>0</v>
      </c>
      <c r="Y574" s="360">
        <v>0</v>
      </c>
    </row>
    <row r="575" spans="1:25" x14ac:dyDescent="0.3">
      <c r="A575" s="233"/>
      <c r="B575" s="234" t="s">
        <v>41</v>
      </c>
      <c r="D575" s="293" t="s">
        <v>1520</v>
      </c>
      <c r="E575" s="294"/>
      <c r="F575" s="295" t="s">
        <v>1521</v>
      </c>
      <c r="G575" s="296"/>
      <c r="H575" s="297"/>
      <c r="I575" s="298"/>
      <c r="J575" s="299">
        <v>0</v>
      </c>
      <c r="K575" s="300">
        <v>0</v>
      </c>
      <c r="L575" s="300">
        <v>0</v>
      </c>
      <c r="M575" s="300">
        <v>0</v>
      </c>
      <c r="N575" s="300">
        <v>0</v>
      </c>
      <c r="O575" s="300">
        <v>0</v>
      </c>
      <c r="P575" s="300">
        <v>0</v>
      </c>
      <c r="Q575" s="300">
        <v>0</v>
      </c>
      <c r="R575" s="300">
        <v>0</v>
      </c>
      <c r="S575" s="300">
        <v>0</v>
      </c>
      <c r="T575" s="300">
        <v>0</v>
      </c>
      <c r="U575" s="301">
        <v>0</v>
      </c>
      <c r="V575" s="302">
        <v>0</v>
      </c>
      <c r="W575" s="303"/>
      <c r="X575" s="304">
        <v>0</v>
      </c>
      <c r="Y575" s="305">
        <v>0</v>
      </c>
    </row>
    <row r="576" spans="1:25" x14ac:dyDescent="0.3">
      <c r="E576" s="250" t="s">
        <v>1522</v>
      </c>
      <c r="F576" s="317">
        <v>4309201</v>
      </c>
      <c r="G576" s="318"/>
      <c r="H576" s="319">
        <v>5101430101</v>
      </c>
      <c r="I576" s="320"/>
      <c r="J576" s="337">
        <v>0</v>
      </c>
      <c r="K576" s="321">
        <v>0</v>
      </c>
      <c r="L576" s="321">
        <v>0</v>
      </c>
      <c r="M576" s="321">
        <v>0</v>
      </c>
      <c r="N576" s="321">
        <v>0</v>
      </c>
      <c r="O576" s="321">
        <v>0</v>
      </c>
      <c r="P576" s="321">
        <v>0</v>
      </c>
      <c r="Q576" s="321">
        <v>0</v>
      </c>
      <c r="R576" s="321">
        <v>0</v>
      </c>
      <c r="S576" s="321">
        <v>0</v>
      </c>
      <c r="T576" s="321">
        <v>0</v>
      </c>
      <c r="U576" s="322">
        <v>0</v>
      </c>
      <c r="V576" s="323">
        <v>0</v>
      </c>
      <c r="W576" s="303"/>
      <c r="X576" s="324">
        <v>0</v>
      </c>
      <c r="Y576" s="325">
        <v>0</v>
      </c>
    </row>
    <row r="577" spans="1:25" x14ac:dyDescent="0.3">
      <c r="E577" s="250" t="s">
        <v>1523</v>
      </c>
      <c r="F577" s="317">
        <v>4309202</v>
      </c>
      <c r="G577" s="318"/>
      <c r="H577" s="319"/>
      <c r="I577" s="320"/>
      <c r="J577" s="337">
        <v>0</v>
      </c>
      <c r="K577" s="321">
        <v>0</v>
      </c>
      <c r="L577" s="321">
        <v>0</v>
      </c>
      <c r="M577" s="321">
        <v>0</v>
      </c>
      <c r="N577" s="321">
        <v>0</v>
      </c>
      <c r="O577" s="321">
        <v>0</v>
      </c>
      <c r="P577" s="321">
        <v>0</v>
      </c>
      <c r="Q577" s="321">
        <v>0</v>
      </c>
      <c r="R577" s="321">
        <v>0</v>
      </c>
      <c r="S577" s="321">
        <v>0</v>
      </c>
      <c r="T577" s="321">
        <v>0</v>
      </c>
      <c r="U577" s="322">
        <v>0</v>
      </c>
      <c r="V577" s="323">
        <v>0</v>
      </c>
      <c r="W577" s="303"/>
      <c r="X577" s="324">
        <v>0</v>
      </c>
      <c r="Y577" s="325">
        <v>0</v>
      </c>
    </row>
    <row r="578" spans="1:25" x14ac:dyDescent="0.3">
      <c r="E578" s="250" t="s">
        <v>1524</v>
      </c>
      <c r="F578" s="317">
        <v>4309203</v>
      </c>
      <c r="G578" s="318"/>
      <c r="H578" s="319"/>
      <c r="I578" s="320"/>
      <c r="J578" s="337">
        <v>0</v>
      </c>
      <c r="K578" s="321">
        <v>0</v>
      </c>
      <c r="L578" s="321">
        <v>0</v>
      </c>
      <c r="M578" s="321">
        <v>0</v>
      </c>
      <c r="N578" s="321">
        <v>0</v>
      </c>
      <c r="O578" s="321">
        <v>0</v>
      </c>
      <c r="P578" s="321">
        <v>0</v>
      </c>
      <c r="Q578" s="321">
        <v>0</v>
      </c>
      <c r="R578" s="321">
        <v>0</v>
      </c>
      <c r="S578" s="321">
        <v>0</v>
      </c>
      <c r="T578" s="321">
        <v>0</v>
      </c>
      <c r="U578" s="322">
        <v>0</v>
      </c>
      <c r="V578" s="323">
        <v>0</v>
      </c>
      <c r="W578" s="303"/>
      <c r="X578" s="324">
        <v>0</v>
      </c>
      <c r="Y578" s="325">
        <v>0</v>
      </c>
    </row>
    <row r="579" spans="1:25" x14ac:dyDescent="0.3">
      <c r="E579" s="250" t="s">
        <v>1525</v>
      </c>
      <c r="F579" s="317">
        <v>4309206</v>
      </c>
      <c r="G579" s="318"/>
      <c r="H579" s="319"/>
      <c r="I579" s="320"/>
      <c r="J579" s="337">
        <v>0</v>
      </c>
      <c r="K579" s="321">
        <v>0</v>
      </c>
      <c r="L579" s="321">
        <v>0</v>
      </c>
      <c r="M579" s="321">
        <v>0</v>
      </c>
      <c r="N579" s="321">
        <v>0</v>
      </c>
      <c r="O579" s="321">
        <v>0</v>
      </c>
      <c r="P579" s="321">
        <v>0</v>
      </c>
      <c r="Q579" s="321">
        <v>0</v>
      </c>
      <c r="R579" s="321">
        <v>0</v>
      </c>
      <c r="S579" s="321">
        <v>0</v>
      </c>
      <c r="T579" s="321">
        <v>0</v>
      </c>
      <c r="U579" s="322">
        <v>0</v>
      </c>
      <c r="V579" s="323">
        <v>0</v>
      </c>
      <c r="W579" s="303"/>
      <c r="X579" s="324">
        <v>0</v>
      </c>
      <c r="Y579" s="325">
        <v>0</v>
      </c>
    </row>
    <row r="580" spans="1:25" x14ac:dyDescent="0.3">
      <c r="A580" s="361"/>
      <c r="B580" s="361"/>
      <c r="C580" s="361"/>
      <c r="D580" s="361"/>
      <c r="E580" s="361" t="s">
        <v>1526</v>
      </c>
      <c r="F580" s="351"/>
      <c r="G580" s="352"/>
      <c r="H580" s="353"/>
      <c r="I580" s="354"/>
      <c r="J580" s="362">
        <v>0</v>
      </c>
      <c r="K580" s="355">
        <v>0</v>
      </c>
      <c r="L580" s="355">
        <v>0</v>
      </c>
      <c r="M580" s="355">
        <v>0</v>
      </c>
      <c r="N580" s="355">
        <v>0</v>
      </c>
      <c r="O580" s="355">
        <v>0</v>
      </c>
      <c r="P580" s="355">
        <v>0</v>
      </c>
      <c r="Q580" s="355">
        <v>0</v>
      </c>
      <c r="R580" s="355">
        <v>0</v>
      </c>
      <c r="S580" s="355">
        <v>0</v>
      </c>
      <c r="T580" s="355">
        <v>0</v>
      </c>
      <c r="U580" s="356">
        <v>0</v>
      </c>
      <c r="V580" s="357">
        <v>0</v>
      </c>
      <c r="W580" s="358"/>
      <c r="X580" s="359">
        <v>0</v>
      </c>
      <c r="Y580" s="360">
        <v>0</v>
      </c>
    </row>
    <row r="581" spans="1:25" x14ac:dyDescent="0.3">
      <c r="A581" s="361"/>
      <c r="B581" s="361"/>
      <c r="C581" s="361"/>
      <c r="D581" s="361"/>
      <c r="E581" s="326" t="s">
        <v>1527</v>
      </c>
      <c r="F581" s="351"/>
      <c r="G581" s="352"/>
      <c r="H581" s="353"/>
      <c r="I581" s="354"/>
      <c r="J581" s="362">
        <v>0</v>
      </c>
      <c r="K581" s="355">
        <v>0</v>
      </c>
      <c r="L581" s="355">
        <v>0</v>
      </c>
      <c r="M581" s="355">
        <v>0</v>
      </c>
      <c r="N581" s="355">
        <v>0</v>
      </c>
      <c r="O581" s="355">
        <v>0</v>
      </c>
      <c r="P581" s="355">
        <v>0</v>
      </c>
      <c r="Q581" s="355">
        <v>0</v>
      </c>
      <c r="R581" s="355">
        <v>0</v>
      </c>
      <c r="S581" s="355">
        <v>0</v>
      </c>
      <c r="T581" s="355">
        <v>0</v>
      </c>
      <c r="U581" s="356">
        <v>0</v>
      </c>
      <c r="V581" s="357">
        <v>0</v>
      </c>
      <c r="W581" s="358"/>
      <c r="X581" s="359">
        <v>0</v>
      </c>
      <c r="Y581" s="360">
        <v>0</v>
      </c>
    </row>
    <row r="582" spans="1:25" x14ac:dyDescent="0.3">
      <c r="A582" s="361"/>
      <c r="B582" s="361"/>
      <c r="C582" s="361"/>
      <c r="D582" s="361"/>
      <c r="E582" s="326" t="s">
        <v>1528</v>
      </c>
      <c r="F582" s="351"/>
      <c r="G582" s="352"/>
      <c r="H582" s="353"/>
      <c r="I582" s="354"/>
      <c r="J582" s="362">
        <v>0</v>
      </c>
      <c r="K582" s="355">
        <v>0</v>
      </c>
      <c r="L582" s="355">
        <v>0</v>
      </c>
      <c r="M582" s="355">
        <v>0</v>
      </c>
      <c r="N582" s="355">
        <v>0</v>
      </c>
      <c r="O582" s="355">
        <v>0</v>
      </c>
      <c r="P582" s="355">
        <v>0</v>
      </c>
      <c r="Q582" s="355">
        <v>0</v>
      </c>
      <c r="R582" s="355">
        <v>0</v>
      </c>
      <c r="S582" s="355">
        <v>0</v>
      </c>
      <c r="T582" s="355">
        <v>0</v>
      </c>
      <c r="U582" s="356">
        <v>0</v>
      </c>
      <c r="V582" s="357">
        <v>0</v>
      </c>
      <c r="W582" s="358"/>
      <c r="X582" s="359">
        <v>0</v>
      </c>
      <c r="Y582" s="360">
        <v>0</v>
      </c>
    </row>
    <row r="583" spans="1:25" x14ac:dyDescent="0.3">
      <c r="A583" s="361"/>
      <c r="B583" s="361"/>
      <c r="C583" s="361"/>
      <c r="D583" s="361"/>
      <c r="E583" s="326" t="s">
        <v>1529</v>
      </c>
      <c r="F583" s="351"/>
      <c r="G583" s="352"/>
      <c r="H583" s="353"/>
      <c r="I583" s="354"/>
      <c r="J583" s="362">
        <v>0</v>
      </c>
      <c r="K583" s="355">
        <v>0</v>
      </c>
      <c r="L583" s="355">
        <v>0</v>
      </c>
      <c r="M583" s="355">
        <v>0</v>
      </c>
      <c r="N583" s="355">
        <v>0</v>
      </c>
      <c r="O583" s="355">
        <v>0</v>
      </c>
      <c r="P583" s="355">
        <v>0</v>
      </c>
      <c r="Q583" s="355">
        <v>0</v>
      </c>
      <c r="R583" s="355">
        <v>0</v>
      </c>
      <c r="S583" s="355">
        <v>0</v>
      </c>
      <c r="T583" s="355">
        <v>0</v>
      </c>
      <c r="U583" s="356">
        <v>0</v>
      </c>
      <c r="V583" s="357">
        <v>0</v>
      </c>
      <c r="W583" s="358"/>
      <c r="X583" s="359">
        <v>0</v>
      </c>
      <c r="Y583" s="360">
        <v>0</v>
      </c>
    </row>
    <row r="584" spans="1:25" x14ac:dyDescent="0.3">
      <c r="A584" s="361"/>
      <c r="B584" s="361"/>
      <c r="C584" s="361"/>
      <c r="D584" s="361"/>
      <c r="E584" s="326" t="s">
        <v>1530</v>
      </c>
      <c r="F584" s="351"/>
      <c r="G584" s="352"/>
      <c r="H584" s="353"/>
      <c r="I584" s="354"/>
      <c r="J584" s="362">
        <v>0</v>
      </c>
      <c r="K584" s="355">
        <v>0</v>
      </c>
      <c r="L584" s="355">
        <v>0</v>
      </c>
      <c r="M584" s="355">
        <v>0</v>
      </c>
      <c r="N584" s="355">
        <v>0</v>
      </c>
      <c r="O584" s="355">
        <v>0</v>
      </c>
      <c r="P584" s="355">
        <v>0</v>
      </c>
      <c r="Q584" s="355">
        <v>0</v>
      </c>
      <c r="R584" s="355">
        <v>0</v>
      </c>
      <c r="S584" s="355">
        <v>0</v>
      </c>
      <c r="T584" s="355">
        <v>0</v>
      </c>
      <c r="U584" s="356">
        <v>0</v>
      </c>
      <c r="V584" s="357">
        <v>0</v>
      </c>
      <c r="W584" s="358"/>
      <c r="X584" s="359">
        <v>0</v>
      </c>
      <c r="Y584" s="360">
        <v>0</v>
      </c>
    </row>
    <row r="585" spans="1:25" x14ac:dyDescent="0.3">
      <c r="A585" s="233"/>
      <c r="B585" s="234" t="s">
        <v>41</v>
      </c>
      <c r="D585" s="293" t="s">
        <v>1531</v>
      </c>
      <c r="E585" s="294"/>
      <c r="F585" s="295" t="s">
        <v>1532</v>
      </c>
      <c r="G585" s="296"/>
      <c r="H585" s="297"/>
      <c r="I585" s="298"/>
      <c r="J585" s="299">
        <v>0</v>
      </c>
      <c r="K585" s="300">
        <v>0</v>
      </c>
      <c r="L585" s="300">
        <v>0</v>
      </c>
      <c r="M585" s="300">
        <v>0</v>
      </c>
      <c r="N585" s="300">
        <v>0</v>
      </c>
      <c r="O585" s="300">
        <v>0</v>
      </c>
      <c r="P585" s="300">
        <v>0</v>
      </c>
      <c r="Q585" s="300">
        <v>0</v>
      </c>
      <c r="R585" s="300">
        <v>0</v>
      </c>
      <c r="S585" s="300">
        <v>0</v>
      </c>
      <c r="T585" s="300">
        <v>0</v>
      </c>
      <c r="U585" s="301">
        <v>0</v>
      </c>
      <c r="V585" s="302">
        <v>0</v>
      </c>
      <c r="W585" s="303"/>
      <c r="X585" s="304">
        <v>0</v>
      </c>
      <c r="Y585" s="305">
        <v>0</v>
      </c>
    </row>
    <row r="586" spans="1:25" x14ac:dyDescent="0.3">
      <c r="E586" s="250" t="s">
        <v>1533</v>
      </c>
      <c r="F586" s="317">
        <v>4404000</v>
      </c>
      <c r="G586" s="318"/>
      <c r="H586" s="319"/>
      <c r="I586" s="320"/>
      <c r="J586" s="337">
        <v>0</v>
      </c>
      <c r="K586" s="321">
        <v>0</v>
      </c>
      <c r="L586" s="321">
        <v>0</v>
      </c>
      <c r="M586" s="321">
        <v>0</v>
      </c>
      <c r="N586" s="321">
        <v>0</v>
      </c>
      <c r="O586" s="321">
        <v>0</v>
      </c>
      <c r="P586" s="321">
        <v>0</v>
      </c>
      <c r="Q586" s="321">
        <v>0</v>
      </c>
      <c r="R586" s="321">
        <v>0</v>
      </c>
      <c r="S586" s="321">
        <v>0</v>
      </c>
      <c r="T586" s="321">
        <v>0</v>
      </c>
      <c r="U586" s="322">
        <v>0</v>
      </c>
      <c r="V586" s="323">
        <v>0</v>
      </c>
      <c r="W586" s="303"/>
      <c r="X586" s="324">
        <v>0</v>
      </c>
      <c r="Y586" s="325">
        <v>0</v>
      </c>
    </row>
    <row r="587" spans="1:25" x14ac:dyDescent="0.3">
      <c r="A587" s="326"/>
      <c r="B587" s="326"/>
      <c r="C587" s="326"/>
      <c r="D587" s="326"/>
      <c r="E587" s="326" t="s">
        <v>1534</v>
      </c>
      <c r="F587" s="336"/>
      <c r="G587" s="327"/>
      <c r="H587" s="328"/>
      <c r="I587" s="329"/>
      <c r="J587" s="338">
        <v>0</v>
      </c>
      <c r="K587" s="330">
        <v>0</v>
      </c>
      <c r="L587" s="330">
        <v>0</v>
      </c>
      <c r="M587" s="330">
        <v>0</v>
      </c>
      <c r="N587" s="330">
        <v>0</v>
      </c>
      <c r="O587" s="330">
        <v>0</v>
      </c>
      <c r="P587" s="330">
        <v>0</v>
      </c>
      <c r="Q587" s="330">
        <v>0</v>
      </c>
      <c r="R587" s="330">
        <v>0</v>
      </c>
      <c r="S587" s="330">
        <v>0</v>
      </c>
      <c r="T587" s="330">
        <v>0</v>
      </c>
      <c r="U587" s="331">
        <v>0</v>
      </c>
      <c r="V587" s="332">
        <v>0</v>
      </c>
      <c r="W587" s="333"/>
      <c r="X587" s="334">
        <v>0</v>
      </c>
      <c r="Y587" s="335">
        <v>0</v>
      </c>
    </row>
    <row r="588" spans="1:25" x14ac:dyDescent="0.3">
      <c r="A588" s="326"/>
      <c r="B588" s="326"/>
      <c r="C588" s="326"/>
      <c r="D588" s="326"/>
      <c r="E588" s="326" t="s">
        <v>1535</v>
      </c>
      <c r="F588" s="336"/>
      <c r="G588" s="327"/>
      <c r="H588" s="328"/>
      <c r="I588" s="329"/>
      <c r="J588" s="338">
        <v>0</v>
      </c>
      <c r="K588" s="330">
        <v>0</v>
      </c>
      <c r="L588" s="330">
        <v>0</v>
      </c>
      <c r="M588" s="330">
        <v>0</v>
      </c>
      <c r="N588" s="330">
        <v>0</v>
      </c>
      <c r="O588" s="330">
        <v>0</v>
      </c>
      <c r="P588" s="330">
        <v>0</v>
      </c>
      <c r="Q588" s="330">
        <v>0</v>
      </c>
      <c r="R588" s="330">
        <v>0</v>
      </c>
      <c r="S588" s="330">
        <v>0</v>
      </c>
      <c r="T588" s="330">
        <v>0</v>
      </c>
      <c r="U588" s="331">
        <v>0</v>
      </c>
      <c r="V588" s="332">
        <v>0</v>
      </c>
      <c r="W588" s="333"/>
      <c r="X588" s="334">
        <v>0</v>
      </c>
      <c r="Y588" s="335">
        <v>0</v>
      </c>
    </row>
    <row r="589" spans="1:25" x14ac:dyDescent="0.3">
      <c r="A589" s="326"/>
      <c r="B589" s="326"/>
      <c r="C589" s="326"/>
      <c r="D589" s="326"/>
      <c r="E589" s="326" t="s">
        <v>1536</v>
      </c>
      <c r="F589" s="336"/>
      <c r="G589" s="327"/>
      <c r="H589" s="328"/>
      <c r="I589" s="329"/>
      <c r="J589" s="338">
        <v>0</v>
      </c>
      <c r="K589" s="330">
        <v>0</v>
      </c>
      <c r="L589" s="330">
        <v>0</v>
      </c>
      <c r="M589" s="330">
        <v>0</v>
      </c>
      <c r="N589" s="330">
        <v>0</v>
      </c>
      <c r="O589" s="330">
        <v>0</v>
      </c>
      <c r="P589" s="330">
        <v>0</v>
      </c>
      <c r="Q589" s="330">
        <v>0</v>
      </c>
      <c r="R589" s="330">
        <v>0</v>
      </c>
      <c r="S589" s="330">
        <v>0</v>
      </c>
      <c r="T589" s="330">
        <v>0</v>
      </c>
      <c r="U589" s="331">
        <v>0</v>
      </c>
      <c r="V589" s="332">
        <v>0</v>
      </c>
      <c r="W589" s="333"/>
      <c r="X589" s="334">
        <v>0</v>
      </c>
      <c r="Y589" s="335">
        <v>0</v>
      </c>
    </row>
    <row r="590" spans="1:25" x14ac:dyDescent="0.3">
      <c r="A590" s="233"/>
      <c r="B590" s="234" t="s">
        <v>28</v>
      </c>
      <c r="D590" s="293" t="s">
        <v>1537</v>
      </c>
      <c r="E590" s="294"/>
      <c r="F590" s="295" t="s">
        <v>1538</v>
      </c>
      <c r="G590" s="296"/>
      <c r="H590" s="297"/>
      <c r="I590" s="298"/>
      <c r="J590" s="299">
        <v>0</v>
      </c>
      <c r="K590" s="300">
        <v>0</v>
      </c>
      <c r="L590" s="300">
        <v>0</v>
      </c>
      <c r="M590" s="300">
        <v>0</v>
      </c>
      <c r="N590" s="300">
        <v>0</v>
      </c>
      <c r="O590" s="300">
        <v>0</v>
      </c>
      <c r="P590" s="300">
        <v>0</v>
      </c>
      <c r="Q590" s="300">
        <v>0</v>
      </c>
      <c r="R590" s="300">
        <v>0</v>
      </c>
      <c r="S590" s="300">
        <v>0</v>
      </c>
      <c r="T590" s="300">
        <v>0</v>
      </c>
      <c r="U590" s="301">
        <v>0</v>
      </c>
      <c r="V590" s="302">
        <v>0</v>
      </c>
      <c r="W590" s="303"/>
      <c r="X590" s="304">
        <v>0</v>
      </c>
      <c r="Y590" s="305">
        <v>0</v>
      </c>
    </row>
    <row r="591" spans="1:25" x14ac:dyDescent="0.3">
      <c r="E591" s="250" t="s">
        <v>1539</v>
      </c>
      <c r="F591" s="317">
        <v>4304101</v>
      </c>
      <c r="G591" s="318"/>
      <c r="H591" s="319">
        <v>5101450199</v>
      </c>
      <c r="I591" s="320"/>
      <c r="J591" s="337">
        <v>0</v>
      </c>
      <c r="K591" s="321">
        <v>0</v>
      </c>
      <c r="L591" s="321">
        <v>0</v>
      </c>
      <c r="M591" s="321">
        <v>0</v>
      </c>
      <c r="N591" s="321">
        <v>0</v>
      </c>
      <c r="O591" s="321">
        <v>0</v>
      </c>
      <c r="P591" s="321">
        <v>0</v>
      </c>
      <c r="Q591" s="321">
        <v>0</v>
      </c>
      <c r="R591" s="321">
        <v>0</v>
      </c>
      <c r="S591" s="321">
        <v>0</v>
      </c>
      <c r="T591" s="321">
        <v>0</v>
      </c>
      <c r="U591" s="322">
        <v>0</v>
      </c>
      <c r="V591" s="323">
        <v>0</v>
      </c>
      <c r="W591" s="303"/>
      <c r="X591" s="324">
        <v>0</v>
      </c>
      <c r="Y591" s="325">
        <v>0</v>
      </c>
    </row>
    <row r="592" spans="1:25" x14ac:dyDescent="0.3">
      <c r="E592" s="250" t="s">
        <v>1540</v>
      </c>
      <c r="F592" s="317">
        <v>4304102</v>
      </c>
      <c r="G592" s="318"/>
      <c r="H592" s="319"/>
      <c r="I592" s="320"/>
      <c r="J592" s="337">
        <v>0</v>
      </c>
      <c r="K592" s="321">
        <v>0</v>
      </c>
      <c r="L592" s="321">
        <v>0</v>
      </c>
      <c r="M592" s="321">
        <v>0</v>
      </c>
      <c r="N592" s="321">
        <v>0</v>
      </c>
      <c r="O592" s="321">
        <v>0</v>
      </c>
      <c r="P592" s="321">
        <v>0</v>
      </c>
      <c r="Q592" s="321">
        <v>0</v>
      </c>
      <c r="R592" s="321">
        <v>0</v>
      </c>
      <c r="S592" s="321">
        <v>0</v>
      </c>
      <c r="T592" s="321">
        <v>0</v>
      </c>
      <c r="U592" s="322">
        <v>0</v>
      </c>
      <c r="V592" s="323">
        <v>0</v>
      </c>
      <c r="W592" s="303"/>
      <c r="X592" s="324">
        <v>0</v>
      </c>
      <c r="Y592" s="325">
        <v>0</v>
      </c>
    </row>
    <row r="593" spans="1:25" x14ac:dyDescent="0.3">
      <c r="A593" s="361"/>
      <c r="B593" s="361"/>
      <c r="E593" s="250" t="s">
        <v>1541</v>
      </c>
      <c r="F593" s="317">
        <v>4304103</v>
      </c>
      <c r="G593" s="318"/>
      <c r="H593" s="319">
        <v>5101450101</v>
      </c>
      <c r="I593" s="320"/>
      <c r="J593" s="337">
        <v>0</v>
      </c>
      <c r="K593" s="321">
        <v>0</v>
      </c>
      <c r="L593" s="321">
        <v>0</v>
      </c>
      <c r="M593" s="321">
        <v>0</v>
      </c>
      <c r="N593" s="321">
        <v>0</v>
      </c>
      <c r="O593" s="321">
        <v>0</v>
      </c>
      <c r="P593" s="321">
        <v>0</v>
      </c>
      <c r="Q593" s="321">
        <v>0</v>
      </c>
      <c r="R593" s="321">
        <v>0</v>
      </c>
      <c r="S593" s="321">
        <v>0</v>
      </c>
      <c r="T593" s="321">
        <v>0</v>
      </c>
      <c r="U593" s="322">
        <v>0</v>
      </c>
      <c r="V593" s="323">
        <v>0</v>
      </c>
      <c r="W593" s="303"/>
      <c r="X593" s="324">
        <v>0</v>
      </c>
      <c r="Y593" s="325">
        <v>0</v>
      </c>
    </row>
    <row r="594" spans="1:25" x14ac:dyDescent="0.3">
      <c r="E594" s="250" t="s">
        <v>1542</v>
      </c>
      <c r="F594" s="317">
        <v>4304104</v>
      </c>
      <c r="G594" s="318"/>
      <c r="H594" s="319">
        <v>5101450103</v>
      </c>
      <c r="I594" s="320"/>
      <c r="J594" s="337">
        <v>0</v>
      </c>
      <c r="K594" s="321">
        <v>0</v>
      </c>
      <c r="L594" s="321">
        <v>0</v>
      </c>
      <c r="M594" s="321">
        <v>0</v>
      </c>
      <c r="N594" s="321">
        <v>0</v>
      </c>
      <c r="O594" s="321">
        <v>0</v>
      </c>
      <c r="P594" s="321">
        <v>0</v>
      </c>
      <c r="Q594" s="321">
        <v>0</v>
      </c>
      <c r="R594" s="321">
        <v>0</v>
      </c>
      <c r="S594" s="321">
        <v>0</v>
      </c>
      <c r="T594" s="321">
        <v>0</v>
      </c>
      <c r="U594" s="322">
        <v>0</v>
      </c>
      <c r="V594" s="323">
        <v>0</v>
      </c>
      <c r="W594" s="303"/>
      <c r="X594" s="324">
        <v>0</v>
      </c>
      <c r="Y594" s="325">
        <v>0</v>
      </c>
    </row>
    <row r="595" spans="1:25" x14ac:dyDescent="0.3">
      <c r="E595" s="250" t="s">
        <v>1543</v>
      </c>
      <c r="F595" s="317">
        <v>4304105</v>
      </c>
      <c r="G595" s="318"/>
      <c r="H595" s="319"/>
      <c r="I595" s="320"/>
      <c r="J595" s="337">
        <v>0</v>
      </c>
      <c r="K595" s="321">
        <v>0</v>
      </c>
      <c r="L595" s="321">
        <v>0</v>
      </c>
      <c r="M595" s="321">
        <v>0</v>
      </c>
      <c r="N595" s="321">
        <v>0</v>
      </c>
      <c r="O595" s="321">
        <v>0</v>
      </c>
      <c r="P595" s="321">
        <v>0</v>
      </c>
      <c r="Q595" s="321">
        <v>0</v>
      </c>
      <c r="R595" s="321">
        <v>0</v>
      </c>
      <c r="S595" s="321">
        <v>0</v>
      </c>
      <c r="T595" s="321">
        <v>0</v>
      </c>
      <c r="U595" s="322">
        <v>0</v>
      </c>
      <c r="V595" s="323">
        <v>0</v>
      </c>
      <c r="W595" s="303"/>
      <c r="X595" s="324">
        <v>0</v>
      </c>
      <c r="Y595" s="325">
        <v>0</v>
      </c>
    </row>
    <row r="596" spans="1:25" x14ac:dyDescent="0.3">
      <c r="E596" s="250" t="s">
        <v>1544</v>
      </c>
      <c r="F596" s="317">
        <v>4304106</v>
      </c>
      <c r="G596" s="318"/>
      <c r="H596" s="319"/>
      <c r="I596" s="320"/>
      <c r="J596" s="337">
        <v>0</v>
      </c>
      <c r="K596" s="321">
        <v>0</v>
      </c>
      <c r="L596" s="321">
        <v>0</v>
      </c>
      <c r="M596" s="321">
        <v>0</v>
      </c>
      <c r="N596" s="321">
        <v>0</v>
      </c>
      <c r="O596" s="321">
        <v>0</v>
      </c>
      <c r="P596" s="321">
        <v>0</v>
      </c>
      <c r="Q596" s="321">
        <v>0</v>
      </c>
      <c r="R596" s="321">
        <v>0</v>
      </c>
      <c r="S596" s="321">
        <v>0</v>
      </c>
      <c r="T596" s="321">
        <v>0</v>
      </c>
      <c r="U596" s="322">
        <v>0</v>
      </c>
      <c r="V596" s="323">
        <v>0</v>
      </c>
      <c r="W596" s="303"/>
      <c r="X596" s="324">
        <v>0</v>
      </c>
      <c r="Y596" s="325">
        <v>0</v>
      </c>
    </row>
    <row r="597" spans="1:25" x14ac:dyDescent="0.3">
      <c r="E597" s="250" t="s">
        <v>1545</v>
      </c>
      <c r="F597" s="317">
        <v>4304107</v>
      </c>
      <c r="G597" s="318"/>
      <c r="H597" s="319"/>
      <c r="I597" s="320"/>
      <c r="J597" s="337">
        <v>0</v>
      </c>
      <c r="K597" s="321">
        <v>0</v>
      </c>
      <c r="L597" s="321">
        <v>0</v>
      </c>
      <c r="M597" s="321">
        <v>0</v>
      </c>
      <c r="N597" s="321">
        <v>0</v>
      </c>
      <c r="O597" s="321">
        <v>0</v>
      </c>
      <c r="P597" s="321">
        <v>0</v>
      </c>
      <c r="Q597" s="321">
        <v>0</v>
      </c>
      <c r="R597" s="321">
        <v>0</v>
      </c>
      <c r="S597" s="321">
        <v>0</v>
      </c>
      <c r="T597" s="321">
        <v>0</v>
      </c>
      <c r="U597" s="322">
        <v>0</v>
      </c>
      <c r="V597" s="323">
        <v>0</v>
      </c>
      <c r="W597" s="303"/>
      <c r="X597" s="324">
        <v>0</v>
      </c>
      <c r="Y597" s="325">
        <v>0</v>
      </c>
    </row>
    <row r="598" spans="1:25" x14ac:dyDescent="0.3">
      <c r="E598" s="250" t="s">
        <v>1546</v>
      </c>
      <c r="F598" s="317">
        <v>4304108</v>
      </c>
      <c r="G598" s="318"/>
      <c r="H598" s="319"/>
      <c r="I598" s="320"/>
      <c r="J598" s="337">
        <v>0</v>
      </c>
      <c r="K598" s="321">
        <v>0</v>
      </c>
      <c r="L598" s="321">
        <v>0</v>
      </c>
      <c r="M598" s="321">
        <v>0</v>
      </c>
      <c r="N598" s="321">
        <v>0</v>
      </c>
      <c r="O598" s="321">
        <v>0</v>
      </c>
      <c r="P598" s="321">
        <v>0</v>
      </c>
      <c r="Q598" s="321">
        <v>0</v>
      </c>
      <c r="R598" s="321">
        <v>0</v>
      </c>
      <c r="S598" s="321">
        <v>0</v>
      </c>
      <c r="T598" s="321">
        <v>0</v>
      </c>
      <c r="U598" s="322">
        <v>0</v>
      </c>
      <c r="V598" s="323">
        <v>0</v>
      </c>
      <c r="W598" s="303"/>
      <c r="X598" s="324">
        <v>0</v>
      </c>
      <c r="Y598" s="325">
        <v>0</v>
      </c>
    </row>
    <row r="599" spans="1:25" x14ac:dyDescent="0.3">
      <c r="E599" s="250" t="s">
        <v>1547</v>
      </c>
      <c r="F599" s="317">
        <v>4304109</v>
      </c>
      <c r="G599" s="318"/>
      <c r="H599" s="319"/>
      <c r="I599" s="320"/>
      <c r="J599" s="337">
        <v>0</v>
      </c>
      <c r="K599" s="321">
        <v>0</v>
      </c>
      <c r="L599" s="321">
        <v>0</v>
      </c>
      <c r="M599" s="321">
        <v>0</v>
      </c>
      <c r="N599" s="321">
        <v>0</v>
      </c>
      <c r="O599" s="321">
        <v>0</v>
      </c>
      <c r="P599" s="321">
        <v>0</v>
      </c>
      <c r="Q599" s="321">
        <v>0</v>
      </c>
      <c r="R599" s="321">
        <v>0</v>
      </c>
      <c r="S599" s="321">
        <v>0</v>
      </c>
      <c r="T599" s="321">
        <v>0</v>
      </c>
      <c r="U599" s="322">
        <v>0</v>
      </c>
      <c r="V599" s="323">
        <v>0</v>
      </c>
      <c r="W599" s="303"/>
      <c r="X599" s="324">
        <v>0</v>
      </c>
      <c r="Y599" s="325">
        <v>0</v>
      </c>
    </row>
    <row r="600" spans="1:25" x14ac:dyDescent="0.3">
      <c r="E600" s="250" t="s">
        <v>1548</v>
      </c>
      <c r="F600" s="317">
        <v>4304110</v>
      </c>
      <c r="G600" s="318"/>
      <c r="H600" s="319"/>
      <c r="I600" s="320"/>
      <c r="J600" s="337">
        <v>0</v>
      </c>
      <c r="K600" s="321">
        <v>0</v>
      </c>
      <c r="L600" s="321">
        <v>0</v>
      </c>
      <c r="M600" s="321">
        <v>0</v>
      </c>
      <c r="N600" s="321">
        <v>0</v>
      </c>
      <c r="O600" s="321">
        <v>0</v>
      </c>
      <c r="P600" s="321">
        <v>0</v>
      </c>
      <c r="Q600" s="321">
        <v>0</v>
      </c>
      <c r="R600" s="321">
        <v>0</v>
      </c>
      <c r="S600" s="321">
        <v>0</v>
      </c>
      <c r="T600" s="321">
        <v>0</v>
      </c>
      <c r="U600" s="322">
        <v>0</v>
      </c>
      <c r="V600" s="323">
        <v>0</v>
      </c>
      <c r="W600" s="303"/>
      <c r="X600" s="324">
        <v>0</v>
      </c>
      <c r="Y600" s="325">
        <v>0</v>
      </c>
    </row>
    <row r="601" spans="1:25" x14ac:dyDescent="0.3">
      <c r="E601" s="250" t="s">
        <v>1549</v>
      </c>
      <c r="F601" s="317">
        <v>4304199</v>
      </c>
      <c r="G601" s="318"/>
      <c r="H601" s="319"/>
      <c r="I601" s="320"/>
      <c r="J601" s="337">
        <v>0</v>
      </c>
      <c r="K601" s="321">
        <v>0</v>
      </c>
      <c r="L601" s="321">
        <v>0</v>
      </c>
      <c r="M601" s="321">
        <v>0</v>
      </c>
      <c r="N601" s="321">
        <v>0</v>
      </c>
      <c r="O601" s="321">
        <v>0</v>
      </c>
      <c r="P601" s="321">
        <v>0</v>
      </c>
      <c r="Q601" s="321">
        <v>0</v>
      </c>
      <c r="R601" s="321">
        <v>0</v>
      </c>
      <c r="S601" s="321">
        <v>0</v>
      </c>
      <c r="T601" s="321">
        <v>0</v>
      </c>
      <c r="U601" s="322">
        <v>0</v>
      </c>
      <c r="V601" s="323">
        <v>0</v>
      </c>
      <c r="W601" s="303"/>
      <c r="X601" s="324">
        <v>0</v>
      </c>
      <c r="Y601" s="325">
        <v>0</v>
      </c>
    </row>
    <row r="602" spans="1:25" x14ac:dyDescent="0.3">
      <c r="A602" s="326"/>
      <c r="B602" s="326"/>
      <c r="C602" s="326"/>
      <c r="D602" s="326"/>
      <c r="E602" s="326" t="s">
        <v>1550</v>
      </c>
      <c r="F602" s="336"/>
      <c r="G602" s="327"/>
      <c r="H602" s="328"/>
      <c r="I602" s="329"/>
      <c r="J602" s="338">
        <v>0</v>
      </c>
      <c r="K602" s="330">
        <v>0</v>
      </c>
      <c r="L602" s="330">
        <v>0</v>
      </c>
      <c r="M602" s="330">
        <v>0</v>
      </c>
      <c r="N602" s="330">
        <v>0</v>
      </c>
      <c r="O602" s="330">
        <v>0</v>
      </c>
      <c r="P602" s="330">
        <v>0</v>
      </c>
      <c r="Q602" s="330">
        <v>0</v>
      </c>
      <c r="R602" s="330">
        <v>0</v>
      </c>
      <c r="S602" s="330">
        <v>0</v>
      </c>
      <c r="T602" s="330">
        <v>0</v>
      </c>
      <c r="U602" s="331">
        <v>0</v>
      </c>
      <c r="V602" s="332">
        <v>0</v>
      </c>
      <c r="W602" s="333"/>
      <c r="X602" s="334">
        <v>0</v>
      </c>
      <c r="Y602" s="335">
        <v>0</v>
      </c>
    </row>
    <row r="603" spans="1:25" x14ac:dyDescent="0.3">
      <c r="A603" s="326"/>
      <c r="B603" s="326"/>
      <c r="C603" s="326"/>
      <c r="D603" s="326"/>
      <c r="E603" s="326" t="s">
        <v>1551</v>
      </c>
      <c r="F603" s="336"/>
      <c r="G603" s="327"/>
      <c r="H603" s="328"/>
      <c r="I603" s="329"/>
      <c r="J603" s="338">
        <v>0</v>
      </c>
      <c r="K603" s="330">
        <v>0</v>
      </c>
      <c r="L603" s="330">
        <v>0</v>
      </c>
      <c r="M603" s="330">
        <v>0</v>
      </c>
      <c r="N603" s="330">
        <v>0</v>
      </c>
      <c r="O603" s="330">
        <v>0</v>
      </c>
      <c r="P603" s="330">
        <v>0</v>
      </c>
      <c r="Q603" s="330">
        <v>0</v>
      </c>
      <c r="R603" s="330">
        <v>0</v>
      </c>
      <c r="S603" s="330">
        <v>0</v>
      </c>
      <c r="T603" s="330">
        <v>0</v>
      </c>
      <c r="U603" s="331">
        <v>0</v>
      </c>
      <c r="V603" s="332">
        <v>0</v>
      </c>
      <c r="W603" s="333"/>
      <c r="X603" s="334">
        <v>0</v>
      </c>
      <c r="Y603" s="335">
        <v>0</v>
      </c>
    </row>
    <row r="604" spans="1:25" x14ac:dyDescent="0.3">
      <c r="A604" s="326"/>
      <c r="B604" s="326"/>
      <c r="C604" s="326"/>
      <c r="D604" s="326"/>
      <c r="E604" s="326" t="s">
        <v>1552</v>
      </c>
      <c r="F604" s="336"/>
      <c r="G604" s="327"/>
      <c r="H604" s="328"/>
      <c r="I604" s="329"/>
      <c r="J604" s="338">
        <v>0</v>
      </c>
      <c r="K604" s="330">
        <v>0</v>
      </c>
      <c r="L604" s="330">
        <v>0</v>
      </c>
      <c r="M604" s="330">
        <v>0</v>
      </c>
      <c r="N604" s="330">
        <v>0</v>
      </c>
      <c r="O604" s="330">
        <v>0</v>
      </c>
      <c r="P604" s="330">
        <v>0</v>
      </c>
      <c r="Q604" s="330">
        <v>0</v>
      </c>
      <c r="R604" s="330">
        <v>0</v>
      </c>
      <c r="S604" s="330">
        <v>0</v>
      </c>
      <c r="T604" s="330">
        <v>0</v>
      </c>
      <c r="U604" s="331">
        <v>0</v>
      </c>
      <c r="V604" s="332">
        <v>0</v>
      </c>
      <c r="W604" s="333"/>
      <c r="X604" s="334">
        <v>0</v>
      </c>
      <c r="Y604" s="335">
        <v>0</v>
      </c>
    </row>
    <row r="605" spans="1:25" x14ac:dyDescent="0.3">
      <c r="A605" s="233"/>
      <c r="B605" s="234" t="s">
        <v>30</v>
      </c>
      <c r="D605" s="293" t="s">
        <v>1553</v>
      </c>
      <c r="E605" s="294"/>
      <c r="F605" s="295" t="s">
        <v>1554</v>
      </c>
      <c r="G605" s="296"/>
      <c r="H605" s="297"/>
      <c r="I605" s="298"/>
      <c r="J605" s="299">
        <v>0</v>
      </c>
      <c r="K605" s="300">
        <v>0</v>
      </c>
      <c r="L605" s="300">
        <v>0</v>
      </c>
      <c r="M605" s="300">
        <v>0</v>
      </c>
      <c r="N605" s="300">
        <v>0</v>
      </c>
      <c r="O605" s="300">
        <v>0</v>
      </c>
      <c r="P605" s="300">
        <v>0</v>
      </c>
      <c r="Q605" s="300">
        <v>0</v>
      </c>
      <c r="R605" s="300">
        <v>0</v>
      </c>
      <c r="S605" s="300">
        <v>0</v>
      </c>
      <c r="T605" s="300">
        <v>0</v>
      </c>
      <c r="U605" s="301">
        <v>0</v>
      </c>
      <c r="V605" s="302">
        <v>0</v>
      </c>
      <c r="W605" s="303"/>
      <c r="X605" s="304">
        <v>0</v>
      </c>
      <c r="Y605" s="305">
        <v>0</v>
      </c>
    </row>
    <row r="606" spans="1:25" x14ac:dyDescent="0.3">
      <c r="E606" s="250" t="s">
        <v>1555</v>
      </c>
      <c r="F606" s="317">
        <v>4304702</v>
      </c>
      <c r="G606" s="318"/>
      <c r="H606" s="319"/>
      <c r="I606" s="320"/>
      <c r="J606" s="337">
        <v>0</v>
      </c>
      <c r="K606" s="321">
        <v>0</v>
      </c>
      <c r="L606" s="321">
        <v>0</v>
      </c>
      <c r="M606" s="321">
        <v>0</v>
      </c>
      <c r="N606" s="321">
        <v>0</v>
      </c>
      <c r="O606" s="321">
        <v>0</v>
      </c>
      <c r="P606" s="321">
        <v>0</v>
      </c>
      <c r="Q606" s="321">
        <v>0</v>
      </c>
      <c r="R606" s="321">
        <v>0</v>
      </c>
      <c r="S606" s="321">
        <v>0</v>
      </c>
      <c r="T606" s="321">
        <v>0</v>
      </c>
      <c r="U606" s="322">
        <v>0</v>
      </c>
      <c r="V606" s="323">
        <v>0</v>
      </c>
      <c r="W606" s="303"/>
      <c r="X606" s="324">
        <v>0</v>
      </c>
      <c r="Y606" s="325">
        <v>0</v>
      </c>
    </row>
    <row r="607" spans="1:25" x14ac:dyDescent="0.3">
      <c r="E607" s="250" t="s">
        <v>1556</v>
      </c>
      <c r="F607" s="317">
        <v>4304703</v>
      </c>
      <c r="G607" s="318"/>
      <c r="H607" s="319"/>
      <c r="I607" s="320"/>
      <c r="J607" s="337">
        <v>0</v>
      </c>
      <c r="K607" s="321">
        <v>0</v>
      </c>
      <c r="L607" s="321">
        <v>0</v>
      </c>
      <c r="M607" s="321">
        <v>0</v>
      </c>
      <c r="N607" s="321">
        <v>0</v>
      </c>
      <c r="O607" s="321">
        <v>0</v>
      </c>
      <c r="P607" s="321">
        <v>0</v>
      </c>
      <c r="Q607" s="321">
        <v>0</v>
      </c>
      <c r="R607" s="321">
        <v>0</v>
      </c>
      <c r="S607" s="321">
        <v>0</v>
      </c>
      <c r="T607" s="321">
        <v>0</v>
      </c>
      <c r="U607" s="322">
        <v>0</v>
      </c>
      <c r="V607" s="323">
        <v>0</v>
      </c>
      <c r="W607" s="303"/>
      <c r="X607" s="324">
        <v>0</v>
      </c>
      <c r="Y607" s="325">
        <v>0</v>
      </c>
    </row>
    <row r="608" spans="1:25" x14ac:dyDescent="0.3">
      <c r="E608" s="250" t="s">
        <v>1557</v>
      </c>
      <c r="F608" s="317">
        <v>4304707</v>
      </c>
      <c r="G608" s="318"/>
      <c r="H608" s="319">
        <v>5101470199</v>
      </c>
      <c r="I608" s="320"/>
      <c r="J608" s="337">
        <v>0</v>
      </c>
      <c r="K608" s="321">
        <v>0</v>
      </c>
      <c r="L608" s="321">
        <v>0</v>
      </c>
      <c r="M608" s="321">
        <v>0</v>
      </c>
      <c r="N608" s="321">
        <v>0</v>
      </c>
      <c r="O608" s="321">
        <v>0</v>
      </c>
      <c r="P608" s="321">
        <v>0</v>
      </c>
      <c r="Q608" s="321">
        <v>0</v>
      </c>
      <c r="R608" s="321">
        <v>0</v>
      </c>
      <c r="S608" s="321">
        <v>0</v>
      </c>
      <c r="T608" s="321">
        <v>0</v>
      </c>
      <c r="U608" s="322">
        <v>0</v>
      </c>
      <c r="V608" s="323">
        <v>0</v>
      </c>
      <c r="W608" s="303"/>
      <c r="X608" s="324">
        <v>0</v>
      </c>
      <c r="Y608" s="325">
        <v>0</v>
      </c>
    </row>
    <row r="609" spans="1:25" x14ac:dyDescent="0.3">
      <c r="E609" s="250" t="s">
        <v>1558</v>
      </c>
      <c r="F609" s="317">
        <v>4304799</v>
      </c>
      <c r="G609" s="318"/>
      <c r="H609" s="319"/>
      <c r="I609" s="320"/>
      <c r="J609" s="337">
        <v>0</v>
      </c>
      <c r="K609" s="321">
        <v>0</v>
      </c>
      <c r="L609" s="321">
        <v>0</v>
      </c>
      <c r="M609" s="321">
        <v>0</v>
      </c>
      <c r="N609" s="321">
        <v>0</v>
      </c>
      <c r="O609" s="321">
        <v>0</v>
      </c>
      <c r="P609" s="321">
        <v>0</v>
      </c>
      <c r="Q609" s="321">
        <v>0</v>
      </c>
      <c r="R609" s="321">
        <v>0</v>
      </c>
      <c r="S609" s="321">
        <v>0</v>
      </c>
      <c r="T609" s="321">
        <v>0</v>
      </c>
      <c r="U609" s="322">
        <v>0</v>
      </c>
      <c r="V609" s="323">
        <v>0</v>
      </c>
      <c r="W609" s="303"/>
      <c r="X609" s="324">
        <v>0</v>
      </c>
      <c r="Y609" s="325">
        <v>0</v>
      </c>
    </row>
    <row r="610" spans="1:25" x14ac:dyDescent="0.3">
      <c r="A610" s="326"/>
      <c r="B610" s="326"/>
      <c r="C610" s="326"/>
      <c r="D610" s="326"/>
      <c r="E610" s="326" t="s">
        <v>1559</v>
      </c>
      <c r="F610" s="336"/>
      <c r="G610" s="327"/>
      <c r="H610" s="328"/>
      <c r="I610" s="329"/>
      <c r="J610" s="338">
        <v>0</v>
      </c>
      <c r="K610" s="330">
        <v>0</v>
      </c>
      <c r="L610" s="330">
        <v>0</v>
      </c>
      <c r="M610" s="330">
        <v>0</v>
      </c>
      <c r="N610" s="330">
        <v>0</v>
      </c>
      <c r="O610" s="330">
        <v>0</v>
      </c>
      <c r="P610" s="330">
        <v>0</v>
      </c>
      <c r="Q610" s="330">
        <v>0</v>
      </c>
      <c r="R610" s="330">
        <v>0</v>
      </c>
      <c r="S610" s="330">
        <v>0</v>
      </c>
      <c r="T610" s="330">
        <v>0</v>
      </c>
      <c r="U610" s="331">
        <v>0</v>
      </c>
      <c r="V610" s="332">
        <v>0</v>
      </c>
      <c r="W610" s="333"/>
      <c r="X610" s="334">
        <v>0</v>
      </c>
      <c r="Y610" s="335">
        <v>0</v>
      </c>
    </row>
    <row r="611" spans="1:25" x14ac:dyDescent="0.3">
      <c r="A611" s="326"/>
      <c r="B611" s="326"/>
      <c r="C611" s="326"/>
      <c r="D611" s="326"/>
      <c r="E611" s="326" t="s">
        <v>1560</v>
      </c>
      <c r="F611" s="336"/>
      <c r="G611" s="327"/>
      <c r="H611" s="328"/>
      <c r="I611" s="329"/>
      <c r="J611" s="338">
        <v>0</v>
      </c>
      <c r="K611" s="330">
        <v>0</v>
      </c>
      <c r="L611" s="330">
        <v>0</v>
      </c>
      <c r="M611" s="330">
        <v>0</v>
      </c>
      <c r="N611" s="330">
        <v>0</v>
      </c>
      <c r="O611" s="330">
        <v>0</v>
      </c>
      <c r="P611" s="330">
        <v>0</v>
      </c>
      <c r="Q611" s="330">
        <v>0</v>
      </c>
      <c r="R611" s="330">
        <v>0</v>
      </c>
      <c r="S611" s="330">
        <v>0</v>
      </c>
      <c r="T611" s="330">
        <v>0</v>
      </c>
      <c r="U611" s="331">
        <v>0</v>
      </c>
      <c r="V611" s="332">
        <v>0</v>
      </c>
      <c r="W611" s="333"/>
      <c r="X611" s="334">
        <v>0</v>
      </c>
      <c r="Y611" s="335">
        <v>0</v>
      </c>
    </row>
    <row r="612" spans="1:25" x14ac:dyDescent="0.3">
      <c r="A612" s="326"/>
      <c r="B612" s="326"/>
      <c r="C612" s="326"/>
      <c r="D612" s="326"/>
      <c r="E612" s="326" t="s">
        <v>1561</v>
      </c>
      <c r="F612" s="336"/>
      <c r="G612" s="327"/>
      <c r="H612" s="328"/>
      <c r="I612" s="329"/>
      <c r="J612" s="338">
        <v>0</v>
      </c>
      <c r="K612" s="330">
        <v>0</v>
      </c>
      <c r="L612" s="330">
        <v>0</v>
      </c>
      <c r="M612" s="330">
        <v>0</v>
      </c>
      <c r="N612" s="330">
        <v>0</v>
      </c>
      <c r="O612" s="330">
        <v>0</v>
      </c>
      <c r="P612" s="330">
        <v>0</v>
      </c>
      <c r="Q612" s="330">
        <v>0</v>
      </c>
      <c r="R612" s="330">
        <v>0</v>
      </c>
      <c r="S612" s="330">
        <v>0</v>
      </c>
      <c r="T612" s="330">
        <v>0</v>
      </c>
      <c r="U612" s="331">
        <v>0</v>
      </c>
      <c r="V612" s="332">
        <v>0</v>
      </c>
      <c r="W612" s="333"/>
      <c r="X612" s="334">
        <v>0</v>
      </c>
      <c r="Y612" s="335">
        <v>0</v>
      </c>
    </row>
    <row r="613" spans="1:25" x14ac:dyDescent="0.3">
      <c r="A613" s="233"/>
      <c r="B613" s="234" t="s">
        <v>34</v>
      </c>
      <c r="D613" s="293" t="s">
        <v>1562</v>
      </c>
      <c r="E613" s="294"/>
      <c r="F613" s="295" t="s">
        <v>1563</v>
      </c>
      <c r="G613" s="296"/>
      <c r="H613" s="297"/>
      <c r="I613" s="298"/>
      <c r="J613" s="299">
        <v>0</v>
      </c>
      <c r="K613" s="300">
        <v>0</v>
      </c>
      <c r="L613" s="300">
        <v>0</v>
      </c>
      <c r="M613" s="300">
        <v>0</v>
      </c>
      <c r="N613" s="300">
        <v>0</v>
      </c>
      <c r="O613" s="300">
        <v>0</v>
      </c>
      <c r="P613" s="300">
        <v>0</v>
      </c>
      <c r="Q613" s="300">
        <v>0</v>
      </c>
      <c r="R613" s="300">
        <v>0</v>
      </c>
      <c r="S613" s="300">
        <v>0</v>
      </c>
      <c r="T613" s="300">
        <v>0</v>
      </c>
      <c r="U613" s="301">
        <v>0</v>
      </c>
      <c r="V613" s="302">
        <v>0</v>
      </c>
      <c r="W613" s="303"/>
      <c r="X613" s="304">
        <v>0</v>
      </c>
      <c r="Y613" s="305">
        <v>0</v>
      </c>
    </row>
    <row r="614" spans="1:25" x14ac:dyDescent="0.3">
      <c r="E614" s="250" t="s">
        <v>1564</v>
      </c>
      <c r="F614" s="317">
        <v>4305901</v>
      </c>
      <c r="G614" s="318"/>
      <c r="H614" s="319">
        <v>5101550101</v>
      </c>
      <c r="I614" s="320"/>
      <c r="J614" s="337">
        <v>0</v>
      </c>
      <c r="K614" s="321">
        <v>0</v>
      </c>
      <c r="L614" s="321">
        <v>0</v>
      </c>
      <c r="M614" s="321">
        <v>0</v>
      </c>
      <c r="N614" s="321">
        <v>0</v>
      </c>
      <c r="O614" s="321">
        <v>0</v>
      </c>
      <c r="P614" s="321">
        <v>0</v>
      </c>
      <c r="Q614" s="321">
        <v>0</v>
      </c>
      <c r="R614" s="321">
        <v>0</v>
      </c>
      <c r="S614" s="321">
        <v>0</v>
      </c>
      <c r="T614" s="321">
        <v>0</v>
      </c>
      <c r="U614" s="322">
        <v>0</v>
      </c>
      <c r="V614" s="323">
        <v>0</v>
      </c>
      <c r="W614" s="303"/>
      <c r="X614" s="324">
        <v>0</v>
      </c>
      <c r="Y614" s="325">
        <v>0</v>
      </c>
    </row>
    <row r="615" spans="1:25" x14ac:dyDescent="0.3">
      <c r="E615" s="250" t="s">
        <v>1565</v>
      </c>
      <c r="F615" s="317">
        <v>4305902</v>
      </c>
      <c r="G615" s="318"/>
      <c r="H615" s="319"/>
      <c r="I615" s="320"/>
      <c r="J615" s="337">
        <v>0</v>
      </c>
      <c r="K615" s="321">
        <v>0</v>
      </c>
      <c r="L615" s="321">
        <v>0</v>
      </c>
      <c r="M615" s="321">
        <v>0</v>
      </c>
      <c r="N615" s="321">
        <v>0</v>
      </c>
      <c r="O615" s="321">
        <v>0</v>
      </c>
      <c r="P615" s="321">
        <v>0</v>
      </c>
      <c r="Q615" s="321">
        <v>0</v>
      </c>
      <c r="R615" s="321">
        <v>0</v>
      </c>
      <c r="S615" s="321">
        <v>0</v>
      </c>
      <c r="T615" s="321">
        <v>0</v>
      </c>
      <c r="U615" s="322">
        <v>0</v>
      </c>
      <c r="V615" s="323">
        <v>0</v>
      </c>
      <c r="W615" s="303"/>
      <c r="X615" s="324">
        <v>0</v>
      </c>
      <c r="Y615" s="325">
        <v>0</v>
      </c>
    </row>
    <row r="616" spans="1:25" x14ac:dyDescent="0.3">
      <c r="E616" s="250" t="s">
        <v>1566</v>
      </c>
      <c r="F616" s="317">
        <v>4305904</v>
      </c>
      <c r="G616" s="318"/>
      <c r="H616" s="319"/>
      <c r="I616" s="320"/>
      <c r="J616" s="337">
        <v>0</v>
      </c>
      <c r="K616" s="321">
        <v>0</v>
      </c>
      <c r="L616" s="321">
        <v>0</v>
      </c>
      <c r="M616" s="321">
        <v>0</v>
      </c>
      <c r="N616" s="321">
        <v>0</v>
      </c>
      <c r="O616" s="321">
        <v>0</v>
      </c>
      <c r="P616" s="321">
        <v>0</v>
      </c>
      <c r="Q616" s="321">
        <v>0</v>
      </c>
      <c r="R616" s="321">
        <v>0</v>
      </c>
      <c r="S616" s="321">
        <v>0</v>
      </c>
      <c r="T616" s="321">
        <v>0</v>
      </c>
      <c r="U616" s="322">
        <v>0</v>
      </c>
      <c r="V616" s="323">
        <v>0</v>
      </c>
      <c r="W616" s="303"/>
      <c r="X616" s="324">
        <v>0</v>
      </c>
      <c r="Y616" s="325">
        <v>0</v>
      </c>
    </row>
    <row r="617" spans="1:25" x14ac:dyDescent="0.3">
      <c r="E617" s="250" t="s">
        <v>1567</v>
      </c>
      <c r="F617" s="317">
        <v>4305999</v>
      </c>
      <c r="G617" s="318"/>
      <c r="H617" s="319">
        <v>5101550199</v>
      </c>
      <c r="I617" s="320"/>
      <c r="J617" s="337">
        <v>0</v>
      </c>
      <c r="K617" s="321">
        <v>0</v>
      </c>
      <c r="L617" s="321">
        <v>0</v>
      </c>
      <c r="M617" s="321">
        <v>0</v>
      </c>
      <c r="N617" s="321">
        <v>0</v>
      </c>
      <c r="O617" s="321">
        <v>0</v>
      </c>
      <c r="P617" s="321">
        <v>0</v>
      </c>
      <c r="Q617" s="321">
        <v>0</v>
      </c>
      <c r="R617" s="321">
        <v>0</v>
      </c>
      <c r="S617" s="321">
        <v>0</v>
      </c>
      <c r="T617" s="321">
        <v>0</v>
      </c>
      <c r="U617" s="322">
        <v>0</v>
      </c>
      <c r="V617" s="323">
        <v>0</v>
      </c>
      <c r="W617" s="303"/>
      <c r="X617" s="324">
        <v>0</v>
      </c>
      <c r="Y617" s="325">
        <v>0</v>
      </c>
    </row>
    <row r="618" spans="1:25" x14ac:dyDescent="0.3">
      <c r="A618" s="326"/>
      <c r="B618" s="326"/>
      <c r="C618" s="326"/>
      <c r="D618" s="326"/>
      <c r="E618" s="326" t="s">
        <v>1568</v>
      </c>
      <c r="F618" s="336"/>
      <c r="G618" s="327"/>
      <c r="H618" s="328"/>
      <c r="I618" s="329"/>
      <c r="J618" s="338">
        <v>0</v>
      </c>
      <c r="K618" s="330">
        <v>0</v>
      </c>
      <c r="L618" s="330">
        <v>0</v>
      </c>
      <c r="M618" s="330">
        <v>0</v>
      </c>
      <c r="N618" s="330">
        <v>0</v>
      </c>
      <c r="O618" s="330">
        <v>0</v>
      </c>
      <c r="P618" s="330">
        <v>0</v>
      </c>
      <c r="Q618" s="330">
        <v>0</v>
      </c>
      <c r="R618" s="330">
        <v>0</v>
      </c>
      <c r="S618" s="330">
        <v>0</v>
      </c>
      <c r="T618" s="330">
        <v>0</v>
      </c>
      <c r="U618" s="331">
        <v>0</v>
      </c>
      <c r="V618" s="332">
        <v>0</v>
      </c>
      <c r="W618" s="333"/>
      <c r="X618" s="334">
        <v>0</v>
      </c>
      <c r="Y618" s="335">
        <v>0</v>
      </c>
    </row>
    <row r="619" spans="1:25" x14ac:dyDescent="0.3">
      <c r="A619" s="326"/>
      <c r="B619" s="326"/>
      <c r="C619" s="326"/>
      <c r="D619" s="326"/>
      <c r="E619" s="326" t="s">
        <v>1569</v>
      </c>
      <c r="F619" s="336"/>
      <c r="G619" s="327"/>
      <c r="H619" s="328"/>
      <c r="I619" s="329"/>
      <c r="J619" s="338">
        <v>0</v>
      </c>
      <c r="K619" s="330">
        <v>0</v>
      </c>
      <c r="L619" s="330">
        <v>0</v>
      </c>
      <c r="M619" s="330">
        <v>0</v>
      </c>
      <c r="N619" s="330">
        <v>0</v>
      </c>
      <c r="O619" s="330">
        <v>0</v>
      </c>
      <c r="P619" s="330">
        <v>0</v>
      </c>
      <c r="Q619" s="330">
        <v>0</v>
      </c>
      <c r="R619" s="330">
        <v>0</v>
      </c>
      <c r="S619" s="330">
        <v>0</v>
      </c>
      <c r="T619" s="330">
        <v>0</v>
      </c>
      <c r="U619" s="331">
        <v>0</v>
      </c>
      <c r="V619" s="332">
        <v>0</v>
      </c>
      <c r="W619" s="333"/>
      <c r="X619" s="334">
        <v>0</v>
      </c>
      <c r="Y619" s="335">
        <v>0</v>
      </c>
    </row>
    <row r="620" spans="1:25" x14ac:dyDescent="0.3">
      <c r="A620" s="326"/>
      <c r="B620" s="326"/>
      <c r="C620" s="326"/>
      <c r="D620" s="326"/>
      <c r="E620" s="326" t="s">
        <v>1570</v>
      </c>
      <c r="F620" s="336"/>
      <c r="G620" s="327"/>
      <c r="H620" s="328"/>
      <c r="I620" s="329"/>
      <c r="J620" s="338">
        <v>0</v>
      </c>
      <c r="K620" s="330">
        <v>0</v>
      </c>
      <c r="L620" s="330">
        <v>0</v>
      </c>
      <c r="M620" s="330">
        <v>0</v>
      </c>
      <c r="N620" s="330">
        <v>0</v>
      </c>
      <c r="O620" s="330">
        <v>0</v>
      </c>
      <c r="P620" s="330">
        <v>0</v>
      </c>
      <c r="Q620" s="330">
        <v>0</v>
      </c>
      <c r="R620" s="330">
        <v>0</v>
      </c>
      <c r="S620" s="330">
        <v>0</v>
      </c>
      <c r="T620" s="330">
        <v>0</v>
      </c>
      <c r="U620" s="331">
        <v>0</v>
      </c>
      <c r="V620" s="332">
        <v>0</v>
      </c>
      <c r="W620" s="333"/>
      <c r="X620" s="334">
        <v>0</v>
      </c>
      <c r="Y620" s="335">
        <v>0</v>
      </c>
    </row>
    <row r="621" spans="1:25" x14ac:dyDescent="0.3">
      <c r="A621" s="233"/>
      <c r="B621" s="234" t="s">
        <v>29</v>
      </c>
      <c r="D621" s="293" t="s">
        <v>1571</v>
      </c>
      <c r="E621" s="294"/>
      <c r="F621" s="295" t="s">
        <v>1572</v>
      </c>
      <c r="G621" s="296"/>
      <c r="H621" s="297"/>
      <c r="I621" s="298"/>
      <c r="J621" s="299">
        <v>0</v>
      </c>
      <c r="K621" s="300">
        <v>0</v>
      </c>
      <c r="L621" s="300">
        <v>0</v>
      </c>
      <c r="M621" s="300">
        <v>0</v>
      </c>
      <c r="N621" s="300">
        <v>0</v>
      </c>
      <c r="O621" s="300">
        <v>0</v>
      </c>
      <c r="P621" s="300">
        <v>44</v>
      </c>
      <c r="Q621" s="300">
        <v>0</v>
      </c>
      <c r="R621" s="300">
        <v>0</v>
      </c>
      <c r="S621" s="300">
        <v>0</v>
      </c>
      <c r="T621" s="300">
        <v>95.39</v>
      </c>
      <c r="U621" s="301">
        <v>20</v>
      </c>
      <c r="V621" s="302">
        <v>159.38999999999999</v>
      </c>
      <c r="W621" s="303"/>
      <c r="X621" s="304">
        <v>20</v>
      </c>
      <c r="Y621" s="305">
        <v>159.38999999999999</v>
      </c>
    </row>
    <row r="622" spans="1:25" x14ac:dyDescent="0.3">
      <c r="E622" s="250" t="s">
        <v>1573</v>
      </c>
      <c r="F622" s="317">
        <v>4304401</v>
      </c>
      <c r="G622" s="318"/>
      <c r="H622" s="319">
        <v>5101490101</v>
      </c>
      <c r="I622" s="320"/>
      <c r="J622" s="337">
        <v>0</v>
      </c>
      <c r="K622" s="321">
        <v>0</v>
      </c>
      <c r="L622" s="321">
        <v>0</v>
      </c>
      <c r="M622" s="321">
        <v>0</v>
      </c>
      <c r="N622" s="321">
        <v>0</v>
      </c>
      <c r="O622" s="321">
        <v>0</v>
      </c>
      <c r="P622" s="321">
        <v>0</v>
      </c>
      <c r="Q622" s="321">
        <v>0</v>
      </c>
      <c r="R622" s="321">
        <v>0</v>
      </c>
      <c r="S622" s="321">
        <v>0</v>
      </c>
      <c r="T622" s="321">
        <v>0</v>
      </c>
      <c r="U622" s="322">
        <v>0</v>
      </c>
      <c r="V622" s="323">
        <v>0</v>
      </c>
      <c r="W622" s="303"/>
      <c r="X622" s="324">
        <v>0</v>
      </c>
      <c r="Y622" s="325">
        <v>0</v>
      </c>
    </row>
    <row r="623" spans="1:25" x14ac:dyDescent="0.3">
      <c r="E623" s="250" t="s">
        <v>1574</v>
      </c>
      <c r="F623" s="317">
        <v>4304402</v>
      </c>
      <c r="G623" s="318"/>
      <c r="H623" s="319">
        <v>5101490103</v>
      </c>
      <c r="I623" s="320"/>
      <c r="J623" s="337">
        <v>0</v>
      </c>
      <c r="K623" s="321">
        <v>0</v>
      </c>
      <c r="L623" s="321">
        <v>0</v>
      </c>
      <c r="M623" s="321">
        <v>0</v>
      </c>
      <c r="N623" s="321">
        <v>0</v>
      </c>
      <c r="O623" s="321">
        <v>0</v>
      </c>
      <c r="P623" s="321">
        <v>44</v>
      </c>
      <c r="Q623" s="321">
        <v>0</v>
      </c>
      <c r="R623" s="321">
        <v>0</v>
      </c>
      <c r="S623" s="321">
        <v>0</v>
      </c>
      <c r="T623" s="321">
        <v>109</v>
      </c>
      <c r="U623" s="322">
        <v>20</v>
      </c>
      <c r="V623" s="323">
        <v>173</v>
      </c>
      <c r="W623" s="303"/>
      <c r="X623" s="324">
        <v>20</v>
      </c>
      <c r="Y623" s="325">
        <v>173</v>
      </c>
    </row>
    <row r="624" spans="1:25" x14ac:dyDescent="0.3">
      <c r="E624" s="250" t="s">
        <v>1575</v>
      </c>
      <c r="F624" s="317">
        <v>4304403</v>
      </c>
      <c r="G624" s="318"/>
      <c r="H624" s="319">
        <v>5101490105</v>
      </c>
      <c r="I624" s="320"/>
      <c r="J624" s="337">
        <v>0</v>
      </c>
      <c r="K624" s="321">
        <v>0</v>
      </c>
      <c r="L624" s="321">
        <v>0</v>
      </c>
      <c r="M624" s="321">
        <v>0</v>
      </c>
      <c r="N624" s="321">
        <v>0</v>
      </c>
      <c r="O624" s="321">
        <v>0</v>
      </c>
      <c r="P624" s="321">
        <v>0</v>
      </c>
      <c r="Q624" s="321">
        <v>0</v>
      </c>
      <c r="R624" s="321">
        <v>0</v>
      </c>
      <c r="S624" s="321">
        <v>0</v>
      </c>
      <c r="T624" s="321">
        <v>0</v>
      </c>
      <c r="U624" s="322">
        <v>0</v>
      </c>
      <c r="V624" s="323">
        <v>0</v>
      </c>
      <c r="W624" s="303"/>
      <c r="X624" s="324">
        <v>0</v>
      </c>
      <c r="Y624" s="325">
        <v>0</v>
      </c>
    </row>
    <row r="625" spans="1:25" x14ac:dyDescent="0.3">
      <c r="E625" s="250" t="s">
        <v>1576</v>
      </c>
      <c r="F625" s="317">
        <v>4304404</v>
      </c>
      <c r="G625" s="318"/>
      <c r="H625" s="319"/>
      <c r="I625" s="320"/>
      <c r="J625" s="337">
        <v>0</v>
      </c>
      <c r="K625" s="321">
        <v>0</v>
      </c>
      <c r="L625" s="321">
        <v>0</v>
      </c>
      <c r="M625" s="321">
        <v>0</v>
      </c>
      <c r="N625" s="321">
        <v>0</v>
      </c>
      <c r="O625" s="321">
        <v>0</v>
      </c>
      <c r="P625" s="321">
        <v>0</v>
      </c>
      <c r="Q625" s="321">
        <v>0</v>
      </c>
      <c r="R625" s="321">
        <v>0</v>
      </c>
      <c r="S625" s="321">
        <v>0</v>
      </c>
      <c r="T625" s="321">
        <v>0</v>
      </c>
      <c r="U625" s="322">
        <v>0</v>
      </c>
      <c r="V625" s="323">
        <v>0</v>
      </c>
      <c r="W625" s="303"/>
      <c r="X625" s="324">
        <v>0</v>
      </c>
      <c r="Y625" s="325">
        <v>0</v>
      </c>
    </row>
    <row r="626" spans="1:25" x14ac:dyDescent="0.3">
      <c r="E626" s="250" t="s">
        <v>1577</v>
      </c>
      <c r="F626" s="317">
        <v>4304405</v>
      </c>
      <c r="G626" s="318"/>
      <c r="H626" s="319">
        <v>5101490107</v>
      </c>
      <c r="I626" s="320"/>
      <c r="J626" s="337">
        <v>0</v>
      </c>
      <c r="K626" s="321">
        <v>0</v>
      </c>
      <c r="L626" s="321">
        <v>0</v>
      </c>
      <c r="M626" s="321">
        <v>0</v>
      </c>
      <c r="N626" s="321">
        <v>0</v>
      </c>
      <c r="O626" s="321">
        <v>0</v>
      </c>
      <c r="P626" s="321">
        <v>0</v>
      </c>
      <c r="Q626" s="321">
        <v>0</v>
      </c>
      <c r="R626" s="321">
        <v>0</v>
      </c>
      <c r="S626" s="321">
        <v>0</v>
      </c>
      <c r="T626" s="321">
        <v>0</v>
      </c>
      <c r="U626" s="322">
        <v>0</v>
      </c>
      <c r="V626" s="323">
        <v>0</v>
      </c>
      <c r="W626" s="303"/>
      <c r="X626" s="324">
        <v>0</v>
      </c>
      <c r="Y626" s="325">
        <v>0</v>
      </c>
    </row>
    <row r="627" spans="1:25" x14ac:dyDescent="0.3">
      <c r="E627" s="250" t="s">
        <v>1578</v>
      </c>
      <c r="F627" s="317">
        <v>4304406</v>
      </c>
      <c r="G627" s="318"/>
      <c r="H627" s="319">
        <v>5101490109</v>
      </c>
      <c r="I627" s="320"/>
      <c r="J627" s="337">
        <v>0</v>
      </c>
      <c r="K627" s="321">
        <v>0</v>
      </c>
      <c r="L627" s="321">
        <v>0</v>
      </c>
      <c r="M627" s="321">
        <v>0</v>
      </c>
      <c r="N627" s="321">
        <v>0</v>
      </c>
      <c r="O627" s="321">
        <v>0</v>
      </c>
      <c r="P627" s="321">
        <v>0</v>
      </c>
      <c r="Q627" s="321">
        <v>0</v>
      </c>
      <c r="R627" s="321">
        <v>0</v>
      </c>
      <c r="S627" s="321">
        <v>0</v>
      </c>
      <c r="T627" s="321">
        <v>0</v>
      </c>
      <c r="U627" s="322">
        <v>0</v>
      </c>
      <c r="V627" s="323">
        <v>0</v>
      </c>
      <c r="W627" s="303"/>
      <c r="X627" s="324">
        <v>0</v>
      </c>
      <c r="Y627" s="325">
        <v>0</v>
      </c>
    </row>
    <row r="628" spans="1:25" x14ac:dyDescent="0.3">
      <c r="E628" s="250" t="s">
        <v>1579</v>
      </c>
      <c r="F628" s="317">
        <v>4304499</v>
      </c>
      <c r="G628" s="318"/>
      <c r="H628" s="319">
        <v>5101490199</v>
      </c>
      <c r="I628" s="320"/>
      <c r="J628" s="337">
        <v>0</v>
      </c>
      <c r="K628" s="321">
        <v>0</v>
      </c>
      <c r="L628" s="321">
        <v>0</v>
      </c>
      <c r="M628" s="321">
        <v>0</v>
      </c>
      <c r="N628" s="321">
        <v>0</v>
      </c>
      <c r="O628" s="321">
        <v>0</v>
      </c>
      <c r="P628" s="321">
        <v>0</v>
      </c>
      <c r="Q628" s="321">
        <v>0</v>
      </c>
      <c r="R628" s="321">
        <v>0</v>
      </c>
      <c r="S628" s="321">
        <v>0</v>
      </c>
      <c r="T628" s="321">
        <v>-13.61</v>
      </c>
      <c r="U628" s="322">
        <v>0</v>
      </c>
      <c r="V628" s="323">
        <v>-13.61</v>
      </c>
      <c r="W628" s="303"/>
      <c r="X628" s="324">
        <v>0</v>
      </c>
      <c r="Y628" s="325">
        <v>-13.61</v>
      </c>
    </row>
    <row r="629" spans="1:25" x14ac:dyDescent="0.3">
      <c r="A629" s="326"/>
      <c r="B629" s="326"/>
      <c r="C629" s="326"/>
      <c r="D629" s="326"/>
      <c r="E629" s="326" t="s">
        <v>1580</v>
      </c>
      <c r="F629" s="336"/>
      <c r="G629" s="327"/>
      <c r="H629" s="328"/>
      <c r="I629" s="329"/>
      <c r="J629" s="338">
        <v>0</v>
      </c>
      <c r="K629" s="330">
        <v>0</v>
      </c>
      <c r="L629" s="330">
        <v>0</v>
      </c>
      <c r="M629" s="330">
        <v>0</v>
      </c>
      <c r="N629" s="330">
        <v>0</v>
      </c>
      <c r="O629" s="330">
        <v>0</v>
      </c>
      <c r="P629" s="330">
        <v>0</v>
      </c>
      <c r="Q629" s="330">
        <v>0</v>
      </c>
      <c r="R629" s="330">
        <v>0</v>
      </c>
      <c r="S629" s="330">
        <v>0</v>
      </c>
      <c r="T629" s="330">
        <v>0</v>
      </c>
      <c r="U629" s="331">
        <v>0</v>
      </c>
      <c r="V629" s="332">
        <v>0</v>
      </c>
      <c r="W629" s="333"/>
      <c r="X629" s="334">
        <v>0</v>
      </c>
      <c r="Y629" s="335">
        <v>0</v>
      </c>
    </row>
    <row r="630" spans="1:25" x14ac:dyDescent="0.3">
      <c r="A630" s="326"/>
      <c r="B630" s="326"/>
      <c r="C630" s="326"/>
      <c r="D630" s="326"/>
      <c r="E630" s="326" t="s">
        <v>1581</v>
      </c>
      <c r="F630" s="336"/>
      <c r="G630" s="327"/>
      <c r="H630" s="328"/>
      <c r="I630" s="329"/>
      <c r="J630" s="338">
        <v>0</v>
      </c>
      <c r="K630" s="330">
        <v>0</v>
      </c>
      <c r="L630" s="330">
        <v>0</v>
      </c>
      <c r="M630" s="330">
        <v>0</v>
      </c>
      <c r="N630" s="330">
        <v>0</v>
      </c>
      <c r="O630" s="330">
        <v>0</v>
      </c>
      <c r="P630" s="330">
        <v>0</v>
      </c>
      <c r="Q630" s="330">
        <v>0</v>
      </c>
      <c r="R630" s="330">
        <v>0</v>
      </c>
      <c r="S630" s="330">
        <v>0</v>
      </c>
      <c r="T630" s="330">
        <v>0</v>
      </c>
      <c r="U630" s="331">
        <v>0</v>
      </c>
      <c r="V630" s="332">
        <v>0</v>
      </c>
      <c r="W630" s="333"/>
      <c r="X630" s="334">
        <v>0</v>
      </c>
      <c r="Y630" s="335">
        <v>0</v>
      </c>
    </row>
    <row r="631" spans="1:25" x14ac:dyDescent="0.3">
      <c r="A631" s="326"/>
      <c r="B631" s="326"/>
      <c r="C631" s="326"/>
      <c r="D631" s="326"/>
      <c r="E631" s="326" t="s">
        <v>1582</v>
      </c>
      <c r="F631" s="336"/>
      <c r="G631" s="327"/>
      <c r="H631" s="328"/>
      <c r="I631" s="329"/>
      <c r="J631" s="338">
        <v>0</v>
      </c>
      <c r="K631" s="330">
        <v>0</v>
      </c>
      <c r="L631" s="330">
        <v>0</v>
      </c>
      <c r="M631" s="330">
        <v>0</v>
      </c>
      <c r="N631" s="330">
        <v>0</v>
      </c>
      <c r="O631" s="330">
        <v>0</v>
      </c>
      <c r="P631" s="330">
        <v>0</v>
      </c>
      <c r="Q631" s="330">
        <v>0</v>
      </c>
      <c r="R631" s="330">
        <v>0</v>
      </c>
      <c r="S631" s="330">
        <v>0</v>
      </c>
      <c r="T631" s="330">
        <v>0</v>
      </c>
      <c r="U631" s="331">
        <v>0</v>
      </c>
      <c r="V631" s="332">
        <v>0</v>
      </c>
      <c r="W631" s="333"/>
      <c r="X631" s="334">
        <v>0</v>
      </c>
      <c r="Y631" s="335">
        <v>0</v>
      </c>
    </row>
    <row r="632" spans="1:25" x14ac:dyDescent="0.3">
      <c r="A632" s="233"/>
      <c r="B632" s="234" t="s">
        <v>38</v>
      </c>
      <c r="D632" s="293" t="s">
        <v>1583</v>
      </c>
      <c r="E632" s="294"/>
      <c r="F632" s="295" t="s">
        <v>1584</v>
      </c>
      <c r="G632" s="296"/>
      <c r="H632" s="297"/>
      <c r="I632" s="298"/>
      <c r="J632" s="299">
        <v>0</v>
      </c>
      <c r="K632" s="300">
        <v>0</v>
      </c>
      <c r="L632" s="300">
        <v>0</v>
      </c>
      <c r="M632" s="300">
        <v>0</v>
      </c>
      <c r="N632" s="300">
        <v>0</v>
      </c>
      <c r="O632" s="300">
        <v>0</v>
      </c>
      <c r="P632" s="300">
        <v>0</v>
      </c>
      <c r="Q632" s="300">
        <v>0</v>
      </c>
      <c r="R632" s="300">
        <v>0</v>
      </c>
      <c r="S632" s="300">
        <v>0</v>
      </c>
      <c r="T632" s="300">
        <v>0</v>
      </c>
      <c r="U632" s="301">
        <v>0</v>
      </c>
      <c r="V632" s="302">
        <v>0</v>
      </c>
      <c r="W632" s="303"/>
      <c r="X632" s="304">
        <v>0</v>
      </c>
      <c r="Y632" s="305">
        <v>0</v>
      </c>
    </row>
    <row r="633" spans="1:25" x14ac:dyDescent="0.3">
      <c r="E633" s="250" t="s">
        <v>1585</v>
      </c>
      <c r="F633" s="317">
        <v>4307112</v>
      </c>
      <c r="G633" s="318"/>
      <c r="H633" s="319"/>
      <c r="I633" s="320"/>
      <c r="J633" s="337">
        <v>0</v>
      </c>
      <c r="K633" s="321">
        <v>0</v>
      </c>
      <c r="L633" s="321">
        <v>0</v>
      </c>
      <c r="M633" s="321">
        <v>0</v>
      </c>
      <c r="N633" s="321">
        <v>0</v>
      </c>
      <c r="O633" s="321">
        <v>0</v>
      </c>
      <c r="P633" s="321">
        <v>0</v>
      </c>
      <c r="Q633" s="321">
        <v>0</v>
      </c>
      <c r="R633" s="321">
        <v>0</v>
      </c>
      <c r="S633" s="321">
        <v>0</v>
      </c>
      <c r="T633" s="321">
        <v>0</v>
      </c>
      <c r="U633" s="322">
        <v>0</v>
      </c>
      <c r="V633" s="323">
        <v>0</v>
      </c>
      <c r="W633" s="303"/>
      <c r="X633" s="324">
        <v>0</v>
      </c>
      <c r="Y633" s="325">
        <v>0</v>
      </c>
    </row>
    <row r="634" spans="1:25" x14ac:dyDescent="0.3">
      <c r="E634" s="250" t="s">
        <v>1586</v>
      </c>
      <c r="F634" s="317">
        <v>4307109</v>
      </c>
      <c r="G634" s="318"/>
      <c r="H634" s="319"/>
      <c r="I634" s="320"/>
      <c r="J634" s="337">
        <v>0</v>
      </c>
      <c r="K634" s="321">
        <v>0</v>
      </c>
      <c r="L634" s="321">
        <v>0</v>
      </c>
      <c r="M634" s="321">
        <v>0</v>
      </c>
      <c r="N634" s="321">
        <v>0</v>
      </c>
      <c r="O634" s="321">
        <v>0</v>
      </c>
      <c r="P634" s="321">
        <v>0</v>
      </c>
      <c r="Q634" s="321">
        <v>0</v>
      </c>
      <c r="R634" s="321">
        <v>0</v>
      </c>
      <c r="S634" s="321">
        <v>0</v>
      </c>
      <c r="T634" s="321">
        <v>0</v>
      </c>
      <c r="U634" s="322">
        <v>0</v>
      </c>
      <c r="V634" s="323">
        <v>0</v>
      </c>
      <c r="W634" s="303"/>
      <c r="X634" s="324">
        <v>0</v>
      </c>
      <c r="Y634" s="325">
        <v>0</v>
      </c>
    </row>
    <row r="635" spans="1:25" x14ac:dyDescent="0.3">
      <c r="E635" s="250" t="s">
        <v>1587</v>
      </c>
      <c r="F635" s="317">
        <v>4307105</v>
      </c>
      <c r="G635" s="318"/>
      <c r="H635" s="319"/>
      <c r="I635" s="320"/>
      <c r="J635" s="337">
        <v>0</v>
      </c>
      <c r="K635" s="321">
        <v>0</v>
      </c>
      <c r="L635" s="321">
        <v>0</v>
      </c>
      <c r="M635" s="321">
        <v>0</v>
      </c>
      <c r="N635" s="321">
        <v>0</v>
      </c>
      <c r="O635" s="321">
        <v>0</v>
      </c>
      <c r="P635" s="321">
        <v>0</v>
      </c>
      <c r="Q635" s="321">
        <v>0</v>
      </c>
      <c r="R635" s="321">
        <v>0</v>
      </c>
      <c r="S635" s="321">
        <v>0</v>
      </c>
      <c r="T635" s="321">
        <v>0</v>
      </c>
      <c r="U635" s="322">
        <v>0</v>
      </c>
      <c r="V635" s="323">
        <v>0</v>
      </c>
      <c r="W635" s="303"/>
      <c r="X635" s="324">
        <v>0</v>
      </c>
      <c r="Y635" s="325">
        <v>0</v>
      </c>
    </row>
    <row r="636" spans="1:25" x14ac:dyDescent="0.3">
      <c r="E636" s="250" t="s">
        <v>1588</v>
      </c>
      <c r="F636" s="317">
        <v>4307100</v>
      </c>
      <c r="G636" s="318"/>
      <c r="H636" s="319">
        <v>5101510101</v>
      </c>
      <c r="I636" s="320"/>
      <c r="J636" s="337">
        <v>0</v>
      </c>
      <c r="K636" s="321">
        <v>0</v>
      </c>
      <c r="L636" s="321">
        <v>0</v>
      </c>
      <c r="M636" s="321">
        <v>0</v>
      </c>
      <c r="N636" s="321">
        <v>0</v>
      </c>
      <c r="O636" s="321">
        <v>0</v>
      </c>
      <c r="P636" s="321">
        <v>0</v>
      </c>
      <c r="Q636" s="321">
        <v>0</v>
      </c>
      <c r="R636" s="321">
        <v>0</v>
      </c>
      <c r="S636" s="321">
        <v>0</v>
      </c>
      <c r="T636" s="321">
        <v>0</v>
      </c>
      <c r="U636" s="322">
        <v>0</v>
      </c>
      <c r="V636" s="323">
        <v>0</v>
      </c>
      <c r="W636" s="303"/>
      <c r="X636" s="324">
        <v>0</v>
      </c>
      <c r="Y636" s="325">
        <v>0</v>
      </c>
    </row>
    <row r="637" spans="1:25" x14ac:dyDescent="0.3">
      <c r="E637" s="250" t="s">
        <v>1589</v>
      </c>
      <c r="F637" s="317">
        <v>4307111</v>
      </c>
      <c r="G637" s="318"/>
      <c r="H637" s="319">
        <v>5101510103</v>
      </c>
      <c r="I637" s="320"/>
      <c r="J637" s="337">
        <v>0</v>
      </c>
      <c r="K637" s="321">
        <v>0</v>
      </c>
      <c r="L637" s="321">
        <v>0</v>
      </c>
      <c r="M637" s="321">
        <v>0</v>
      </c>
      <c r="N637" s="321">
        <v>0</v>
      </c>
      <c r="O637" s="321">
        <v>0</v>
      </c>
      <c r="P637" s="321">
        <v>0</v>
      </c>
      <c r="Q637" s="321">
        <v>0</v>
      </c>
      <c r="R637" s="321">
        <v>0</v>
      </c>
      <c r="S637" s="321">
        <v>0</v>
      </c>
      <c r="T637" s="321">
        <v>0</v>
      </c>
      <c r="U637" s="322">
        <v>0</v>
      </c>
      <c r="V637" s="323">
        <v>0</v>
      </c>
      <c r="W637" s="303"/>
      <c r="X637" s="324">
        <v>0</v>
      </c>
      <c r="Y637" s="325">
        <v>0</v>
      </c>
    </row>
    <row r="638" spans="1:25" x14ac:dyDescent="0.3">
      <c r="E638" s="250" t="s">
        <v>1590</v>
      </c>
      <c r="F638" s="317">
        <v>4307113</v>
      </c>
      <c r="G638" s="318"/>
      <c r="H638" s="319"/>
      <c r="I638" s="320"/>
      <c r="J638" s="337">
        <v>0</v>
      </c>
      <c r="K638" s="321">
        <v>0</v>
      </c>
      <c r="L638" s="321">
        <v>0</v>
      </c>
      <c r="M638" s="321">
        <v>0</v>
      </c>
      <c r="N638" s="321">
        <v>0</v>
      </c>
      <c r="O638" s="321">
        <v>0</v>
      </c>
      <c r="P638" s="321">
        <v>0</v>
      </c>
      <c r="Q638" s="321">
        <v>0</v>
      </c>
      <c r="R638" s="321">
        <v>0</v>
      </c>
      <c r="S638" s="321">
        <v>0</v>
      </c>
      <c r="T638" s="321">
        <v>0</v>
      </c>
      <c r="U638" s="322">
        <v>0</v>
      </c>
      <c r="V638" s="323">
        <v>0</v>
      </c>
      <c r="W638" s="303"/>
      <c r="X638" s="324">
        <v>0</v>
      </c>
      <c r="Y638" s="325">
        <v>0</v>
      </c>
    </row>
    <row r="639" spans="1:25" x14ac:dyDescent="0.3">
      <c r="A639" s="361"/>
      <c r="B639" s="361"/>
      <c r="C639" s="361"/>
      <c r="D639" s="361"/>
      <c r="E639" s="326" t="s">
        <v>1591</v>
      </c>
      <c r="F639" s="351"/>
      <c r="G639" s="352"/>
      <c r="H639" s="353"/>
      <c r="I639" s="354"/>
      <c r="J639" s="362">
        <v>0</v>
      </c>
      <c r="K639" s="355">
        <v>0</v>
      </c>
      <c r="L639" s="355">
        <v>0</v>
      </c>
      <c r="M639" s="355">
        <v>0</v>
      </c>
      <c r="N639" s="355">
        <v>0</v>
      </c>
      <c r="O639" s="355">
        <v>0</v>
      </c>
      <c r="P639" s="355">
        <v>0</v>
      </c>
      <c r="Q639" s="355">
        <v>0</v>
      </c>
      <c r="R639" s="355">
        <v>0</v>
      </c>
      <c r="S639" s="355">
        <v>0</v>
      </c>
      <c r="T639" s="355">
        <v>0</v>
      </c>
      <c r="U639" s="356">
        <v>0</v>
      </c>
      <c r="V639" s="357">
        <v>0</v>
      </c>
      <c r="W639" s="358"/>
      <c r="X639" s="359">
        <v>0</v>
      </c>
      <c r="Y639" s="360">
        <v>0</v>
      </c>
    </row>
    <row r="640" spans="1:25" x14ac:dyDescent="0.3">
      <c r="A640" s="361"/>
      <c r="B640" s="361"/>
      <c r="C640" s="361"/>
      <c r="D640" s="361"/>
      <c r="E640" s="326" t="s">
        <v>1592</v>
      </c>
      <c r="F640" s="351"/>
      <c r="G640" s="352"/>
      <c r="H640" s="353"/>
      <c r="I640" s="354"/>
      <c r="J640" s="362">
        <v>0</v>
      </c>
      <c r="K640" s="355">
        <v>0</v>
      </c>
      <c r="L640" s="355">
        <v>0</v>
      </c>
      <c r="M640" s="355">
        <v>0</v>
      </c>
      <c r="N640" s="355">
        <v>0</v>
      </c>
      <c r="O640" s="355">
        <v>0</v>
      </c>
      <c r="P640" s="355">
        <v>0</v>
      </c>
      <c r="Q640" s="355">
        <v>0</v>
      </c>
      <c r="R640" s="355">
        <v>0</v>
      </c>
      <c r="S640" s="355">
        <v>0</v>
      </c>
      <c r="T640" s="355">
        <v>0</v>
      </c>
      <c r="U640" s="356">
        <v>0</v>
      </c>
      <c r="V640" s="357">
        <v>0</v>
      </c>
      <c r="W640" s="358"/>
      <c r="X640" s="359">
        <v>0</v>
      </c>
      <c r="Y640" s="360">
        <v>0</v>
      </c>
    </row>
    <row r="641" spans="1:25" x14ac:dyDescent="0.3">
      <c r="A641" s="361"/>
      <c r="B641" s="361"/>
      <c r="C641" s="361"/>
      <c r="D641" s="361"/>
      <c r="E641" s="326" t="s">
        <v>1593</v>
      </c>
      <c r="F641" s="351"/>
      <c r="G641" s="352"/>
      <c r="H641" s="353"/>
      <c r="I641" s="354"/>
      <c r="J641" s="362">
        <v>0</v>
      </c>
      <c r="K641" s="355">
        <v>0</v>
      </c>
      <c r="L641" s="355">
        <v>0</v>
      </c>
      <c r="M641" s="355">
        <v>0</v>
      </c>
      <c r="N641" s="355">
        <v>0</v>
      </c>
      <c r="O641" s="355">
        <v>0</v>
      </c>
      <c r="P641" s="355">
        <v>0</v>
      </c>
      <c r="Q641" s="355">
        <v>0</v>
      </c>
      <c r="R641" s="355">
        <v>0</v>
      </c>
      <c r="S641" s="355">
        <v>0</v>
      </c>
      <c r="T641" s="355">
        <v>0</v>
      </c>
      <c r="U641" s="356">
        <v>0</v>
      </c>
      <c r="V641" s="357">
        <v>0</v>
      </c>
      <c r="W641" s="358"/>
      <c r="X641" s="359">
        <v>0</v>
      </c>
      <c r="Y641" s="360">
        <v>0</v>
      </c>
    </row>
    <row r="642" spans="1:25" x14ac:dyDescent="0.3">
      <c r="A642" s="233"/>
      <c r="B642" s="234" t="s">
        <v>36</v>
      </c>
      <c r="D642" s="293" t="s">
        <v>1594</v>
      </c>
      <c r="E642" s="294"/>
      <c r="F642" s="295" t="s">
        <v>1595</v>
      </c>
      <c r="G642" s="296"/>
      <c r="H642" s="297"/>
      <c r="I642" s="298"/>
      <c r="J642" s="299">
        <v>0</v>
      </c>
      <c r="K642" s="300">
        <v>0</v>
      </c>
      <c r="L642" s="300">
        <v>0</v>
      </c>
      <c r="M642" s="300">
        <v>0</v>
      </c>
      <c r="N642" s="300">
        <v>0</v>
      </c>
      <c r="O642" s="300">
        <v>0</v>
      </c>
      <c r="P642" s="300">
        <v>0</v>
      </c>
      <c r="Q642" s="300">
        <v>0</v>
      </c>
      <c r="R642" s="300">
        <v>0</v>
      </c>
      <c r="S642" s="300">
        <v>0</v>
      </c>
      <c r="T642" s="300">
        <v>0</v>
      </c>
      <c r="U642" s="301">
        <v>0</v>
      </c>
      <c r="V642" s="302">
        <v>0</v>
      </c>
      <c r="W642" s="303"/>
      <c r="X642" s="304">
        <v>0</v>
      </c>
      <c r="Y642" s="305">
        <v>0</v>
      </c>
    </row>
    <row r="643" spans="1:25" x14ac:dyDescent="0.3">
      <c r="E643" s="250" t="s">
        <v>1596</v>
      </c>
      <c r="F643" s="317">
        <v>4306501</v>
      </c>
      <c r="G643" s="318"/>
      <c r="H643" s="319">
        <v>5101570101</v>
      </c>
      <c r="I643" s="320"/>
      <c r="J643" s="337">
        <v>0</v>
      </c>
      <c r="K643" s="321">
        <v>0</v>
      </c>
      <c r="L643" s="321">
        <v>0</v>
      </c>
      <c r="M643" s="321">
        <v>0</v>
      </c>
      <c r="N643" s="321">
        <v>0</v>
      </c>
      <c r="O643" s="321">
        <v>0</v>
      </c>
      <c r="P643" s="321">
        <v>0</v>
      </c>
      <c r="Q643" s="321">
        <v>0</v>
      </c>
      <c r="R643" s="321">
        <v>0</v>
      </c>
      <c r="S643" s="321">
        <v>0</v>
      </c>
      <c r="T643" s="321">
        <v>0</v>
      </c>
      <c r="U643" s="322">
        <v>0</v>
      </c>
      <c r="V643" s="323">
        <v>0</v>
      </c>
      <c r="W643" s="303"/>
      <c r="X643" s="324">
        <v>0</v>
      </c>
      <c r="Y643" s="325">
        <v>0</v>
      </c>
    </row>
    <row r="644" spans="1:25" x14ac:dyDescent="0.3">
      <c r="E644" s="250" t="s">
        <v>1597</v>
      </c>
      <c r="F644" s="317">
        <v>4306502</v>
      </c>
      <c r="G644" s="318"/>
      <c r="H644" s="319"/>
      <c r="I644" s="320"/>
      <c r="J644" s="337">
        <v>0</v>
      </c>
      <c r="K644" s="321">
        <v>0</v>
      </c>
      <c r="L644" s="321">
        <v>0</v>
      </c>
      <c r="M644" s="321">
        <v>0</v>
      </c>
      <c r="N644" s="321">
        <v>0</v>
      </c>
      <c r="O644" s="321">
        <v>0</v>
      </c>
      <c r="P644" s="321">
        <v>0</v>
      </c>
      <c r="Q644" s="321">
        <v>0</v>
      </c>
      <c r="R644" s="321">
        <v>0</v>
      </c>
      <c r="S644" s="321">
        <v>0</v>
      </c>
      <c r="T644" s="321">
        <v>0</v>
      </c>
      <c r="U644" s="322">
        <v>0</v>
      </c>
      <c r="V644" s="323">
        <v>0</v>
      </c>
      <c r="W644" s="303"/>
      <c r="X644" s="324">
        <v>0</v>
      </c>
      <c r="Y644" s="325">
        <v>0</v>
      </c>
    </row>
    <row r="645" spans="1:25" x14ac:dyDescent="0.3">
      <c r="A645" s="250"/>
      <c r="B645" s="250"/>
      <c r="E645" s="250" t="s">
        <v>1598</v>
      </c>
      <c r="F645" s="317">
        <v>4306503</v>
      </c>
      <c r="G645" s="318"/>
      <c r="H645" s="319"/>
      <c r="I645" s="320"/>
      <c r="J645" s="337">
        <v>0</v>
      </c>
      <c r="K645" s="321">
        <v>0</v>
      </c>
      <c r="L645" s="321">
        <v>0</v>
      </c>
      <c r="M645" s="321">
        <v>0</v>
      </c>
      <c r="N645" s="321">
        <v>0</v>
      </c>
      <c r="O645" s="321">
        <v>0</v>
      </c>
      <c r="P645" s="321">
        <v>0</v>
      </c>
      <c r="Q645" s="321">
        <v>0</v>
      </c>
      <c r="R645" s="321">
        <v>0</v>
      </c>
      <c r="S645" s="321">
        <v>0</v>
      </c>
      <c r="T645" s="321">
        <v>0</v>
      </c>
      <c r="U645" s="322">
        <v>0</v>
      </c>
      <c r="V645" s="323">
        <v>0</v>
      </c>
      <c r="W645" s="303"/>
      <c r="X645" s="324">
        <v>0</v>
      </c>
      <c r="Y645" s="325">
        <v>0</v>
      </c>
    </row>
    <row r="646" spans="1:25" x14ac:dyDescent="0.3">
      <c r="E646" s="250" t="s">
        <v>1599</v>
      </c>
      <c r="F646" s="317">
        <v>4306504</v>
      </c>
      <c r="G646" s="318"/>
      <c r="H646" s="319"/>
      <c r="I646" s="320"/>
      <c r="J646" s="337">
        <v>0</v>
      </c>
      <c r="K646" s="321">
        <v>0</v>
      </c>
      <c r="L646" s="321">
        <v>0</v>
      </c>
      <c r="M646" s="321">
        <v>0</v>
      </c>
      <c r="N646" s="321">
        <v>0</v>
      </c>
      <c r="O646" s="321">
        <v>0</v>
      </c>
      <c r="P646" s="321">
        <v>0</v>
      </c>
      <c r="Q646" s="321">
        <v>0</v>
      </c>
      <c r="R646" s="321">
        <v>0</v>
      </c>
      <c r="S646" s="321">
        <v>0</v>
      </c>
      <c r="T646" s="321">
        <v>0</v>
      </c>
      <c r="U646" s="322">
        <v>0</v>
      </c>
      <c r="V646" s="323">
        <v>0</v>
      </c>
      <c r="W646" s="303"/>
      <c r="X646" s="324">
        <v>0</v>
      </c>
      <c r="Y646" s="325">
        <v>0</v>
      </c>
    </row>
    <row r="647" spans="1:25" x14ac:dyDescent="0.3">
      <c r="E647" s="250" t="s">
        <v>1600</v>
      </c>
      <c r="F647" s="317">
        <v>4306599</v>
      </c>
      <c r="G647" s="318"/>
      <c r="H647" s="319"/>
      <c r="I647" s="320"/>
      <c r="J647" s="337">
        <v>0</v>
      </c>
      <c r="K647" s="321">
        <v>0</v>
      </c>
      <c r="L647" s="321">
        <v>0</v>
      </c>
      <c r="M647" s="321">
        <v>0</v>
      </c>
      <c r="N647" s="321">
        <v>0</v>
      </c>
      <c r="O647" s="321">
        <v>0</v>
      </c>
      <c r="P647" s="321">
        <v>0</v>
      </c>
      <c r="Q647" s="321">
        <v>0</v>
      </c>
      <c r="R647" s="321">
        <v>0</v>
      </c>
      <c r="S647" s="321">
        <v>0</v>
      </c>
      <c r="T647" s="321">
        <v>0</v>
      </c>
      <c r="U647" s="322">
        <v>0</v>
      </c>
      <c r="V647" s="323">
        <v>0</v>
      </c>
      <c r="W647" s="303"/>
      <c r="X647" s="324">
        <v>0</v>
      </c>
      <c r="Y647" s="325">
        <v>0</v>
      </c>
    </row>
    <row r="648" spans="1:25" x14ac:dyDescent="0.3">
      <c r="A648" s="361"/>
      <c r="B648" s="361"/>
      <c r="C648" s="361"/>
      <c r="D648" s="361"/>
      <c r="E648" s="326" t="s">
        <v>1601</v>
      </c>
      <c r="F648" s="351"/>
      <c r="G648" s="352"/>
      <c r="H648" s="353"/>
      <c r="I648" s="354"/>
      <c r="J648" s="362">
        <v>0</v>
      </c>
      <c r="K648" s="355">
        <v>0</v>
      </c>
      <c r="L648" s="355">
        <v>0</v>
      </c>
      <c r="M648" s="355">
        <v>0</v>
      </c>
      <c r="N648" s="355">
        <v>0</v>
      </c>
      <c r="O648" s="355">
        <v>0</v>
      </c>
      <c r="P648" s="355">
        <v>0</v>
      </c>
      <c r="Q648" s="355">
        <v>0</v>
      </c>
      <c r="R648" s="355">
        <v>0</v>
      </c>
      <c r="S648" s="355">
        <v>0</v>
      </c>
      <c r="T648" s="355">
        <v>0</v>
      </c>
      <c r="U648" s="356">
        <v>0</v>
      </c>
      <c r="V648" s="357">
        <v>0</v>
      </c>
      <c r="W648" s="358"/>
      <c r="X648" s="359">
        <v>0</v>
      </c>
      <c r="Y648" s="360">
        <v>0</v>
      </c>
    </row>
    <row r="649" spans="1:25" x14ac:dyDescent="0.3">
      <c r="A649" s="361"/>
      <c r="B649" s="361"/>
      <c r="C649" s="361"/>
      <c r="D649" s="361"/>
      <c r="E649" s="326" t="s">
        <v>1602</v>
      </c>
      <c r="F649" s="351"/>
      <c r="G649" s="352"/>
      <c r="H649" s="353"/>
      <c r="I649" s="354"/>
      <c r="J649" s="362">
        <v>0</v>
      </c>
      <c r="K649" s="355">
        <v>0</v>
      </c>
      <c r="L649" s="355">
        <v>0</v>
      </c>
      <c r="M649" s="355">
        <v>0</v>
      </c>
      <c r="N649" s="355">
        <v>0</v>
      </c>
      <c r="O649" s="355">
        <v>0</v>
      </c>
      <c r="P649" s="355">
        <v>0</v>
      </c>
      <c r="Q649" s="355">
        <v>0</v>
      </c>
      <c r="R649" s="355">
        <v>0</v>
      </c>
      <c r="S649" s="355">
        <v>0</v>
      </c>
      <c r="T649" s="355">
        <v>0</v>
      </c>
      <c r="U649" s="356">
        <v>0</v>
      </c>
      <c r="V649" s="357">
        <v>0</v>
      </c>
      <c r="W649" s="358"/>
      <c r="X649" s="359">
        <v>0</v>
      </c>
      <c r="Y649" s="360">
        <v>0</v>
      </c>
    </row>
    <row r="650" spans="1:25" x14ac:dyDescent="0.3">
      <c r="A650" s="361"/>
      <c r="B650" s="361"/>
      <c r="C650" s="361"/>
      <c r="D650" s="361"/>
      <c r="E650" s="326" t="s">
        <v>1603</v>
      </c>
      <c r="F650" s="351"/>
      <c r="G650" s="352"/>
      <c r="H650" s="353"/>
      <c r="I650" s="354"/>
      <c r="J650" s="362">
        <v>0</v>
      </c>
      <c r="K650" s="355">
        <v>0</v>
      </c>
      <c r="L650" s="355">
        <v>0</v>
      </c>
      <c r="M650" s="355">
        <v>0</v>
      </c>
      <c r="N650" s="355">
        <v>0</v>
      </c>
      <c r="O650" s="355">
        <v>0</v>
      </c>
      <c r="P650" s="355">
        <v>0</v>
      </c>
      <c r="Q650" s="355">
        <v>0</v>
      </c>
      <c r="R650" s="355">
        <v>0</v>
      </c>
      <c r="S650" s="355">
        <v>0</v>
      </c>
      <c r="T650" s="355">
        <v>0</v>
      </c>
      <c r="U650" s="356">
        <v>0</v>
      </c>
      <c r="V650" s="357">
        <v>0</v>
      </c>
      <c r="W650" s="358"/>
      <c r="X650" s="359">
        <v>0</v>
      </c>
      <c r="Y650" s="360">
        <v>0</v>
      </c>
    </row>
    <row r="651" spans="1:25" x14ac:dyDescent="0.3">
      <c r="A651" s="233"/>
      <c r="B651" s="234" t="s">
        <v>40</v>
      </c>
      <c r="D651" s="293" t="s">
        <v>1604</v>
      </c>
      <c r="E651" s="294"/>
      <c r="F651" s="295" t="s">
        <v>1605</v>
      </c>
      <c r="G651" s="296"/>
      <c r="H651" s="297"/>
      <c r="I651" s="298"/>
      <c r="J651" s="299">
        <v>0</v>
      </c>
      <c r="K651" s="300">
        <v>0</v>
      </c>
      <c r="L651" s="300">
        <v>0</v>
      </c>
      <c r="M651" s="300">
        <v>0</v>
      </c>
      <c r="N651" s="300">
        <v>0</v>
      </c>
      <c r="O651" s="300">
        <v>0</v>
      </c>
      <c r="P651" s="300">
        <v>0</v>
      </c>
      <c r="Q651" s="300">
        <v>0</v>
      </c>
      <c r="R651" s="300">
        <v>0</v>
      </c>
      <c r="S651" s="300">
        <v>0</v>
      </c>
      <c r="T651" s="300">
        <v>0</v>
      </c>
      <c r="U651" s="301">
        <v>0</v>
      </c>
      <c r="V651" s="302">
        <v>0</v>
      </c>
      <c r="W651" s="303"/>
      <c r="X651" s="304">
        <v>0</v>
      </c>
      <c r="Y651" s="305">
        <v>0</v>
      </c>
    </row>
    <row r="652" spans="1:25" x14ac:dyDescent="0.3">
      <c r="E652" s="250" t="s">
        <v>1606</v>
      </c>
      <c r="F652" s="317">
        <v>4308000</v>
      </c>
      <c r="G652" s="318"/>
      <c r="H652" s="319">
        <v>5101610101</v>
      </c>
      <c r="I652" s="320"/>
      <c r="J652" s="337">
        <v>0</v>
      </c>
      <c r="K652" s="321">
        <v>0</v>
      </c>
      <c r="L652" s="321">
        <v>0</v>
      </c>
      <c r="M652" s="321">
        <v>0</v>
      </c>
      <c r="N652" s="321">
        <v>0</v>
      </c>
      <c r="O652" s="321">
        <v>0</v>
      </c>
      <c r="P652" s="321">
        <v>0</v>
      </c>
      <c r="Q652" s="321">
        <v>0</v>
      </c>
      <c r="R652" s="321">
        <v>0</v>
      </c>
      <c r="S652" s="321">
        <v>0</v>
      </c>
      <c r="T652" s="321">
        <v>0</v>
      </c>
      <c r="U652" s="322">
        <v>0</v>
      </c>
      <c r="V652" s="323">
        <v>0</v>
      </c>
      <c r="W652" s="303"/>
      <c r="X652" s="324">
        <v>0</v>
      </c>
      <c r="Y652" s="325">
        <v>0</v>
      </c>
    </row>
    <row r="653" spans="1:25" x14ac:dyDescent="0.3">
      <c r="A653" s="361"/>
      <c r="B653" s="361"/>
      <c r="C653" s="361"/>
      <c r="D653" s="361"/>
      <c r="E653" s="326" t="s">
        <v>1607</v>
      </c>
      <c r="F653" s="351"/>
      <c r="G653" s="352"/>
      <c r="H653" s="353"/>
      <c r="I653" s="354"/>
      <c r="J653" s="362">
        <v>0</v>
      </c>
      <c r="K653" s="355">
        <v>0</v>
      </c>
      <c r="L653" s="355">
        <v>0</v>
      </c>
      <c r="M653" s="355">
        <v>0</v>
      </c>
      <c r="N653" s="355">
        <v>0</v>
      </c>
      <c r="O653" s="355">
        <v>0</v>
      </c>
      <c r="P653" s="355">
        <v>0</v>
      </c>
      <c r="Q653" s="355">
        <v>0</v>
      </c>
      <c r="R653" s="355">
        <v>0</v>
      </c>
      <c r="S653" s="355">
        <v>0</v>
      </c>
      <c r="T653" s="355">
        <v>0</v>
      </c>
      <c r="U653" s="356">
        <v>0</v>
      </c>
      <c r="V653" s="357">
        <v>0</v>
      </c>
      <c r="W653" s="358"/>
      <c r="X653" s="359">
        <v>0</v>
      </c>
      <c r="Y653" s="360">
        <v>0</v>
      </c>
    </row>
    <row r="654" spans="1:25" x14ac:dyDescent="0.3">
      <c r="A654" s="361"/>
      <c r="B654" s="361"/>
      <c r="C654" s="361"/>
      <c r="D654" s="361"/>
      <c r="E654" s="326" t="s">
        <v>1608</v>
      </c>
      <c r="F654" s="351"/>
      <c r="G654" s="352"/>
      <c r="H654" s="353"/>
      <c r="I654" s="354"/>
      <c r="J654" s="362">
        <v>0</v>
      </c>
      <c r="K654" s="355">
        <v>0</v>
      </c>
      <c r="L654" s="355">
        <v>0</v>
      </c>
      <c r="M654" s="355">
        <v>0</v>
      </c>
      <c r="N654" s="355">
        <v>0</v>
      </c>
      <c r="O654" s="355">
        <v>0</v>
      </c>
      <c r="P654" s="355">
        <v>0</v>
      </c>
      <c r="Q654" s="355">
        <v>0</v>
      </c>
      <c r="R654" s="355">
        <v>0</v>
      </c>
      <c r="S654" s="355">
        <v>0</v>
      </c>
      <c r="T654" s="355">
        <v>0</v>
      </c>
      <c r="U654" s="356">
        <v>0</v>
      </c>
      <c r="V654" s="357">
        <v>0</v>
      </c>
      <c r="W654" s="358"/>
      <c r="X654" s="359">
        <v>0</v>
      </c>
      <c r="Y654" s="360">
        <v>0</v>
      </c>
    </row>
    <row r="655" spans="1:25" x14ac:dyDescent="0.3">
      <c r="A655" s="361"/>
      <c r="B655" s="361"/>
      <c r="C655" s="361"/>
      <c r="D655" s="361"/>
      <c r="E655" s="326" t="s">
        <v>1609</v>
      </c>
      <c r="F655" s="351"/>
      <c r="G655" s="352"/>
      <c r="H655" s="353"/>
      <c r="I655" s="354"/>
      <c r="J655" s="362">
        <v>0</v>
      </c>
      <c r="K655" s="355">
        <v>0</v>
      </c>
      <c r="L655" s="355">
        <v>0</v>
      </c>
      <c r="M655" s="355">
        <v>0</v>
      </c>
      <c r="N655" s="355">
        <v>0</v>
      </c>
      <c r="O655" s="355">
        <v>0</v>
      </c>
      <c r="P655" s="355">
        <v>0</v>
      </c>
      <c r="Q655" s="355">
        <v>0</v>
      </c>
      <c r="R655" s="355">
        <v>0</v>
      </c>
      <c r="S655" s="355">
        <v>0</v>
      </c>
      <c r="T655" s="355">
        <v>0</v>
      </c>
      <c r="U655" s="356">
        <v>0</v>
      </c>
      <c r="V655" s="357">
        <v>0</v>
      </c>
      <c r="W655" s="358"/>
      <c r="X655" s="359">
        <v>0</v>
      </c>
      <c r="Y655" s="360">
        <v>0</v>
      </c>
    </row>
    <row r="656" spans="1:25" x14ac:dyDescent="0.3">
      <c r="A656" s="233"/>
      <c r="B656" s="234" t="s">
        <v>70</v>
      </c>
      <c r="D656" s="293" t="s">
        <v>1610</v>
      </c>
      <c r="E656" s="294"/>
      <c r="F656" s="295" t="s">
        <v>1611</v>
      </c>
      <c r="G656" s="296"/>
      <c r="H656" s="297"/>
      <c r="I656" s="298"/>
      <c r="J656" s="299">
        <v>0</v>
      </c>
      <c r="K656" s="300">
        <v>0</v>
      </c>
      <c r="L656" s="300">
        <v>0</v>
      </c>
      <c r="M656" s="300">
        <v>0</v>
      </c>
      <c r="N656" s="300">
        <v>0</v>
      </c>
      <c r="O656" s="300">
        <v>0</v>
      </c>
      <c r="P656" s="300">
        <v>0</v>
      </c>
      <c r="Q656" s="300">
        <v>0</v>
      </c>
      <c r="R656" s="300">
        <v>0</v>
      </c>
      <c r="S656" s="300">
        <v>0</v>
      </c>
      <c r="T656" s="300">
        <v>0</v>
      </c>
      <c r="U656" s="301">
        <v>0</v>
      </c>
      <c r="V656" s="302">
        <v>0</v>
      </c>
      <c r="W656" s="303"/>
      <c r="X656" s="304">
        <v>0</v>
      </c>
      <c r="Y656" s="305">
        <v>0</v>
      </c>
    </row>
    <row r="657" spans="5:25" x14ac:dyDescent="0.3">
      <c r="E657" s="250" t="s">
        <v>1612</v>
      </c>
      <c r="F657" s="317">
        <v>4310001</v>
      </c>
      <c r="G657" s="318"/>
      <c r="H657" s="319">
        <v>5101650101</v>
      </c>
      <c r="I657" s="320"/>
      <c r="J657" s="337">
        <v>0</v>
      </c>
      <c r="K657" s="321">
        <v>0</v>
      </c>
      <c r="L657" s="321">
        <v>0</v>
      </c>
      <c r="M657" s="321">
        <v>0</v>
      </c>
      <c r="N657" s="321">
        <v>0</v>
      </c>
      <c r="O657" s="321">
        <v>0</v>
      </c>
      <c r="P657" s="321">
        <v>0</v>
      </c>
      <c r="Q657" s="321">
        <v>0</v>
      </c>
      <c r="R657" s="321">
        <v>0</v>
      </c>
      <c r="S657" s="321">
        <v>0</v>
      </c>
      <c r="T657" s="321">
        <v>0</v>
      </c>
      <c r="U657" s="322">
        <v>0</v>
      </c>
      <c r="V657" s="323">
        <v>0</v>
      </c>
      <c r="W657" s="303"/>
      <c r="X657" s="324">
        <v>0</v>
      </c>
      <c r="Y657" s="325">
        <v>0</v>
      </c>
    </row>
    <row r="658" spans="5:25" x14ac:dyDescent="0.3">
      <c r="E658" s="250" t="s">
        <v>1613</v>
      </c>
      <c r="F658" s="317">
        <v>4310002</v>
      </c>
      <c r="G658" s="318"/>
      <c r="H658" s="319">
        <v>5101690101</v>
      </c>
      <c r="I658" s="320"/>
      <c r="J658" s="337">
        <v>0</v>
      </c>
      <c r="K658" s="321">
        <v>0</v>
      </c>
      <c r="L658" s="321">
        <v>0</v>
      </c>
      <c r="M658" s="321">
        <v>0</v>
      </c>
      <c r="N658" s="321">
        <v>0</v>
      </c>
      <c r="O658" s="321">
        <v>0</v>
      </c>
      <c r="P658" s="321">
        <v>0</v>
      </c>
      <c r="Q658" s="321">
        <v>0</v>
      </c>
      <c r="R658" s="321">
        <v>0</v>
      </c>
      <c r="S658" s="321">
        <v>0</v>
      </c>
      <c r="T658" s="321">
        <v>0</v>
      </c>
      <c r="U658" s="322">
        <v>0</v>
      </c>
      <c r="V658" s="323">
        <v>0</v>
      </c>
      <c r="W658" s="303"/>
      <c r="X658" s="324">
        <v>0</v>
      </c>
      <c r="Y658" s="325">
        <v>0</v>
      </c>
    </row>
    <row r="659" spans="5:25" x14ac:dyDescent="0.3">
      <c r="E659" s="250" t="s">
        <v>1614</v>
      </c>
      <c r="F659" s="317">
        <v>4310003</v>
      </c>
      <c r="G659" s="318"/>
      <c r="H659" s="319">
        <v>5101990101</v>
      </c>
      <c r="I659" s="320"/>
      <c r="J659" s="337">
        <v>0</v>
      </c>
      <c r="K659" s="321">
        <v>0</v>
      </c>
      <c r="L659" s="321">
        <v>0</v>
      </c>
      <c r="M659" s="321">
        <v>0</v>
      </c>
      <c r="N659" s="321">
        <v>0</v>
      </c>
      <c r="O659" s="321">
        <v>0</v>
      </c>
      <c r="P659" s="321">
        <v>0</v>
      </c>
      <c r="Q659" s="321">
        <v>0</v>
      </c>
      <c r="R659" s="321">
        <v>0</v>
      </c>
      <c r="S659" s="321">
        <v>0</v>
      </c>
      <c r="T659" s="321">
        <v>0</v>
      </c>
      <c r="U659" s="322">
        <v>0</v>
      </c>
      <c r="V659" s="323">
        <v>0</v>
      </c>
      <c r="W659" s="303"/>
      <c r="X659" s="324">
        <v>0</v>
      </c>
      <c r="Y659" s="325">
        <v>0</v>
      </c>
    </row>
    <row r="660" spans="5:25" x14ac:dyDescent="0.3">
      <c r="E660" s="250" t="s">
        <v>1615</v>
      </c>
      <c r="F660" s="317">
        <v>4310004</v>
      </c>
      <c r="G660" s="318"/>
      <c r="H660" s="319"/>
      <c r="I660" s="320"/>
      <c r="J660" s="337">
        <v>0</v>
      </c>
      <c r="K660" s="321">
        <v>0</v>
      </c>
      <c r="L660" s="321">
        <v>0</v>
      </c>
      <c r="M660" s="321">
        <v>0</v>
      </c>
      <c r="N660" s="321">
        <v>0</v>
      </c>
      <c r="O660" s="321">
        <v>0</v>
      </c>
      <c r="P660" s="321">
        <v>0</v>
      </c>
      <c r="Q660" s="321">
        <v>0</v>
      </c>
      <c r="R660" s="321">
        <v>0</v>
      </c>
      <c r="S660" s="321">
        <v>0</v>
      </c>
      <c r="T660" s="321">
        <v>0</v>
      </c>
      <c r="U660" s="322">
        <v>0</v>
      </c>
      <c r="V660" s="323">
        <v>0</v>
      </c>
      <c r="W660" s="303"/>
      <c r="X660" s="324">
        <v>0</v>
      </c>
      <c r="Y660" s="325">
        <v>0</v>
      </c>
    </row>
    <row r="661" spans="5:25" x14ac:dyDescent="0.3">
      <c r="E661" s="250" t="s">
        <v>1616</v>
      </c>
      <c r="F661" s="317">
        <v>4310005</v>
      </c>
      <c r="G661" s="318"/>
      <c r="H661" s="319"/>
      <c r="I661" s="320"/>
      <c r="J661" s="337">
        <v>0</v>
      </c>
      <c r="K661" s="321">
        <v>0</v>
      </c>
      <c r="L661" s="321">
        <v>0</v>
      </c>
      <c r="M661" s="321">
        <v>0</v>
      </c>
      <c r="N661" s="321">
        <v>0</v>
      </c>
      <c r="O661" s="321">
        <v>0</v>
      </c>
      <c r="P661" s="321">
        <v>0</v>
      </c>
      <c r="Q661" s="321">
        <v>0</v>
      </c>
      <c r="R661" s="321">
        <v>0</v>
      </c>
      <c r="S661" s="321">
        <v>0</v>
      </c>
      <c r="T661" s="321">
        <v>0</v>
      </c>
      <c r="U661" s="322">
        <v>0</v>
      </c>
      <c r="V661" s="323">
        <v>0</v>
      </c>
      <c r="W661" s="303"/>
      <c r="X661" s="324">
        <v>0</v>
      </c>
      <c r="Y661" s="325">
        <v>0</v>
      </c>
    </row>
    <row r="662" spans="5:25" x14ac:dyDescent="0.3">
      <c r="E662" s="250" t="s">
        <v>1617</v>
      </c>
      <c r="F662" s="317">
        <v>4310006</v>
      </c>
      <c r="G662" s="318"/>
      <c r="H662" s="319"/>
      <c r="I662" s="320"/>
      <c r="J662" s="337">
        <v>0</v>
      </c>
      <c r="K662" s="321">
        <v>0</v>
      </c>
      <c r="L662" s="321">
        <v>0</v>
      </c>
      <c r="M662" s="321">
        <v>0</v>
      </c>
      <c r="N662" s="321">
        <v>0</v>
      </c>
      <c r="O662" s="321">
        <v>0</v>
      </c>
      <c r="P662" s="321">
        <v>0</v>
      </c>
      <c r="Q662" s="321">
        <v>0</v>
      </c>
      <c r="R662" s="321">
        <v>0</v>
      </c>
      <c r="S662" s="321">
        <v>0</v>
      </c>
      <c r="T662" s="321">
        <v>0</v>
      </c>
      <c r="U662" s="322">
        <v>0</v>
      </c>
      <c r="V662" s="323">
        <v>0</v>
      </c>
      <c r="W662" s="303"/>
      <c r="X662" s="324">
        <v>0</v>
      </c>
      <c r="Y662" s="325">
        <v>0</v>
      </c>
    </row>
    <row r="663" spans="5:25" x14ac:dyDescent="0.3">
      <c r="E663" s="250" t="s">
        <v>1618</v>
      </c>
      <c r="F663" s="317">
        <v>4310007</v>
      </c>
      <c r="G663" s="318"/>
      <c r="H663" s="319"/>
      <c r="I663" s="320"/>
      <c r="J663" s="337">
        <v>0</v>
      </c>
      <c r="K663" s="321">
        <v>0</v>
      </c>
      <c r="L663" s="321">
        <v>0</v>
      </c>
      <c r="M663" s="321">
        <v>0</v>
      </c>
      <c r="N663" s="321">
        <v>0</v>
      </c>
      <c r="O663" s="321">
        <v>0</v>
      </c>
      <c r="P663" s="321">
        <v>0</v>
      </c>
      <c r="Q663" s="321">
        <v>0</v>
      </c>
      <c r="R663" s="321">
        <v>0</v>
      </c>
      <c r="S663" s="321">
        <v>0</v>
      </c>
      <c r="T663" s="321">
        <v>0</v>
      </c>
      <c r="U663" s="322">
        <v>0</v>
      </c>
      <c r="V663" s="323">
        <v>0</v>
      </c>
      <c r="W663" s="303"/>
      <c r="X663" s="324">
        <v>0</v>
      </c>
      <c r="Y663" s="325">
        <v>0</v>
      </c>
    </row>
    <row r="664" spans="5:25" x14ac:dyDescent="0.3">
      <c r="E664" s="250" t="s">
        <v>1619</v>
      </c>
      <c r="F664" s="317">
        <v>4310008</v>
      </c>
      <c r="G664" s="318"/>
      <c r="H664" s="319"/>
      <c r="I664" s="320"/>
      <c r="J664" s="337">
        <v>0</v>
      </c>
      <c r="K664" s="321">
        <v>0</v>
      </c>
      <c r="L664" s="321">
        <v>0</v>
      </c>
      <c r="M664" s="321">
        <v>0</v>
      </c>
      <c r="N664" s="321">
        <v>0</v>
      </c>
      <c r="O664" s="321">
        <v>0</v>
      </c>
      <c r="P664" s="321">
        <v>0</v>
      </c>
      <c r="Q664" s="321">
        <v>0</v>
      </c>
      <c r="R664" s="321">
        <v>0</v>
      </c>
      <c r="S664" s="321">
        <v>0</v>
      </c>
      <c r="T664" s="321">
        <v>0</v>
      </c>
      <c r="U664" s="322">
        <v>0</v>
      </c>
      <c r="V664" s="323">
        <v>0</v>
      </c>
      <c r="W664" s="303"/>
      <c r="X664" s="324">
        <v>0</v>
      </c>
      <c r="Y664" s="325">
        <v>0</v>
      </c>
    </row>
    <row r="665" spans="5:25" x14ac:dyDescent="0.3">
      <c r="E665" s="250" t="s">
        <v>1620</v>
      </c>
      <c r="F665" s="317">
        <v>4310009</v>
      </c>
      <c r="G665" s="318"/>
      <c r="H665" s="319"/>
      <c r="I665" s="320"/>
      <c r="J665" s="337">
        <v>0</v>
      </c>
      <c r="K665" s="321">
        <v>0</v>
      </c>
      <c r="L665" s="321">
        <v>0</v>
      </c>
      <c r="M665" s="321">
        <v>0</v>
      </c>
      <c r="N665" s="321">
        <v>0</v>
      </c>
      <c r="O665" s="321">
        <v>0</v>
      </c>
      <c r="P665" s="321">
        <v>0</v>
      </c>
      <c r="Q665" s="321">
        <v>0</v>
      </c>
      <c r="R665" s="321">
        <v>0</v>
      </c>
      <c r="S665" s="321">
        <v>0</v>
      </c>
      <c r="T665" s="321">
        <v>0</v>
      </c>
      <c r="U665" s="322">
        <v>0</v>
      </c>
      <c r="V665" s="323">
        <v>0</v>
      </c>
      <c r="W665" s="303"/>
      <c r="X665" s="324">
        <v>0</v>
      </c>
      <c r="Y665" s="325">
        <v>0</v>
      </c>
    </row>
    <row r="666" spans="5:25" x14ac:dyDescent="0.3">
      <c r="E666" s="250" t="s">
        <v>1621</v>
      </c>
      <c r="F666" s="317">
        <v>4310010</v>
      </c>
      <c r="G666" s="318"/>
      <c r="H666" s="319"/>
      <c r="I666" s="320"/>
      <c r="J666" s="337">
        <v>0</v>
      </c>
      <c r="K666" s="321">
        <v>0</v>
      </c>
      <c r="L666" s="321">
        <v>0</v>
      </c>
      <c r="M666" s="321">
        <v>0</v>
      </c>
      <c r="N666" s="321">
        <v>0</v>
      </c>
      <c r="O666" s="321">
        <v>0</v>
      </c>
      <c r="P666" s="321">
        <v>0</v>
      </c>
      <c r="Q666" s="321">
        <v>0</v>
      </c>
      <c r="R666" s="321">
        <v>0</v>
      </c>
      <c r="S666" s="321">
        <v>0</v>
      </c>
      <c r="T666" s="321">
        <v>0</v>
      </c>
      <c r="U666" s="322">
        <v>0</v>
      </c>
      <c r="V666" s="323">
        <v>0</v>
      </c>
      <c r="W666" s="303"/>
      <c r="X666" s="324">
        <v>0</v>
      </c>
      <c r="Y666" s="325">
        <v>0</v>
      </c>
    </row>
    <row r="667" spans="5:25" x14ac:dyDescent="0.3">
      <c r="E667" s="250" t="s">
        <v>1622</v>
      </c>
      <c r="F667" s="317">
        <v>4310011</v>
      </c>
      <c r="G667" s="318"/>
      <c r="H667" s="319"/>
      <c r="I667" s="320"/>
      <c r="J667" s="337">
        <v>0</v>
      </c>
      <c r="K667" s="321">
        <v>0</v>
      </c>
      <c r="L667" s="321">
        <v>0</v>
      </c>
      <c r="M667" s="321">
        <v>0</v>
      </c>
      <c r="N667" s="321">
        <v>0</v>
      </c>
      <c r="O667" s="321">
        <v>0</v>
      </c>
      <c r="P667" s="321">
        <v>0</v>
      </c>
      <c r="Q667" s="321">
        <v>0</v>
      </c>
      <c r="R667" s="321">
        <v>0</v>
      </c>
      <c r="S667" s="321">
        <v>0</v>
      </c>
      <c r="T667" s="321">
        <v>0</v>
      </c>
      <c r="U667" s="322">
        <v>0</v>
      </c>
      <c r="V667" s="323">
        <v>0</v>
      </c>
      <c r="W667" s="303"/>
      <c r="X667" s="324">
        <v>0</v>
      </c>
      <c r="Y667" s="325">
        <v>0</v>
      </c>
    </row>
    <row r="668" spans="5:25" x14ac:dyDescent="0.3">
      <c r="E668" s="250" t="s">
        <v>1623</v>
      </c>
      <c r="F668" s="317">
        <v>4310012</v>
      </c>
      <c r="G668" s="318"/>
      <c r="H668" s="319"/>
      <c r="I668" s="320"/>
      <c r="J668" s="337">
        <v>0</v>
      </c>
      <c r="K668" s="321">
        <v>0</v>
      </c>
      <c r="L668" s="321">
        <v>0</v>
      </c>
      <c r="M668" s="321">
        <v>0</v>
      </c>
      <c r="N668" s="321">
        <v>0</v>
      </c>
      <c r="O668" s="321">
        <v>0</v>
      </c>
      <c r="P668" s="321">
        <v>0</v>
      </c>
      <c r="Q668" s="321">
        <v>0</v>
      </c>
      <c r="R668" s="321">
        <v>0</v>
      </c>
      <c r="S668" s="321">
        <v>0</v>
      </c>
      <c r="T668" s="321">
        <v>0</v>
      </c>
      <c r="U668" s="322">
        <v>0</v>
      </c>
      <c r="V668" s="323">
        <v>0</v>
      </c>
      <c r="W668" s="303"/>
      <c r="X668" s="324">
        <v>0</v>
      </c>
      <c r="Y668" s="325">
        <v>0</v>
      </c>
    </row>
    <row r="669" spans="5:25" x14ac:dyDescent="0.3">
      <c r="E669" s="250" t="s">
        <v>1624</v>
      </c>
      <c r="F669" s="317">
        <v>4310013</v>
      </c>
      <c r="G669" s="318"/>
      <c r="H669" s="319"/>
      <c r="I669" s="320"/>
      <c r="J669" s="337">
        <v>0</v>
      </c>
      <c r="K669" s="321">
        <v>0</v>
      </c>
      <c r="L669" s="321">
        <v>0</v>
      </c>
      <c r="M669" s="321">
        <v>0</v>
      </c>
      <c r="N669" s="321">
        <v>0</v>
      </c>
      <c r="O669" s="321">
        <v>0</v>
      </c>
      <c r="P669" s="321">
        <v>0</v>
      </c>
      <c r="Q669" s="321">
        <v>0</v>
      </c>
      <c r="R669" s="321">
        <v>0</v>
      </c>
      <c r="S669" s="321">
        <v>0</v>
      </c>
      <c r="T669" s="321">
        <v>0</v>
      </c>
      <c r="U669" s="322">
        <v>0</v>
      </c>
      <c r="V669" s="323">
        <v>0</v>
      </c>
      <c r="W669" s="303"/>
      <c r="X669" s="324">
        <v>0</v>
      </c>
      <c r="Y669" s="325">
        <v>0</v>
      </c>
    </row>
    <row r="670" spans="5:25" x14ac:dyDescent="0.3">
      <c r="E670" s="250" t="s">
        <v>1625</v>
      </c>
      <c r="F670" s="317">
        <v>4310014</v>
      </c>
      <c r="G670" s="318"/>
      <c r="H670" s="319"/>
      <c r="I670" s="320"/>
      <c r="J670" s="337">
        <v>0</v>
      </c>
      <c r="K670" s="321">
        <v>0</v>
      </c>
      <c r="L670" s="321">
        <v>0</v>
      </c>
      <c r="M670" s="321">
        <v>0</v>
      </c>
      <c r="N670" s="321">
        <v>0</v>
      </c>
      <c r="O670" s="321">
        <v>0</v>
      </c>
      <c r="P670" s="321">
        <v>0</v>
      </c>
      <c r="Q670" s="321">
        <v>0</v>
      </c>
      <c r="R670" s="321">
        <v>0</v>
      </c>
      <c r="S670" s="321">
        <v>0</v>
      </c>
      <c r="T670" s="321">
        <v>0</v>
      </c>
      <c r="U670" s="322">
        <v>0</v>
      </c>
      <c r="V670" s="323">
        <v>0</v>
      </c>
      <c r="W670" s="303"/>
      <c r="X670" s="324">
        <v>0</v>
      </c>
      <c r="Y670" s="325">
        <v>0</v>
      </c>
    </row>
    <row r="671" spans="5:25" x14ac:dyDescent="0.3">
      <c r="E671" s="250" t="s">
        <v>1626</v>
      </c>
      <c r="F671" s="317">
        <v>4310015</v>
      </c>
      <c r="G671" s="318"/>
      <c r="H671" s="319"/>
      <c r="I671" s="320"/>
      <c r="J671" s="337">
        <v>0</v>
      </c>
      <c r="K671" s="321">
        <v>0</v>
      </c>
      <c r="L671" s="321">
        <v>0</v>
      </c>
      <c r="M671" s="321">
        <v>0</v>
      </c>
      <c r="N671" s="321">
        <v>0</v>
      </c>
      <c r="O671" s="321">
        <v>0</v>
      </c>
      <c r="P671" s="321">
        <v>0</v>
      </c>
      <c r="Q671" s="321">
        <v>0</v>
      </c>
      <c r="R671" s="321">
        <v>0</v>
      </c>
      <c r="S671" s="321">
        <v>0</v>
      </c>
      <c r="T671" s="321">
        <v>0</v>
      </c>
      <c r="U671" s="322">
        <v>0</v>
      </c>
      <c r="V671" s="323">
        <v>0</v>
      </c>
      <c r="W671" s="303"/>
      <c r="X671" s="324">
        <v>0</v>
      </c>
      <c r="Y671" s="325">
        <v>0</v>
      </c>
    </row>
    <row r="672" spans="5:25" x14ac:dyDescent="0.3">
      <c r="E672" s="250" t="s">
        <v>1627</v>
      </c>
      <c r="F672" s="317">
        <v>4310016</v>
      </c>
      <c r="G672" s="318"/>
      <c r="H672" s="319"/>
      <c r="I672" s="320"/>
      <c r="J672" s="337">
        <v>0</v>
      </c>
      <c r="K672" s="321">
        <v>0</v>
      </c>
      <c r="L672" s="321">
        <v>0</v>
      </c>
      <c r="M672" s="321">
        <v>0</v>
      </c>
      <c r="N672" s="321">
        <v>0</v>
      </c>
      <c r="O672" s="321">
        <v>0</v>
      </c>
      <c r="P672" s="321">
        <v>0</v>
      </c>
      <c r="Q672" s="321">
        <v>0</v>
      </c>
      <c r="R672" s="321">
        <v>0</v>
      </c>
      <c r="S672" s="321">
        <v>0</v>
      </c>
      <c r="T672" s="321">
        <v>0</v>
      </c>
      <c r="U672" s="322">
        <v>0</v>
      </c>
      <c r="V672" s="323">
        <v>0</v>
      </c>
      <c r="W672" s="303"/>
      <c r="X672" s="324">
        <v>0</v>
      </c>
      <c r="Y672" s="325">
        <v>0</v>
      </c>
    </row>
    <row r="673" spans="1:25" x14ac:dyDescent="0.3">
      <c r="E673" s="250" t="s">
        <v>1628</v>
      </c>
      <c r="F673" s="317">
        <v>4310017</v>
      </c>
      <c r="G673" s="318"/>
      <c r="H673" s="319"/>
      <c r="I673" s="320"/>
      <c r="J673" s="337">
        <v>0</v>
      </c>
      <c r="K673" s="321">
        <v>0</v>
      </c>
      <c r="L673" s="321">
        <v>0</v>
      </c>
      <c r="M673" s="321">
        <v>0</v>
      </c>
      <c r="N673" s="321">
        <v>0</v>
      </c>
      <c r="O673" s="321">
        <v>0</v>
      </c>
      <c r="P673" s="321">
        <v>0</v>
      </c>
      <c r="Q673" s="321">
        <v>0</v>
      </c>
      <c r="R673" s="321">
        <v>0</v>
      </c>
      <c r="S673" s="321">
        <v>0</v>
      </c>
      <c r="T673" s="321">
        <v>0</v>
      </c>
      <c r="U673" s="322">
        <v>0</v>
      </c>
      <c r="V673" s="323">
        <v>0</v>
      </c>
      <c r="W673" s="303"/>
      <c r="X673" s="324">
        <v>0</v>
      </c>
      <c r="Y673" s="325">
        <v>0</v>
      </c>
    </row>
    <row r="674" spans="1:25" x14ac:dyDescent="0.3">
      <c r="E674" s="250" t="s">
        <v>1629</v>
      </c>
      <c r="F674" s="317">
        <v>4310018</v>
      </c>
      <c r="G674" s="318"/>
      <c r="H674" s="319"/>
      <c r="I674" s="320"/>
      <c r="J674" s="337">
        <v>0</v>
      </c>
      <c r="K674" s="321">
        <v>0</v>
      </c>
      <c r="L674" s="321">
        <v>0</v>
      </c>
      <c r="M674" s="321">
        <v>0</v>
      </c>
      <c r="N674" s="321">
        <v>0</v>
      </c>
      <c r="O674" s="321">
        <v>0</v>
      </c>
      <c r="P674" s="321">
        <v>0</v>
      </c>
      <c r="Q674" s="321">
        <v>0</v>
      </c>
      <c r="R674" s="321">
        <v>0</v>
      </c>
      <c r="S674" s="321">
        <v>0</v>
      </c>
      <c r="T674" s="321">
        <v>0</v>
      </c>
      <c r="U674" s="322">
        <v>0</v>
      </c>
      <c r="V674" s="323">
        <v>0</v>
      </c>
      <c r="W674" s="303"/>
      <c r="X674" s="324">
        <v>0</v>
      </c>
      <c r="Y674" s="325">
        <v>0</v>
      </c>
    </row>
    <row r="675" spans="1:25" x14ac:dyDescent="0.3">
      <c r="E675" s="250" t="s">
        <v>1630</v>
      </c>
      <c r="F675" s="317">
        <v>4310019</v>
      </c>
      <c r="G675" s="318"/>
      <c r="H675" s="319"/>
      <c r="I675" s="320"/>
      <c r="J675" s="337">
        <v>0</v>
      </c>
      <c r="K675" s="321">
        <v>0</v>
      </c>
      <c r="L675" s="321">
        <v>0</v>
      </c>
      <c r="M675" s="321">
        <v>0</v>
      </c>
      <c r="N675" s="321">
        <v>0</v>
      </c>
      <c r="O675" s="321">
        <v>0</v>
      </c>
      <c r="P675" s="321">
        <v>0</v>
      </c>
      <c r="Q675" s="321">
        <v>0</v>
      </c>
      <c r="R675" s="321">
        <v>0</v>
      </c>
      <c r="S675" s="321">
        <v>0</v>
      </c>
      <c r="T675" s="321">
        <v>0</v>
      </c>
      <c r="U675" s="322">
        <v>0</v>
      </c>
      <c r="V675" s="323">
        <v>0</v>
      </c>
      <c r="W675" s="303"/>
      <c r="X675" s="324">
        <v>0</v>
      </c>
      <c r="Y675" s="325">
        <v>0</v>
      </c>
    </row>
    <row r="676" spans="1:25" x14ac:dyDescent="0.3">
      <c r="E676" s="250" t="s">
        <v>1631</v>
      </c>
      <c r="F676" s="317">
        <v>4310020</v>
      </c>
      <c r="G676" s="318"/>
      <c r="H676" s="319"/>
      <c r="I676" s="320"/>
      <c r="J676" s="337">
        <v>0</v>
      </c>
      <c r="K676" s="321">
        <v>0</v>
      </c>
      <c r="L676" s="321">
        <v>0</v>
      </c>
      <c r="M676" s="321">
        <v>0</v>
      </c>
      <c r="N676" s="321">
        <v>0</v>
      </c>
      <c r="O676" s="321">
        <v>0</v>
      </c>
      <c r="P676" s="321">
        <v>0</v>
      </c>
      <c r="Q676" s="321">
        <v>0</v>
      </c>
      <c r="R676" s="321">
        <v>0</v>
      </c>
      <c r="S676" s="321">
        <v>0</v>
      </c>
      <c r="T676" s="321">
        <v>0</v>
      </c>
      <c r="U676" s="322">
        <v>0</v>
      </c>
      <c r="V676" s="323">
        <v>0</v>
      </c>
      <c r="W676" s="303"/>
      <c r="X676" s="324">
        <v>0</v>
      </c>
      <c r="Y676" s="325">
        <v>0</v>
      </c>
    </row>
    <row r="677" spans="1:25" x14ac:dyDescent="0.3">
      <c r="E677" s="250" t="s">
        <v>1632</v>
      </c>
      <c r="F677" s="317">
        <v>4310021</v>
      </c>
      <c r="G677" s="318"/>
      <c r="H677" s="319"/>
      <c r="I677" s="320"/>
      <c r="J677" s="337">
        <v>0</v>
      </c>
      <c r="K677" s="321">
        <v>0</v>
      </c>
      <c r="L677" s="321">
        <v>0</v>
      </c>
      <c r="M677" s="321">
        <v>0</v>
      </c>
      <c r="N677" s="321">
        <v>0</v>
      </c>
      <c r="O677" s="321">
        <v>0</v>
      </c>
      <c r="P677" s="321">
        <v>0</v>
      </c>
      <c r="Q677" s="321">
        <v>0</v>
      </c>
      <c r="R677" s="321">
        <v>0</v>
      </c>
      <c r="S677" s="321">
        <v>0</v>
      </c>
      <c r="T677" s="321">
        <v>0</v>
      </c>
      <c r="U677" s="322">
        <v>0</v>
      </c>
      <c r="V677" s="323">
        <v>0</v>
      </c>
      <c r="W677" s="303"/>
      <c r="X677" s="324">
        <v>0</v>
      </c>
      <c r="Y677" s="325">
        <v>0</v>
      </c>
    </row>
    <row r="678" spans="1:25" x14ac:dyDescent="0.3">
      <c r="A678" s="361"/>
      <c r="B678" s="361"/>
      <c r="C678" s="361"/>
      <c r="D678" s="361"/>
      <c r="E678" s="326" t="s">
        <v>1633</v>
      </c>
      <c r="F678" s="351"/>
      <c r="G678" s="352"/>
      <c r="H678" s="353"/>
      <c r="I678" s="354"/>
      <c r="J678" s="362">
        <v>0</v>
      </c>
      <c r="K678" s="355">
        <v>0</v>
      </c>
      <c r="L678" s="355">
        <v>0</v>
      </c>
      <c r="M678" s="355">
        <v>0</v>
      </c>
      <c r="N678" s="355">
        <v>0</v>
      </c>
      <c r="O678" s="355">
        <v>0</v>
      </c>
      <c r="P678" s="355">
        <v>0</v>
      </c>
      <c r="Q678" s="355">
        <v>0</v>
      </c>
      <c r="R678" s="355">
        <v>0</v>
      </c>
      <c r="S678" s="355">
        <v>0</v>
      </c>
      <c r="T678" s="355">
        <v>0</v>
      </c>
      <c r="U678" s="356">
        <v>0</v>
      </c>
      <c r="V678" s="357">
        <v>0</v>
      </c>
      <c r="W678" s="358"/>
      <c r="X678" s="359">
        <v>0</v>
      </c>
      <c r="Y678" s="360">
        <v>0</v>
      </c>
    </row>
    <row r="679" spans="1:25" x14ac:dyDescent="0.3">
      <c r="A679" s="361"/>
      <c r="B679" s="361"/>
      <c r="C679" s="361"/>
      <c r="D679" s="361"/>
      <c r="E679" s="326" t="s">
        <v>1634</v>
      </c>
      <c r="F679" s="351"/>
      <c r="G679" s="352"/>
      <c r="H679" s="353"/>
      <c r="I679" s="354"/>
      <c r="J679" s="362">
        <v>0</v>
      </c>
      <c r="K679" s="355">
        <v>0</v>
      </c>
      <c r="L679" s="355">
        <v>0</v>
      </c>
      <c r="M679" s="355">
        <v>0</v>
      </c>
      <c r="N679" s="355">
        <v>0</v>
      </c>
      <c r="O679" s="355">
        <v>0</v>
      </c>
      <c r="P679" s="355">
        <v>0</v>
      </c>
      <c r="Q679" s="355">
        <v>0</v>
      </c>
      <c r="R679" s="355">
        <v>0</v>
      </c>
      <c r="S679" s="355">
        <v>0</v>
      </c>
      <c r="T679" s="355">
        <v>0</v>
      </c>
      <c r="U679" s="356">
        <v>0</v>
      </c>
      <c r="V679" s="357">
        <v>0</v>
      </c>
      <c r="W679" s="358"/>
      <c r="X679" s="359">
        <v>0</v>
      </c>
      <c r="Y679" s="360">
        <v>0</v>
      </c>
    </row>
    <row r="680" spans="1:25" x14ac:dyDescent="0.3">
      <c r="A680" s="361"/>
      <c r="B680" s="361"/>
      <c r="C680" s="361"/>
      <c r="D680" s="361"/>
      <c r="E680" s="326" t="s">
        <v>1635</v>
      </c>
      <c r="F680" s="351"/>
      <c r="G680" s="352"/>
      <c r="H680" s="353"/>
      <c r="I680" s="354"/>
      <c r="J680" s="362">
        <v>0</v>
      </c>
      <c r="K680" s="355">
        <v>0</v>
      </c>
      <c r="L680" s="355">
        <v>0</v>
      </c>
      <c r="M680" s="355">
        <v>0</v>
      </c>
      <c r="N680" s="355">
        <v>0</v>
      </c>
      <c r="O680" s="355">
        <v>0</v>
      </c>
      <c r="P680" s="355">
        <v>0</v>
      </c>
      <c r="Q680" s="355">
        <v>0</v>
      </c>
      <c r="R680" s="355">
        <v>0</v>
      </c>
      <c r="S680" s="355">
        <v>0</v>
      </c>
      <c r="T680" s="355">
        <v>0</v>
      </c>
      <c r="U680" s="356">
        <v>0</v>
      </c>
      <c r="V680" s="357">
        <v>0</v>
      </c>
      <c r="W680" s="358"/>
      <c r="X680" s="359">
        <v>0</v>
      </c>
      <c r="Y680" s="360">
        <v>0</v>
      </c>
    </row>
    <row r="681" spans="1:25" x14ac:dyDescent="0.3">
      <c r="A681" s="233"/>
      <c r="B681" s="234" t="s">
        <v>70</v>
      </c>
      <c r="D681" s="293" t="s">
        <v>1636</v>
      </c>
      <c r="E681" s="294"/>
      <c r="F681" s="295" t="s">
        <v>1637</v>
      </c>
      <c r="G681" s="296"/>
      <c r="H681" s="297"/>
      <c r="I681" s="298"/>
      <c r="J681" s="299">
        <v>0</v>
      </c>
      <c r="K681" s="300">
        <v>0</v>
      </c>
      <c r="L681" s="300">
        <v>0</v>
      </c>
      <c r="M681" s="300">
        <v>0</v>
      </c>
      <c r="N681" s="300">
        <v>0</v>
      </c>
      <c r="O681" s="300">
        <v>0</v>
      </c>
      <c r="P681" s="300">
        <v>0</v>
      </c>
      <c r="Q681" s="300">
        <v>0</v>
      </c>
      <c r="R681" s="300">
        <v>0</v>
      </c>
      <c r="S681" s="300">
        <v>0</v>
      </c>
      <c r="T681" s="300">
        <v>0</v>
      </c>
      <c r="U681" s="301">
        <v>0</v>
      </c>
      <c r="V681" s="302">
        <v>0</v>
      </c>
      <c r="W681" s="303"/>
      <c r="X681" s="304">
        <v>0</v>
      </c>
      <c r="Y681" s="305">
        <v>0</v>
      </c>
    </row>
    <row r="682" spans="1:25" x14ac:dyDescent="0.3">
      <c r="E682" s="250" t="s">
        <v>1638</v>
      </c>
      <c r="F682" s="317">
        <v>4311001</v>
      </c>
      <c r="G682" s="318"/>
      <c r="H682" s="319"/>
      <c r="I682" s="320"/>
      <c r="J682" s="337">
        <v>0</v>
      </c>
      <c r="K682" s="321">
        <v>0</v>
      </c>
      <c r="L682" s="321">
        <v>0</v>
      </c>
      <c r="M682" s="321">
        <v>0</v>
      </c>
      <c r="N682" s="321">
        <v>0</v>
      </c>
      <c r="O682" s="321">
        <v>0</v>
      </c>
      <c r="P682" s="321">
        <v>0</v>
      </c>
      <c r="Q682" s="321">
        <v>0</v>
      </c>
      <c r="R682" s="321">
        <v>0</v>
      </c>
      <c r="S682" s="321">
        <v>0</v>
      </c>
      <c r="T682" s="321">
        <v>0</v>
      </c>
      <c r="U682" s="322">
        <v>0</v>
      </c>
      <c r="V682" s="323">
        <v>0</v>
      </c>
      <c r="W682" s="303"/>
      <c r="X682" s="324">
        <v>0</v>
      </c>
      <c r="Y682" s="325">
        <v>0</v>
      </c>
    </row>
    <row r="683" spans="1:25" x14ac:dyDescent="0.3">
      <c r="E683" s="250" t="s">
        <v>1639</v>
      </c>
      <c r="F683" s="317">
        <v>4311002</v>
      </c>
      <c r="G683" s="318"/>
      <c r="H683" s="319"/>
      <c r="I683" s="320"/>
      <c r="J683" s="337">
        <v>0</v>
      </c>
      <c r="K683" s="321">
        <v>0</v>
      </c>
      <c r="L683" s="321">
        <v>0</v>
      </c>
      <c r="M683" s="321">
        <v>0</v>
      </c>
      <c r="N683" s="321">
        <v>0</v>
      </c>
      <c r="O683" s="321">
        <v>0</v>
      </c>
      <c r="P683" s="321">
        <v>0</v>
      </c>
      <c r="Q683" s="321">
        <v>0</v>
      </c>
      <c r="R683" s="321">
        <v>0</v>
      </c>
      <c r="S683" s="321">
        <v>0</v>
      </c>
      <c r="T683" s="321">
        <v>0</v>
      </c>
      <c r="U683" s="322">
        <v>0</v>
      </c>
      <c r="V683" s="323">
        <v>0</v>
      </c>
      <c r="W683" s="303"/>
      <c r="X683" s="324">
        <v>0</v>
      </c>
      <c r="Y683" s="325">
        <v>0</v>
      </c>
    </row>
    <row r="684" spans="1:25" x14ac:dyDescent="0.3">
      <c r="E684" s="250" t="s">
        <v>1640</v>
      </c>
      <c r="F684" s="317">
        <v>4311003</v>
      </c>
      <c r="G684" s="318"/>
      <c r="H684" s="319"/>
      <c r="I684" s="320"/>
      <c r="J684" s="337">
        <v>0</v>
      </c>
      <c r="K684" s="321">
        <v>0</v>
      </c>
      <c r="L684" s="321">
        <v>0</v>
      </c>
      <c r="M684" s="321">
        <v>0</v>
      </c>
      <c r="N684" s="321">
        <v>0</v>
      </c>
      <c r="O684" s="321">
        <v>0</v>
      </c>
      <c r="P684" s="321">
        <v>0</v>
      </c>
      <c r="Q684" s="321">
        <v>0</v>
      </c>
      <c r="R684" s="321">
        <v>0</v>
      </c>
      <c r="S684" s="321">
        <v>0</v>
      </c>
      <c r="T684" s="321">
        <v>0</v>
      </c>
      <c r="U684" s="322">
        <v>0</v>
      </c>
      <c r="V684" s="323">
        <v>0</v>
      </c>
      <c r="W684" s="303"/>
      <c r="X684" s="324">
        <v>0</v>
      </c>
      <c r="Y684" s="325">
        <v>0</v>
      </c>
    </row>
    <row r="685" spans="1:25" x14ac:dyDescent="0.3">
      <c r="E685" s="250" t="s">
        <v>1641</v>
      </c>
      <c r="F685" s="317">
        <v>4311004</v>
      </c>
      <c r="G685" s="318"/>
      <c r="H685" s="319"/>
      <c r="I685" s="320"/>
      <c r="J685" s="337">
        <v>0</v>
      </c>
      <c r="K685" s="321">
        <v>0</v>
      </c>
      <c r="L685" s="321">
        <v>0</v>
      </c>
      <c r="M685" s="321">
        <v>0</v>
      </c>
      <c r="N685" s="321">
        <v>0</v>
      </c>
      <c r="O685" s="321">
        <v>0</v>
      </c>
      <c r="P685" s="321">
        <v>0</v>
      </c>
      <c r="Q685" s="321">
        <v>0</v>
      </c>
      <c r="R685" s="321">
        <v>0</v>
      </c>
      <c r="S685" s="321">
        <v>0</v>
      </c>
      <c r="T685" s="321">
        <v>0</v>
      </c>
      <c r="U685" s="322">
        <v>0</v>
      </c>
      <c r="V685" s="323">
        <v>0</v>
      </c>
      <c r="W685" s="303"/>
      <c r="X685" s="324">
        <v>0</v>
      </c>
      <c r="Y685" s="325">
        <v>0</v>
      </c>
    </row>
    <row r="686" spans="1:25" x14ac:dyDescent="0.3">
      <c r="A686" s="326"/>
      <c r="B686" s="326"/>
      <c r="C686" s="326"/>
      <c r="D686" s="326"/>
      <c r="E686" s="326" t="s">
        <v>1642</v>
      </c>
      <c r="F686" s="336"/>
      <c r="G686" s="327"/>
      <c r="H686" s="328"/>
      <c r="I686" s="329"/>
      <c r="J686" s="338">
        <v>0</v>
      </c>
      <c r="K686" s="330">
        <v>0</v>
      </c>
      <c r="L686" s="330">
        <v>0</v>
      </c>
      <c r="M686" s="330">
        <v>0</v>
      </c>
      <c r="N686" s="330">
        <v>0</v>
      </c>
      <c r="O686" s="330">
        <v>0</v>
      </c>
      <c r="P686" s="330">
        <v>0</v>
      </c>
      <c r="Q686" s="330">
        <v>0</v>
      </c>
      <c r="R686" s="330">
        <v>0</v>
      </c>
      <c r="S686" s="330">
        <v>0</v>
      </c>
      <c r="T686" s="330">
        <v>0</v>
      </c>
      <c r="U686" s="331">
        <v>0</v>
      </c>
      <c r="V686" s="332">
        <v>0</v>
      </c>
      <c r="W686" s="333"/>
      <c r="X686" s="334">
        <v>0</v>
      </c>
      <c r="Y686" s="335">
        <v>0</v>
      </c>
    </row>
    <row r="687" spans="1:25" x14ac:dyDescent="0.3">
      <c r="A687" s="326"/>
      <c r="B687" s="326"/>
      <c r="C687" s="326"/>
      <c r="D687" s="326"/>
      <c r="E687" s="326" t="s">
        <v>1643</v>
      </c>
      <c r="F687" s="336"/>
      <c r="G687" s="327"/>
      <c r="H687" s="328"/>
      <c r="I687" s="329"/>
      <c r="J687" s="338">
        <v>0</v>
      </c>
      <c r="K687" s="330">
        <v>0</v>
      </c>
      <c r="L687" s="330">
        <v>0</v>
      </c>
      <c r="M687" s="330">
        <v>0</v>
      </c>
      <c r="N687" s="330">
        <v>0</v>
      </c>
      <c r="O687" s="330">
        <v>0</v>
      </c>
      <c r="P687" s="330">
        <v>0</v>
      </c>
      <c r="Q687" s="330">
        <v>0</v>
      </c>
      <c r="R687" s="330">
        <v>0</v>
      </c>
      <c r="S687" s="330">
        <v>0</v>
      </c>
      <c r="T687" s="330">
        <v>0</v>
      </c>
      <c r="U687" s="331">
        <v>0</v>
      </c>
      <c r="V687" s="332">
        <v>0</v>
      </c>
      <c r="W687" s="333"/>
      <c r="X687" s="334">
        <v>0</v>
      </c>
      <c r="Y687" s="335">
        <v>0</v>
      </c>
    </row>
    <row r="688" spans="1:25" x14ac:dyDescent="0.3">
      <c r="A688" s="326"/>
      <c r="B688" s="326"/>
      <c r="C688" s="326"/>
      <c r="D688" s="326"/>
      <c r="E688" s="326" t="s">
        <v>1644</v>
      </c>
      <c r="F688" s="336"/>
      <c r="G688" s="327"/>
      <c r="H688" s="328"/>
      <c r="I688" s="329"/>
      <c r="J688" s="338">
        <v>0</v>
      </c>
      <c r="K688" s="330">
        <v>0</v>
      </c>
      <c r="L688" s="330">
        <v>0</v>
      </c>
      <c r="M688" s="330">
        <v>0</v>
      </c>
      <c r="N688" s="330">
        <v>0</v>
      </c>
      <c r="O688" s="330">
        <v>0</v>
      </c>
      <c r="P688" s="330">
        <v>0</v>
      </c>
      <c r="Q688" s="330">
        <v>0</v>
      </c>
      <c r="R688" s="330">
        <v>0</v>
      </c>
      <c r="S688" s="330">
        <v>0</v>
      </c>
      <c r="T688" s="330">
        <v>0</v>
      </c>
      <c r="U688" s="331">
        <v>0</v>
      </c>
      <c r="V688" s="332">
        <v>0</v>
      </c>
      <c r="W688" s="333"/>
      <c r="X688" s="334">
        <v>0</v>
      </c>
      <c r="Y688" s="335">
        <v>0</v>
      </c>
    </row>
    <row r="689" spans="1:25" x14ac:dyDescent="0.3">
      <c r="A689" s="233"/>
      <c r="B689" s="234" t="s">
        <v>70</v>
      </c>
      <c r="D689" s="293" t="s">
        <v>1645</v>
      </c>
      <c r="E689" s="294"/>
      <c r="F689" s="295" t="s">
        <v>1646</v>
      </c>
      <c r="G689" s="296"/>
      <c r="H689" s="297"/>
      <c r="I689" s="298"/>
      <c r="J689" s="299">
        <v>0</v>
      </c>
      <c r="K689" s="300">
        <v>0</v>
      </c>
      <c r="L689" s="300">
        <v>0</v>
      </c>
      <c r="M689" s="300">
        <v>0</v>
      </c>
      <c r="N689" s="300">
        <v>0</v>
      </c>
      <c r="O689" s="300">
        <v>0</v>
      </c>
      <c r="P689" s="300">
        <v>0</v>
      </c>
      <c r="Q689" s="300">
        <v>0</v>
      </c>
      <c r="R689" s="300">
        <v>0</v>
      </c>
      <c r="S689" s="300">
        <v>0</v>
      </c>
      <c r="T689" s="300">
        <v>0</v>
      </c>
      <c r="U689" s="301">
        <v>0</v>
      </c>
      <c r="V689" s="302">
        <v>0</v>
      </c>
      <c r="W689" s="303"/>
      <c r="X689" s="304">
        <v>0</v>
      </c>
      <c r="Y689" s="305">
        <v>0</v>
      </c>
    </row>
    <row r="690" spans="1:25" x14ac:dyDescent="0.3">
      <c r="E690" s="250" t="s">
        <v>1647</v>
      </c>
      <c r="F690" s="317">
        <v>4312001</v>
      </c>
      <c r="G690" s="318"/>
      <c r="H690" s="319"/>
      <c r="I690" s="320"/>
      <c r="J690" s="337">
        <v>0</v>
      </c>
      <c r="K690" s="321">
        <v>0</v>
      </c>
      <c r="L690" s="321">
        <v>0</v>
      </c>
      <c r="M690" s="321">
        <v>0</v>
      </c>
      <c r="N690" s="321">
        <v>0</v>
      </c>
      <c r="O690" s="321">
        <v>0</v>
      </c>
      <c r="P690" s="321">
        <v>0</v>
      </c>
      <c r="Q690" s="321">
        <v>0</v>
      </c>
      <c r="R690" s="321">
        <v>0</v>
      </c>
      <c r="S690" s="321">
        <v>0</v>
      </c>
      <c r="T690" s="321">
        <v>0</v>
      </c>
      <c r="U690" s="322">
        <v>0</v>
      </c>
      <c r="V690" s="323">
        <v>0</v>
      </c>
      <c r="W690" s="303"/>
      <c r="X690" s="324">
        <v>0</v>
      </c>
      <c r="Y690" s="325">
        <v>0</v>
      </c>
    </row>
    <row r="691" spans="1:25" x14ac:dyDescent="0.3">
      <c r="E691" s="250" t="s">
        <v>1648</v>
      </c>
      <c r="F691" s="317">
        <v>4312002</v>
      </c>
      <c r="G691" s="318"/>
      <c r="H691" s="319">
        <v>5101670101</v>
      </c>
      <c r="I691" s="320"/>
      <c r="J691" s="337">
        <v>0</v>
      </c>
      <c r="K691" s="321">
        <v>0</v>
      </c>
      <c r="L691" s="321">
        <v>0</v>
      </c>
      <c r="M691" s="321">
        <v>0</v>
      </c>
      <c r="N691" s="321">
        <v>0</v>
      </c>
      <c r="O691" s="321">
        <v>0</v>
      </c>
      <c r="P691" s="321">
        <v>0</v>
      </c>
      <c r="Q691" s="321">
        <v>0</v>
      </c>
      <c r="R691" s="321">
        <v>0</v>
      </c>
      <c r="S691" s="321">
        <v>0</v>
      </c>
      <c r="T691" s="321">
        <v>0</v>
      </c>
      <c r="U691" s="322">
        <v>0</v>
      </c>
      <c r="V691" s="323">
        <v>0</v>
      </c>
      <c r="W691" s="303"/>
      <c r="X691" s="324">
        <v>0</v>
      </c>
      <c r="Y691" s="325">
        <v>0</v>
      </c>
    </row>
    <row r="692" spans="1:25" x14ac:dyDescent="0.3">
      <c r="E692" s="250" t="s">
        <v>1649</v>
      </c>
      <c r="F692" s="317">
        <v>4312003</v>
      </c>
      <c r="G692" s="318"/>
      <c r="H692" s="319"/>
      <c r="I692" s="320"/>
      <c r="J692" s="337">
        <v>0</v>
      </c>
      <c r="K692" s="321">
        <v>0</v>
      </c>
      <c r="L692" s="321">
        <v>0</v>
      </c>
      <c r="M692" s="321">
        <v>0</v>
      </c>
      <c r="N692" s="321">
        <v>0</v>
      </c>
      <c r="O692" s="321">
        <v>0</v>
      </c>
      <c r="P692" s="321">
        <v>0</v>
      </c>
      <c r="Q692" s="321">
        <v>0</v>
      </c>
      <c r="R692" s="321">
        <v>0</v>
      </c>
      <c r="S692" s="321">
        <v>0</v>
      </c>
      <c r="T692" s="321">
        <v>0</v>
      </c>
      <c r="U692" s="322">
        <v>0</v>
      </c>
      <c r="V692" s="323">
        <v>0</v>
      </c>
      <c r="W692" s="303"/>
      <c r="X692" s="324">
        <v>0</v>
      </c>
      <c r="Y692" s="325">
        <v>0</v>
      </c>
    </row>
    <row r="693" spans="1:25" x14ac:dyDescent="0.3">
      <c r="E693" s="250" t="s">
        <v>1650</v>
      </c>
      <c r="F693" s="317">
        <v>4312004</v>
      </c>
      <c r="G693" s="318"/>
      <c r="H693" s="319"/>
      <c r="I693" s="320"/>
      <c r="J693" s="337">
        <v>0</v>
      </c>
      <c r="K693" s="321">
        <v>0</v>
      </c>
      <c r="L693" s="321">
        <v>0</v>
      </c>
      <c r="M693" s="321">
        <v>0</v>
      </c>
      <c r="N693" s="321">
        <v>0</v>
      </c>
      <c r="O693" s="321">
        <v>0</v>
      </c>
      <c r="P693" s="321">
        <v>0</v>
      </c>
      <c r="Q693" s="321">
        <v>0</v>
      </c>
      <c r="R693" s="321">
        <v>0</v>
      </c>
      <c r="S693" s="321">
        <v>0</v>
      </c>
      <c r="T693" s="321">
        <v>0</v>
      </c>
      <c r="U693" s="322">
        <v>0</v>
      </c>
      <c r="V693" s="323">
        <v>0</v>
      </c>
      <c r="W693" s="303"/>
      <c r="X693" s="324">
        <v>0</v>
      </c>
      <c r="Y693" s="325">
        <v>0</v>
      </c>
    </row>
    <row r="694" spans="1:25" x14ac:dyDescent="0.3">
      <c r="A694" s="326"/>
      <c r="B694" s="326"/>
      <c r="C694" s="326"/>
      <c r="D694" s="326"/>
      <c r="E694" s="326" t="s">
        <v>1651</v>
      </c>
      <c r="F694" s="336"/>
      <c r="G694" s="327"/>
      <c r="H694" s="328"/>
      <c r="I694" s="329"/>
      <c r="J694" s="338">
        <v>0</v>
      </c>
      <c r="K694" s="330">
        <v>0</v>
      </c>
      <c r="L694" s="330">
        <v>0</v>
      </c>
      <c r="M694" s="330">
        <v>0</v>
      </c>
      <c r="N694" s="330">
        <v>0</v>
      </c>
      <c r="O694" s="330">
        <v>0</v>
      </c>
      <c r="P694" s="330">
        <v>0</v>
      </c>
      <c r="Q694" s="330">
        <v>0</v>
      </c>
      <c r="R694" s="330">
        <v>0</v>
      </c>
      <c r="S694" s="330">
        <v>0</v>
      </c>
      <c r="T694" s="330">
        <v>0</v>
      </c>
      <c r="U694" s="331">
        <v>0</v>
      </c>
      <c r="V694" s="332">
        <v>0</v>
      </c>
      <c r="W694" s="333"/>
      <c r="X694" s="334">
        <v>0</v>
      </c>
      <c r="Y694" s="335">
        <v>0</v>
      </c>
    </row>
    <row r="695" spans="1:25" x14ac:dyDescent="0.3">
      <c r="A695" s="326"/>
      <c r="B695" s="326"/>
      <c r="C695" s="326"/>
      <c r="D695" s="326"/>
      <c r="E695" s="326" t="s">
        <v>1652</v>
      </c>
      <c r="F695" s="336"/>
      <c r="G695" s="327"/>
      <c r="H695" s="328"/>
      <c r="I695" s="329"/>
      <c r="J695" s="338">
        <v>0</v>
      </c>
      <c r="K695" s="330">
        <v>0</v>
      </c>
      <c r="L695" s="330">
        <v>0</v>
      </c>
      <c r="M695" s="330">
        <v>0</v>
      </c>
      <c r="N695" s="330">
        <v>0</v>
      </c>
      <c r="O695" s="330">
        <v>0</v>
      </c>
      <c r="P695" s="330">
        <v>0</v>
      </c>
      <c r="Q695" s="330">
        <v>0</v>
      </c>
      <c r="R695" s="330">
        <v>0</v>
      </c>
      <c r="S695" s="330">
        <v>0</v>
      </c>
      <c r="T695" s="330">
        <v>0</v>
      </c>
      <c r="U695" s="331">
        <v>0</v>
      </c>
      <c r="V695" s="332">
        <v>0</v>
      </c>
      <c r="W695" s="333"/>
      <c r="X695" s="334">
        <v>0</v>
      </c>
      <c r="Y695" s="335">
        <v>0</v>
      </c>
    </row>
    <row r="696" spans="1:25" x14ac:dyDescent="0.3">
      <c r="A696" s="326"/>
      <c r="B696" s="326"/>
      <c r="C696" s="326"/>
      <c r="D696" s="326"/>
      <c r="E696" s="326" t="s">
        <v>1653</v>
      </c>
      <c r="F696" s="336"/>
      <c r="G696" s="327"/>
      <c r="H696" s="328"/>
      <c r="I696" s="329"/>
      <c r="J696" s="338">
        <v>0</v>
      </c>
      <c r="K696" s="330">
        <v>0</v>
      </c>
      <c r="L696" s="330">
        <v>0</v>
      </c>
      <c r="M696" s="330">
        <v>0</v>
      </c>
      <c r="N696" s="330">
        <v>0</v>
      </c>
      <c r="O696" s="330">
        <v>0</v>
      </c>
      <c r="P696" s="330">
        <v>0</v>
      </c>
      <c r="Q696" s="330">
        <v>0</v>
      </c>
      <c r="R696" s="330">
        <v>0</v>
      </c>
      <c r="S696" s="330">
        <v>0</v>
      </c>
      <c r="T696" s="330">
        <v>0</v>
      </c>
      <c r="U696" s="331">
        <v>0</v>
      </c>
      <c r="V696" s="332">
        <v>0</v>
      </c>
      <c r="W696" s="333"/>
      <c r="X696" s="334">
        <v>0</v>
      </c>
      <c r="Y696" s="335">
        <v>0</v>
      </c>
    </row>
    <row r="697" spans="1:25" x14ac:dyDescent="0.3">
      <c r="D697" s="293" t="s">
        <v>1654</v>
      </c>
      <c r="E697" s="294"/>
      <c r="F697" s="295" t="s">
        <v>1655</v>
      </c>
      <c r="G697" s="296"/>
      <c r="H697" s="297"/>
      <c r="I697" s="298"/>
      <c r="J697" s="299">
        <v>0</v>
      </c>
      <c r="K697" s="300">
        <v>0</v>
      </c>
      <c r="L697" s="300">
        <v>0</v>
      </c>
      <c r="M697" s="300">
        <v>0</v>
      </c>
      <c r="N697" s="300">
        <v>0</v>
      </c>
      <c r="O697" s="300">
        <v>0</v>
      </c>
      <c r="P697" s="300">
        <v>0</v>
      </c>
      <c r="Q697" s="300">
        <v>0</v>
      </c>
      <c r="R697" s="300">
        <v>0</v>
      </c>
      <c r="S697" s="300">
        <v>0</v>
      </c>
      <c r="T697" s="300">
        <v>0</v>
      </c>
      <c r="U697" s="301">
        <v>0</v>
      </c>
      <c r="V697" s="302">
        <v>0</v>
      </c>
      <c r="W697" s="303"/>
      <c r="X697" s="304">
        <v>0</v>
      </c>
      <c r="Y697" s="305">
        <v>0</v>
      </c>
    </row>
    <row r="698" spans="1:25" x14ac:dyDescent="0.3">
      <c r="A698" s="233"/>
      <c r="B698" s="234" t="s">
        <v>45</v>
      </c>
      <c r="E698" s="339" t="s">
        <v>1656</v>
      </c>
      <c r="F698" s="340" t="s">
        <v>1657</v>
      </c>
      <c r="G698" s="341"/>
      <c r="H698" s="342"/>
      <c r="I698" s="343"/>
      <c r="J698" s="344">
        <v>0</v>
      </c>
      <c r="K698" s="345">
        <v>0</v>
      </c>
      <c r="L698" s="345">
        <v>0</v>
      </c>
      <c r="M698" s="345">
        <v>0</v>
      </c>
      <c r="N698" s="345">
        <v>0</v>
      </c>
      <c r="O698" s="345">
        <v>0</v>
      </c>
      <c r="P698" s="345">
        <v>0</v>
      </c>
      <c r="Q698" s="345">
        <v>0</v>
      </c>
      <c r="R698" s="345">
        <v>0</v>
      </c>
      <c r="S698" s="345">
        <v>0</v>
      </c>
      <c r="T698" s="345">
        <v>0</v>
      </c>
      <c r="U698" s="346">
        <v>0</v>
      </c>
      <c r="V698" s="347">
        <v>0</v>
      </c>
      <c r="W698" s="303"/>
      <c r="X698" s="348">
        <v>0</v>
      </c>
      <c r="Y698" s="349">
        <v>0</v>
      </c>
    </row>
    <row r="699" spans="1:25" x14ac:dyDescent="0.3">
      <c r="E699" s="250" t="s">
        <v>1658</v>
      </c>
      <c r="F699" s="317">
        <v>8950004</v>
      </c>
      <c r="G699" s="318"/>
      <c r="H699" s="319"/>
      <c r="I699" s="320"/>
      <c r="J699" s="337">
        <v>0</v>
      </c>
      <c r="K699" s="321">
        <v>0</v>
      </c>
      <c r="L699" s="321">
        <v>0</v>
      </c>
      <c r="M699" s="321">
        <v>0</v>
      </c>
      <c r="N699" s="321">
        <v>0</v>
      </c>
      <c r="O699" s="321">
        <v>0</v>
      </c>
      <c r="P699" s="321">
        <v>0</v>
      </c>
      <c r="Q699" s="321">
        <v>0</v>
      </c>
      <c r="R699" s="321">
        <v>0</v>
      </c>
      <c r="S699" s="321">
        <v>0</v>
      </c>
      <c r="T699" s="321">
        <v>0</v>
      </c>
      <c r="U699" s="322">
        <v>0</v>
      </c>
      <c r="V699" s="323">
        <v>0</v>
      </c>
      <c r="W699" s="303"/>
      <c r="X699" s="324">
        <v>0</v>
      </c>
      <c r="Y699" s="325">
        <v>0</v>
      </c>
    </row>
    <row r="700" spans="1:25" x14ac:dyDescent="0.3">
      <c r="E700" s="250" t="s">
        <v>1659</v>
      </c>
      <c r="F700" s="317">
        <v>8950005</v>
      </c>
      <c r="G700" s="318"/>
      <c r="H700" s="319"/>
      <c r="I700" s="320"/>
      <c r="J700" s="337">
        <v>0</v>
      </c>
      <c r="K700" s="321">
        <v>0</v>
      </c>
      <c r="L700" s="321">
        <v>0</v>
      </c>
      <c r="M700" s="321">
        <v>0</v>
      </c>
      <c r="N700" s="321">
        <v>0</v>
      </c>
      <c r="O700" s="321">
        <v>0</v>
      </c>
      <c r="P700" s="321">
        <v>0</v>
      </c>
      <c r="Q700" s="321">
        <v>0</v>
      </c>
      <c r="R700" s="321">
        <v>0</v>
      </c>
      <c r="S700" s="321">
        <v>0</v>
      </c>
      <c r="T700" s="321">
        <v>0</v>
      </c>
      <c r="U700" s="322">
        <v>0</v>
      </c>
      <c r="V700" s="323">
        <v>0</v>
      </c>
      <c r="W700" s="303"/>
      <c r="X700" s="324">
        <v>0</v>
      </c>
      <c r="Y700" s="325">
        <v>0</v>
      </c>
    </row>
    <row r="701" spans="1:25" x14ac:dyDescent="0.3">
      <c r="E701" s="250" t="s">
        <v>1660</v>
      </c>
      <c r="F701" s="317">
        <v>8950006</v>
      </c>
      <c r="G701" s="318"/>
      <c r="H701" s="319"/>
      <c r="I701" s="320"/>
      <c r="J701" s="337">
        <v>0</v>
      </c>
      <c r="K701" s="321">
        <v>0</v>
      </c>
      <c r="L701" s="321">
        <v>0</v>
      </c>
      <c r="M701" s="321">
        <v>0</v>
      </c>
      <c r="N701" s="321">
        <v>0</v>
      </c>
      <c r="O701" s="321">
        <v>0</v>
      </c>
      <c r="P701" s="321">
        <v>0</v>
      </c>
      <c r="Q701" s="321">
        <v>0</v>
      </c>
      <c r="R701" s="321">
        <v>0</v>
      </c>
      <c r="S701" s="321">
        <v>0</v>
      </c>
      <c r="T701" s="321">
        <v>0</v>
      </c>
      <c r="U701" s="322">
        <v>0</v>
      </c>
      <c r="V701" s="323">
        <v>0</v>
      </c>
      <c r="W701" s="303"/>
      <c r="X701" s="324">
        <v>0</v>
      </c>
      <c r="Y701" s="325">
        <v>0</v>
      </c>
    </row>
    <row r="702" spans="1:25" x14ac:dyDescent="0.3">
      <c r="E702" s="250" t="s">
        <v>1661</v>
      </c>
      <c r="F702" s="317">
        <v>8950012</v>
      </c>
      <c r="G702" s="318"/>
      <c r="H702" s="319"/>
      <c r="I702" s="320"/>
      <c r="J702" s="337">
        <v>0</v>
      </c>
      <c r="K702" s="321">
        <v>0</v>
      </c>
      <c r="L702" s="321">
        <v>0</v>
      </c>
      <c r="M702" s="321">
        <v>0</v>
      </c>
      <c r="N702" s="321">
        <v>0</v>
      </c>
      <c r="O702" s="321">
        <v>0</v>
      </c>
      <c r="P702" s="321">
        <v>0</v>
      </c>
      <c r="Q702" s="321">
        <v>0</v>
      </c>
      <c r="R702" s="321">
        <v>0</v>
      </c>
      <c r="S702" s="321">
        <v>0</v>
      </c>
      <c r="T702" s="321">
        <v>0</v>
      </c>
      <c r="U702" s="322">
        <v>0</v>
      </c>
      <c r="V702" s="323">
        <v>0</v>
      </c>
      <c r="W702" s="303"/>
      <c r="X702" s="324">
        <v>0</v>
      </c>
      <c r="Y702" s="325">
        <v>0</v>
      </c>
    </row>
    <row r="703" spans="1:25" x14ac:dyDescent="0.3">
      <c r="E703" s="250" t="s">
        <v>1662</v>
      </c>
      <c r="F703" s="317">
        <v>8950013</v>
      </c>
      <c r="G703" s="318"/>
      <c r="H703" s="319"/>
      <c r="I703" s="320"/>
      <c r="J703" s="337">
        <v>0</v>
      </c>
      <c r="K703" s="321">
        <v>0</v>
      </c>
      <c r="L703" s="321">
        <v>0</v>
      </c>
      <c r="M703" s="321">
        <v>0</v>
      </c>
      <c r="N703" s="321">
        <v>0</v>
      </c>
      <c r="O703" s="321">
        <v>0</v>
      </c>
      <c r="P703" s="321">
        <v>0</v>
      </c>
      <c r="Q703" s="321">
        <v>0</v>
      </c>
      <c r="R703" s="321">
        <v>0</v>
      </c>
      <c r="S703" s="321">
        <v>0</v>
      </c>
      <c r="T703" s="321">
        <v>0</v>
      </c>
      <c r="U703" s="322">
        <v>0</v>
      </c>
      <c r="V703" s="323">
        <v>0</v>
      </c>
      <c r="W703" s="303"/>
      <c r="X703" s="324">
        <v>0</v>
      </c>
      <c r="Y703" s="325">
        <v>0</v>
      </c>
    </row>
    <row r="704" spans="1:25" x14ac:dyDescent="0.3">
      <c r="E704" s="250" t="s">
        <v>1663</v>
      </c>
      <c r="F704" s="317">
        <v>8950017</v>
      </c>
      <c r="G704" s="318"/>
      <c r="H704" s="319"/>
      <c r="I704" s="320"/>
      <c r="J704" s="337">
        <v>0</v>
      </c>
      <c r="K704" s="321">
        <v>0</v>
      </c>
      <c r="L704" s="321">
        <v>0</v>
      </c>
      <c r="M704" s="321">
        <v>0</v>
      </c>
      <c r="N704" s="321">
        <v>0</v>
      </c>
      <c r="O704" s="321">
        <v>0</v>
      </c>
      <c r="P704" s="321">
        <v>0</v>
      </c>
      <c r="Q704" s="321">
        <v>0</v>
      </c>
      <c r="R704" s="321">
        <v>0</v>
      </c>
      <c r="S704" s="321">
        <v>0</v>
      </c>
      <c r="T704" s="321">
        <v>0</v>
      </c>
      <c r="U704" s="322">
        <v>0</v>
      </c>
      <c r="V704" s="323">
        <v>0</v>
      </c>
      <c r="W704" s="303"/>
      <c r="X704" s="324">
        <v>0</v>
      </c>
      <c r="Y704" s="325">
        <v>0</v>
      </c>
    </row>
    <row r="705" spans="1:25" x14ac:dyDescent="0.3">
      <c r="A705" s="326"/>
      <c r="B705" s="326"/>
      <c r="C705" s="326"/>
      <c r="D705" s="326"/>
      <c r="E705" s="326" t="s">
        <v>1664</v>
      </c>
      <c r="F705" s="336"/>
      <c r="G705" s="327"/>
      <c r="H705" s="328"/>
      <c r="I705" s="329"/>
      <c r="J705" s="338">
        <v>0</v>
      </c>
      <c r="K705" s="330">
        <v>0</v>
      </c>
      <c r="L705" s="330">
        <v>0</v>
      </c>
      <c r="M705" s="330">
        <v>0</v>
      </c>
      <c r="N705" s="330">
        <v>0</v>
      </c>
      <c r="O705" s="330">
        <v>0</v>
      </c>
      <c r="P705" s="330">
        <v>0</v>
      </c>
      <c r="Q705" s="330">
        <v>0</v>
      </c>
      <c r="R705" s="330">
        <v>0</v>
      </c>
      <c r="S705" s="330">
        <v>0</v>
      </c>
      <c r="T705" s="330">
        <v>0</v>
      </c>
      <c r="U705" s="331">
        <v>0</v>
      </c>
      <c r="V705" s="332">
        <v>0</v>
      </c>
      <c r="W705" s="333"/>
      <c r="X705" s="334">
        <v>0</v>
      </c>
      <c r="Y705" s="335">
        <v>0</v>
      </c>
    </row>
    <row r="706" spans="1:25" x14ac:dyDescent="0.3">
      <c r="A706" s="326"/>
      <c r="B706" s="326"/>
      <c r="C706" s="326"/>
      <c r="D706" s="326"/>
      <c r="E706" s="326" t="s">
        <v>1665</v>
      </c>
      <c r="F706" s="336"/>
      <c r="G706" s="327"/>
      <c r="H706" s="328"/>
      <c r="I706" s="329"/>
      <c r="J706" s="338">
        <v>0</v>
      </c>
      <c r="K706" s="330">
        <v>0</v>
      </c>
      <c r="L706" s="330">
        <v>0</v>
      </c>
      <c r="M706" s="330">
        <v>0</v>
      </c>
      <c r="N706" s="330">
        <v>0</v>
      </c>
      <c r="O706" s="330">
        <v>0</v>
      </c>
      <c r="P706" s="330">
        <v>0</v>
      </c>
      <c r="Q706" s="330">
        <v>0</v>
      </c>
      <c r="R706" s="330">
        <v>0</v>
      </c>
      <c r="S706" s="330">
        <v>0</v>
      </c>
      <c r="T706" s="330">
        <v>0</v>
      </c>
      <c r="U706" s="331">
        <v>0</v>
      </c>
      <c r="V706" s="332">
        <v>0</v>
      </c>
      <c r="W706" s="333"/>
      <c r="X706" s="334">
        <v>0</v>
      </c>
      <c r="Y706" s="335">
        <v>0</v>
      </c>
    </row>
    <row r="707" spans="1:25" x14ac:dyDescent="0.3">
      <c r="A707" s="326"/>
      <c r="B707" s="326"/>
      <c r="C707" s="326"/>
      <c r="D707" s="326"/>
      <c r="E707" s="326" t="s">
        <v>1666</v>
      </c>
      <c r="F707" s="336"/>
      <c r="G707" s="327"/>
      <c r="H707" s="328"/>
      <c r="I707" s="329"/>
      <c r="J707" s="338">
        <v>0</v>
      </c>
      <c r="K707" s="330">
        <v>0</v>
      </c>
      <c r="L707" s="330">
        <v>0</v>
      </c>
      <c r="M707" s="330">
        <v>0</v>
      </c>
      <c r="N707" s="330">
        <v>0</v>
      </c>
      <c r="O707" s="330">
        <v>0</v>
      </c>
      <c r="P707" s="330">
        <v>0</v>
      </c>
      <c r="Q707" s="330">
        <v>0</v>
      </c>
      <c r="R707" s="330">
        <v>0</v>
      </c>
      <c r="S707" s="330">
        <v>0</v>
      </c>
      <c r="T707" s="330">
        <v>0</v>
      </c>
      <c r="U707" s="331">
        <v>0</v>
      </c>
      <c r="V707" s="332">
        <v>0</v>
      </c>
      <c r="W707" s="333"/>
      <c r="X707" s="334">
        <v>0</v>
      </c>
      <c r="Y707" s="335">
        <v>0</v>
      </c>
    </row>
    <row r="708" spans="1:25" x14ac:dyDescent="0.3">
      <c r="E708" s="339" t="s">
        <v>1667</v>
      </c>
      <c r="F708" s="340" t="s">
        <v>1668</v>
      </c>
      <c r="G708" s="341"/>
      <c r="H708" s="342"/>
      <c r="I708" s="343"/>
      <c r="J708" s="344">
        <v>0</v>
      </c>
      <c r="K708" s="345">
        <v>0</v>
      </c>
      <c r="L708" s="345">
        <v>0</v>
      </c>
      <c r="M708" s="345">
        <v>0</v>
      </c>
      <c r="N708" s="345">
        <v>0</v>
      </c>
      <c r="O708" s="345">
        <v>0</v>
      </c>
      <c r="P708" s="345">
        <v>0</v>
      </c>
      <c r="Q708" s="345">
        <v>0</v>
      </c>
      <c r="R708" s="345">
        <v>0</v>
      </c>
      <c r="S708" s="345">
        <v>0</v>
      </c>
      <c r="T708" s="345">
        <v>0</v>
      </c>
      <c r="U708" s="346">
        <v>0</v>
      </c>
      <c r="V708" s="347">
        <v>0</v>
      </c>
      <c r="W708" s="303"/>
      <c r="X708" s="348">
        <v>0</v>
      </c>
      <c r="Y708" s="349">
        <v>0</v>
      </c>
    </row>
    <row r="709" spans="1:25" x14ac:dyDescent="0.3">
      <c r="A709" s="233"/>
      <c r="B709" s="234" t="s">
        <v>49</v>
      </c>
      <c r="E709" s="250" t="s">
        <v>1669</v>
      </c>
      <c r="F709" s="317">
        <v>8900000</v>
      </c>
      <c r="G709" s="318"/>
      <c r="H709" s="319"/>
      <c r="I709" s="320"/>
      <c r="J709" s="337">
        <v>0</v>
      </c>
      <c r="K709" s="321">
        <v>0</v>
      </c>
      <c r="L709" s="321">
        <v>0</v>
      </c>
      <c r="M709" s="321">
        <v>0</v>
      </c>
      <c r="N709" s="321">
        <v>0</v>
      </c>
      <c r="O709" s="321">
        <v>0</v>
      </c>
      <c r="P709" s="321">
        <v>0</v>
      </c>
      <c r="Q709" s="321">
        <v>0</v>
      </c>
      <c r="R709" s="321">
        <v>0</v>
      </c>
      <c r="S709" s="321">
        <v>0</v>
      </c>
      <c r="T709" s="321">
        <v>0</v>
      </c>
      <c r="U709" s="322">
        <v>0</v>
      </c>
      <c r="V709" s="323">
        <v>0</v>
      </c>
      <c r="W709" s="303"/>
      <c r="X709" s="324">
        <v>0</v>
      </c>
      <c r="Y709" s="325">
        <v>0</v>
      </c>
    </row>
    <row r="710" spans="1:25" x14ac:dyDescent="0.3">
      <c r="A710" s="233"/>
      <c r="B710" s="234" t="s">
        <v>49</v>
      </c>
      <c r="E710" s="250" t="s">
        <v>1670</v>
      </c>
      <c r="F710" s="317">
        <v>8900001</v>
      </c>
      <c r="G710" s="318"/>
      <c r="H710" s="319"/>
      <c r="I710" s="320"/>
      <c r="J710" s="337">
        <v>0</v>
      </c>
      <c r="K710" s="321">
        <v>0</v>
      </c>
      <c r="L710" s="321">
        <v>0</v>
      </c>
      <c r="M710" s="321">
        <v>0</v>
      </c>
      <c r="N710" s="321">
        <v>0</v>
      </c>
      <c r="O710" s="321">
        <v>0</v>
      </c>
      <c r="P710" s="321">
        <v>0</v>
      </c>
      <c r="Q710" s="321">
        <v>0</v>
      </c>
      <c r="R710" s="321">
        <v>0</v>
      </c>
      <c r="S710" s="321">
        <v>0</v>
      </c>
      <c r="T710" s="321">
        <v>0</v>
      </c>
      <c r="U710" s="322">
        <v>0</v>
      </c>
      <c r="V710" s="323">
        <v>0</v>
      </c>
      <c r="W710" s="303"/>
      <c r="X710" s="324">
        <v>0</v>
      </c>
      <c r="Y710" s="325">
        <v>0</v>
      </c>
    </row>
    <row r="711" spans="1:25" x14ac:dyDescent="0.3">
      <c r="A711" s="233"/>
      <c r="B711" s="234" t="s">
        <v>49</v>
      </c>
      <c r="E711" s="250" t="s">
        <v>1671</v>
      </c>
      <c r="F711" s="317">
        <v>8900002</v>
      </c>
      <c r="G711" s="318"/>
      <c r="H711" s="319"/>
      <c r="I711" s="320"/>
      <c r="J711" s="337">
        <v>0</v>
      </c>
      <c r="K711" s="321">
        <v>0</v>
      </c>
      <c r="L711" s="321">
        <v>0</v>
      </c>
      <c r="M711" s="321">
        <v>0</v>
      </c>
      <c r="N711" s="321">
        <v>0</v>
      </c>
      <c r="O711" s="321">
        <v>0</v>
      </c>
      <c r="P711" s="321">
        <v>0</v>
      </c>
      <c r="Q711" s="321">
        <v>0</v>
      </c>
      <c r="R711" s="321">
        <v>0</v>
      </c>
      <c r="S711" s="321">
        <v>0</v>
      </c>
      <c r="T711" s="321">
        <v>0</v>
      </c>
      <c r="U711" s="322">
        <v>0</v>
      </c>
      <c r="V711" s="323">
        <v>0</v>
      </c>
      <c r="W711" s="303"/>
      <c r="X711" s="324">
        <v>0</v>
      </c>
      <c r="Y711" s="325">
        <v>0</v>
      </c>
    </row>
    <row r="712" spans="1:25" x14ac:dyDescent="0.3">
      <c r="A712" s="233"/>
      <c r="B712" s="234" t="s">
        <v>49</v>
      </c>
      <c r="E712" s="250" t="s">
        <v>1672</v>
      </c>
      <c r="F712" s="317">
        <v>8900003</v>
      </c>
      <c r="G712" s="318"/>
      <c r="H712" s="319"/>
      <c r="I712" s="320"/>
      <c r="J712" s="337">
        <v>0</v>
      </c>
      <c r="K712" s="321">
        <v>0</v>
      </c>
      <c r="L712" s="321">
        <v>0</v>
      </c>
      <c r="M712" s="321">
        <v>0</v>
      </c>
      <c r="N712" s="321">
        <v>0</v>
      </c>
      <c r="O712" s="321">
        <v>0</v>
      </c>
      <c r="P712" s="321">
        <v>0</v>
      </c>
      <c r="Q712" s="321">
        <v>0</v>
      </c>
      <c r="R712" s="321">
        <v>0</v>
      </c>
      <c r="S712" s="321">
        <v>0</v>
      </c>
      <c r="T712" s="321">
        <v>0</v>
      </c>
      <c r="U712" s="322">
        <v>0</v>
      </c>
      <c r="V712" s="323">
        <v>0</v>
      </c>
      <c r="W712" s="303"/>
      <c r="X712" s="324">
        <v>0</v>
      </c>
      <c r="Y712" s="325">
        <v>0</v>
      </c>
    </row>
    <row r="713" spans="1:25" x14ac:dyDescent="0.3">
      <c r="A713" s="233"/>
      <c r="B713" s="234" t="s">
        <v>47</v>
      </c>
      <c r="E713" s="250" t="s">
        <v>1673</v>
      </c>
      <c r="F713" s="317">
        <v>8900004</v>
      </c>
      <c r="G713" s="318"/>
      <c r="H713" s="319"/>
      <c r="I713" s="320"/>
      <c r="J713" s="337">
        <v>0</v>
      </c>
      <c r="K713" s="321">
        <v>0</v>
      </c>
      <c r="L713" s="321">
        <v>0</v>
      </c>
      <c r="M713" s="321">
        <v>0</v>
      </c>
      <c r="N713" s="321">
        <v>0</v>
      </c>
      <c r="O713" s="321">
        <v>0</v>
      </c>
      <c r="P713" s="321">
        <v>0</v>
      </c>
      <c r="Q713" s="321">
        <v>0</v>
      </c>
      <c r="R713" s="321">
        <v>0</v>
      </c>
      <c r="S713" s="321">
        <v>0</v>
      </c>
      <c r="T713" s="321">
        <v>0</v>
      </c>
      <c r="U713" s="322">
        <v>0</v>
      </c>
      <c r="V713" s="323">
        <v>0</v>
      </c>
      <c r="W713" s="303"/>
      <c r="X713" s="324">
        <v>0</v>
      </c>
      <c r="Y713" s="325">
        <v>0</v>
      </c>
    </row>
    <row r="714" spans="1:25" x14ac:dyDescent="0.3">
      <c r="A714" s="233"/>
      <c r="B714" s="234" t="s">
        <v>47</v>
      </c>
      <c r="E714" s="250" t="s">
        <v>1674</v>
      </c>
      <c r="F714" s="317">
        <v>8900005</v>
      </c>
      <c r="G714" s="318"/>
      <c r="H714" s="319"/>
      <c r="I714" s="320"/>
      <c r="J714" s="337">
        <v>0</v>
      </c>
      <c r="K714" s="321">
        <v>0</v>
      </c>
      <c r="L714" s="321">
        <v>0</v>
      </c>
      <c r="M714" s="321">
        <v>0</v>
      </c>
      <c r="N714" s="321">
        <v>0</v>
      </c>
      <c r="O714" s="321">
        <v>0</v>
      </c>
      <c r="P714" s="321">
        <v>0</v>
      </c>
      <c r="Q714" s="321">
        <v>0</v>
      </c>
      <c r="R714" s="321">
        <v>0</v>
      </c>
      <c r="S714" s="321">
        <v>0</v>
      </c>
      <c r="T714" s="321">
        <v>0</v>
      </c>
      <c r="U714" s="322">
        <v>0</v>
      </c>
      <c r="V714" s="323">
        <v>0</v>
      </c>
      <c r="W714" s="303"/>
      <c r="X714" s="324">
        <v>0</v>
      </c>
      <c r="Y714" s="325">
        <v>0</v>
      </c>
    </row>
    <row r="715" spans="1:25" x14ac:dyDescent="0.3">
      <c r="A715" s="233"/>
      <c r="B715" s="234" t="s">
        <v>49</v>
      </c>
      <c r="E715" s="250" t="s">
        <v>1675</v>
      </c>
      <c r="F715" s="317">
        <v>8900006</v>
      </c>
      <c r="G715" s="318"/>
      <c r="H715" s="319"/>
      <c r="I715" s="320"/>
      <c r="J715" s="337">
        <v>0</v>
      </c>
      <c r="K715" s="321">
        <v>0</v>
      </c>
      <c r="L715" s="321">
        <v>0</v>
      </c>
      <c r="M715" s="321">
        <v>0</v>
      </c>
      <c r="N715" s="321">
        <v>0</v>
      </c>
      <c r="O715" s="321">
        <v>0</v>
      </c>
      <c r="P715" s="321">
        <v>0</v>
      </c>
      <c r="Q715" s="321">
        <v>0</v>
      </c>
      <c r="R715" s="321">
        <v>0</v>
      </c>
      <c r="S715" s="321">
        <v>0</v>
      </c>
      <c r="T715" s="321">
        <v>0</v>
      </c>
      <c r="U715" s="322">
        <v>0</v>
      </c>
      <c r="V715" s="323">
        <v>0</v>
      </c>
      <c r="W715" s="303"/>
      <c r="X715" s="324">
        <v>0</v>
      </c>
      <c r="Y715" s="325">
        <v>0</v>
      </c>
    </row>
    <row r="716" spans="1:25" x14ac:dyDescent="0.3">
      <c r="A716" s="361"/>
      <c r="B716" s="361"/>
      <c r="C716" s="361"/>
      <c r="D716" s="361"/>
      <c r="E716" s="326" t="s">
        <v>1676</v>
      </c>
      <c r="F716" s="351"/>
      <c r="G716" s="352"/>
      <c r="H716" s="353"/>
      <c r="I716" s="354"/>
      <c r="J716" s="362">
        <v>0</v>
      </c>
      <c r="K716" s="355">
        <v>0</v>
      </c>
      <c r="L716" s="355">
        <v>0</v>
      </c>
      <c r="M716" s="355">
        <v>0</v>
      </c>
      <c r="N716" s="355">
        <v>0</v>
      </c>
      <c r="O716" s="355">
        <v>0</v>
      </c>
      <c r="P716" s="355">
        <v>0</v>
      </c>
      <c r="Q716" s="355">
        <v>0</v>
      </c>
      <c r="R716" s="355">
        <v>0</v>
      </c>
      <c r="S716" s="355">
        <v>0</v>
      </c>
      <c r="T716" s="355">
        <v>0</v>
      </c>
      <c r="U716" s="356">
        <v>0</v>
      </c>
      <c r="V716" s="357">
        <v>0</v>
      </c>
      <c r="W716" s="358"/>
      <c r="X716" s="359">
        <v>0</v>
      </c>
      <c r="Y716" s="360">
        <v>0</v>
      </c>
    </row>
    <row r="717" spans="1:25" x14ac:dyDescent="0.3">
      <c r="A717" s="361"/>
      <c r="B717" s="361"/>
      <c r="C717" s="361"/>
      <c r="D717" s="361"/>
      <c r="E717" s="326" t="s">
        <v>1677</v>
      </c>
      <c r="F717" s="351"/>
      <c r="G717" s="352"/>
      <c r="H717" s="353"/>
      <c r="I717" s="354"/>
      <c r="J717" s="362">
        <v>0</v>
      </c>
      <c r="K717" s="355">
        <v>0</v>
      </c>
      <c r="L717" s="355">
        <v>0</v>
      </c>
      <c r="M717" s="355">
        <v>0</v>
      </c>
      <c r="N717" s="355">
        <v>0</v>
      </c>
      <c r="O717" s="355">
        <v>0</v>
      </c>
      <c r="P717" s="355">
        <v>0</v>
      </c>
      <c r="Q717" s="355">
        <v>0</v>
      </c>
      <c r="R717" s="355">
        <v>0</v>
      </c>
      <c r="S717" s="355">
        <v>0</v>
      </c>
      <c r="T717" s="355">
        <v>0</v>
      </c>
      <c r="U717" s="356">
        <v>0</v>
      </c>
      <c r="V717" s="357">
        <v>0</v>
      </c>
      <c r="W717" s="358"/>
      <c r="X717" s="359">
        <v>0</v>
      </c>
      <c r="Y717" s="360">
        <v>0</v>
      </c>
    </row>
    <row r="718" spans="1:25" x14ac:dyDescent="0.3">
      <c r="A718" s="361"/>
      <c r="B718" s="361"/>
      <c r="C718" s="361"/>
      <c r="D718" s="361"/>
      <c r="E718" s="326" t="s">
        <v>1678</v>
      </c>
      <c r="F718" s="351"/>
      <c r="G718" s="352"/>
      <c r="H718" s="353"/>
      <c r="I718" s="354"/>
      <c r="J718" s="362">
        <v>0</v>
      </c>
      <c r="K718" s="355">
        <v>0</v>
      </c>
      <c r="L718" s="355">
        <v>0</v>
      </c>
      <c r="M718" s="355">
        <v>0</v>
      </c>
      <c r="N718" s="355">
        <v>0</v>
      </c>
      <c r="O718" s="355">
        <v>0</v>
      </c>
      <c r="P718" s="355">
        <v>0</v>
      </c>
      <c r="Q718" s="355">
        <v>0</v>
      </c>
      <c r="R718" s="355">
        <v>0</v>
      </c>
      <c r="S718" s="355">
        <v>0</v>
      </c>
      <c r="T718" s="355">
        <v>0</v>
      </c>
      <c r="U718" s="356">
        <v>0</v>
      </c>
      <c r="V718" s="357">
        <v>0</v>
      </c>
      <c r="W718" s="358"/>
      <c r="X718" s="359">
        <v>0</v>
      </c>
      <c r="Y718" s="360">
        <v>0</v>
      </c>
    </row>
    <row r="719" spans="1:25" x14ac:dyDescent="0.3">
      <c r="E719" s="339" t="s">
        <v>1679</v>
      </c>
      <c r="F719" s="340" t="s">
        <v>1680</v>
      </c>
      <c r="G719" s="341"/>
      <c r="H719" s="342"/>
      <c r="I719" s="343"/>
      <c r="J719" s="344">
        <v>0</v>
      </c>
      <c r="K719" s="345">
        <v>0</v>
      </c>
      <c r="L719" s="345">
        <v>0</v>
      </c>
      <c r="M719" s="345">
        <v>0</v>
      </c>
      <c r="N719" s="345">
        <v>0</v>
      </c>
      <c r="O719" s="345">
        <v>0</v>
      </c>
      <c r="P719" s="345">
        <v>0</v>
      </c>
      <c r="Q719" s="345">
        <v>0</v>
      </c>
      <c r="R719" s="345">
        <v>0</v>
      </c>
      <c r="S719" s="345">
        <v>0</v>
      </c>
      <c r="T719" s="345">
        <v>0</v>
      </c>
      <c r="U719" s="346">
        <v>0</v>
      </c>
      <c r="V719" s="347">
        <v>0</v>
      </c>
      <c r="W719" s="303"/>
      <c r="X719" s="348">
        <v>0</v>
      </c>
      <c r="Y719" s="349">
        <v>0</v>
      </c>
    </row>
    <row r="720" spans="1:25" x14ac:dyDescent="0.3">
      <c r="A720" s="233"/>
      <c r="B720" s="234" t="s">
        <v>48</v>
      </c>
      <c r="E720" s="250" t="s">
        <v>1681</v>
      </c>
      <c r="F720" s="317">
        <v>8950000</v>
      </c>
      <c r="G720" s="318"/>
      <c r="H720" s="319"/>
      <c r="I720" s="320"/>
      <c r="J720" s="337">
        <v>0</v>
      </c>
      <c r="K720" s="321">
        <v>0</v>
      </c>
      <c r="L720" s="321">
        <v>0</v>
      </c>
      <c r="M720" s="321">
        <v>0</v>
      </c>
      <c r="N720" s="321">
        <v>0</v>
      </c>
      <c r="O720" s="321">
        <v>0</v>
      </c>
      <c r="P720" s="321">
        <v>0</v>
      </c>
      <c r="Q720" s="321">
        <v>0</v>
      </c>
      <c r="R720" s="321">
        <v>0</v>
      </c>
      <c r="S720" s="321">
        <v>0</v>
      </c>
      <c r="T720" s="321">
        <v>0</v>
      </c>
      <c r="U720" s="322">
        <v>0</v>
      </c>
      <c r="V720" s="323">
        <v>0</v>
      </c>
      <c r="W720" s="303"/>
      <c r="X720" s="324">
        <v>0</v>
      </c>
      <c r="Y720" s="325">
        <v>0</v>
      </c>
    </row>
    <row r="721" spans="1:25" x14ac:dyDescent="0.3">
      <c r="A721" s="233"/>
      <c r="B721" s="234" t="s">
        <v>48</v>
      </c>
      <c r="E721" s="250" t="s">
        <v>1682</v>
      </c>
      <c r="F721" s="317">
        <v>8950001</v>
      </c>
      <c r="G721" s="318"/>
      <c r="H721" s="319"/>
      <c r="I721" s="320"/>
      <c r="J721" s="337">
        <v>0</v>
      </c>
      <c r="K721" s="321">
        <v>0</v>
      </c>
      <c r="L721" s="321">
        <v>0</v>
      </c>
      <c r="M721" s="321">
        <v>0</v>
      </c>
      <c r="N721" s="321">
        <v>0</v>
      </c>
      <c r="O721" s="321">
        <v>0</v>
      </c>
      <c r="P721" s="321">
        <v>0</v>
      </c>
      <c r="Q721" s="321">
        <v>0</v>
      </c>
      <c r="R721" s="321">
        <v>0</v>
      </c>
      <c r="S721" s="321">
        <v>0</v>
      </c>
      <c r="T721" s="321">
        <v>0</v>
      </c>
      <c r="U721" s="322">
        <v>0</v>
      </c>
      <c r="V721" s="323">
        <v>0</v>
      </c>
      <c r="W721" s="303"/>
      <c r="X721" s="324">
        <v>0</v>
      </c>
      <c r="Y721" s="325">
        <v>0</v>
      </c>
    </row>
    <row r="722" spans="1:25" x14ac:dyDescent="0.3">
      <c r="A722" s="233"/>
      <c r="B722" s="234" t="s">
        <v>48</v>
      </c>
      <c r="E722" s="250" t="s">
        <v>1683</v>
      </c>
      <c r="F722" s="317">
        <v>8950002</v>
      </c>
      <c r="G722" s="318"/>
      <c r="H722" s="319"/>
      <c r="I722" s="320"/>
      <c r="J722" s="337">
        <v>0</v>
      </c>
      <c r="K722" s="321">
        <v>0</v>
      </c>
      <c r="L722" s="321">
        <v>0</v>
      </c>
      <c r="M722" s="321">
        <v>0</v>
      </c>
      <c r="N722" s="321">
        <v>0</v>
      </c>
      <c r="O722" s="321">
        <v>0</v>
      </c>
      <c r="P722" s="321">
        <v>0</v>
      </c>
      <c r="Q722" s="321">
        <v>0</v>
      </c>
      <c r="R722" s="321">
        <v>0</v>
      </c>
      <c r="S722" s="321">
        <v>0</v>
      </c>
      <c r="T722" s="321">
        <v>0</v>
      </c>
      <c r="U722" s="322">
        <v>0</v>
      </c>
      <c r="V722" s="323">
        <v>0</v>
      </c>
      <c r="W722" s="303"/>
      <c r="X722" s="324">
        <v>0</v>
      </c>
      <c r="Y722" s="325">
        <v>0</v>
      </c>
    </row>
    <row r="723" spans="1:25" x14ac:dyDescent="0.3">
      <c r="A723" s="233"/>
      <c r="B723" s="234" t="s">
        <v>48</v>
      </c>
      <c r="E723" s="250" t="s">
        <v>1684</v>
      </c>
      <c r="F723" s="317">
        <v>8950003</v>
      </c>
      <c r="G723" s="318"/>
      <c r="H723" s="319"/>
      <c r="I723" s="320"/>
      <c r="J723" s="337">
        <v>0</v>
      </c>
      <c r="K723" s="321">
        <v>0</v>
      </c>
      <c r="L723" s="321">
        <v>0</v>
      </c>
      <c r="M723" s="321">
        <v>0</v>
      </c>
      <c r="N723" s="321">
        <v>0</v>
      </c>
      <c r="O723" s="321">
        <v>0</v>
      </c>
      <c r="P723" s="321">
        <v>0</v>
      </c>
      <c r="Q723" s="321">
        <v>0</v>
      </c>
      <c r="R723" s="321">
        <v>0</v>
      </c>
      <c r="S723" s="321">
        <v>0</v>
      </c>
      <c r="T723" s="321">
        <v>0</v>
      </c>
      <c r="U723" s="322">
        <v>0</v>
      </c>
      <c r="V723" s="323">
        <v>0</v>
      </c>
      <c r="W723" s="303"/>
      <c r="X723" s="324">
        <v>0</v>
      </c>
      <c r="Y723" s="325">
        <v>0</v>
      </c>
    </row>
    <row r="724" spans="1:25" x14ac:dyDescent="0.3">
      <c r="A724" s="233"/>
      <c r="B724" s="234" t="s">
        <v>44</v>
      </c>
      <c r="E724" s="250" t="s">
        <v>1685</v>
      </c>
      <c r="F724" s="317">
        <v>8950007</v>
      </c>
      <c r="G724" s="318"/>
      <c r="H724" s="319"/>
      <c r="I724" s="320"/>
      <c r="J724" s="337">
        <v>0</v>
      </c>
      <c r="K724" s="321">
        <v>0</v>
      </c>
      <c r="L724" s="321">
        <v>0</v>
      </c>
      <c r="M724" s="321">
        <v>0</v>
      </c>
      <c r="N724" s="321">
        <v>0</v>
      </c>
      <c r="O724" s="321">
        <v>0</v>
      </c>
      <c r="P724" s="321">
        <v>0</v>
      </c>
      <c r="Q724" s="321">
        <v>0</v>
      </c>
      <c r="R724" s="321">
        <v>0</v>
      </c>
      <c r="S724" s="321">
        <v>0</v>
      </c>
      <c r="T724" s="321">
        <v>0</v>
      </c>
      <c r="U724" s="322">
        <v>0</v>
      </c>
      <c r="V724" s="323">
        <v>0</v>
      </c>
      <c r="W724" s="303"/>
      <c r="X724" s="324">
        <v>0</v>
      </c>
      <c r="Y724" s="325">
        <v>0</v>
      </c>
    </row>
    <row r="725" spans="1:25" x14ac:dyDescent="0.3">
      <c r="A725" s="233"/>
      <c r="B725" s="234" t="s">
        <v>44</v>
      </c>
      <c r="E725" s="250" t="s">
        <v>1686</v>
      </c>
      <c r="F725" s="317">
        <v>8950008</v>
      </c>
      <c r="G725" s="318"/>
      <c r="H725" s="319"/>
      <c r="I725" s="320"/>
      <c r="J725" s="337">
        <v>0</v>
      </c>
      <c r="K725" s="321">
        <v>0</v>
      </c>
      <c r="L725" s="321">
        <v>0</v>
      </c>
      <c r="M725" s="321">
        <v>0</v>
      </c>
      <c r="N725" s="321">
        <v>0</v>
      </c>
      <c r="O725" s="321">
        <v>0</v>
      </c>
      <c r="P725" s="321">
        <v>0</v>
      </c>
      <c r="Q725" s="321">
        <v>0</v>
      </c>
      <c r="R725" s="321">
        <v>0</v>
      </c>
      <c r="S725" s="321">
        <v>0</v>
      </c>
      <c r="T725" s="321">
        <v>0</v>
      </c>
      <c r="U725" s="322">
        <v>0</v>
      </c>
      <c r="V725" s="323">
        <v>0</v>
      </c>
      <c r="W725" s="303"/>
      <c r="X725" s="324">
        <v>0</v>
      </c>
      <c r="Y725" s="325">
        <v>0</v>
      </c>
    </row>
    <row r="726" spans="1:25" x14ac:dyDescent="0.3">
      <c r="A726" s="233"/>
      <c r="B726" s="234" t="s">
        <v>48</v>
      </c>
      <c r="E726" s="250" t="s">
        <v>1687</v>
      </c>
      <c r="F726" s="317">
        <v>8950009</v>
      </c>
      <c r="G726" s="318"/>
      <c r="H726" s="319"/>
      <c r="I726" s="320"/>
      <c r="J726" s="337">
        <v>0</v>
      </c>
      <c r="K726" s="321">
        <v>0</v>
      </c>
      <c r="L726" s="321">
        <v>0</v>
      </c>
      <c r="M726" s="321">
        <v>0</v>
      </c>
      <c r="N726" s="321">
        <v>0</v>
      </c>
      <c r="O726" s="321">
        <v>0</v>
      </c>
      <c r="P726" s="321">
        <v>0</v>
      </c>
      <c r="Q726" s="321">
        <v>0</v>
      </c>
      <c r="R726" s="321">
        <v>0</v>
      </c>
      <c r="S726" s="321">
        <v>0</v>
      </c>
      <c r="T726" s="321">
        <v>0</v>
      </c>
      <c r="U726" s="322">
        <v>0</v>
      </c>
      <c r="V726" s="323">
        <v>0</v>
      </c>
      <c r="W726" s="303"/>
      <c r="X726" s="324">
        <v>0</v>
      </c>
      <c r="Y726" s="325">
        <v>0</v>
      </c>
    </row>
    <row r="727" spans="1:25" x14ac:dyDescent="0.3">
      <c r="A727" s="233"/>
      <c r="B727" s="234" t="s">
        <v>44</v>
      </c>
      <c r="E727" s="250" t="s">
        <v>1688</v>
      </c>
      <c r="F727" s="317">
        <v>8950010</v>
      </c>
      <c r="G727" s="318"/>
      <c r="H727" s="319"/>
      <c r="I727" s="320"/>
      <c r="J727" s="337">
        <v>0</v>
      </c>
      <c r="K727" s="321">
        <v>0</v>
      </c>
      <c r="L727" s="321">
        <v>0</v>
      </c>
      <c r="M727" s="321">
        <v>0</v>
      </c>
      <c r="N727" s="321">
        <v>0</v>
      </c>
      <c r="O727" s="321">
        <v>0</v>
      </c>
      <c r="P727" s="321">
        <v>0</v>
      </c>
      <c r="Q727" s="321">
        <v>0</v>
      </c>
      <c r="R727" s="321">
        <v>0</v>
      </c>
      <c r="S727" s="321">
        <v>0</v>
      </c>
      <c r="T727" s="321">
        <v>0</v>
      </c>
      <c r="U727" s="322">
        <v>0</v>
      </c>
      <c r="V727" s="323">
        <v>0</v>
      </c>
      <c r="W727" s="303"/>
      <c r="X727" s="324">
        <v>0</v>
      </c>
      <c r="Y727" s="325">
        <v>0</v>
      </c>
    </row>
    <row r="728" spans="1:25" x14ac:dyDescent="0.3">
      <c r="A728" s="233"/>
      <c r="B728" s="234" t="s">
        <v>44</v>
      </c>
      <c r="E728" s="250" t="s">
        <v>1689</v>
      </c>
      <c r="F728" s="317">
        <v>8950011</v>
      </c>
      <c r="G728" s="318"/>
      <c r="H728" s="319"/>
      <c r="I728" s="320"/>
      <c r="J728" s="337">
        <v>0</v>
      </c>
      <c r="K728" s="321">
        <v>0</v>
      </c>
      <c r="L728" s="321">
        <v>0</v>
      </c>
      <c r="M728" s="321">
        <v>0</v>
      </c>
      <c r="N728" s="321">
        <v>0</v>
      </c>
      <c r="O728" s="321">
        <v>0</v>
      </c>
      <c r="P728" s="321">
        <v>0</v>
      </c>
      <c r="Q728" s="321">
        <v>0</v>
      </c>
      <c r="R728" s="321">
        <v>0</v>
      </c>
      <c r="S728" s="321">
        <v>0</v>
      </c>
      <c r="T728" s="321">
        <v>0</v>
      </c>
      <c r="U728" s="322">
        <v>0</v>
      </c>
      <c r="V728" s="323">
        <v>0</v>
      </c>
      <c r="W728" s="303"/>
      <c r="X728" s="324">
        <v>0</v>
      </c>
      <c r="Y728" s="325">
        <v>0</v>
      </c>
    </row>
    <row r="729" spans="1:25" x14ac:dyDescent="0.3">
      <c r="A729" s="233"/>
      <c r="B729" s="234" t="s">
        <v>44</v>
      </c>
      <c r="E729" s="250" t="s">
        <v>1690</v>
      </c>
      <c r="F729" s="317">
        <v>8950014</v>
      </c>
      <c r="G729" s="318"/>
      <c r="H729" s="319"/>
      <c r="I729" s="320"/>
      <c r="J729" s="337">
        <v>0</v>
      </c>
      <c r="K729" s="321">
        <v>0</v>
      </c>
      <c r="L729" s="321">
        <v>0</v>
      </c>
      <c r="M729" s="321">
        <v>0</v>
      </c>
      <c r="N729" s="321">
        <v>0</v>
      </c>
      <c r="O729" s="321">
        <v>0</v>
      </c>
      <c r="P729" s="321">
        <v>0</v>
      </c>
      <c r="Q729" s="321">
        <v>0</v>
      </c>
      <c r="R729" s="321">
        <v>0</v>
      </c>
      <c r="S729" s="321">
        <v>0</v>
      </c>
      <c r="T729" s="321">
        <v>0</v>
      </c>
      <c r="U729" s="322">
        <v>0</v>
      </c>
      <c r="V729" s="323">
        <v>0</v>
      </c>
      <c r="W729" s="303"/>
      <c r="X729" s="324">
        <v>0</v>
      </c>
      <c r="Y729" s="325">
        <v>0</v>
      </c>
    </row>
    <row r="730" spans="1:25" x14ac:dyDescent="0.3">
      <c r="A730" s="233"/>
      <c r="B730" s="234" t="s">
        <v>44</v>
      </c>
      <c r="E730" s="250" t="s">
        <v>1691</v>
      </c>
      <c r="F730" s="317">
        <v>8950015</v>
      </c>
      <c r="G730" s="318"/>
      <c r="H730" s="319"/>
      <c r="I730" s="320"/>
      <c r="J730" s="337">
        <v>0</v>
      </c>
      <c r="K730" s="321">
        <v>0</v>
      </c>
      <c r="L730" s="321">
        <v>0</v>
      </c>
      <c r="M730" s="321">
        <v>0</v>
      </c>
      <c r="N730" s="321">
        <v>0</v>
      </c>
      <c r="O730" s="321">
        <v>0</v>
      </c>
      <c r="P730" s="321">
        <v>0</v>
      </c>
      <c r="Q730" s="321">
        <v>0</v>
      </c>
      <c r="R730" s="321">
        <v>0</v>
      </c>
      <c r="S730" s="321">
        <v>0</v>
      </c>
      <c r="T730" s="321">
        <v>0</v>
      </c>
      <c r="U730" s="322">
        <v>0</v>
      </c>
      <c r="V730" s="323">
        <v>0</v>
      </c>
      <c r="W730" s="303"/>
      <c r="X730" s="324">
        <v>0</v>
      </c>
      <c r="Y730" s="325">
        <v>0</v>
      </c>
    </row>
    <row r="731" spans="1:25" x14ac:dyDescent="0.3">
      <c r="A731" s="233"/>
      <c r="B731" s="234" t="s">
        <v>44</v>
      </c>
      <c r="E731" s="250" t="s">
        <v>1692</v>
      </c>
      <c r="F731" s="317">
        <v>8950016</v>
      </c>
      <c r="G731" s="318"/>
      <c r="H731" s="319"/>
      <c r="I731" s="320"/>
      <c r="J731" s="337">
        <v>0</v>
      </c>
      <c r="K731" s="321">
        <v>0</v>
      </c>
      <c r="L731" s="321">
        <v>0</v>
      </c>
      <c r="M731" s="321">
        <v>0</v>
      </c>
      <c r="N731" s="321">
        <v>0</v>
      </c>
      <c r="O731" s="321">
        <v>0</v>
      </c>
      <c r="P731" s="321">
        <v>0</v>
      </c>
      <c r="Q731" s="321">
        <v>0</v>
      </c>
      <c r="R731" s="321">
        <v>0</v>
      </c>
      <c r="S731" s="321">
        <v>0</v>
      </c>
      <c r="T731" s="321">
        <v>0</v>
      </c>
      <c r="U731" s="322">
        <v>0</v>
      </c>
      <c r="V731" s="323">
        <v>0</v>
      </c>
      <c r="W731" s="303"/>
      <c r="X731" s="324">
        <v>0</v>
      </c>
      <c r="Y731" s="325">
        <v>0</v>
      </c>
    </row>
    <row r="732" spans="1:25" x14ac:dyDescent="0.3">
      <c r="A732" s="233"/>
      <c r="B732" s="234" t="s">
        <v>44</v>
      </c>
      <c r="E732" s="250" t="s">
        <v>1693</v>
      </c>
      <c r="F732" s="317">
        <v>8950018</v>
      </c>
      <c r="G732" s="318"/>
      <c r="H732" s="319"/>
      <c r="I732" s="320"/>
      <c r="J732" s="337">
        <v>0</v>
      </c>
      <c r="K732" s="321">
        <v>0</v>
      </c>
      <c r="L732" s="321">
        <v>0</v>
      </c>
      <c r="M732" s="321">
        <v>0</v>
      </c>
      <c r="N732" s="321">
        <v>0</v>
      </c>
      <c r="O732" s="321">
        <v>0</v>
      </c>
      <c r="P732" s="321">
        <v>0</v>
      </c>
      <c r="Q732" s="321">
        <v>0</v>
      </c>
      <c r="R732" s="321">
        <v>0</v>
      </c>
      <c r="S732" s="321">
        <v>0</v>
      </c>
      <c r="T732" s="321">
        <v>0</v>
      </c>
      <c r="U732" s="322">
        <v>0</v>
      </c>
      <c r="V732" s="323">
        <v>0</v>
      </c>
      <c r="W732" s="303"/>
      <c r="X732" s="324">
        <v>0</v>
      </c>
      <c r="Y732" s="325">
        <v>0</v>
      </c>
    </row>
    <row r="733" spans="1:25" x14ac:dyDescent="0.3">
      <c r="A733" s="233"/>
      <c r="B733" s="234" t="s">
        <v>44</v>
      </c>
      <c r="E733" s="250" t="s">
        <v>1694</v>
      </c>
      <c r="F733" s="317">
        <v>8950019</v>
      </c>
      <c r="G733" s="318"/>
      <c r="H733" s="319"/>
      <c r="I733" s="320"/>
      <c r="J733" s="337">
        <v>0</v>
      </c>
      <c r="K733" s="321">
        <v>0</v>
      </c>
      <c r="L733" s="321">
        <v>0</v>
      </c>
      <c r="M733" s="321">
        <v>0</v>
      </c>
      <c r="N733" s="321">
        <v>0</v>
      </c>
      <c r="O733" s="321">
        <v>0</v>
      </c>
      <c r="P733" s="321">
        <v>0</v>
      </c>
      <c r="Q733" s="321">
        <v>0</v>
      </c>
      <c r="R733" s="321">
        <v>0</v>
      </c>
      <c r="S733" s="321">
        <v>0</v>
      </c>
      <c r="T733" s="321">
        <v>0</v>
      </c>
      <c r="U733" s="322">
        <v>0</v>
      </c>
      <c r="V733" s="323">
        <v>0</v>
      </c>
      <c r="W733" s="303"/>
      <c r="X733" s="324">
        <v>0</v>
      </c>
      <c r="Y733" s="325">
        <v>0</v>
      </c>
    </row>
    <row r="734" spans="1:25" x14ac:dyDescent="0.3">
      <c r="A734" s="233"/>
      <c r="B734" s="234" t="s">
        <v>44</v>
      </c>
      <c r="E734" s="250" t="s">
        <v>1695</v>
      </c>
      <c r="F734" s="317">
        <v>8950020</v>
      </c>
      <c r="G734" s="318"/>
      <c r="H734" s="319"/>
      <c r="I734" s="320"/>
      <c r="J734" s="337">
        <v>0</v>
      </c>
      <c r="K734" s="321">
        <v>0</v>
      </c>
      <c r="L734" s="321">
        <v>0</v>
      </c>
      <c r="M734" s="321">
        <v>0</v>
      </c>
      <c r="N734" s="321">
        <v>0</v>
      </c>
      <c r="O734" s="321">
        <v>0</v>
      </c>
      <c r="P734" s="321">
        <v>0</v>
      </c>
      <c r="Q734" s="321">
        <v>0</v>
      </c>
      <c r="R734" s="321">
        <v>0</v>
      </c>
      <c r="S734" s="321">
        <v>0</v>
      </c>
      <c r="T734" s="321">
        <v>0</v>
      </c>
      <c r="U734" s="322">
        <v>0</v>
      </c>
      <c r="V734" s="323">
        <v>0</v>
      </c>
      <c r="W734" s="303"/>
      <c r="X734" s="324">
        <v>0</v>
      </c>
      <c r="Y734" s="325">
        <v>0</v>
      </c>
    </row>
    <row r="735" spans="1:25" x14ac:dyDescent="0.3">
      <c r="A735" s="233"/>
      <c r="B735" s="234" t="s">
        <v>44</v>
      </c>
      <c r="E735" s="250" t="s">
        <v>1696</v>
      </c>
      <c r="F735" s="317">
        <v>8950021</v>
      </c>
      <c r="G735" s="318"/>
      <c r="H735" s="319"/>
      <c r="I735" s="320"/>
      <c r="J735" s="337">
        <v>0</v>
      </c>
      <c r="K735" s="321">
        <v>0</v>
      </c>
      <c r="L735" s="321">
        <v>0</v>
      </c>
      <c r="M735" s="321">
        <v>0</v>
      </c>
      <c r="N735" s="321">
        <v>0</v>
      </c>
      <c r="O735" s="321">
        <v>0</v>
      </c>
      <c r="P735" s="321">
        <v>0</v>
      </c>
      <c r="Q735" s="321">
        <v>0</v>
      </c>
      <c r="R735" s="321">
        <v>0</v>
      </c>
      <c r="S735" s="321">
        <v>0</v>
      </c>
      <c r="T735" s="321">
        <v>0</v>
      </c>
      <c r="U735" s="322">
        <v>0</v>
      </c>
      <c r="V735" s="323">
        <v>0</v>
      </c>
      <c r="W735" s="303"/>
      <c r="X735" s="324">
        <v>0</v>
      </c>
      <c r="Y735" s="325">
        <v>0</v>
      </c>
    </row>
    <row r="736" spans="1:25" x14ac:dyDescent="0.3">
      <c r="A736" s="233"/>
      <c r="B736" s="234" t="s">
        <v>44</v>
      </c>
      <c r="C736" s="350"/>
      <c r="D736" s="350"/>
      <c r="E736" s="350" t="s">
        <v>1697</v>
      </c>
      <c r="F736" s="306">
        <v>8950022</v>
      </c>
      <c r="G736" s="307"/>
      <c r="H736" s="308"/>
      <c r="I736" s="309"/>
      <c r="J736" s="310">
        <v>0</v>
      </c>
      <c r="K736" s="311">
        <v>0</v>
      </c>
      <c r="L736" s="311">
        <v>0</v>
      </c>
      <c r="M736" s="311">
        <v>0</v>
      </c>
      <c r="N736" s="311">
        <v>0</v>
      </c>
      <c r="O736" s="311">
        <v>0</v>
      </c>
      <c r="P736" s="311">
        <v>0</v>
      </c>
      <c r="Q736" s="311">
        <v>0</v>
      </c>
      <c r="R736" s="311">
        <v>0</v>
      </c>
      <c r="S736" s="311">
        <v>0</v>
      </c>
      <c r="T736" s="311">
        <v>0</v>
      </c>
      <c r="U736" s="312">
        <v>0</v>
      </c>
      <c r="V736" s="313">
        <v>0</v>
      </c>
      <c r="W736" s="314"/>
      <c r="X736" s="315">
        <v>0</v>
      </c>
      <c r="Y736" s="316">
        <v>0</v>
      </c>
    </row>
    <row r="737" spans="1:25" x14ac:dyDescent="0.3">
      <c r="A737" s="361"/>
      <c r="B737" s="361"/>
      <c r="C737" s="361"/>
      <c r="D737" s="361"/>
      <c r="E737" s="326" t="s">
        <v>1698</v>
      </c>
      <c r="F737" s="351"/>
      <c r="G737" s="352"/>
      <c r="H737" s="353"/>
      <c r="I737" s="354"/>
      <c r="J737" s="362">
        <v>0</v>
      </c>
      <c r="K737" s="355">
        <v>0</v>
      </c>
      <c r="L737" s="355">
        <v>0</v>
      </c>
      <c r="M737" s="355">
        <v>0</v>
      </c>
      <c r="N737" s="355">
        <v>0</v>
      </c>
      <c r="O737" s="355">
        <v>0</v>
      </c>
      <c r="P737" s="355">
        <v>0</v>
      </c>
      <c r="Q737" s="355">
        <v>0</v>
      </c>
      <c r="R737" s="355">
        <v>0</v>
      </c>
      <c r="S737" s="355">
        <v>0</v>
      </c>
      <c r="T737" s="355">
        <v>0</v>
      </c>
      <c r="U737" s="356">
        <v>0</v>
      </c>
      <c r="V737" s="357">
        <v>0</v>
      </c>
      <c r="W737" s="358"/>
      <c r="X737" s="359">
        <v>0</v>
      </c>
      <c r="Y737" s="360">
        <v>0</v>
      </c>
    </row>
    <row r="738" spans="1:25" x14ac:dyDescent="0.3">
      <c r="A738" s="361"/>
      <c r="B738" s="361"/>
      <c r="C738" s="361"/>
      <c r="D738" s="361"/>
      <c r="E738" s="326" t="s">
        <v>1699</v>
      </c>
      <c r="F738" s="351"/>
      <c r="G738" s="352"/>
      <c r="H738" s="353"/>
      <c r="I738" s="354"/>
      <c r="J738" s="362">
        <v>0</v>
      </c>
      <c r="K738" s="355">
        <v>0</v>
      </c>
      <c r="L738" s="355">
        <v>0</v>
      </c>
      <c r="M738" s="355">
        <v>0</v>
      </c>
      <c r="N738" s="355">
        <v>0</v>
      </c>
      <c r="O738" s="355">
        <v>0</v>
      </c>
      <c r="P738" s="355">
        <v>0</v>
      </c>
      <c r="Q738" s="355">
        <v>0</v>
      </c>
      <c r="R738" s="355">
        <v>0</v>
      </c>
      <c r="S738" s="355">
        <v>0</v>
      </c>
      <c r="T738" s="355">
        <v>0</v>
      </c>
      <c r="U738" s="356">
        <v>0</v>
      </c>
      <c r="V738" s="357">
        <v>0</v>
      </c>
      <c r="W738" s="358"/>
      <c r="X738" s="359">
        <v>0</v>
      </c>
      <c r="Y738" s="360">
        <v>0</v>
      </c>
    </row>
    <row r="739" spans="1:25" x14ac:dyDescent="0.3">
      <c r="A739" s="361"/>
      <c r="B739" s="361"/>
      <c r="C739" s="361"/>
      <c r="D739" s="361"/>
      <c r="E739" s="326" t="s">
        <v>1700</v>
      </c>
      <c r="F739" s="351"/>
      <c r="G739" s="352"/>
      <c r="H739" s="353"/>
      <c r="I739" s="354"/>
      <c r="J739" s="362">
        <v>0</v>
      </c>
      <c r="K739" s="355">
        <v>0</v>
      </c>
      <c r="L739" s="355">
        <v>0</v>
      </c>
      <c r="M739" s="355">
        <v>0</v>
      </c>
      <c r="N739" s="355">
        <v>0</v>
      </c>
      <c r="O739" s="355">
        <v>0</v>
      </c>
      <c r="P739" s="355">
        <v>0</v>
      </c>
      <c r="Q739" s="355">
        <v>0</v>
      </c>
      <c r="R739" s="355">
        <v>0</v>
      </c>
      <c r="S739" s="355">
        <v>0</v>
      </c>
      <c r="T739" s="355">
        <v>0</v>
      </c>
      <c r="U739" s="356">
        <v>0</v>
      </c>
      <c r="V739" s="357">
        <v>0</v>
      </c>
      <c r="W739" s="358"/>
      <c r="X739" s="359">
        <v>0</v>
      </c>
      <c r="Y739" s="360">
        <v>0</v>
      </c>
    </row>
    <row r="740" spans="1:25" x14ac:dyDescent="0.3">
      <c r="A740" s="233"/>
      <c r="B740" s="234" t="s">
        <v>43</v>
      </c>
      <c r="D740" s="293" t="s">
        <v>1701</v>
      </c>
      <c r="E740" s="294"/>
      <c r="F740" s="295"/>
      <c r="G740" s="296"/>
      <c r="H740" s="297"/>
      <c r="I740" s="298"/>
      <c r="J740" s="299">
        <v>0</v>
      </c>
      <c r="K740" s="300">
        <v>0</v>
      </c>
      <c r="L740" s="300">
        <v>0</v>
      </c>
      <c r="M740" s="300">
        <v>0</v>
      </c>
      <c r="N740" s="300">
        <v>0</v>
      </c>
      <c r="O740" s="300">
        <v>0</v>
      </c>
      <c r="P740" s="300">
        <v>0</v>
      </c>
      <c r="Q740" s="300">
        <v>0</v>
      </c>
      <c r="R740" s="300">
        <v>0</v>
      </c>
      <c r="S740" s="300">
        <v>0</v>
      </c>
      <c r="T740" s="300">
        <v>0</v>
      </c>
      <c r="U740" s="301">
        <v>0</v>
      </c>
      <c r="V740" s="302">
        <v>0</v>
      </c>
      <c r="W740" s="303"/>
      <c r="X740" s="304">
        <v>0</v>
      </c>
      <c r="Y740" s="305">
        <v>0</v>
      </c>
    </row>
    <row r="741" spans="1:25" x14ac:dyDescent="0.3">
      <c r="E741" s="250" t="s">
        <v>1702</v>
      </c>
      <c r="F741" s="317">
        <v>8951000</v>
      </c>
      <c r="G741" s="318"/>
      <c r="H741" s="319"/>
      <c r="I741" s="320"/>
      <c r="J741" s="337">
        <v>0</v>
      </c>
      <c r="K741" s="321">
        <v>0</v>
      </c>
      <c r="L741" s="321">
        <v>0</v>
      </c>
      <c r="M741" s="321">
        <v>0</v>
      </c>
      <c r="N741" s="321">
        <v>0</v>
      </c>
      <c r="O741" s="321">
        <v>0</v>
      </c>
      <c r="P741" s="321">
        <v>0</v>
      </c>
      <c r="Q741" s="321">
        <v>0</v>
      </c>
      <c r="R741" s="321">
        <v>0</v>
      </c>
      <c r="S741" s="321">
        <v>0</v>
      </c>
      <c r="T741" s="321">
        <v>0</v>
      </c>
      <c r="U741" s="322">
        <v>0</v>
      </c>
      <c r="V741" s="323">
        <v>0</v>
      </c>
      <c r="W741" s="303"/>
      <c r="X741" s="324">
        <v>0</v>
      </c>
      <c r="Y741" s="325">
        <v>0</v>
      </c>
    </row>
    <row r="742" spans="1:25" x14ac:dyDescent="0.3">
      <c r="E742" s="250" t="s">
        <v>1703</v>
      </c>
      <c r="F742" s="317">
        <v>8951001</v>
      </c>
      <c r="G742" s="318"/>
      <c r="H742" s="319"/>
      <c r="I742" s="320"/>
      <c r="J742" s="337">
        <v>0</v>
      </c>
      <c r="K742" s="321">
        <v>0</v>
      </c>
      <c r="L742" s="321">
        <v>0</v>
      </c>
      <c r="M742" s="321">
        <v>0</v>
      </c>
      <c r="N742" s="321">
        <v>0</v>
      </c>
      <c r="O742" s="321">
        <v>0</v>
      </c>
      <c r="P742" s="321">
        <v>0</v>
      </c>
      <c r="Q742" s="321">
        <v>0</v>
      </c>
      <c r="R742" s="321">
        <v>0</v>
      </c>
      <c r="S742" s="321">
        <v>0</v>
      </c>
      <c r="T742" s="321">
        <v>0</v>
      </c>
      <c r="U742" s="322">
        <v>0</v>
      </c>
      <c r="V742" s="323">
        <v>0</v>
      </c>
      <c r="W742" s="303"/>
      <c r="X742" s="324">
        <v>0</v>
      </c>
      <c r="Y742" s="325">
        <v>0</v>
      </c>
    </row>
    <row r="743" spans="1:25" x14ac:dyDescent="0.3">
      <c r="E743" s="250" t="s">
        <v>1704</v>
      </c>
      <c r="F743" s="317">
        <v>8951002</v>
      </c>
      <c r="G743" s="318"/>
      <c r="H743" s="319"/>
      <c r="I743" s="320"/>
      <c r="J743" s="337">
        <v>0</v>
      </c>
      <c r="K743" s="321">
        <v>0</v>
      </c>
      <c r="L743" s="321">
        <v>0</v>
      </c>
      <c r="M743" s="321">
        <v>0</v>
      </c>
      <c r="N743" s="321">
        <v>0</v>
      </c>
      <c r="O743" s="321">
        <v>0</v>
      </c>
      <c r="P743" s="321">
        <v>0</v>
      </c>
      <c r="Q743" s="321">
        <v>0</v>
      </c>
      <c r="R743" s="321">
        <v>0</v>
      </c>
      <c r="S743" s="321">
        <v>0</v>
      </c>
      <c r="T743" s="321">
        <v>0</v>
      </c>
      <c r="U743" s="322">
        <v>0</v>
      </c>
      <c r="V743" s="323">
        <v>0</v>
      </c>
      <c r="W743" s="303"/>
      <c r="X743" s="324">
        <v>0</v>
      </c>
      <c r="Y743" s="325">
        <v>0</v>
      </c>
    </row>
    <row r="744" spans="1:25" x14ac:dyDescent="0.3">
      <c r="E744" s="250" t="s">
        <v>1705</v>
      </c>
      <c r="F744" s="317">
        <v>8951003</v>
      </c>
      <c r="G744" s="318"/>
      <c r="H744" s="319"/>
      <c r="I744" s="320"/>
      <c r="J744" s="337">
        <v>0</v>
      </c>
      <c r="K744" s="321">
        <v>0</v>
      </c>
      <c r="L744" s="321">
        <v>0</v>
      </c>
      <c r="M744" s="321">
        <v>0</v>
      </c>
      <c r="N744" s="321">
        <v>0</v>
      </c>
      <c r="O744" s="321">
        <v>0</v>
      </c>
      <c r="P744" s="321">
        <v>0</v>
      </c>
      <c r="Q744" s="321">
        <v>0</v>
      </c>
      <c r="R744" s="321">
        <v>0</v>
      </c>
      <c r="S744" s="321">
        <v>0</v>
      </c>
      <c r="T744" s="321">
        <v>0</v>
      </c>
      <c r="U744" s="322">
        <v>0</v>
      </c>
      <c r="V744" s="323">
        <v>0</v>
      </c>
      <c r="W744" s="303"/>
      <c r="X744" s="324">
        <v>0</v>
      </c>
      <c r="Y744" s="325">
        <v>0</v>
      </c>
    </row>
    <row r="745" spans="1:25" x14ac:dyDescent="0.3">
      <c r="A745" s="361"/>
      <c r="B745" s="361"/>
      <c r="C745" s="361"/>
      <c r="D745" s="361"/>
      <c r="E745" s="326" t="s">
        <v>1706</v>
      </c>
      <c r="F745" s="351"/>
      <c r="G745" s="352"/>
      <c r="H745" s="353"/>
      <c r="I745" s="354"/>
      <c r="J745" s="362">
        <v>0</v>
      </c>
      <c r="K745" s="355">
        <v>0</v>
      </c>
      <c r="L745" s="355">
        <v>0</v>
      </c>
      <c r="M745" s="355">
        <v>0</v>
      </c>
      <c r="N745" s="355">
        <v>0</v>
      </c>
      <c r="O745" s="355">
        <v>0</v>
      </c>
      <c r="P745" s="355">
        <v>0</v>
      </c>
      <c r="Q745" s="355">
        <v>0</v>
      </c>
      <c r="R745" s="355">
        <v>0</v>
      </c>
      <c r="S745" s="355">
        <v>0</v>
      </c>
      <c r="T745" s="355">
        <v>0</v>
      </c>
      <c r="U745" s="356">
        <v>0</v>
      </c>
      <c r="V745" s="357">
        <v>0</v>
      </c>
      <c r="W745" s="358"/>
      <c r="X745" s="359">
        <v>0</v>
      </c>
      <c r="Y745" s="360">
        <v>0</v>
      </c>
    </row>
    <row r="746" spans="1:25" x14ac:dyDescent="0.3">
      <c r="A746" s="361"/>
      <c r="B746" s="361"/>
      <c r="C746" s="361"/>
      <c r="D746" s="361"/>
      <c r="E746" s="326" t="s">
        <v>1707</v>
      </c>
      <c r="F746" s="351"/>
      <c r="G746" s="352"/>
      <c r="H746" s="353"/>
      <c r="I746" s="354"/>
      <c r="J746" s="362">
        <v>0</v>
      </c>
      <c r="K746" s="355">
        <v>0</v>
      </c>
      <c r="L746" s="355">
        <v>0</v>
      </c>
      <c r="M746" s="355">
        <v>0</v>
      </c>
      <c r="N746" s="355">
        <v>0</v>
      </c>
      <c r="O746" s="355">
        <v>0</v>
      </c>
      <c r="P746" s="355">
        <v>0</v>
      </c>
      <c r="Q746" s="355">
        <v>0</v>
      </c>
      <c r="R746" s="355">
        <v>0</v>
      </c>
      <c r="S746" s="355">
        <v>0</v>
      </c>
      <c r="T746" s="355">
        <v>0</v>
      </c>
      <c r="U746" s="356">
        <v>0</v>
      </c>
      <c r="V746" s="357">
        <v>0</v>
      </c>
      <c r="W746" s="358"/>
      <c r="X746" s="359">
        <v>0</v>
      </c>
      <c r="Y746" s="360">
        <v>0</v>
      </c>
    </row>
    <row r="747" spans="1:25" x14ac:dyDescent="0.3">
      <c r="A747" s="361"/>
      <c r="B747" s="361"/>
      <c r="C747" s="361"/>
      <c r="D747" s="361"/>
      <c r="E747" s="326" t="s">
        <v>1708</v>
      </c>
      <c r="F747" s="351"/>
      <c r="G747" s="352"/>
      <c r="H747" s="353"/>
      <c r="I747" s="354"/>
      <c r="J747" s="362">
        <v>0</v>
      </c>
      <c r="K747" s="355">
        <v>0</v>
      </c>
      <c r="L747" s="355">
        <v>0</v>
      </c>
      <c r="M747" s="355">
        <v>0</v>
      </c>
      <c r="N747" s="355">
        <v>0</v>
      </c>
      <c r="O747" s="355">
        <v>0</v>
      </c>
      <c r="P747" s="355">
        <v>0</v>
      </c>
      <c r="Q747" s="355">
        <v>0</v>
      </c>
      <c r="R747" s="355">
        <v>0</v>
      </c>
      <c r="S747" s="355">
        <v>0</v>
      </c>
      <c r="T747" s="355">
        <v>0</v>
      </c>
      <c r="U747" s="356">
        <v>0</v>
      </c>
      <c r="V747" s="357">
        <v>0</v>
      </c>
      <c r="W747" s="358"/>
      <c r="X747" s="359">
        <v>0</v>
      </c>
      <c r="Y747" s="360">
        <v>0</v>
      </c>
    </row>
    <row r="748" spans="1:25" x14ac:dyDescent="0.3">
      <c r="A748" s="233"/>
      <c r="B748" s="234" t="s">
        <v>70</v>
      </c>
      <c r="D748" s="293" t="s">
        <v>1709</v>
      </c>
      <c r="E748" s="294"/>
      <c r="F748" s="295" t="s">
        <v>1710</v>
      </c>
      <c r="G748" s="296"/>
      <c r="H748" s="297"/>
      <c r="I748" s="298"/>
      <c r="J748" s="299">
        <v>0</v>
      </c>
      <c r="K748" s="300">
        <v>0</v>
      </c>
      <c r="L748" s="300">
        <v>0</v>
      </c>
      <c r="M748" s="300">
        <v>0</v>
      </c>
      <c r="N748" s="300">
        <v>0</v>
      </c>
      <c r="O748" s="300">
        <v>0</v>
      </c>
      <c r="P748" s="300">
        <v>0</v>
      </c>
      <c r="Q748" s="300">
        <v>0</v>
      </c>
      <c r="R748" s="300">
        <v>0</v>
      </c>
      <c r="S748" s="300">
        <v>0</v>
      </c>
      <c r="T748" s="300">
        <v>0</v>
      </c>
      <c r="U748" s="301">
        <v>0</v>
      </c>
      <c r="V748" s="302">
        <v>0</v>
      </c>
      <c r="W748" s="303"/>
      <c r="X748" s="304">
        <v>0</v>
      </c>
      <c r="Y748" s="305">
        <v>0</v>
      </c>
    </row>
    <row r="749" spans="1:25" x14ac:dyDescent="0.3">
      <c r="A749" s="250"/>
      <c r="B749" s="250"/>
      <c r="C749" s="250"/>
      <c r="D749" s="250"/>
      <c r="E749" s="250" t="s">
        <v>1711</v>
      </c>
      <c r="F749" s="306">
        <v>4308500</v>
      </c>
      <c r="G749" s="307"/>
      <c r="H749" s="308"/>
      <c r="I749" s="309"/>
      <c r="J749" s="310">
        <v>0</v>
      </c>
      <c r="K749" s="311">
        <v>0</v>
      </c>
      <c r="L749" s="311">
        <v>0</v>
      </c>
      <c r="M749" s="311">
        <v>0</v>
      </c>
      <c r="N749" s="311">
        <v>0</v>
      </c>
      <c r="O749" s="311">
        <v>0</v>
      </c>
      <c r="P749" s="311">
        <v>0</v>
      </c>
      <c r="Q749" s="311">
        <v>0</v>
      </c>
      <c r="R749" s="311">
        <v>0</v>
      </c>
      <c r="S749" s="311">
        <v>0</v>
      </c>
      <c r="T749" s="311">
        <v>0</v>
      </c>
      <c r="U749" s="312">
        <v>0</v>
      </c>
      <c r="V749" s="313">
        <v>0</v>
      </c>
      <c r="W749" s="314"/>
      <c r="X749" s="315">
        <v>0</v>
      </c>
      <c r="Y749" s="316">
        <v>0</v>
      </c>
    </row>
    <row r="750" spans="1:25" x14ac:dyDescent="0.3">
      <c r="A750" s="250"/>
      <c r="B750" s="250"/>
      <c r="C750" s="250"/>
      <c r="D750" s="250"/>
      <c r="E750" s="250" t="s">
        <v>1712</v>
      </c>
      <c r="F750" s="306">
        <v>4309880</v>
      </c>
      <c r="G750" s="307"/>
      <c r="H750" s="308"/>
      <c r="I750" s="309"/>
      <c r="J750" s="310">
        <v>0</v>
      </c>
      <c r="K750" s="311">
        <v>0</v>
      </c>
      <c r="L750" s="311">
        <v>0</v>
      </c>
      <c r="M750" s="311">
        <v>0</v>
      </c>
      <c r="N750" s="311">
        <v>0</v>
      </c>
      <c r="O750" s="311">
        <v>0</v>
      </c>
      <c r="P750" s="311">
        <v>0</v>
      </c>
      <c r="Q750" s="311">
        <v>0</v>
      </c>
      <c r="R750" s="311">
        <v>0</v>
      </c>
      <c r="S750" s="311">
        <v>0</v>
      </c>
      <c r="T750" s="311">
        <v>0</v>
      </c>
      <c r="U750" s="312">
        <v>0</v>
      </c>
      <c r="V750" s="313">
        <v>0</v>
      </c>
      <c r="W750" s="314"/>
      <c r="X750" s="315">
        <v>0</v>
      </c>
      <c r="Y750" s="316">
        <v>0</v>
      </c>
    </row>
    <row r="751" spans="1:25" x14ac:dyDescent="0.3">
      <c r="A751" s="250"/>
      <c r="B751" s="250"/>
      <c r="C751" s="250"/>
      <c r="D751" s="250"/>
      <c r="E751" s="250" t="s">
        <v>1713</v>
      </c>
      <c r="F751" s="306">
        <v>4309507</v>
      </c>
      <c r="G751" s="307"/>
      <c r="H751" s="308"/>
      <c r="I751" s="309"/>
      <c r="J751" s="310">
        <v>0</v>
      </c>
      <c r="K751" s="311">
        <v>0</v>
      </c>
      <c r="L751" s="311">
        <v>0</v>
      </c>
      <c r="M751" s="311">
        <v>0</v>
      </c>
      <c r="N751" s="311">
        <v>0</v>
      </c>
      <c r="O751" s="311">
        <v>0</v>
      </c>
      <c r="P751" s="311">
        <v>0</v>
      </c>
      <c r="Q751" s="311">
        <v>0</v>
      </c>
      <c r="R751" s="311">
        <v>0</v>
      </c>
      <c r="S751" s="311">
        <v>0</v>
      </c>
      <c r="T751" s="311">
        <v>0</v>
      </c>
      <c r="U751" s="312">
        <v>0</v>
      </c>
      <c r="V751" s="313">
        <v>0</v>
      </c>
      <c r="W751" s="314"/>
      <c r="X751" s="315">
        <v>0</v>
      </c>
      <c r="Y751" s="316">
        <v>0</v>
      </c>
    </row>
    <row r="752" spans="1:25" x14ac:dyDescent="0.3">
      <c r="A752" s="250"/>
      <c r="B752" s="250"/>
      <c r="C752" s="250"/>
      <c r="D752" s="250"/>
      <c r="E752" s="250" t="s">
        <v>1714</v>
      </c>
      <c r="F752" s="306">
        <v>4901000</v>
      </c>
      <c r="G752" s="307"/>
      <c r="H752" s="308"/>
      <c r="I752" s="309"/>
      <c r="J752" s="310">
        <v>0</v>
      </c>
      <c r="K752" s="311">
        <v>0</v>
      </c>
      <c r="L752" s="311">
        <v>0</v>
      </c>
      <c r="M752" s="311">
        <v>0</v>
      </c>
      <c r="N752" s="311">
        <v>0</v>
      </c>
      <c r="O752" s="311">
        <v>0</v>
      </c>
      <c r="P752" s="311">
        <v>0</v>
      </c>
      <c r="Q752" s="311">
        <v>0</v>
      </c>
      <c r="R752" s="311">
        <v>0</v>
      </c>
      <c r="S752" s="311">
        <v>0</v>
      </c>
      <c r="T752" s="311">
        <v>0</v>
      </c>
      <c r="U752" s="312">
        <v>0</v>
      </c>
      <c r="V752" s="313">
        <v>0</v>
      </c>
      <c r="W752" s="314"/>
      <c r="X752" s="315">
        <v>0</v>
      </c>
      <c r="Y752" s="316">
        <v>0</v>
      </c>
    </row>
    <row r="753" spans="1:25" x14ac:dyDescent="0.3">
      <c r="A753" s="250"/>
      <c r="B753" s="250"/>
      <c r="C753" s="250"/>
      <c r="D753" s="250"/>
      <c r="E753" s="250" t="s">
        <v>1715</v>
      </c>
      <c r="F753" s="306">
        <v>4901001</v>
      </c>
      <c r="G753" s="307"/>
      <c r="H753" s="308"/>
      <c r="I753" s="309"/>
      <c r="J753" s="310">
        <v>0</v>
      </c>
      <c r="K753" s="311">
        <v>0</v>
      </c>
      <c r="L753" s="311">
        <v>0</v>
      </c>
      <c r="M753" s="311">
        <v>0</v>
      </c>
      <c r="N753" s="311">
        <v>0</v>
      </c>
      <c r="O753" s="311">
        <v>0</v>
      </c>
      <c r="P753" s="311">
        <v>0</v>
      </c>
      <c r="Q753" s="311">
        <v>0</v>
      </c>
      <c r="R753" s="311">
        <v>0</v>
      </c>
      <c r="S753" s="311">
        <v>0</v>
      </c>
      <c r="T753" s="311">
        <v>0</v>
      </c>
      <c r="U753" s="312">
        <v>0</v>
      </c>
      <c r="V753" s="313">
        <v>0</v>
      </c>
      <c r="W753" s="314"/>
      <c r="X753" s="315">
        <v>0</v>
      </c>
      <c r="Y753" s="316">
        <v>0</v>
      </c>
    </row>
    <row r="754" spans="1:25" x14ac:dyDescent="0.3">
      <c r="A754" s="250"/>
      <c r="B754" s="250"/>
      <c r="C754" s="250"/>
      <c r="D754" s="250"/>
      <c r="E754" s="250" t="s">
        <v>1716</v>
      </c>
      <c r="F754" s="306">
        <v>4901003</v>
      </c>
      <c r="G754" s="307"/>
      <c r="H754" s="308"/>
      <c r="I754" s="309"/>
      <c r="J754" s="310">
        <v>0</v>
      </c>
      <c r="K754" s="311">
        <v>0</v>
      </c>
      <c r="L754" s="311">
        <v>0</v>
      </c>
      <c r="M754" s="311">
        <v>0</v>
      </c>
      <c r="N754" s="311">
        <v>0</v>
      </c>
      <c r="O754" s="311">
        <v>0</v>
      </c>
      <c r="P754" s="311">
        <v>0</v>
      </c>
      <c r="Q754" s="311">
        <v>0</v>
      </c>
      <c r="R754" s="311">
        <v>0</v>
      </c>
      <c r="S754" s="311">
        <v>0</v>
      </c>
      <c r="T754" s="311">
        <v>0</v>
      </c>
      <c r="U754" s="312">
        <v>0</v>
      </c>
      <c r="V754" s="313">
        <v>0</v>
      </c>
      <c r="W754" s="314"/>
      <c r="X754" s="315">
        <v>0</v>
      </c>
      <c r="Y754" s="316">
        <v>0</v>
      </c>
    </row>
    <row r="755" spans="1:25" x14ac:dyDescent="0.3">
      <c r="A755" s="250"/>
      <c r="B755" s="250"/>
      <c r="C755" s="250"/>
      <c r="D755" s="250"/>
      <c r="E755" s="250" t="s">
        <v>1717</v>
      </c>
      <c r="F755" s="306">
        <v>4901004</v>
      </c>
      <c r="G755" s="307"/>
      <c r="H755" s="308"/>
      <c r="I755" s="309"/>
      <c r="J755" s="310">
        <v>0</v>
      </c>
      <c r="K755" s="311">
        <v>0</v>
      </c>
      <c r="L755" s="311">
        <v>0</v>
      </c>
      <c r="M755" s="311">
        <v>0</v>
      </c>
      <c r="N755" s="311">
        <v>0</v>
      </c>
      <c r="O755" s="311">
        <v>0</v>
      </c>
      <c r="P755" s="311">
        <v>0</v>
      </c>
      <c r="Q755" s="311">
        <v>0</v>
      </c>
      <c r="R755" s="311">
        <v>0</v>
      </c>
      <c r="S755" s="311">
        <v>0</v>
      </c>
      <c r="T755" s="311">
        <v>0</v>
      </c>
      <c r="U755" s="312">
        <v>0</v>
      </c>
      <c r="V755" s="313">
        <v>0</v>
      </c>
      <c r="W755" s="314"/>
      <c r="X755" s="315">
        <v>0</v>
      </c>
      <c r="Y755" s="316">
        <v>0</v>
      </c>
    </row>
    <row r="756" spans="1:25" x14ac:dyDescent="0.3">
      <c r="A756" s="250"/>
      <c r="B756" s="250"/>
      <c r="C756" s="250"/>
      <c r="D756" s="250"/>
      <c r="E756" s="250" t="s">
        <v>1718</v>
      </c>
      <c r="F756" s="306">
        <v>4901099</v>
      </c>
      <c r="G756" s="307"/>
      <c r="H756" s="308"/>
      <c r="I756" s="309"/>
      <c r="J756" s="310">
        <v>0</v>
      </c>
      <c r="K756" s="311">
        <v>0</v>
      </c>
      <c r="L756" s="311">
        <v>0</v>
      </c>
      <c r="M756" s="311">
        <v>0</v>
      </c>
      <c r="N756" s="311">
        <v>0</v>
      </c>
      <c r="O756" s="311">
        <v>0</v>
      </c>
      <c r="P756" s="311">
        <v>0</v>
      </c>
      <c r="Q756" s="311">
        <v>0</v>
      </c>
      <c r="R756" s="311">
        <v>0</v>
      </c>
      <c r="S756" s="311">
        <v>0</v>
      </c>
      <c r="T756" s="311">
        <v>0</v>
      </c>
      <c r="U756" s="312">
        <v>0</v>
      </c>
      <c r="V756" s="313">
        <v>0</v>
      </c>
      <c r="W756" s="314"/>
      <c r="X756" s="315">
        <v>0</v>
      </c>
      <c r="Y756" s="316">
        <v>0</v>
      </c>
    </row>
    <row r="757" spans="1:25" x14ac:dyDescent="0.3">
      <c r="A757" s="250"/>
      <c r="B757" s="250"/>
      <c r="C757" s="250"/>
      <c r="D757" s="250"/>
      <c r="E757" s="250" t="s">
        <v>1719</v>
      </c>
      <c r="F757" s="306">
        <v>4902000</v>
      </c>
      <c r="G757" s="307"/>
      <c r="H757" s="308"/>
      <c r="I757" s="309"/>
      <c r="J757" s="310">
        <v>0</v>
      </c>
      <c r="K757" s="311">
        <v>0</v>
      </c>
      <c r="L757" s="311">
        <v>0</v>
      </c>
      <c r="M757" s="311">
        <v>0</v>
      </c>
      <c r="N757" s="311">
        <v>0</v>
      </c>
      <c r="O757" s="311">
        <v>0</v>
      </c>
      <c r="P757" s="311">
        <v>0</v>
      </c>
      <c r="Q757" s="311">
        <v>0</v>
      </c>
      <c r="R757" s="311">
        <v>0</v>
      </c>
      <c r="S757" s="311">
        <v>0</v>
      </c>
      <c r="T757" s="311">
        <v>0</v>
      </c>
      <c r="U757" s="312">
        <v>0</v>
      </c>
      <c r="V757" s="313">
        <v>0</v>
      </c>
      <c r="W757" s="314"/>
      <c r="X757" s="315">
        <v>0</v>
      </c>
      <c r="Y757" s="316">
        <v>0</v>
      </c>
    </row>
    <row r="758" spans="1:25" x14ac:dyDescent="0.3">
      <c r="A758" s="250"/>
      <c r="B758" s="250"/>
      <c r="C758" s="250"/>
      <c r="D758" s="250"/>
      <c r="E758" s="250" t="s">
        <v>1720</v>
      </c>
      <c r="F758" s="306">
        <v>4902001</v>
      </c>
      <c r="G758" s="307"/>
      <c r="H758" s="308"/>
      <c r="I758" s="309"/>
      <c r="J758" s="310">
        <v>0</v>
      </c>
      <c r="K758" s="311">
        <v>0</v>
      </c>
      <c r="L758" s="311">
        <v>0</v>
      </c>
      <c r="M758" s="311">
        <v>0</v>
      </c>
      <c r="N758" s="311">
        <v>0</v>
      </c>
      <c r="O758" s="311">
        <v>0</v>
      </c>
      <c r="P758" s="311">
        <v>0</v>
      </c>
      <c r="Q758" s="311">
        <v>0</v>
      </c>
      <c r="R758" s="311">
        <v>0</v>
      </c>
      <c r="S758" s="311">
        <v>0</v>
      </c>
      <c r="T758" s="311">
        <v>0</v>
      </c>
      <c r="U758" s="312">
        <v>0</v>
      </c>
      <c r="V758" s="313">
        <v>0</v>
      </c>
      <c r="W758" s="314"/>
      <c r="X758" s="315">
        <v>0</v>
      </c>
      <c r="Y758" s="316">
        <v>0</v>
      </c>
    </row>
    <row r="759" spans="1:25" x14ac:dyDescent="0.3">
      <c r="A759" s="250"/>
      <c r="B759" s="250"/>
      <c r="C759" s="250"/>
      <c r="D759" s="250"/>
      <c r="E759" s="250" t="s">
        <v>1721</v>
      </c>
      <c r="F759" s="306">
        <v>4902003</v>
      </c>
      <c r="G759" s="307"/>
      <c r="H759" s="308"/>
      <c r="I759" s="309"/>
      <c r="J759" s="310">
        <v>0</v>
      </c>
      <c r="K759" s="311">
        <v>0</v>
      </c>
      <c r="L759" s="311">
        <v>0</v>
      </c>
      <c r="M759" s="311">
        <v>0</v>
      </c>
      <c r="N759" s="311">
        <v>0</v>
      </c>
      <c r="O759" s="311">
        <v>0</v>
      </c>
      <c r="P759" s="311">
        <v>0</v>
      </c>
      <c r="Q759" s="311">
        <v>0</v>
      </c>
      <c r="R759" s="311">
        <v>0</v>
      </c>
      <c r="S759" s="311">
        <v>0</v>
      </c>
      <c r="T759" s="311">
        <v>0</v>
      </c>
      <c r="U759" s="312">
        <v>0</v>
      </c>
      <c r="V759" s="313">
        <v>0</v>
      </c>
      <c r="W759" s="314"/>
      <c r="X759" s="315">
        <v>0</v>
      </c>
      <c r="Y759" s="316">
        <v>0</v>
      </c>
    </row>
    <row r="760" spans="1:25" x14ac:dyDescent="0.3">
      <c r="A760" s="250"/>
      <c r="B760" s="250"/>
      <c r="C760" s="250"/>
      <c r="D760" s="250"/>
      <c r="E760" s="250" t="s">
        <v>1722</v>
      </c>
      <c r="F760" s="306">
        <v>4902004</v>
      </c>
      <c r="G760" s="307"/>
      <c r="H760" s="308"/>
      <c r="I760" s="309"/>
      <c r="J760" s="310">
        <v>0</v>
      </c>
      <c r="K760" s="311">
        <v>0</v>
      </c>
      <c r="L760" s="311">
        <v>0</v>
      </c>
      <c r="M760" s="311">
        <v>0</v>
      </c>
      <c r="N760" s="311">
        <v>0</v>
      </c>
      <c r="O760" s="311">
        <v>0</v>
      </c>
      <c r="P760" s="311">
        <v>0</v>
      </c>
      <c r="Q760" s="311">
        <v>0</v>
      </c>
      <c r="R760" s="311">
        <v>0</v>
      </c>
      <c r="S760" s="311">
        <v>0</v>
      </c>
      <c r="T760" s="311">
        <v>0</v>
      </c>
      <c r="U760" s="312">
        <v>0</v>
      </c>
      <c r="V760" s="313">
        <v>0</v>
      </c>
      <c r="W760" s="314"/>
      <c r="X760" s="315">
        <v>0</v>
      </c>
      <c r="Y760" s="316">
        <v>0</v>
      </c>
    </row>
    <row r="761" spans="1:25" x14ac:dyDescent="0.3">
      <c r="A761" s="250"/>
      <c r="B761" s="250"/>
      <c r="C761" s="250"/>
      <c r="D761" s="250"/>
      <c r="E761" s="250" t="s">
        <v>1723</v>
      </c>
      <c r="F761" s="306">
        <v>4313001</v>
      </c>
      <c r="G761" s="307"/>
      <c r="H761" s="308"/>
      <c r="I761" s="309"/>
      <c r="J761" s="310">
        <v>0</v>
      </c>
      <c r="K761" s="311">
        <v>0</v>
      </c>
      <c r="L761" s="311">
        <v>0</v>
      </c>
      <c r="M761" s="311">
        <v>0</v>
      </c>
      <c r="N761" s="311">
        <v>0</v>
      </c>
      <c r="O761" s="311">
        <v>0</v>
      </c>
      <c r="P761" s="311">
        <v>0</v>
      </c>
      <c r="Q761" s="311">
        <v>0</v>
      </c>
      <c r="R761" s="311">
        <v>0</v>
      </c>
      <c r="S761" s="311">
        <v>0</v>
      </c>
      <c r="T761" s="311">
        <v>0</v>
      </c>
      <c r="U761" s="312">
        <v>0</v>
      </c>
      <c r="V761" s="313">
        <v>0</v>
      </c>
      <c r="W761" s="314"/>
      <c r="X761" s="315">
        <v>0</v>
      </c>
      <c r="Y761" s="316">
        <v>0</v>
      </c>
    </row>
    <row r="762" spans="1:25" x14ac:dyDescent="0.3">
      <c r="D762" s="293" t="s">
        <v>1724</v>
      </c>
      <c r="E762" s="294"/>
      <c r="F762" s="295"/>
      <c r="G762" s="296"/>
      <c r="H762" s="297"/>
      <c r="I762" s="298"/>
      <c r="J762" s="299">
        <v>0</v>
      </c>
      <c r="K762" s="300">
        <v>0</v>
      </c>
      <c r="L762" s="300">
        <v>0</v>
      </c>
      <c r="M762" s="300">
        <v>0</v>
      </c>
      <c r="N762" s="300">
        <v>0</v>
      </c>
      <c r="O762" s="300">
        <v>0</v>
      </c>
      <c r="P762" s="300">
        <v>0</v>
      </c>
      <c r="Q762" s="300">
        <v>0</v>
      </c>
      <c r="R762" s="300">
        <v>0</v>
      </c>
      <c r="S762" s="300">
        <v>0</v>
      </c>
      <c r="T762" s="300">
        <v>0</v>
      </c>
      <c r="U762" s="301">
        <v>0</v>
      </c>
      <c r="V762" s="302">
        <v>0</v>
      </c>
      <c r="W762" s="303"/>
      <c r="X762" s="304">
        <v>0</v>
      </c>
      <c r="Y762" s="305">
        <v>0</v>
      </c>
    </row>
    <row r="763" spans="1:25" x14ac:dyDescent="0.3">
      <c r="A763" s="326"/>
      <c r="B763" s="326"/>
      <c r="C763" s="326"/>
      <c r="D763" s="326"/>
      <c r="E763" s="326" t="s">
        <v>1725</v>
      </c>
      <c r="F763" s="351"/>
      <c r="G763" s="352"/>
      <c r="H763" s="353"/>
      <c r="I763" s="354"/>
      <c r="J763" s="362">
        <v>0</v>
      </c>
      <c r="K763" s="355">
        <v>0</v>
      </c>
      <c r="L763" s="355">
        <v>0</v>
      </c>
      <c r="M763" s="355">
        <v>0</v>
      </c>
      <c r="N763" s="355">
        <v>0</v>
      </c>
      <c r="O763" s="355">
        <v>0</v>
      </c>
      <c r="P763" s="355">
        <v>0</v>
      </c>
      <c r="Q763" s="355">
        <v>0</v>
      </c>
      <c r="R763" s="355">
        <v>0</v>
      </c>
      <c r="S763" s="355">
        <v>0</v>
      </c>
      <c r="T763" s="355">
        <v>0</v>
      </c>
      <c r="U763" s="356">
        <v>0</v>
      </c>
      <c r="V763" s="357">
        <v>0</v>
      </c>
      <c r="W763" s="358"/>
      <c r="X763" s="359">
        <v>0</v>
      </c>
      <c r="Y763" s="360">
        <v>0</v>
      </c>
    </row>
    <row r="764" spans="1:25" x14ac:dyDescent="0.3">
      <c r="A764" s="326"/>
      <c r="B764" s="326"/>
      <c r="C764" s="326"/>
      <c r="D764" s="326"/>
      <c r="E764" s="326" t="s">
        <v>1726</v>
      </c>
      <c r="F764" s="351"/>
      <c r="G764" s="352"/>
      <c r="H764" s="353"/>
      <c r="I764" s="354"/>
      <c r="J764" s="362">
        <v>0</v>
      </c>
      <c r="K764" s="355">
        <v>0</v>
      </c>
      <c r="L764" s="355">
        <v>0</v>
      </c>
      <c r="M764" s="355">
        <v>0</v>
      </c>
      <c r="N764" s="355">
        <v>0</v>
      </c>
      <c r="O764" s="355">
        <v>0</v>
      </c>
      <c r="P764" s="355">
        <v>0</v>
      </c>
      <c r="Q764" s="355">
        <v>0</v>
      </c>
      <c r="R764" s="355">
        <v>0</v>
      </c>
      <c r="S764" s="355">
        <v>0</v>
      </c>
      <c r="T764" s="355">
        <v>0</v>
      </c>
      <c r="U764" s="356">
        <v>0</v>
      </c>
      <c r="V764" s="357">
        <v>0</v>
      </c>
      <c r="W764" s="358"/>
      <c r="X764" s="359">
        <v>0</v>
      </c>
      <c r="Y764" s="360">
        <v>0</v>
      </c>
    </row>
    <row r="765" spans="1:25" x14ac:dyDescent="0.3">
      <c r="A765" s="326"/>
      <c r="B765" s="326"/>
      <c r="C765" s="326"/>
      <c r="D765" s="326"/>
      <c r="E765" s="326" t="s">
        <v>1727</v>
      </c>
      <c r="F765" s="351"/>
      <c r="G765" s="352"/>
      <c r="H765" s="353"/>
      <c r="I765" s="354"/>
      <c r="J765" s="362">
        <v>0</v>
      </c>
      <c r="K765" s="355">
        <v>0</v>
      </c>
      <c r="L765" s="355">
        <v>0</v>
      </c>
      <c r="M765" s="355">
        <v>0</v>
      </c>
      <c r="N765" s="355">
        <v>0</v>
      </c>
      <c r="O765" s="355">
        <v>0</v>
      </c>
      <c r="P765" s="355">
        <v>0</v>
      </c>
      <c r="Q765" s="355">
        <v>0</v>
      </c>
      <c r="R765" s="355">
        <v>0</v>
      </c>
      <c r="S765" s="355">
        <v>0</v>
      </c>
      <c r="T765" s="355">
        <v>0</v>
      </c>
      <c r="U765" s="356">
        <v>0</v>
      </c>
      <c r="V765" s="357">
        <v>0</v>
      </c>
      <c r="W765" s="358"/>
      <c r="X765" s="359">
        <v>0</v>
      </c>
      <c r="Y765" s="360">
        <v>0</v>
      </c>
    </row>
    <row r="766" spans="1:25" x14ac:dyDescent="0.3">
      <c r="D766" s="293" t="s">
        <v>1728</v>
      </c>
      <c r="E766" s="294"/>
      <c r="F766" s="295"/>
      <c r="G766" s="296"/>
      <c r="H766" s="297"/>
      <c r="I766" s="298"/>
      <c r="J766" s="299">
        <v>0</v>
      </c>
      <c r="K766" s="300">
        <v>0</v>
      </c>
      <c r="L766" s="300">
        <v>0</v>
      </c>
      <c r="M766" s="300">
        <v>0</v>
      </c>
      <c r="N766" s="300">
        <v>0</v>
      </c>
      <c r="O766" s="300">
        <v>0</v>
      </c>
      <c r="P766" s="300">
        <v>0</v>
      </c>
      <c r="Q766" s="300">
        <v>0</v>
      </c>
      <c r="R766" s="300">
        <v>0</v>
      </c>
      <c r="S766" s="300">
        <v>0</v>
      </c>
      <c r="T766" s="300">
        <v>0</v>
      </c>
      <c r="U766" s="301">
        <v>0</v>
      </c>
      <c r="V766" s="302">
        <v>0</v>
      </c>
      <c r="W766" s="303"/>
      <c r="X766" s="304">
        <v>0</v>
      </c>
      <c r="Y766" s="305">
        <v>0</v>
      </c>
    </row>
    <row r="767" spans="1:25" x14ac:dyDescent="0.3">
      <c r="A767" s="326"/>
      <c r="B767" s="326"/>
      <c r="C767" s="326"/>
      <c r="D767" s="326"/>
      <c r="E767" s="326" t="s">
        <v>1729</v>
      </c>
      <c r="F767" s="336"/>
      <c r="G767" s="327"/>
      <c r="H767" s="328"/>
      <c r="I767" s="329"/>
      <c r="J767" s="338">
        <v>0</v>
      </c>
      <c r="K767" s="330">
        <v>0</v>
      </c>
      <c r="L767" s="330">
        <v>0</v>
      </c>
      <c r="M767" s="330">
        <v>0</v>
      </c>
      <c r="N767" s="330">
        <v>0</v>
      </c>
      <c r="O767" s="330">
        <v>0</v>
      </c>
      <c r="P767" s="330">
        <v>0</v>
      </c>
      <c r="Q767" s="330">
        <v>0</v>
      </c>
      <c r="R767" s="330">
        <v>0</v>
      </c>
      <c r="S767" s="330">
        <v>0</v>
      </c>
      <c r="T767" s="330">
        <v>0</v>
      </c>
      <c r="U767" s="331">
        <v>0</v>
      </c>
      <c r="V767" s="332">
        <v>0</v>
      </c>
      <c r="W767" s="333"/>
      <c r="X767" s="334">
        <v>0</v>
      </c>
      <c r="Y767" s="335">
        <v>0</v>
      </c>
    </row>
    <row r="768" spans="1:25" x14ac:dyDescent="0.3">
      <c r="A768" s="326"/>
      <c r="B768" s="326"/>
      <c r="C768" s="326"/>
      <c r="D768" s="326"/>
      <c r="E768" s="326" t="s">
        <v>1730</v>
      </c>
      <c r="F768" s="336"/>
      <c r="G768" s="327"/>
      <c r="H768" s="328"/>
      <c r="I768" s="329"/>
      <c r="J768" s="338">
        <v>0</v>
      </c>
      <c r="K768" s="330">
        <v>0</v>
      </c>
      <c r="L768" s="330">
        <v>0</v>
      </c>
      <c r="M768" s="330">
        <v>0</v>
      </c>
      <c r="N768" s="330">
        <v>0</v>
      </c>
      <c r="O768" s="330">
        <v>0</v>
      </c>
      <c r="P768" s="330">
        <v>0</v>
      </c>
      <c r="Q768" s="330">
        <v>0</v>
      </c>
      <c r="R768" s="330">
        <v>0</v>
      </c>
      <c r="S768" s="330">
        <v>0</v>
      </c>
      <c r="T768" s="330">
        <v>0</v>
      </c>
      <c r="U768" s="331">
        <v>0</v>
      </c>
      <c r="V768" s="332">
        <v>0</v>
      </c>
      <c r="W768" s="333"/>
      <c r="X768" s="334">
        <v>0</v>
      </c>
      <c r="Y768" s="335">
        <v>0</v>
      </c>
    </row>
    <row r="769" spans="1:25" x14ac:dyDescent="0.3">
      <c r="A769" s="326"/>
      <c r="B769" s="326"/>
      <c r="C769" s="326"/>
      <c r="D769" s="326"/>
      <c r="E769" s="326" t="s">
        <v>1731</v>
      </c>
      <c r="F769" s="336"/>
      <c r="G769" s="327"/>
      <c r="H769" s="328"/>
      <c r="I769" s="329"/>
      <c r="J769" s="338">
        <v>0</v>
      </c>
      <c r="K769" s="330">
        <v>0</v>
      </c>
      <c r="L769" s="330">
        <v>0</v>
      </c>
      <c r="M769" s="330">
        <v>0</v>
      </c>
      <c r="N769" s="330">
        <v>0</v>
      </c>
      <c r="O769" s="330">
        <v>0</v>
      </c>
      <c r="P769" s="330">
        <v>0</v>
      </c>
      <c r="Q769" s="330">
        <v>0</v>
      </c>
      <c r="R769" s="330">
        <v>0</v>
      </c>
      <c r="S769" s="330">
        <v>0</v>
      </c>
      <c r="T769" s="330">
        <v>0</v>
      </c>
      <c r="U769" s="331">
        <v>0</v>
      </c>
      <c r="V769" s="332">
        <v>0</v>
      </c>
      <c r="W769" s="333"/>
      <c r="X769" s="334">
        <v>0</v>
      </c>
      <c r="Y769" s="335">
        <v>0</v>
      </c>
    </row>
    <row r="770" spans="1:25" x14ac:dyDescent="0.3">
      <c r="D770" s="293" t="s">
        <v>1732</v>
      </c>
      <c r="E770" s="294"/>
      <c r="F770" s="295"/>
      <c r="G770" s="296"/>
      <c r="H770" s="297"/>
      <c r="I770" s="298"/>
      <c r="J770" s="299">
        <v>0</v>
      </c>
      <c r="K770" s="300">
        <v>0</v>
      </c>
      <c r="L770" s="300">
        <v>0</v>
      </c>
      <c r="M770" s="300">
        <v>0</v>
      </c>
      <c r="N770" s="300">
        <v>0</v>
      </c>
      <c r="O770" s="300">
        <v>0</v>
      </c>
      <c r="P770" s="300">
        <v>0</v>
      </c>
      <c r="Q770" s="300">
        <v>0</v>
      </c>
      <c r="R770" s="300">
        <v>0</v>
      </c>
      <c r="S770" s="300">
        <v>0</v>
      </c>
      <c r="T770" s="300">
        <v>0</v>
      </c>
      <c r="U770" s="301">
        <v>0</v>
      </c>
      <c r="V770" s="302">
        <v>0</v>
      </c>
      <c r="W770" s="303"/>
      <c r="X770" s="304">
        <v>0</v>
      </c>
      <c r="Y770" s="305">
        <v>0</v>
      </c>
    </row>
    <row r="771" spans="1:25" x14ac:dyDescent="0.3">
      <c r="A771" s="326"/>
      <c r="B771" s="326"/>
      <c r="C771" s="326"/>
      <c r="D771" s="326"/>
      <c r="E771" s="326" t="s">
        <v>1733</v>
      </c>
      <c r="F771" s="336"/>
      <c r="G771" s="327"/>
      <c r="H771" s="328"/>
      <c r="I771" s="329"/>
      <c r="J771" s="338">
        <v>0</v>
      </c>
      <c r="K771" s="330">
        <v>0</v>
      </c>
      <c r="L771" s="330">
        <v>0</v>
      </c>
      <c r="M771" s="330">
        <v>0</v>
      </c>
      <c r="N771" s="330">
        <v>0</v>
      </c>
      <c r="O771" s="330">
        <v>0</v>
      </c>
      <c r="P771" s="330">
        <v>0</v>
      </c>
      <c r="Q771" s="330">
        <v>0</v>
      </c>
      <c r="R771" s="330">
        <v>0</v>
      </c>
      <c r="S771" s="330">
        <v>0</v>
      </c>
      <c r="T771" s="330">
        <v>0</v>
      </c>
      <c r="U771" s="331">
        <v>0</v>
      </c>
      <c r="V771" s="332">
        <v>0</v>
      </c>
      <c r="W771" s="333"/>
      <c r="X771" s="334">
        <v>0</v>
      </c>
      <c r="Y771" s="335">
        <v>0</v>
      </c>
    </row>
    <row r="772" spans="1:25" x14ac:dyDescent="0.3">
      <c r="A772" s="326"/>
      <c r="B772" s="326"/>
      <c r="C772" s="326"/>
      <c r="D772" s="326"/>
      <c r="E772" s="326" t="s">
        <v>1734</v>
      </c>
      <c r="F772" s="336"/>
      <c r="G772" s="327"/>
      <c r="H772" s="328"/>
      <c r="I772" s="329"/>
      <c r="J772" s="338">
        <v>0</v>
      </c>
      <c r="K772" s="330">
        <v>0</v>
      </c>
      <c r="L772" s="330">
        <v>0</v>
      </c>
      <c r="M772" s="330">
        <v>0</v>
      </c>
      <c r="N772" s="330">
        <v>0</v>
      </c>
      <c r="O772" s="330">
        <v>0</v>
      </c>
      <c r="P772" s="330">
        <v>0</v>
      </c>
      <c r="Q772" s="330">
        <v>0</v>
      </c>
      <c r="R772" s="330">
        <v>0</v>
      </c>
      <c r="S772" s="330">
        <v>0</v>
      </c>
      <c r="T772" s="330">
        <v>0</v>
      </c>
      <c r="U772" s="331">
        <v>0</v>
      </c>
      <c r="V772" s="332">
        <v>0</v>
      </c>
      <c r="W772" s="333"/>
      <c r="X772" s="334">
        <v>0</v>
      </c>
      <c r="Y772" s="335">
        <v>0</v>
      </c>
    </row>
    <row r="773" spans="1:25" x14ac:dyDescent="0.3">
      <c r="A773" s="326"/>
      <c r="B773" s="326"/>
      <c r="C773" s="326"/>
      <c r="D773" s="326"/>
      <c r="E773" s="326" t="s">
        <v>1735</v>
      </c>
      <c r="F773" s="336"/>
      <c r="G773" s="327"/>
      <c r="H773" s="328"/>
      <c r="I773" s="329"/>
      <c r="J773" s="338">
        <v>0</v>
      </c>
      <c r="K773" s="330">
        <v>0</v>
      </c>
      <c r="L773" s="330">
        <v>0</v>
      </c>
      <c r="M773" s="330">
        <v>0</v>
      </c>
      <c r="N773" s="330">
        <v>0</v>
      </c>
      <c r="O773" s="330">
        <v>0</v>
      </c>
      <c r="P773" s="330">
        <v>0</v>
      </c>
      <c r="Q773" s="330">
        <v>0</v>
      </c>
      <c r="R773" s="330">
        <v>0</v>
      </c>
      <c r="S773" s="330">
        <v>0</v>
      </c>
      <c r="T773" s="330">
        <v>0</v>
      </c>
      <c r="U773" s="331">
        <v>0</v>
      </c>
      <c r="V773" s="332">
        <v>0</v>
      </c>
      <c r="W773" s="333"/>
      <c r="X773" s="334">
        <v>0</v>
      </c>
      <c r="Y773" s="335">
        <v>0</v>
      </c>
    </row>
    <row r="774" spans="1:25" ht="33" x14ac:dyDescent="0.3">
      <c r="A774" s="248" t="s">
        <v>50</v>
      </c>
      <c r="B774" s="248"/>
      <c r="C774" s="267" t="s">
        <v>1736</v>
      </c>
      <c r="D774" s="267"/>
      <c r="E774" s="268"/>
      <c r="F774" s="269"/>
      <c r="G774" s="270"/>
      <c r="H774" s="271"/>
      <c r="I774" s="272"/>
      <c r="J774" s="273">
        <v>-35098.505000000005</v>
      </c>
      <c r="K774" s="274">
        <v>-11542.917000000001</v>
      </c>
      <c r="L774" s="274">
        <v>-51406.322</v>
      </c>
      <c r="M774" s="274">
        <v>-37269.923000000003</v>
      </c>
      <c r="N774" s="274">
        <v>-37200.755000000005</v>
      </c>
      <c r="O774" s="274">
        <v>-34088.237999999998</v>
      </c>
      <c r="P774" s="274">
        <v>-35043.262000000002</v>
      </c>
      <c r="Q774" s="274">
        <v>-34347.262999999999</v>
      </c>
      <c r="R774" s="274">
        <v>-29867.645000000004</v>
      </c>
      <c r="S774" s="274">
        <v>-22788.343000000001</v>
      </c>
      <c r="T774" s="274">
        <v>-23101.406000000003</v>
      </c>
      <c r="U774" s="275">
        <v>-24076.560000000001</v>
      </c>
      <c r="V774" s="276">
        <v>-375831.13900000008</v>
      </c>
      <c r="W774" s="277"/>
      <c r="X774" s="278">
        <v>-24076.560000000001</v>
      </c>
      <c r="Y774" s="279">
        <v>-375831.13900000008</v>
      </c>
    </row>
    <row r="775" spans="1:25" ht="33" x14ac:dyDescent="0.3">
      <c r="A775" s="248" t="s">
        <v>72</v>
      </c>
      <c r="B775" s="248"/>
      <c r="C775" s="280" t="s">
        <v>1737</v>
      </c>
      <c r="D775" s="281"/>
      <c r="E775" s="282"/>
      <c r="F775" s="283"/>
      <c r="G775" s="284"/>
      <c r="H775" s="285"/>
      <c r="I775" s="286"/>
      <c r="J775" s="287">
        <v>0</v>
      </c>
      <c r="K775" s="288">
        <v>0</v>
      </c>
      <c r="L775" s="288">
        <v>0</v>
      </c>
      <c r="M775" s="288">
        <v>0</v>
      </c>
      <c r="N775" s="288">
        <v>0</v>
      </c>
      <c r="O775" s="288">
        <v>0</v>
      </c>
      <c r="P775" s="288">
        <v>0</v>
      </c>
      <c r="Q775" s="288">
        <v>0</v>
      </c>
      <c r="R775" s="288">
        <v>0</v>
      </c>
      <c r="S775" s="288">
        <v>0</v>
      </c>
      <c r="T775" s="288">
        <v>0</v>
      </c>
      <c r="U775" s="289">
        <v>0</v>
      </c>
      <c r="V775" s="290">
        <v>0</v>
      </c>
      <c r="W775" s="277"/>
      <c r="X775" s="291">
        <v>0</v>
      </c>
      <c r="Y775" s="292">
        <v>0</v>
      </c>
    </row>
    <row r="776" spans="1:25" x14ac:dyDescent="0.3">
      <c r="A776" s="233"/>
      <c r="B776" s="234" t="s">
        <v>51</v>
      </c>
      <c r="D776" s="293" t="s">
        <v>1738</v>
      </c>
      <c r="E776" s="294"/>
      <c r="F776" s="295" t="s">
        <v>1739</v>
      </c>
      <c r="G776" s="296"/>
      <c r="H776" s="297"/>
      <c r="I776" s="298"/>
      <c r="J776" s="299">
        <v>0</v>
      </c>
      <c r="K776" s="300">
        <v>0</v>
      </c>
      <c r="L776" s="300">
        <v>0</v>
      </c>
      <c r="M776" s="300">
        <v>0</v>
      </c>
      <c r="N776" s="300">
        <v>0</v>
      </c>
      <c r="O776" s="300">
        <v>0</v>
      </c>
      <c r="P776" s="300">
        <v>0</v>
      </c>
      <c r="Q776" s="300">
        <v>0</v>
      </c>
      <c r="R776" s="300">
        <v>0</v>
      </c>
      <c r="S776" s="300">
        <v>0</v>
      </c>
      <c r="T776" s="300">
        <v>0</v>
      </c>
      <c r="U776" s="301">
        <v>0</v>
      </c>
      <c r="V776" s="302">
        <v>0</v>
      </c>
      <c r="W776" s="303"/>
      <c r="X776" s="304">
        <v>0</v>
      </c>
      <c r="Y776" s="305">
        <v>0</v>
      </c>
    </row>
    <row r="777" spans="1:25" x14ac:dyDescent="0.3">
      <c r="E777" s="250" t="s">
        <v>1740</v>
      </c>
      <c r="F777" s="317">
        <v>4403082</v>
      </c>
      <c r="G777" s="318"/>
      <c r="H777" s="319">
        <v>7101010101</v>
      </c>
      <c r="I777" s="320"/>
      <c r="J777" s="337">
        <v>0</v>
      </c>
      <c r="K777" s="321">
        <v>0</v>
      </c>
      <c r="L777" s="321">
        <v>0</v>
      </c>
      <c r="M777" s="321">
        <v>0</v>
      </c>
      <c r="N777" s="321">
        <v>0</v>
      </c>
      <c r="O777" s="321">
        <v>0</v>
      </c>
      <c r="P777" s="321">
        <v>0</v>
      </c>
      <c r="Q777" s="321">
        <v>0</v>
      </c>
      <c r="R777" s="321">
        <v>0</v>
      </c>
      <c r="S777" s="321">
        <v>0</v>
      </c>
      <c r="T777" s="321">
        <v>0</v>
      </c>
      <c r="U777" s="322">
        <v>0</v>
      </c>
      <c r="V777" s="323">
        <v>0</v>
      </c>
      <c r="W777" s="303"/>
      <c r="X777" s="324">
        <v>0</v>
      </c>
      <c r="Y777" s="325">
        <v>0</v>
      </c>
    </row>
    <row r="778" spans="1:25" x14ac:dyDescent="0.3">
      <c r="E778" s="250" t="s">
        <v>1741</v>
      </c>
      <c r="F778" s="317">
        <v>4403083</v>
      </c>
      <c r="G778" s="318"/>
      <c r="H778" s="319"/>
      <c r="I778" s="320"/>
      <c r="J778" s="337">
        <v>0</v>
      </c>
      <c r="K778" s="321">
        <v>0</v>
      </c>
      <c r="L778" s="321">
        <v>0</v>
      </c>
      <c r="M778" s="321">
        <v>0</v>
      </c>
      <c r="N778" s="321">
        <v>0</v>
      </c>
      <c r="O778" s="321">
        <v>0</v>
      </c>
      <c r="P778" s="321">
        <v>0</v>
      </c>
      <c r="Q778" s="321">
        <v>0</v>
      </c>
      <c r="R778" s="321">
        <v>0</v>
      </c>
      <c r="S778" s="321">
        <v>0</v>
      </c>
      <c r="T778" s="321">
        <v>0</v>
      </c>
      <c r="U778" s="322">
        <v>0</v>
      </c>
      <c r="V778" s="323">
        <v>0</v>
      </c>
      <c r="W778" s="303"/>
      <c r="X778" s="324">
        <v>0</v>
      </c>
      <c r="Y778" s="325">
        <v>0</v>
      </c>
    </row>
    <row r="779" spans="1:25" x14ac:dyDescent="0.3">
      <c r="E779" s="250" t="s">
        <v>1742</v>
      </c>
      <c r="F779" s="317">
        <v>4403092</v>
      </c>
      <c r="G779" s="318"/>
      <c r="H779" s="319"/>
      <c r="I779" s="320"/>
      <c r="J779" s="337">
        <v>0</v>
      </c>
      <c r="K779" s="321">
        <v>0</v>
      </c>
      <c r="L779" s="321">
        <v>0</v>
      </c>
      <c r="M779" s="321">
        <v>0</v>
      </c>
      <c r="N779" s="321">
        <v>0</v>
      </c>
      <c r="O779" s="321">
        <v>0</v>
      </c>
      <c r="P779" s="321">
        <v>0</v>
      </c>
      <c r="Q779" s="321">
        <v>0</v>
      </c>
      <c r="R779" s="321">
        <v>0</v>
      </c>
      <c r="S779" s="321">
        <v>0</v>
      </c>
      <c r="T779" s="321">
        <v>0</v>
      </c>
      <c r="U779" s="322">
        <v>0</v>
      </c>
      <c r="V779" s="323">
        <v>0</v>
      </c>
      <c r="W779" s="303"/>
      <c r="X779" s="324">
        <v>0</v>
      </c>
      <c r="Y779" s="325">
        <v>0</v>
      </c>
    </row>
    <row r="780" spans="1:25" x14ac:dyDescent="0.3">
      <c r="A780" s="326"/>
      <c r="B780" s="326"/>
      <c r="E780" s="250" t="s">
        <v>1743</v>
      </c>
      <c r="F780" s="317">
        <v>4403084</v>
      </c>
      <c r="G780" s="318"/>
      <c r="H780" s="319"/>
      <c r="I780" s="320"/>
      <c r="J780" s="337">
        <v>0</v>
      </c>
      <c r="K780" s="321">
        <v>0</v>
      </c>
      <c r="L780" s="321">
        <v>0</v>
      </c>
      <c r="M780" s="321">
        <v>0</v>
      </c>
      <c r="N780" s="321">
        <v>0</v>
      </c>
      <c r="O780" s="321">
        <v>0</v>
      </c>
      <c r="P780" s="321">
        <v>0</v>
      </c>
      <c r="Q780" s="321">
        <v>0</v>
      </c>
      <c r="R780" s="321">
        <v>0</v>
      </c>
      <c r="S780" s="321">
        <v>0</v>
      </c>
      <c r="T780" s="321">
        <v>0</v>
      </c>
      <c r="U780" s="322">
        <v>0</v>
      </c>
      <c r="V780" s="323">
        <v>0</v>
      </c>
      <c r="W780" s="303"/>
      <c r="X780" s="324">
        <v>0</v>
      </c>
      <c r="Y780" s="325">
        <v>0</v>
      </c>
    </row>
    <row r="781" spans="1:25" x14ac:dyDescent="0.3">
      <c r="A781" s="326"/>
      <c r="B781" s="326"/>
      <c r="E781" s="250" t="s">
        <v>1744</v>
      </c>
      <c r="F781" s="317">
        <v>4403089</v>
      </c>
      <c r="G781" s="318"/>
      <c r="H781" s="319"/>
      <c r="I781" s="320"/>
      <c r="J781" s="337">
        <v>0</v>
      </c>
      <c r="K781" s="321">
        <v>0</v>
      </c>
      <c r="L781" s="321">
        <v>0</v>
      </c>
      <c r="M781" s="321">
        <v>0</v>
      </c>
      <c r="N781" s="321">
        <v>0</v>
      </c>
      <c r="O781" s="321">
        <v>0</v>
      </c>
      <c r="P781" s="321">
        <v>0</v>
      </c>
      <c r="Q781" s="321">
        <v>0</v>
      </c>
      <c r="R781" s="321">
        <v>0</v>
      </c>
      <c r="S781" s="321">
        <v>0</v>
      </c>
      <c r="T781" s="321">
        <v>0</v>
      </c>
      <c r="U781" s="322">
        <v>0</v>
      </c>
      <c r="V781" s="323">
        <v>0</v>
      </c>
      <c r="W781" s="303"/>
      <c r="X781" s="324">
        <v>0</v>
      </c>
      <c r="Y781" s="325">
        <v>0</v>
      </c>
    </row>
    <row r="782" spans="1:25" x14ac:dyDescent="0.3">
      <c r="E782" s="250" t="s">
        <v>1745</v>
      </c>
      <c r="F782" s="317">
        <v>4403085</v>
      </c>
      <c r="G782" s="318"/>
      <c r="H782" s="319"/>
      <c r="I782" s="320"/>
      <c r="J782" s="337">
        <v>0</v>
      </c>
      <c r="K782" s="321">
        <v>0</v>
      </c>
      <c r="L782" s="321">
        <v>0</v>
      </c>
      <c r="M782" s="321">
        <v>0</v>
      </c>
      <c r="N782" s="321">
        <v>0</v>
      </c>
      <c r="O782" s="321">
        <v>0</v>
      </c>
      <c r="P782" s="321">
        <v>0</v>
      </c>
      <c r="Q782" s="321">
        <v>0</v>
      </c>
      <c r="R782" s="321">
        <v>0</v>
      </c>
      <c r="S782" s="321">
        <v>0</v>
      </c>
      <c r="T782" s="321">
        <v>0</v>
      </c>
      <c r="U782" s="322">
        <v>0</v>
      </c>
      <c r="V782" s="323">
        <v>0</v>
      </c>
      <c r="W782" s="303"/>
      <c r="X782" s="324">
        <v>0</v>
      </c>
      <c r="Y782" s="325">
        <v>0</v>
      </c>
    </row>
    <row r="783" spans="1:25" x14ac:dyDescent="0.3">
      <c r="E783" s="250" t="s">
        <v>1746</v>
      </c>
      <c r="F783" s="317">
        <v>4403088</v>
      </c>
      <c r="G783" s="318"/>
      <c r="H783" s="319"/>
      <c r="I783" s="320"/>
      <c r="J783" s="337">
        <v>0</v>
      </c>
      <c r="K783" s="321">
        <v>0</v>
      </c>
      <c r="L783" s="321">
        <v>0</v>
      </c>
      <c r="M783" s="321">
        <v>0</v>
      </c>
      <c r="N783" s="321">
        <v>0</v>
      </c>
      <c r="O783" s="321">
        <v>0</v>
      </c>
      <c r="P783" s="321">
        <v>0</v>
      </c>
      <c r="Q783" s="321">
        <v>0</v>
      </c>
      <c r="R783" s="321">
        <v>0</v>
      </c>
      <c r="S783" s="321">
        <v>0</v>
      </c>
      <c r="T783" s="321">
        <v>0</v>
      </c>
      <c r="U783" s="322">
        <v>0</v>
      </c>
      <c r="V783" s="323">
        <v>0</v>
      </c>
      <c r="W783" s="303"/>
      <c r="X783" s="324">
        <v>0</v>
      </c>
      <c r="Y783" s="325">
        <v>0</v>
      </c>
    </row>
    <row r="784" spans="1:25" x14ac:dyDescent="0.3">
      <c r="E784" s="250" t="s">
        <v>1747</v>
      </c>
      <c r="F784" s="317">
        <v>4403093</v>
      </c>
      <c r="G784" s="318"/>
      <c r="H784" s="319"/>
      <c r="I784" s="320"/>
      <c r="J784" s="337">
        <v>0</v>
      </c>
      <c r="K784" s="321">
        <v>0</v>
      </c>
      <c r="L784" s="321">
        <v>0</v>
      </c>
      <c r="M784" s="321">
        <v>0</v>
      </c>
      <c r="N784" s="321">
        <v>0</v>
      </c>
      <c r="O784" s="321">
        <v>0</v>
      </c>
      <c r="P784" s="321">
        <v>0</v>
      </c>
      <c r="Q784" s="321">
        <v>0</v>
      </c>
      <c r="R784" s="321">
        <v>0</v>
      </c>
      <c r="S784" s="321">
        <v>0</v>
      </c>
      <c r="T784" s="321">
        <v>0</v>
      </c>
      <c r="U784" s="322">
        <v>0</v>
      </c>
      <c r="V784" s="323">
        <v>0</v>
      </c>
      <c r="W784" s="303"/>
      <c r="X784" s="324">
        <v>0</v>
      </c>
      <c r="Y784" s="325">
        <v>0</v>
      </c>
    </row>
    <row r="785" spans="1:25" x14ac:dyDescent="0.3">
      <c r="E785" s="250" t="s">
        <v>1748</v>
      </c>
      <c r="F785" s="317">
        <v>4403087</v>
      </c>
      <c r="G785" s="318"/>
      <c r="H785" s="319"/>
      <c r="I785" s="320"/>
      <c r="J785" s="337">
        <v>0</v>
      </c>
      <c r="K785" s="321">
        <v>0</v>
      </c>
      <c r="L785" s="321">
        <v>0</v>
      </c>
      <c r="M785" s="321">
        <v>0</v>
      </c>
      <c r="N785" s="321">
        <v>0</v>
      </c>
      <c r="O785" s="321">
        <v>0</v>
      </c>
      <c r="P785" s="321">
        <v>0</v>
      </c>
      <c r="Q785" s="321">
        <v>0</v>
      </c>
      <c r="R785" s="321">
        <v>0</v>
      </c>
      <c r="S785" s="321">
        <v>0</v>
      </c>
      <c r="T785" s="321">
        <v>0</v>
      </c>
      <c r="U785" s="322">
        <v>0</v>
      </c>
      <c r="V785" s="323">
        <v>0</v>
      </c>
      <c r="W785" s="303"/>
      <c r="X785" s="324">
        <v>0</v>
      </c>
      <c r="Y785" s="325">
        <v>0</v>
      </c>
    </row>
    <row r="786" spans="1:25" x14ac:dyDescent="0.3">
      <c r="E786" s="250" t="s">
        <v>1749</v>
      </c>
      <c r="F786" s="317">
        <v>4403090</v>
      </c>
      <c r="G786" s="318"/>
      <c r="H786" s="319"/>
      <c r="I786" s="320"/>
      <c r="J786" s="337">
        <v>0</v>
      </c>
      <c r="K786" s="321">
        <v>0</v>
      </c>
      <c r="L786" s="321">
        <v>0</v>
      </c>
      <c r="M786" s="321">
        <v>0</v>
      </c>
      <c r="N786" s="321">
        <v>0</v>
      </c>
      <c r="O786" s="321">
        <v>0</v>
      </c>
      <c r="P786" s="321">
        <v>0</v>
      </c>
      <c r="Q786" s="321">
        <v>0</v>
      </c>
      <c r="R786" s="321">
        <v>0</v>
      </c>
      <c r="S786" s="321">
        <v>0</v>
      </c>
      <c r="T786" s="321">
        <v>0</v>
      </c>
      <c r="U786" s="322">
        <v>0</v>
      </c>
      <c r="V786" s="323">
        <v>0</v>
      </c>
      <c r="W786" s="303"/>
      <c r="X786" s="324">
        <v>0</v>
      </c>
      <c r="Y786" s="325">
        <v>0</v>
      </c>
    </row>
    <row r="787" spans="1:25" x14ac:dyDescent="0.3">
      <c r="E787" s="250" t="s">
        <v>1750</v>
      </c>
      <c r="F787" s="317">
        <v>4403094</v>
      </c>
      <c r="G787" s="318"/>
      <c r="H787" s="319"/>
      <c r="I787" s="320"/>
      <c r="J787" s="337">
        <v>0</v>
      </c>
      <c r="K787" s="321">
        <v>0</v>
      </c>
      <c r="L787" s="321">
        <v>0</v>
      </c>
      <c r="M787" s="321">
        <v>0</v>
      </c>
      <c r="N787" s="321">
        <v>0</v>
      </c>
      <c r="O787" s="321">
        <v>0</v>
      </c>
      <c r="P787" s="321">
        <v>0</v>
      </c>
      <c r="Q787" s="321">
        <v>0</v>
      </c>
      <c r="R787" s="321">
        <v>0</v>
      </c>
      <c r="S787" s="321">
        <v>0</v>
      </c>
      <c r="T787" s="321">
        <v>0</v>
      </c>
      <c r="U787" s="322">
        <v>0</v>
      </c>
      <c r="V787" s="323">
        <v>0</v>
      </c>
      <c r="W787" s="303"/>
      <c r="X787" s="324">
        <v>0</v>
      </c>
      <c r="Y787" s="325">
        <v>0</v>
      </c>
    </row>
    <row r="788" spans="1:25" x14ac:dyDescent="0.3">
      <c r="E788" s="250" t="s">
        <v>1751</v>
      </c>
      <c r="F788" s="317">
        <v>4403086</v>
      </c>
      <c r="G788" s="318"/>
      <c r="H788" s="319"/>
      <c r="I788" s="320"/>
      <c r="J788" s="337">
        <v>0</v>
      </c>
      <c r="K788" s="321">
        <v>0</v>
      </c>
      <c r="L788" s="321">
        <v>0</v>
      </c>
      <c r="M788" s="321">
        <v>0</v>
      </c>
      <c r="N788" s="321">
        <v>0</v>
      </c>
      <c r="O788" s="321">
        <v>0</v>
      </c>
      <c r="P788" s="321">
        <v>0</v>
      </c>
      <c r="Q788" s="321">
        <v>0</v>
      </c>
      <c r="R788" s="321">
        <v>0</v>
      </c>
      <c r="S788" s="321">
        <v>0</v>
      </c>
      <c r="T788" s="321">
        <v>0</v>
      </c>
      <c r="U788" s="322">
        <v>0</v>
      </c>
      <c r="V788" s="323">
        <v>0</v>
      </c>
      <c r="W788" s="303"/>
      <c r="X788" s="324">
        <v>0</v>
      </c>
      <c r="Y788" s="325">
        <v>0</v>
      </c>
    </row>
    <row r="789" spans="1:25" x14ac:dyDescent="0.3">
      <c r="E789" s="250" t="s">
        <v>1752</v>
      </c>
      <c r="F789" s="317">
        <v>4403091</v>
      </c>
      <c r="G789" s="318"/>
      <c r="H789" s="319"/>
      <c r="I789" s="320"/>
      <c r="J789" s="337">
        <v>0</v>
      </c>
      <c r="K789" s="321">
        <v>0</v>
      </c>
      <c r="L789" s="321">
        <v>0</v>
      </c>
      <c r="M789" s="321">
        <v>0</v>
      </c>
      <c r="N789" s="321">
        <v>0</v>
      </c>
      <c r="O789" s="321">
        <v>0</v>
      </c>
      <c r="P789" s="321">
        <v>0</v>
      </c>
      <c r="Q789" s="321">
        <v>0</v>
      </c>
      <c r="R789" s="321">
        <v>0</v>
      </c>
      <c r="S789" s="321">
        <v>0</v>
      </c>
      <c r="T789" s="321">
        <v>0</v>
      </c>
      <c r="U789" s="322">
        <v>0</v>
      </c>
      <c r="V789" s="323">
        <v>0</v>
      </c>
      <c r="W789" s="303"/>
      <c r="X789" s="324">
        <v>0</v>
      </c>
      <c r="Y789" s="325">
        <v>0</v>
      </c>
    </row>
    <row r="790" spans="1:25" x14ac:dyDescent="0.3">
      <c r="E790" s="250" t="s">
        <v>1753</v>
      </c>
      <c r="F790" s="317">
        <v>4403099</v>
      </c>
      <c r="G790" s="318"/>
      <c r="H790" s="319"/>
      <c r="I790" s="320"/>
      <c r="J790" s="337">
        <v>0</v>
      </c>
      <c r="K790" s="321">
        <v>0</v>
      </c>
      <c r="L790" s="321">
        <v>0</v>
      </c>
      <c r="M790" s="321">
        <v>0</v>
      </c>
      <c r="N790" s="321">
        <v>0</v>
      </c>
      <c r="O790" s="321">
        <v>0</v>
      </c>
      <c r="P790" s="321">
        <v>0</v>
      </c>
      <c r="Q790" s="321">
        <v>0</v>
      </c>
      <c r="R790" s="321">
        <v>0</v>
      </c>
      <c r="S790" s="321">
        <v>0</v>
      </c>
      <c r="T790" s="321">
        <v>0</v>
      </c>
      <c r="U790" s="322">
        <v>0</v>
      </c>
      <c r="V790" s="323">
        <v>0</v>
      </c>
      <c r="W790" s="303"/>
      <c r="X790" s="324">
        <v>0</v>
      </c>
      <c r="Y790" s="325">
        <v>0</v>
      </c>
    </row>
    <row r="791" spans="1:25" x14ac:dyDescent="0.3">
      <c r="A791" s="361"/>
      <c r="B791" s="361"/>
      <c r="C791" s="361"/>
      <c r="D791" s="361"/>
      <c r="E791" s="326" t="s">
        <v>1754</v>
      </c>
      <c r="F791" s="351"/>
      <c r="G791" s="352"/>
      <c r="H791" s="353"/>
      <c r="I791" s="354"/>
      <c r="J791" s="362">
        <v>0</v>
      </c>
      <c r="K791" s="355">
        <v>0</v>
      </c>
      <c r="L791" s="355">
        <v>0</v>
      </c>
      <c r="M791" s="355">
        <v>0</v>
      </c>
      <c r="N791" s="355">
        <v>0</v>
      </c>
      <c r="O791" s="355">
        <v>0</v>
      </c>
      <c r="P791" s="355">
        <v>0</v>
      </c>
      <c r="Q791" s="355">
        <v>0</v>
      </c>
      <c r="R791" s="355">
        <v>0</v>
      </c>
      <c r="S791" s="355">
        <v>0</v>
      </c>
      <c r="T791" s="355">
        <v>0</v>
      </c>
      <c r="U791" s="356">
        <v>0</v>
      </c>
      <c r="V791" s="357">
        <v>0</v>
      </c>
      <c r="W791" s="358"/>
      <c r="X791" s="359">
        <v>0</v>
      </c>
      <c r="Y791" s="360">
        <v>0</v>
      </c>
    </row>
    <row r="792" spans="1:25" x14ac:dyDescent="0.3">
      <c r="A792" s="361"/>
      <c r="B792" s="361"/>
      <c r="C792" s="361"/>
      <c r="D792" s="361"/>
      <c r="E792" s="326" t="s">
        <v>1754</v>
      </c>
      <c r="F792" s="351"/>
      <c r="G792" s="352"/>
      <c r="H792" s="353"/>
      <c r="I792" s="354"/>
      <c r="J792" s="362">
        <v>0</v>
      </c>
      <c r="K792" s="355">
        <v>0</v>
      </c>
      <c r="L792" s="355">
        <v>0</v>
      </c>
      <c r="M792" s="355">
        <v>0</v>
      </c>
      <c r="N792" s="355">
        <v>0</v>
      </c>
      <c r="O792" s="355">
        <v>0</v>
      </c>
      <c r="P792" s="355">
        <v>0</v>
      </c>
      <c r="Q792" s="355">
        <v>0</v>
      </c>
      <c r="R792" s="355">
        <v>0</v>
      </c>
      <c r="S792" s="355">
        <v>0</v>
      </c>
      <c r="T792" s="355">
        <v>0</v>
      </c>
      <c r="U792" s="356">
        <v>0</v>
      </c>
      <c r="V792" s="357">
        <v>0</v>
      </c>
      <c r="W792" s="358"/>
      <c r="X792" s="359">
        <v>0</v>
      </c>
      <c r="Y792" s="360">
        <v>0</v>
      </c>
    </row>
    <row r="793" spans="1:25" x14ac:dyDescent="0.3">
      <c r="A793" s="361"/>
      <c r="B793" s="361"/>
      <c r="C793" s="361"/>
      <c r="D793" s="361"/>
      <c r="E793" s="326" t="s">
        <v>1755</v>
      </c>
      <c r="F793" s="351"/>
      <c r="G793" s="352"/>
      <c r="H793" s="353"/>
      <c r="I793" s="354"/>
      <c r="J793" s="362">
        <v>0</v>
      </c>
      <c r="K793" s="355">
        <v>0</v>
      </c>
      <c r="L793" s="355">
        <v>0</v>
      </c>
      <c r="M793" s="355">
        <v>0</v>
      </c>
      <c r="N793" s="355">
        <v>0</v>
      </c>
      <c r="O793" s="355">
        <v>0</v>
      </c>
      <c r="P793" s="355">
        <v>0</v>
      </c>
      <c r="Q793" s="355">
        <v>0</v>
      </c>
      <c r="R793" s="355">
        <v>0</v>
      </c>
      <c r="S793" s="355">
        <v>0</v>
      </c>
      <c r="T793" s="355">
        <v>0</v>
      </c>
      <c r="U793" s="356">
        <v>0</v>
      </c>
      <c r="V793" s="357">
        <v>0</v>
      </c>
      <c r="W793" s="358"/>
      <c r="X793" s="359">
        <v>0</v>
      </c>
      <c r="Y793" s="360">
        <v>0</v>
      </c>
    </row>
    <row r="794" spans="1:25" x14ac:dyDescent="0.3">
      <c r="A794" s="233"/>
      <c r="B794" s="234" t="s">
        <v>52</v>
      </c>
      <c r="D794" s="293" t="s">
        <v>1756</v>
      </c>
      <c r="E794" s="294"/>
      <c r="F794" s="295" t="s">
        <v>1757</v>
      </c>
      <c r="G794" s="296"/>
      <c r="H794" s="297"/>
      <c r="I794" s="298"/>
      <c r="J794" s="299">
        <v>0</v>
      </c>
      <c r="K794" s="300">
        <v>0</v>
      </c>
      <c r="L794" s="300">
        <v>0</v>
      </c>
      <c r="M794" s="300">
        <v>0</v>
      </c>
      <c r="N794" s="300">
        <v>0</v>
      </c>
      <c r="O794" s="300">
        <v>0</v>
      </c>
      <c r="P794" s="300">
        <v>0</v>
      </c>
      <c r="Q794" s="300">
        <v>0</v>
      </c>
      <c r="R794" s="300">
        <v>0</v>
      </c>
      <c r="S794" s="300">
        <v>0</v>
      </c>
      <c r="T794" s="300">
        <v>0</v>
      </c>
      <c r="U794" s="301">
        <v>0</v>
      </c>
      <c r="V794" s="302">
        <v>0</v>
      </c>
      <c r="W794" s="303"/>
      <c r="X794" s="304">
        <v>0</v>
      </c>
      <c r="Y794" s="305">
        <v>0</v>
      </c>
    </row>
    <row r="795" spans="1:25" x14ac:dyDescent="0.3">
      <c r="E795" s="250" t="s">
        <v>1758</v>
      </c>
      <c r="F795" s="317">
        <v>4403589</v>
      </c>
      <c r="G795" s="318"/>
      <c r="H795" s="319">
        <v>7101050101</v>
      </c>
      <c r="I795" s="320"/>
      <c r="J795" s="337">
        <v>0</v>
      </c>
      <c r="K795" s="321">
        <v>0</v>
      </c>
      <c r="L795" s="321">
        <v>0</v>
      </c>
      <c r="M795" s="321">
        <v>0</v>
      </c>
      <c r="N795" s="321">
        <v>0</v>
      </c>
      <c r="O795" s="321">
        <v>0</v>
      </c>
      <c r="P795" s="321">
        <v>0</v>
      </c>
      <c r="Q795" s="321">
        <v>0</v>
      </c>
      <c r="R795" s="321">
        <v>0</v>
      </c>
      <c r="S795" s="321">
        <v>0</v>
      </c>
      <c r="T795" s="321">
        <v>0</v>
      </c>
      <c r="U795" s="322">
        <v>0</v>
      </c>
      <c r="V795" s="323">
        <v>0</v>
      </c>
      <c r="W795" s="303"/>
      <c r="X795" s="324">
        <v>0</v>
      </c>
      <c r="Y795" s="325">
        <v>0</v>
      </c>
    </row>
    <row r="796" spans="1:25" x14ac:dyDescent="0.3">
      <c r="E796" s="250" t="s">
        <v>1759</v>
      </c>
      <c r="F796" s="317">
        <v>4403594</v>
      </c>
      <c r="G796" s="318"/>
      <c r="H796" s="319"/>
      <c r="I796" s="320"/>
      <c r="J796" s="337">
        <v>0</v>
      </c>
      <c r="K796" s="321">
        <v>0</v>
      </c>
      <c r="L796" s="321">
        <v>0</v>
      </c>
      <c r="M796" s="321">
        <v>0</v>
      </c>
      <c r="N796" s="321">
        <v>0</v>
      </c>
      <c r="O796" s="321">
        <v>0</v>
      </c>
      <c r="P796" s="321">
        <v>0</v>
      </c>
      <c r="Q796" s="321">
        <v>0</v>
      </c>
      <c r="R796" s="321">
        <v>0</v>
      </c>
      <c r="S796" s="321">
        <v>0</v>
      </c>
      <c r="T796" s="321">
        <v>0</v>
      </c>
      <c r="U796" s="322">
        <v>0</v>
      </c>
      <c r="V796" s="323">
        <v>0</v>
      </c>
      <c r="W796" s="303"/>
      <c r="X796" s="324">
        <v>0</v>
      </c>
      <c r="Y796" s="325">
        <v>0</v>
      </c>
    </row>
    <row r="797" spans="1:25" x14ac:dyDescent="0.3">
      <c r="E797" s="250" t="s">
        <v>1760</v>
      </c>
      <c r="F797" s="317">
        <v>4403588</v>
      </c>
      <c r="G797" s="318"/>
      <c r="H797" s="319"/>
      <c r="I797" s="320"/>
      <c r="J797" s="337">
        <v>0</v>
      </c>
      <c r="K797" s="321">
        <v>0</v>
      </c>
      <c r="L797" s="321">
        <v>0</v>
      </c>
      <c r="M797" s="321">
        <v>0</v>
      </c>
      <c r="N797" s="321">
        <v>0</v>
      </c>
      <c r="O797" s="321">
        <v>0</v>
      </c>
      <c r="P797" s="321">
        <v>0</v>
      </c>
      <c r="Q797" s="321">
        <v>0</v>
      </c>
      <c r="R797" s="321">
        <v>0</v>
      </c>
      <c r="S797" s="321">
        <v>0</v>
      </c>
      <c r="T797" s="321">
        <v>0</v>
      </c>
      <c r="U797" s="322">
        <v>0</v>
      </c>
      <c r="V797" s="323">
        <v>0</v>
      </c>
      <c r="W797" s="303"/>
      <c r="X797" s="324">
        <v>0</v>
      </c>
      <c r="Y797" s="325">
        <v>0</v>
      </c>
    </row>
    <row r="798" spans="1:25" x14ac:dyDescent="0.3">
      <c r="E798" s="250" t="s">
        <v>1761</v>
      </c>
      <c r="F798" s="317">
        <v>4403584</v>
      </c>
      <c r="G798" s="318"/>
      <c r="H798" s="319"/>
      <c r="I798" s="320"/>
      <c r="J798" s="337">
        <v>0</v>
      </c>
      <c r="K798" s="321">
        <v>0</v>
      </c>
      <c r="L798" s="321">
        <v>0</v>
      </c>
      <c r="M798" s="321">
        <v>0</v>
      </c>
      <c r="N798" s="321">
        <v>0</v>
      </c>
      <c r="O798" s="321">
        <v>0</v>
      </c>
      <c r="P798" s="321">
        <v>0</v>
      </c>
      <c r="Q798" s="321">
        <v>0</v>
      </c>
      <c r="R798" s="321">
        <v>0</v>
      </c>
      <c r="S798" s="321">
        <v>0</v>
      </c>
      <c r="T798" s="321">
        <v>0</v>
      </c>
      <c r="U798" s="322">
        <v>0</v>
      </c>
      <c r="V798" s="323">
        <v>0</v>
      </c>
      <c r="W798" s="303"/>
      <c r="X798" s="324">
        <v>0</v>
      </c>
      <c r="Y798" s="325">
        <v>0</v>
      </c>
    </row>
    <row r="799" spans="1:25" x14ac:dyDescent="0.3">
      <c r="E799" s="250" t="s">
        <v>1762</v>
      </c>
      <c r="F799" s="317">
        <v>4403583</v>
      </c>
      <c r="G799" s="318"/>
      <c r="H799" s="319"/>
      <c r="I799" s="320"/>
      <c r="J799" s="337">
        <v>0</v>
      </c>
      <c r="K799" s="321">
        <v>0</v>
      </c>
      <c r="L799" s="321">
        <v>0</v>
      </c>
      <c r="M799" s="321">
        <v>0</v>
      </c>
      <c r="N799" s="321">
        <v>0</v>
      </c>
      <c r="O799" s="321">
        <v>0</v>
      </c>
      <c r="P799" s="321">
        <v>0</v>
      </c>
      <c r="Q799" s="321">
        <v>0</v>
      </c>
      <c r="R799" s="321">
        <v>0</v>
      </c>
      <c r="S799" s="321">
        <v>0</v>
      </c>
      <c r="T799" s="321">
        <v>0</v>
      </c>
      <c r="U799" s="322">
        <v>0</v>
      </c>
      <c r="V799" s="323">
        <v>0</v>
      </c>
      <c r="W799" s="303"/>
      <c r="X799" s="324">
        <v>0</v>
      </c>
      <c r="Y799" s="325">
        <v>0</v>
      </c>
    </row>
    <row r="800" spans="1:25" x14ac:dyDescent="0.3">
      <c r="E800" s="250" t="s">
        <v>1763</v>
      </c>
      <c r="F800" s="317">
        <v>4403590</v>
      </c>
      <c r="G800" s="318"/>
      <c r="H800" s="319"/>
      <c r="I800" s="320"/>
      <c r="J800" s="337">
        <v>0</v>
      </c>
      <c r="K800" s="321">
        <v>0</v>
      </c>
      <c r="L800" s="321">
        <v>0</v>
      </c>
      <c r="M800" s="321">
        <v>0</v>
      </c>
      <c r="N800" s="321">
        <v>0</v>
      </c>
      <c r="O800" s="321">
        <v>0</v>
      </c>
      <c r="P800" s="321">
        <v>0</v>
      </c>
      <c r="Q800" s="321">
        <v>0</v>
      </c>
      <c r="R800" s="321">
        <v>0</v>
      </c>
      <c r="S800" s="321">
        <v>0</v>
      </c>
      <c r="T800" s="321">
        <v>0</v>
      </c>
      <c r="U800" s="322">
        <v>0</v>
      </c>
      <c r="V800" s="323">
        <v>0</v>
      </c>
      <c r="W800" s="303"/>
      <c r="X800" s="324">
        <v>0</v>
      </c>
      <c r="Y800" s="325">
        <v>0</v>
      </c>
    </row>
    <row r="801" spans="1:25" x14ac:dyDescent="0.3">
      <c r="E801" s="250" t="s">
        <v>1764</v>
      </c>
      <c r="F801" s="317">
        <v>4403592</v>
      </c>
      <c r="G801" s="318"/>
      <c r="H801" s="319"/>
      <c r="I801" s="320"/>
      <c r="J801" s="337">
        <v>0</v>
      </c>
      <c r="K801" s="321">
        <v>0</v>
      </c>
      <c r="L801" s="321">
        <v>0</v>
      </c>
      <c r="M801" s="321">
        <v>0</v>
      </c>
      <c r="N801" s="321">
        <v>0</v>
      </c>
      <c r="O801" s="321">
        <v>0</v>
      </c>
      <c r="P801" s="321">
        <v>0</v>
      </c>
      <c r="Q801" s="321">
        <v>0</v>
      </c>
      <c r="R801" s="321">
        <v>0</v>
      </c>
      <c r="S801" s="321">
        <v>0</v>
      </c>
      <c r="T801" s="321">
        <v>0</v>
      </c>
      <c r="U801" s="322">
        <v>0</v>
      </c>
      <c r="V801" s="323">
        <v>0</v>
      </c>
      <c r="W801" s="303"/>
      <c r="X801" s="324">
        <v>0</v>
      </c>
      <c r="Y801" s="325">
        <v>0</v>
      </c>
    </row>
    <row r="802" spans="1:25" x14ac:dyDescent="0.3">
      <c r="E802" s="250" t="s">
        <v>1765</v>
      </c>
      <c r="F802" s="317">
        <v>4403593</v>
      </c>
      <c r="G802" s="318"/>
      <c r="H802" s="319"/>
      <c r="I802" s="320"/>
      <c r="J802" s="337">
        <v>0</v>
      </c>
      <c r="K802" s="321">
        <v>0</v>
      </c>
      <c r="L802" s="321">
        <v>0</v>
      </c>
      <c r="M802" s="321">
        <v>0</v>
      </c>
      <c r="N802" s="321">
        <v>0</v>
      </c>
      <c r="O802" s="321">
        <v>0</v>
      </c>
      <c r="P802" s="321">
        <v>0</v>
      </c>
      <c r="Q802" s="321">
        <v>0</v>
      </c>
      <c r="R802" s="321">
        <v>0</v>
      </c>
      <c r="S802" s="321">
        <v>0</v>
      </c>
      <c r="T802" s="321">
        <v>0</v>
      </c>
      <c r="U802" s="322">
        <v>0</v>
      </c>
      <c r="V802" s="323">
        <v>0</v>
      </c>
      <c r="W802" s="303"/>
      <c r="X802" s="324">
        <v>0</v>
      </c>
      <c r="Y802" s="325">
        <v>0</v>
      </c>
    </row>
    <row r="803" spans="1:25" x14ac:dyDescent="0.3">
      <c r="E803" s="250" t="s">
        <v>1766</v>
      </c>
      <c r="F803" s="317">
        <v>4403582</v>
      </c>
      <c r="G803" s="318"/>
      <c r="H803" s="319"/>
      <c r="I803" s="320"/>
      <c r="J803" s="337">
        <v>0</v>
      </c>
      <c r="K803" s="321">
        <v>0</v>
      </c>
      <c r="L803" s="321">
        <v>0</v>
      </c>
      <c r="M803" s="321">
        <v>0</v>
      </c>
      <c r="N803" s="321">
        <v>0</v>
      </c>
      <c r="O803" s="321">
        <v>0</v>
      </c>
      <c r="P803" s="321">
        <v>0</v>
      </c>
      <c r="Q803" s="321">
        <v>0</v>
      </c>
      <c r="R803" s="321">
        <v>0</v>
      </c>
      <c r="S803" s="321">
        <v>0</v>
      </c>
      <c r="T803" s="321">
        <v>0</v>
      </c>
      <c r="U803" s="322">
        <v>0</v>
      </c>
      <c r="V803" s="323">
        <v>0</v>
      </c>
      <c r="W803" s="303"/>
      <c r="X803" s="324">
        <v>0</v>
      </c>
      <c r="Y803" s="325">
        <v>0</v>
      </c>
    </row>
    <row r="804" spans="1:25" x14ac:dyDescent="0.3">
      <c r="E804" s="250" t="s">
        <v>1767</v>
      </c>
      <c r="F804" s="317">
        <v>4403585</v>
      </c>
      <c r="G804" s="318"/>
      <c r="H804" s="319"/>
      <c r="I804" s="320"/>
      <c r="J804" s="337">
        <v>0</v>
      </c>
      <c r="K804" s="321">
        <v>0</v>
      </c>
      <c r="L804" s="321">
        <v>0</v>
      </c>
      <c r="M804" s="321">
        <v>0</v>
      </c>
      <c r="N804" s="321">
        <v>0</v>
      </c>
      <c r="O804" s="321">
        <v>0</v>
      </c>
      <c r="P804" s="321">
        <v>0</v>
      </c>
      <c r="Q804" s="321">
        <v>0</v>
      </c>
      <c r="R804" s="321">
        <v>0</v>
      </c>
      <c r="S804" s="321">
        <v>0</v>
      </c>
      <c r="T804" s="321">
        <v>0</v>
      </c>
      <c r="U804" s="322">
        <v>0</v>
      </c>
      <c r="V804" s="323">
        <v>0</v>
      </c>
      <c r="W804" s="303"/>
      <c r="X804" s="324">
        <v>0</v>
      </c>
      <c r="Y804" s="325">
        <v>0</v>
      </c>
    </row>
    <row r="805" spans="1:25" x14ac:dyDescent="0.3">
      <c r="E805" s="250" t="s">
        <v>1768</v>
      </c>
      <c r="F805" s="317">
        <v>4403586</v>
      </c>
      <c r="G805" s="318"/>
      <c r="H805" s="319"/>
      <c r="I805" s="320"/>
      <c r="J805" s="337">
        <v>0</v>
      </c>
      <c r="K805" s="321">
        <v>0</v>
      </c>
      <c r="L805" s="321">
        <v>0</v>
      </c>
      <c r="M805" s="321">
        <v>0</v>
      </c>
      <c r="N805" s="321">
        <v>0</v>
      </c>
      <c r="O805" s="321">
        <v>0</v>
      </c>
      <c r="P805" s="321">
        <v>0</v>
      </c>
      <c r="Q805" s="321">
        <v>0</v>
      </c>
      <c r="R805" s="321">
        <v>0</v>
      </c>
      <c r="S805" s="321">
        <v>0</v>
      </c>
      <c r="T805" s="321">
        <v>0</v>
      </c>
      <c r="U805" s="322">
        <v>0</v>
      </c>
      <c r="V805" s="323">
        <v>0</v>
      </c>
      <c r="W805" s="303"/>
      <c r="X805" s="324">
        <v>0</v>
      </c>
      <c r="Y805" s="325">
        <v>0</v>
      </c>
    </row>
    <row r="806" spans="1:25" x14ac:dyDescent="0.3">
      <c r="E806" s="250" t="s">
        <v>1769</v>
      </c>
      <c r="F806" s="317">
        <v>4403587</v>
      </c>
      <c r="G806" s="318"/>
      <c r="H806" s="319"/>
      <c r="I806" s="320"/>
      <c r="J806" s="337">
        <v>0</v>
      </c>
      <c r="K806" s="321">
        <v>0</v>
      </c>
      <c r="L806" s="321">
        <v>0</v>
      </c>
      <c r="M806" s="321">
        <v>0</v>
      </c>
      <c r="N806" s="321">
        <v>0</v>
      </c>
      <c r="O806" s="321">
        <v>0</v>
      </c>
      <c r="P806" s="321">
        <v>0</v>
      </c>
      <c r="Q806" s="321">
        <v>0</v>
      </c>
      <c r="R806" s="321">
        <v>0</v>
      </c>
      <c r="S806" s="321">
        <v>0</v>
      </c>
      <c r="T806" s="321">
        <v>0</v>
      </c>
      <c r="U806" s="322">
        <v>0</v>
      </c>
      <c r="V806" s="323">
        <v>0</v>
      </c>
      <c r="W806" s="303"/>
      <c r="X806" s="324">
        <v>0</v>
      </c>
      <c r="Y806" s="325">
        <v>0</v>
      </c>
    </row>
    <row r="807" spans="1:25" x14ac:dyDescent="0.3">
      <c r="E807" s="250" t="s">
        <v>1770</v>
      </c>
      <c r="F807" s="317">
        <v>4403591</v>
      </c>
      <c r="G807" s="318"/>
      <c r="H807" s="319"/>
      <c r="I807" s="320"/>
      <c r="J807" s="337">
        <v>0</v>
      </c>
      <c r="K807" s="321">
        <v>0</v>
      </c>
      <c r="L807" s="321">
        <v>0</v>
      </c>
      <c r="M807" s="321">
        <v>0</v>
      </c>
      <c r="N807" s="321">
        <v>0</v>
      </c>
      <c r="O807" s="321">
        <v>0</v>
      </c>
      <c r="P807" s="321">
        <v>0</v>
      </c>
      <c r="Q807" s="321">
        <v>0</v>
      </c>
      <c r="R807" s="321">
        <v>0</v>
      </c>
      <c r="S807" s="321">
        <v>0</v>
      </c>
      <c r="T807" s="321">
        <v>0</v>
      </c>
      <c r="U807" s="322">
        <v>0</v>
      </c>
      <c r="V807" s="323">
        <v>0</v>
      </c>
      <c r="W807" s="303"/>
      <c r="X807" s="324">
        <v>0</v>
      </c>
      <c r="Y807" s="325">
        <v>0</v>
      </c>
    </row>
    <row r="808" spans="1:25" x14ac:dyDescent="0.3">
      <c r="A808" s="250"/>
      <c r="B808" s="250"/>
      <c r="C808" s="250"/>
      <c r="D808" s="250"/>
      <c r="E808" s="250" t="s">
        <v>1771</v>
      </c>
      <c r="F808" s="306">
        <v>4405515</v>
      </c>
      <c r="G808" s="307"/>
      <c r="H808" s="308"/>
      <c r="I808" s="309"/>
      <c r="J808" s="310">
        <v>0</v>
      </c>
      <c r="K808" s="311">
        <v>0</v>
      </c>
      <c r="L808" s="311">
        <v>0</v>
      </c>
      <c r="M808" s="311">
        <v>0</v>
      </c>
      <c r="N808" s="311">
        <v>0</v>
      </c>
      <c r="O808" s="311">
        <v>0</v>
      </c>
      <c r="P808" s="311">
        <v>0</v>
      </c>
      <c r="Q808" s="311">
        <v>0</v>
      </c>
      <c r="R808" s="311">
        <v>0</v>
      </c>
      <c r="S808" s="311">
        <v>0</v>
      </c>
      <c r="T808" s="311">
        <v>0</v>
      </c>
      <c r="U808" s="312">
        <v>0</v>
      </c>
      <c r="V808" s="313">
        <v>0</v>
      </c>
      <c r="W808" s="314"/>
      <c r="X808" s="315">
        <v>0</v>
      </c>
      <c r="Y808" s="316">
        <v>0</v>
      </c>
    </row>
    <row r="809" spans="1:25" x14ac:dyDescent="0.3">
      <c r="A809" s="250"/>
      <c r="B809" s="250"/>
      <c r="C809" s="250"/>
      <c r="D809" s="250"/>
      <c r="E809" s="250" t="s">
        <v>1772</v>
      </c>
      <c r="F809" s="306">
        <v>4405517</v>
      </c>
      <c r="G809" s="307"/>
      <c r="H809" s="308"/>
      <c r="I809" s="309"/>
      <c r="J809" s="310">
        <v>0</v>
      </c>
      <c r="K809" s="311">
        <v>0</v>
      </c>
      <c r="L809" s="311">
        <v>0</v>
      </c>
      <c r="M809" s="311">
        <v>0</v>
      </c>
      <c r="N809" s="311">
        <v>0</v>
      </c>
      <c r="O809" s="311">
        <v>0</v>
      </c>
      <c r="P809" s="311">
        <v>0</v>
      </c>
      <c r="Q809" s="311">
        <v>0</v>
      </c>
      <c r="R809" s="311">
        <v>0</v>
      </c>
      <c r="S809" s="311">
        <v>0</v>
      </c>
      <c r="T809" s="311">
        <v>0</v>
      </c>
      <c r="U809" s="312">
        <v>0</v>
      </c>
      <c r="V809" s="313">
        <v>0</v>
      </c>
      <c r="W809" s="314"/>
      <c r="X809" s="315">
        <v>0</v>
      </c>
      <c r="Y809" s="316">
        <v>0</v>
      </c>
    </row>
    <row r="810" spans="1:25" x14ac:dyDescent="0.3">
      <c r="A810" s="326"/>
      <c r="B810" s="326"/>
      <c r="C810" s="326"/>
      <c r="D810" s="326"/>
      <c r="E810" s="326" t="s">
        <v>1773</v>
      </c>
      <c r="F810" s="336"/>
      <c r="G810" s="327"/>
      <c r="H810" s="328"/>
      <c r="I810" s="329"/>
      <c r="J810" s="338">
        <v>0</v>
      </c>
      <c r="K810" s="330">
        <v>0</v>
      </c>
      <c r="L810" s="330">
        <v>0</v>
      </c>
      <c r="M810" s="330">
        <v>0</v>
      </c>
      <c r="N810" s="330">
        <v>0</v>
      </c>
      <c r="O810" s="330">
        <v>0</v>
      </c>
      <c r="P810" s="330">
        <v>0</v>
      </c>
      <c r="Q810" s="330">
        <v>0</v>
      </c>
      <c r="R810" s="330">
        <v>0</v>
      </c>
      <c r="S810" s="330">
        <v>0</v>
      </c>
      <c r="T810" s="330">
        <v>0</v>
      </c>
      <c r="U810" s="331">
        <v>0</v>
      </c>
      <c r="V810" s="332">
        <v>0</v>
      </c>
      <c r="W810" s="333"/>
      <c r="X810" s="334">
        <v>0</v>
      </c>
      <c r="Y810" s="335">
        <v>0</v>
      </c>
    </row>
    <row r="811" spans="1:25" x14ac:dyDescent="0.3">
      <c r="A811" s="326"/>
      <c r="B811" s="326"/>
      <c r="C811" s="326"/>
      <c r="D811" s="326"/>
      <c r="E811" s="326" t="s">
        <v>1774</v>
      </c>
      <c r="F811" s="336"/>
      <c r="G811" s="327"/>
      <c r="H811" s="328"/>
      <c r="I811" s="329"/>
      <c r="J811" s="338">
        <v>0</v>
      </c>
      <c r="K811" s="330">
        <v>0</v>
      </c>
      <c r="L811" s="330">
        <v>0</v>
      </c>
      <c r="M811" s="330">
        <v>0</v>
      </c>
      <c r="N811" s="330">
        <v>0</v>
      </c>
      <c r="O811" s="330">
        <v>0</v>
      </c>
      <c r="P811" s="330">
        <v>0</v>
      </c>
      <c r="Q811" s="330">
        <v>0</v>
      </c>
      <c r="R811" s="330">
        <v>0</v>
      </c>
      <c r="S811" s="330">
        <v>0</v>
      </c>
      <c r="T811" s="330">
        <v>0</v>
      </c>
      <c r="U811" s="331">
        <v>0</v>
      </c>
      <c r="V811" s="332">
        <v>0</v>
      </c>
      <c r="W811" s="333"/>
      <c r="X811" s="334">
        <v>0</v>
      </c>
      <c r="Y811" s="335">
        <v>0</v>
      </c>
    </row>
    <row r="812" spans="1:25" x14ac:dyDescent="0.3">
      <c r="A812" s="326"/>
      <c r="B812" s="326"/>
      <c r="C812" s="326"/>
      <c r="D812" s="326"/>
      <c r="E812" s="326" t="s">
        <v>1775</v>
      </c>
      <c r="F812" s="336"/>
      <c r="G812" s="327"/>
      <c r="H812" s="328"/>
      <c r="I812" s="329"/>
      <c r="J812" s="338">
        <v>0</v>
      </c>
      <c r="K812" s="330">
        <v>0</v>
      </c>
      <c r="L812" s="330">
        <v>0</v>
      </c>
      <c r="M812" s="330">
        <v>0</v>
      </c>
      <c r="N812" s="330">
        <v>0</v>
      </c>
      <c r="O812" s="330">
        <v>0</v>
      </c>
      <c r="P812" s="330">
        <v>0</v>
      </c>
      <c r="Q812" s="330">
        <v>0</v>
      </c>
      <c r="R812" s="330">
        <v>0</v>
      </c>
      <c r="S812" s="330">
        <v>0</v>
      </c>
      <c r="T812" s="330">
        <v>0</v>
      </c>
      <c r="U812" s="331">
        <v>0</v>
      </c>
      <c r="V812" s="332">
        <v>0</v>
      </c>
      <c r="W812" s="333"/>
      <c r="X812" s="334">
        <v>0</v>
      </c>
      <c r="Y812" s="335">
        <v>0</v>
      </c>
    </row>
    <row r="813" spans="1:25" x14ac:dyDescent="0.3">
      <c r="A813" s="233"/>
      <c r="B813" s="234" t="s">
        <v>73</v>
      </c>
      <c r="D813" s="293" t="s">
        <v>1776</v>
      </c>
      <c r="E813" s="294"/>
      <c r="F813" s="295" t="s">
        <v>1777</v>
      </c>
      <c r="G813" s="296"/>
      <c r="H813" s="297"/>
      <c r="I813" s="298"/>
      <c r="J813" s="299">
        <v>0</v>
      </c>
      <c r="K813" s="300">
        <v>0</v>
      </c>
      <c r="L813" s="300">
        <v>0</v>
      </c>
      <c r="M813" s="300">
        <v>0</v>
      </c>
      <c r="N813" s="300">
        <v>0</v>
      </c>
      <c r="O813" s="300">
        <v>0</v>
      </c>
      <c r="P813" s="300">
        <v>0</v>
      </c>
      <c r="Q813" s="300">
        <v>0</v>
      </c>
      <c r="R813" s="300">
        <v>0</v>
      </c>
      <c r="S813" s="300">
        <v>0</v>
      </c>
      <c r="T813" s="300">
        <v>0</v>
      </c>
      <c r="U813" s="301">
        <v>0</v>
      </c>
      <c r="V813" s="302">
        <v>0</v>
      </c>
      <c r="W813" s="303"/>
      <c r="X813" s="304">
        <v>0</v>
      </c>
      <c r="Y813" s="305">
        <v>0</v>
      </c>
    </row>
    <row r="814" spans="1:25" x14ac:dyDescent="0.3">
      <c r="E814" s="250" t="s">
        <v>1778</v>
      </c>
      <c r="F814" s="317">
        <v>4403595</v>
      </c>
      <c r="G814" s="318"/>
      <c r="H814" s="319"/>
      <c r="I814" s="320"/>
      <c r="J814" s="337">
        <v>0</v>
      </c>
      <c r="K814" s="321">
        <v>0</v>
      </c>
      <c r="L814" s="321">
        <v>0</v>
      </c>
      <c r="M814" s="321">
        <v>0</v>
      </c>
      <c r="N814" s="321">
        <v>0</v>
      </c>
      <c r="O814" s="321">
        <v>0</v>
      </c>
      <c r="P814" s="321">
        <v>0</v>
      </c>
      <c r="Q814" s="321">
        <v>0</v>
      </c>
      <c r="R814" s="321">
        <v>0</v>
      </c>
      <c r="S814" s="321">
        <v>0</v>
      </c>
      <c r="T814" s="321">
        <v>0</v>
      </c>
      <c r="U814" s="322">
        <v>0</v>
      </c>
      <c r="V814" s="323">
        <v>0</v>
      </c>
      <c r="W814" s="303"/>
      <c r="X814" s="324">
        <v>0</v>
      </c>
      <c r="Y814" s="325">
        <v>0</v>
      </c>
    </row>
    <row r="815" spans="1:25" x14ac:dyDescent="0.3">
      <c r="E815" s="250" t="s">
        <v>1779</v>
      </c>
      <c r="F815" s="317">
        <v>4403596</v>
      </c>
      <c r="G815" s="318"/>
      <c r="H815" s="319"/>
      <c r="I815" s="320"/>
      <c r="J815" s="337">
        <v>0</v>
      </c>
      <c r="K815" s="321">
        <v>0</v>
      </c>
      <c r="L815" s="321">
        <v>0</v>
      </c>
      <c r="M815" s="321">
        <v>0</v>
      </c>
      <c r="N815" s="321">
        <v>0</v>
      </c>
      <c r="O815" s="321">
        <v>0</v>
      </c>
      <c r="P815" s="321">
        <v>0</v>
      </c>
      <c r="Q815" s="321">
        <v>0</v>
      </c>
      <c r="R815" s="321">
        <v>0</v>
      </c>
      <c r="S815" s="321">
        <v>0</v>
      </c>
      <c r="T815" s="321">
        <v>0</v>
      </c>
      <c r="U815" s="322">
        <v>0</v>
      </c>
      <c r="V815" s="323">
        <v>0</v>
      </c>
      <c r="W815" s="303"/>
      <c r="X815" s="324">
        <v>0</v>
      </c>
      <c r="Y815" s="325">
        <v>0</v>
      </c>
    </row>
    <row r="816" spans="1:25" x14ac:dyDescent="0.3">
      <c r="E816" s="250" t="s">
        <v>1780</v>
      </c>
      <c r="F816" s="317">
        <v>4403597</v>
      </c>
      <c r="G816" s="318"/>
      <c r="H816" s="319"/>
      <c r="I816" s="320"/>
      <c r="J816" s="337">
        <v>0</v>
      </c>
      <c r="K816" s="321">
        <v>0</v>
      </c>
      <c r="L816" s="321">
        <v>0</v>
      </c>
      <c r="M816" s="321">
        <v>0</v>
      </c>
      <c r="N816" s="321">
        <v>0</v>
      </c>
      <c r="O816" s="321">
        <v>0</v>
      </c>
      <c r="P816" s="321">
        <v>0</v>
      </c>
      <c r="Q816" s="321">
        <v>0</v>
      </c>
      <c r="R816" s="321">
        <v>0</v>
      </c>
      <c r="S816" s="321">
        <v>0</v>
      </c>
      <c r="T816" s="321">
        <v>0</v>
      </c>
      <c r="U816" s="322">
        <v>0</v>
      </c>
      <c r="V816" s="323">
        <v>0</v>
      </c>
      <c r="W816" s="303"/>
      <c r="X816" s="324">
        <v>0</v>
      </c>
      <c r="Y816" s="325">
        <v>0</v>
      </c>
    </row>
    <row r="817" spans="1:25" x14ac:dyDescent="0.3">
      <c r="E817" s="250" t="s">
        <v>1781</v>
      </c>
      <c r="F817" s="317">
        <v>4403598</v>
      </c>
      <c r="G817" s="318"/>
      <c r="H817" s="319"/>
      <c r="I817" s="320"/>
      <c r="J817" s="337">
        <v>0</v>
      </c>
      <c r="K817" s="321">
        <v>0</v>
      </c>
      <c r="L817" s="321">
        <v>0</v>
      </c>
      <c r="M817" s="321">
        <v>0</v>
      </c>
      <c r="N817" s="321">
        <v>0</v>
      </c>
      <c r="O817" s="321">
        <v>0</v>
      </c>
      <c r="P817" s="321">
        <v>0</v>
      </c>
      <c r="Q817" s="321">
        <v>0</v>
      </c>
      <c r="R817" s="321">
        <v>0</v>
      </c>
      <c r="S817" s="321">
        <v>0</v>
      </c>
      <c r="T817" s="321">
        <v>0</v>
      </c>
      <c r="U817" s="322">
        <v>0</v>
      </c>
      <c r="V817" s="323">
        <v>0</v>
      </c>
      <c r="W817" s="303"/>
      <c r="X817" s="324">
        <v>0</v>
      </c>
      <c r="Y817" s="325">
        <v>0</v>
      </c>
    </row>
    <row r="818" spans="1:25" x14ac:dyDescent="0.3">
      <c r="E818" s="250" t="s">
        <v>1782</v>
      </c>
      <c r="F818" s="317">
        <v>4403599</v>
      </c>
      <c r="G818" s="318"/>
      <c r="H818" s="319"/>
      <c r="I818" s="320"/>
      <c r="J818" s="337">
        <v>0</v>
      </c>
      <c r="K818" s="321">
        <v>0</v>
      </c>
      <c r="L818" s="321">
        <v>0</v>
      </c>
      <c r="M818" s="321">
        <v>0</v>
      </c>
      <c r="N818" s="321">
        <v>0</v>
      </c>
      <c r="O818" s="321">
        <v>0</v>
      </c>
      <c r="P818" s="321">
        <v>0</v>
      </c>
      <c r="Q818" s="321">
        <v>0</v>
      </c>
      <c r="R818" s="321">
        <v>0</v>
      </c>
      <c r="S818" s="321">
        <v>0</v>
      </c>
      <c r="T818" s="321">
        <v>0</v>
      </c>
      <c r="U818" s="322">
        <v>0</v>
      </c>
      <c r="V818" s="323">
        <v>0</v>
      </c>
      <c r="W818" s="303"/>
      <c r="X818" s="324">
        <v>0</v>
      </c>
      <c r="Y818" s="325">
        <v>0</v>
      </c>
    </row>
    <row r="819" spans="1:25" x14ac:dyDescent="0.3">
      <c r="A819" s="326"/>
      <c r="B819" s="326"/>
      <c r="C819" s="326"/>
      <c r="D819" s="326"/>
      <c r="E819" s="326" t="s">
        <v>1783</v>
      </c>
      <c r="F819" s="336"/>
      <c r="G819" s="327"/>
      <c r="H819" s="328"/>
      <c r="I819" s="329"/>
      <c r="J819" s="338">
        <v>0</v>
      </c>
      <c r="K819" s="330">
        <v>0</v>
      </c>
      <c r="L819" s="330">
        <v>0</v>
      </c>
      <c r="M819" s="330">
        <v>0</v>
      </c>
      <c r="N819" s="330">
        <v>0</v>
      </c>
      <c r="O819" s="330">
        <v>0</v>
      </c>
      <c r="P819" s="330">
        <v>0</v>
      </c>
      <c r="Q819" s="330">
        <v>0</v>
      </c>
      <c r="R819" s="330">
        <v>0</v>
      </c>
      <c r="S819" s="330">
        <v>0</v>
      </c>
      <c r="T819" s="330">
        <v>0</v>
      </c>
      <c r="U819" s="331">
        <v>0</v>
      </c>
      <c r="V819" s="332">
        <v>0</v>
      </c>
      <c r="W819" s="333"/>
      <c r="X819" s="334">
        <v>0</v>
      </c>
      <c r="Y819" s="335">
        <v>0</v>
      </c>
    </row>
    <row r="820" spans="1:25" x14ac:dyDescent="0.3">
      <c r="A820" s="326"/>
      <c r="B820" s="326"/>
      <c r="C820" s="326"/>
      <c r="D820" s="326"/>
      <c r="E820" s="326" t="s">
        <v>1784</v>
      </c>
      <c r="F820" s="336"/>
      <c r="G820" s="327"/>
      <c r="H820" s="328"/>
      <c r="I820" s="329"/>
      <c r="J820" s="338">
        <v>0</v>
      </c>
      <c r="K820" s="330">
        <v>0</v>
      </c>
      <c r="L820" s="330">
        <v>0</v>
      </c>
      <c r="M820" s="330">
        <v>0</v>
      </c>
      <c r="N820" s="330">
        <v>0</v>
      </c>
      <c r="O820" s="330">
        <v>0</v>
      </c>
      <c r="P820" s="330">
        <v>0</v>
      </c>
      <c r="Q820" s="330">
        <v>0</v>
      </c>
      <c r="R820" s="330">
        <v>0</v>
      </c>
      <c r="S820" s="330">
        <v>0</v>
      </c>
      <c r="T820" s="330">
        <v>0</v>
      </c>
      <c r="U820" s="331">
        <v>0</v>
      </c>
      <c r="V820" s="332">
        <v>0</v>
      </c>
      <c r="W820" s="333"/>
      <c r="X820" s="334">
        <v>0</v>
      </c>
      <c r="Y820" s="335">
        <v>0</v>
      </c>
    </row>
    <row r="821" spans="1:25" x14ac:dyDescent="0.3">
      <c r="A821" s="326"/>
      <c r="B821" s="326"/>
      <c r="C821" s="326"/>
      <c r="D821" s="326"/>
      <c r="E821" s="326" t="s">
        <v>1785</v>
      </c>
      <c r="F821" s="336"/>
      <c r="G821" s="327"/>
      <c r="H821" s="328"/>
      <c r="I821" s="329"/>
      <c r="J821" s="338">
        <v>0</v>
      </c>
      <c r="K821" s="330">
        <v>0</v>
      </c>
      <c r="L821" s="330">
        <v>0</v>
      </c>
      <c r="M821" s="330">
        <v>0</v>
      </c>
      <c r="N821" s="330">
        <v>0</v>
      </c>
      <c r="O821" s="330">
        <v>0</v>
      </c>
      <c r="P821" s="330">
        <v>0</v>
      </c>
      <c r="Q821" s="330">
        <v>0</v>
      </c>
      <c r="R821" s="330">
        <v>0</v>
      </c>
      <c r="S821" s="330">
        <v>0</v>
      </c>
      <c r="T821" s="330">
        <v>0</v>
      </c>
      <c r="U821" s="331">
        <v>0</v>
      </c>
      <c r="V821" s="332">
        <v>0</v>
      </c>
      <c r="W821" s="333"/>
      <c r="X821" s="334">
        <v>0</v>
      </c>
      <c r="Y821" s="335">
        <v>0</v>
      </c>
    </row>
    <row r="822" spans="1:25" x14ac:dyDescent="0.3">
      <c r="D822" s="293" t="s">
        <v>1786</v>
      </c>
      <c r="E822" s="294"/>
      <c r="F822" s="295" t="s">
        <v>1787</v>
      </c>
      <c r="G822" s="296"/>
      <c r="H822" s="297"/>
      <c r="I822" s="298"/>
      <c r="J822" s="299">
        <v>0</v>
      </c>
      <c r="K822" s="300">
        <v>0</v>
      </c>
      <c r="L822" s="300">
        <v>0</v>
      </c>
      <c r="M822" s="300">
        <v>0</v>
      </c>
      <c r="N822" s="300">
        <v>0</v>
      </c>
      <c r="O822" s="300">
        <v>0</v>
      </c>
      <c r="P822" s="300">
        <v>0</v>
      </c>
      <c r="Q822" s="300">
        <v>0</v>
      </c>
      <c r="R822" s="300">
        <v>0</v>
      </c>
      <c r="S822" s="300">
        <v>0</v>
      </c>
      <c r="T822" s="300">
        <v>0</v>
      </c>
      <c r="U822" s="301">
        <v>0</v>
      </c>
      <c r="V822" s="302">
        <v>0</v>
      </c>
      <c r="W822" s="303"/>
      <c r="X822" s="304">
        <v>0</v>
      </c>
      <c r="Y822" s="305">
        <v>0</v>
      </c>
    </row>
    <row r="823" spans="1:25" x14ac:dyDescent="0.3">
      <c r="E823" s="250" t="s">
        <v>1788</v>
      </c>
      <c r="F823" s="317">
        <v>4403068</v>
      </c>
      <c r="G823" s="318"/>
      <c r="H823" s="319"/>
      <c r="I823" s="320"/>
      <c r="J823" s="337">
        <v>0</v>
      </c>
      <c r="K823" s="321">
        <v>0</v>
      </c>
      <c r="L823" s="321">
        <v>0</v>
      </c>
      <c r="M823" s="321">
        <v>0</v>
      </c>
      <c r="N823" s="321">
        <v>0</v>
      </c>
      <c r="O823" s="321">
        <v>0</v>
      </c>
      <c r="P823" s="321">
        <v>0</v>
      </c>
      <c r="Q823" s="321">
        <v>0</v>
      </c>
      <c r="R823" s="321">
        <v>0</v>
      </c>
      <c r="S823" s="321">
        <v>0</v>
      </c>
      <c r="T823" s="321">
        <v>0</v>
      </c>
      <c r="U823" s="322">
        <v>0</v>
      </c>
      <c r="V823" s="323">
        <v>0</v>
      </c>
      <c r="W823" s="303"/>
      <c r="X823" s="324">
        <v>0</v>
      </c>
      <c r="Y823" s="325">
        <v>0</v>
      </c>
    </row>
    <row r="824" spans="1:25" x14ac:dyDescent="0.3">
      <c r="E824" s="250" t="s">
        <v>1789</v>
      </c>
      <c r="F824" s="317">
        <v>4403069</v>
      </c>
      <c r="G824" s="318"/>
      <c r="H824" s="319"/>
      <c r="I824" s="320"/>
      <c r="J824" s="337">
        <v>0</v>
      </c>
      <c r="K824" s="321">
        <v>0</v>
      </c>
      <c r="L824" s="321">
        <v>0</v>
      </c>
      <c r="M824" s="321">
        <v>0</v>
      </c>
      <c r="N824" s="321">
        <v>0</v>
      </c>
      <c r="O824" s="321">
        <v>0</v>
      </c>
      <c r="P824" s="321">
        <v>0</v>
      </c>
      <c r="Q824" s="321">
        <v>0</v>
      </c>
      <c r="R824" s="321">
        <v>0</v>
      </c>
      <c r="S824" s="321">
        <v>0</v>
      </c>
      <c r="T824" s="321">
        <v>0</v>
      </c>
      <c r="U824" s="322">
        <v>0</v>
      </c>
      <c r="V824" s="323">
        <v>0</v>
      </c>
      <c r="W824" s="303"/>
      <c r="X824" s="324">
        <v>0</v>
      </c>
      <c r="Y824" s="325">
        <v>0</v>
      </c>
    </row>
    <row r="825" spans="1:25" x14ac:dyDescent="0.3">
      <c r="E825" s="250" t="s">
        <v>1790</v>
      </c>
      <c r="F825" s="317">
        <v>4403070</v>
      </c>
      <c r="G825" s="318"/>
      <c r="H825" s="319"/>
      <c r="I825" s="320"/>
      <c r="J825" s="337">
        <v>0</v>
      </c>
      <c r="K825" s="321">
        <v>0</v>
      </c>
      <c r="L825" s="321">
        <v>0</v>
      </c>
      <c r="M825" s="321">
        <v>0</v>
      </c>
      <c r="N825" s="321">
        <v>0</v>
      </c>
      <c r="O825" s="321">
        <v>0</v>
      </c>
      <c r="P825" s="321">
        <v>0</v>
      </c>
      <c r="Q825" s="321">
        <v>0</v>
      </c>
      <c r="R825" s="321">
        <v>0</v>
      </c>
      <c r="S825" s="321">
        <v>0</v>
      </c>
      <c r="T825" s="321">
        <v>0</v>
      </c>
      <c r="U825" s="322">
        <v>0</v>
      </c>
      <c r="V825" s="323">
        <v>0</v>
      </c>
      <c r="W825" s="303"/>
      <c r="X825" s="324">
        <v>0</v>
      </c>
      <c r="Y825" s="325">
        <v>0</v>
      </c>
    </row>
    <row r="826" spans="1:25" x14ac:dyDescent="0.3">
      <c r="E826" s="250" t="s">
        <v>1791</v>
      </c>
      <c r="F826" s="317">
        <v>4403071</v>
      </c>
      <c r="G826" s="318"/>
      <c r="H826" s="319"/>
      <c r="I826" s="320"/>
      <c r="J826" s="337">
        <v>0</v>
      </c>
      <c r="K826" s="321">
        <v>0</v>
      </c>
      <c r="L826" s="321">
        <v>0</v>
      </c>
      <c r="M826" s="321">
        <v>0</v>
      </c>
      <c r="N826" s="321">
        <v>0</v>
      </c>
      <c r="O826" s="321">
        <v>0</v>
      </c>
      <c r="P826" s="321">
        <v>0</v>
      </c>
      <c r="Q826" s="321">
        <v>0</v>
      </c>
      <c r="R826" s="321">
        <v>0</v>
      </c>
      <c r="S826" s="321">
        <v>0</v>
      </c>
      <c r="T826" s="321">
        <v>0</v>
      </c>
      <c r="U826" s="322">
        <v>0</v>
      </c>
      <c r="V826" s="323">
        <v>0</v>
      </c>
      <c r="W826" s="303"/>
      <c r="X826" s="324">
        <v>0</v>
      </c>
      <c r="Y826" s="325">
        <v>0</v>
      </c>
    </row>
    <row r="827" spans="1:25" x14ac:dyDescent="0.3">
      <c r="E827" s="250" t="s">
        <v>1792</v>
      </c>
      <c r="F827" s="317">
        <v>4403072</v>
      </c>
      <c r="G827" s="318"/>
      <c r="H827" s="319"/>
      <c r="I827" s="320"/>
      <c r="J827" s="337">
        <v>0</v>
      </c>
      <c r="K827" s="321">
        <v>0</v>
      </c>
      <c r="L827" s="321">
        <v>0</v>
      </c>
      <c r="M827" s="321">
        <v>0</v>
      </c>
      <c r="N827" s="321">
        <v>0</v>
      </c>
      <c r="O827" s="321">
        <v>0</v>
      </c>
      <c r="P827" s="321">
        <v>0</v>
      </c>
      <c r="Q827" s="321">
        <v>0</v>
      </c>
      <c r="R827" s="321">
        <v>0</v>
      </c>
      <c r="S827" s="321">
        <v>0</v>
      </c>
      <c r="T827" s="321">
        <v>0</v>
      </c>
      <c r="U827" s="322">
        <v>0</v>
      </c>
      <c r="V827" s="323">
        <v>0</v>
      </c>
      <c r="W827" s="303"/>
      <c r="X827" s="324">
        <v>0</v>
      </c>
      <c r="Y827" s="325">
        <v>0</v>
      </c>
    </row>
    <row r="828" spans="1:25" x14ac:dyDescent="0.3">
      <c r="E828" s="250" t="s">
        <v>1793</v>
      </c>
      <c r="F828" s="317">
        <v>4403073</v>
      </c>
      <c r="G828" s="318"/>
      <c r="H828" s="319"/>
      <c r="I828" s="320"/>
      <c r="J828" s="337">
        <v>0</v>
      </c>
      <c r="K828" s="321">
        <v>0</v>
      </c>
      <c r="L828" s="321">
        <v>0</v>
      </c>
      <c r="M828" s="321">
        <v>0</v>
      </c>
      <c r="N828" s="321">
        <v>0</v>
      </c>
      <c r="O828" s="321">
        <v>0</v>
      </c>
      <c r="P828" s="321">
        <v>0</v>
      </c>
      <c r="Q828" s="321">
        <v>0</v>
      </c>
      <c r="R828" s="321">
        <v>0</v>
      </c>
      <c r="S828" s="321">
        <v>0</v>
      </c>
      <c r="T828" s="321">
        <v>0</v>
      </c>
      <c r="U828" s="322">
        <v>0</v>
      </c>
      <c r="V828" s="323">
        <v>0</v>
      </c>
      <c r="W828" s="303"/>
      <c r="X828" s="324">
        <v>0</v>
      </c>
      <c r="Y828" s="325">
        <v>0</v>
      </c>
    </row>
    <row r="829" spans="1:25" x14ac:dyDescent="0.3">
      <c r="E829" s="250" t="s">
        <v>1794</v>
      </c>
      <c r="F829" s="317">
        <v>4403074</v>
      </c>
      <c r="G829" s="318"/>
      <c r="H829" s="319"/>
      <c r="I829" s="320"/>
      <c r="J829" s="337">
        <v>0</v>
      </c>
      <c r="K829" s="321">
        <v>0</v>
      </c>
      <c r="L829" s="321">
        <v>0</v>
      </c>
      <c r="M829" s="321">
        <v>0</v>
      </c>
      <c r="N829" s="321">
        <v>0</v>
      </c>
      <c r="O829" s="321">
        <v>0</v>
      </c>
      <c r="P829" s="321">
        <v>0</v>
      </c>
      <c r="Q829" s="321">
        <v>0</v>
      </c>
      <c r="R829" s="321">
        <v>0</v>
      </c>
      <c r="S829" s="321">
        <v>0</v>
      </c>
      <c r="T829" s="321">
        <v>0</v>
      </c>
      <c r="U829" s="322">
        <v>0</v>
      </c>
      <c r="V829" s="323">
        <v>0</v>
      </c>
      <c r="W829" s="303"/>
      <c r="X829" s="324">
        <v>0</v>
      </c>
      <c r="Y829" s="325">
        <v>0</v>
      </c>
    </row>
    <row r="830" spans="1:25" x14ac:dyDescent="0.3">
      <c r="E830" s="250" t="s">
        <v>1795</v>
      </c>
      <c r="F830" s="317">
        <v>4403075</v>
      </c>
      <c r="G830" s="318"/>
      <c r="H830" s="319"/>
      <c r="I830" s="320"/>
      <c r="J830" s="337">
        <v>0</v>
      </c>
      <c r="K830" s="321">
        <v>0</v>
      </c>
      <c r="L830" s="321">
        <v>0</v>
      </c>
      <c r="M830" s="321">
        <v>0</v>
      </c>
      <c r="N830" s="321">
        <v>0</v>
      </c>
      <c r="O830" s="321">
        <v>0</v>
      </c>
      <c r="P830" s="321">
        <v>0</v>
      </c>
      <c r="Q830" s="321">
        <v>0</v>
      </c>
      <c r="R830" s="321">
        <v>0</v>
      </c>
      <c r="S830" s="321">
        <v>0</v>
      </c>
      <c r="T830" s="321">
        <v>0</v>
      </c>
      <c r="U830" s="322">
        <v>0</v>
      </c>
      <c r="V830" s="323">
        <v>0</v>
      </c>
      <c r="W830" s="303"/>
      <c r="X830" s="324">
        <v>0</v>
      </c>
      <c r="Y830" s="325">
        <v>0</v>
      </c>
    </row>
    <row r="831" spans="1:25" x14ac:dyDescent="0.3">
      <c r="E831" s="250" t="s">
        <v>1796</v>
      </c>
      <c r="F831" s="317">
        <v>4403076</v>
      </c>
      <c r="G831" s="318"/>
      <c r="H831" s="319"/>
      <c r="I831" s="320"/>
      <c r="J831" s="337">
        <v>0</v>
      </c>
      <c r="K831" s="321">
        <v>0</v>
      </c>
      <c r="L831" s="321">
        <v>0</v>
      </c>
      <c r="M831" s="321">
        <v>0</v>
      </c>
      <c r="N831" s="321">
        <v>0</v>
      </c>
      <c r="O831" s="321">
        <v>0</v>
      </c>
      <c r="P831" s="321">
        <v>0</v>
      </c>
      <c r="Q831" s="321">
        <v>0</v>
      </c>
      <c r="R831" s="321">
        <v>0</v>
      </c>
      <c r="S831" s="321">
        <v>0</v>
      </c>
      <c r="T831" s="321">
        <v>0</v>
      </c>
      <c r="U831" s="322">
        <v>0</v>
      </c>
      <c r="V831" s="323">
        <v>0</v>
      </c>
      <c r="W831" s="303"/>
      <c r="X831" s="324">
        <v>0</v>
      </c>
      <c r="Y831" s="325">
        <v>0</v>
      </c>
    </row>
    <row r="832" spans="1:25" x14ac:dyDescent="0.3">
      <c r="E832" s="250" t="s">
        <v>1797</v>
      </c>
      <c r="F832" s="317">
        <v>4403077</v>
      </c>
      <c r="G832" s="318"/>
      <c r="H832" s="319"/>
      <c r="I832" s="320"/>
      <c r="J832" s="337">
        <v>0</v>
      </c>
      <c r="K832" s="321">
        <v>0</v>
      </c>
      <c r="L832" s="321">
        <v>0</v>
      </c>
      <c r="M832" s="321">
        <v>0</v>
      </c>
      <c r="N832" s="321">
        <v>0</v>
      </c>
      <c r="O832" s="321">
        <v>0</v>
      </c>
      <c r="P832" s="321">
        <v>0</v>
      </c>
      <c r="Q832" s="321">
        <v>0</v>
      </c>
      <c r="R832" s="321">
        <v>0</v>
      </c>
      <c r="S832" s="321">
        <v>0</v>
      </c>
      <c r="T832" s="321">
        <v>0</v>
      </c>
      <c r="U832" s="322">
        <v>0</v>
      </c>
      <c r="V832" s="323">
        <v>0</v>
      </c>
      <c r="W832" s="303"/>
      <c r="X832" s="324">
        <v>0</v>
      </c>
      <c r="Y832" s="325">
        <v>0</v>
      </c>
    </row>
    <row r="833" spans="1:25" x14ac:dyDescent="0.3">
      <c r="E833" s="250" t="s">
        <v>1798</v>
      </c>
      <c r="F833" s="317">
        <v>4403078</v>
      </c>
      <c r="G833" s="318"/>
      <c r="H833" s="319"/>
      <c r="I833" s="320"/>
      <c r="J833" s="337">
        <v>0</v>
      </c>
      <c r="K833" s="321">
        <v>0</v>
      </c>
      <c r="L833" s="321">
        <v>0</v>
      </c>
      <c r="M833" s="321">
        <v>0</v>
      </c>
      <c r="N833" s="321">
        <v>0</v>
      </c>
      <c r="O833" s="321">
        <v>0</v>
      </c>
      <c r="P833" s="321">
        <v>0</v>
      </c>
      <c r="Q833" s="321">
        <v>0</v>
      </c>
      <c r="R833" s="321">
        <v>0</v>
      </c>
      <c r="S833" s="321">
        <v>0</v>
      </c>
      <c r="T833" s="321">
        <v>0</v>
      </c>
      <c r="U833" s="322">
        <v>0</v>
      </c>
      <c r="V833" s="323">
        <v>0</v>
      </c>
      <c r="W833" s="303"/>
      <c r="X833" s="324">
        <v>0</v>
      </c>
      <c r="Y833" s="325">
        <v>0</v>
      </c>
    </row>
    <row r="834" spans="1:25" x14ac:dyDescent="0.3">
      <c r="E834" s="250" t="s">
        <v>1799</v>
      </c>
      <c r="F834" s="317">
        <v>4403079</v>
      </c>
      <c r="G834" s="318"/>
      <c r="H834" s="319"/>
      <c r="I834" s="320"/>
      <c r="J834" s="337">
        <v>0</v>
      </c>
      <c r="K834" s="321">
        <v>0</v>
      </c>
      <c r="L834" s="321">
        <v>0</v>
      </c>
      <c r="M834" s="321">
        <v>0</v>
      </c>
      <c r="N834" s="321">
        <v>0</v>
      </c>
      <c r="O834" s="321">
        <v>0</v>
      </c>
      <c r="P834" s="321">
        <v>0</v>
      </c>
      <c r="Q834" s="321">
        <v>0</v>
      </c>
      <c r="R834" s="321">
        <v>0</v>
      </c>
      <c r="S834" s="321">
        <v>0</v>
      </c>
      <c r="T834" s="321">
        <v>0</v>
      </c>
      <c r="U834" s="322">
        <v>0</v>
      </c>
      <c r="V834" s="323">
        <v>0</v>
      </c>
      <c r="W834" s="303"/>
      <c r="X834" s="324">
        <v>0</v>
      </c>
      <c r="Y834" s="325">
        <v>0</v>
      </c>
    </row>
    <row r="835" spans="1:25" x14ac:dyDescent="0.3">
      <c r="E835" s="250" t="s">
        <v>1800</v>
      </c>
      <c r="F835" s="317">
        <v>4403081</v>
      </c>
      <c r="G835" s="318"/>
      <c r="H835" s="319"/>
      <c r="I835" s="320"/>
      <c r="J835" s="337">
        <v>0</v>
      </c>
      <c r="K835" s="321">
        <v>0</v>
      </c>
      <c r="L835" s="321">
        <v>0</v>
      </c>
      <c r="M835" s="321">
        <v>0</v>
      </c>
      <c r="N835" s="321">
        <v>0</v>
      </c>
      <c r="O835" s="321">
        <v>0</v>
      </c>
      <c r="P835" s="321">
        <v>0</v>
      </c>
      <c r="Q835" s="321">
        <v>0</v>
      </c>
      <c r="R835" s="321">
        <v>0</v>
      </c>
      <c r="S835" s="321">
        <v>0</v>
      </c>
      <c r="T835" s="321">
        <v>0</v>
      </c>
      <c r="U835" s="322">
        <v>0</v>
      </c>
      <c r="V835" s="323">
        <v>0</v>
      </c>
      <c r="W835" s="303"/>
      <c r="X835" s="324">
        <v>0</v>
      </c>
      <c r="Y835" s="325">
        <v>0</v>
      </c>
    </row>
    <row r="836" spans="1:25" x14ac:dyDescent="0.3">
      <c r="A836" s="361"/>
      <c r="B836" s="361"/>
      <c r="C836" s="361"/>
      <c r="D836" s="361"/>
      <c r="E836" s="326" t="s">
        <v>1801</v>
      </c>
      <c r="F836" s="351"/>
      <c r="G836" s="352"/>
      <c r="H836" s="353"/>
      <c r="I836" s="354"/>
      <c r="J836" s="362">
        <v>0</v>
      </c>
      <c r="K836" s="355">
        <v>0</v>
      </c>
      <c r="L836" s="355">
        <v>0</v>
      </c>
      <c r="M836" s="355">
        <v>0</v>
      </c>
      <c r="N836" s="355">
        <v>0</v>
      </c>
      <c r="O836" s="355">
        <v>0</v>
      </c>
      <c r="P836" s="355">
        <v>0</v>
      </c>
      <c r="Q836" s="355">
        <v>0</v>
      </c>
      <c r="R836" s="355">
        <v>0</v>
      </c>
      <c r="S836" s="355">
        <v>0</v>
      </c>
      <c r="T836" s="355">
        <v>0</v>
      </c>
      <c r="U836" s="356">
        <v>0</v>
      </c>
      <c r="V836" s="357">
        <v>0</v>
      </c>
      <c r="W836" s="358"/>
      <c r="X836" s="359">
        <v>0</v>
      </c>
      <c r="Y836" s="360">
        <v>0</v>
      </c>
    </row>
    <row r="837" spans="1:25" x14ac:dyDescent="0.3">
      <c r="A837" s="361"/>
      <c r="B837" s="361"/>
      <c r="C837" s="361"/>
      <c r="D837" s="361"/>
      <c r="E837" s="326" t="s">
        <v>1801</v>
      </c>
      <c r="F837" s="351"/>
      <c r="G837" s="352"/>
      <c r="H837" s="353"/>
      <c r="I837" s="354"/>
      <c r="J837" s="362">
        <v>0</v>
      </c>
      <c r="K837" s="355">
        <v>0</v>
      </c>
      <c r="L837" s="355">
        <v>0</v>
      </c>
      <c r="M837" s="355">
        <v>0</v>
      </c>
      <c r="N837" s="355">
        <v>0</v>
      </c>
      <c r="O837" s="355">
        <v>0</v>
      </c>
      <c r="P837" s="355">
        <v>0</v>
      </c>
      <c r="Q837" s="355">
        <v>0</v>
      </c>
      <c r="R837" s="355">
        <v>0</v>
      </c>
      <c r="S837" s="355">
        <v>0</v>
      </c>
      <c r="T837" s="355">
        <v>0</v>
      </c>
      <c r="U837" s="356">
        <v>0</v>
      </c>
      <c r="V837" s="357">
        <v>0</v>
      </c>
      <c r="W837" s="358"/>
      <c r="X837" s="359">
        <v>0</v>
      </c>
      <c r="Y837" s="360">
        <v>0</v>
      </c>
    </row>
    <row r="838" spans="1:25" x14ac:dyDescent="0.3">
      <c r="A838" s="361"/>
      <c r="B838" s="361"/>
      <c r="C838" s="361"/>
      <c r="D838" s="361"/>
      <c r="E838" s="326" t="s">
        <v>1802</v>
      </c>
      <c r="F838" s="351"/>
      <c r="G838" s="352"/>
      <c r="H838" s="353"/>
      <c r="I838" s="354"/>
      <c r="J838" s="362">
        <v>0</v>
      </c>
      <c r="K838" s="355">
        <v>0</v>
      </c>
      <c r="L838" s="355">
        <v>0</v>
      </c>
      <c r="M838" s="355">
        <v>0</v>
      </c>
      <c r="N838" s="355">
        <v>0</v>
      </c>
      <c r="O838" s="355">
        <v>0</v>
      </c>
      <c r="P838" s="355">
        <v>0</v>
      </c>
      <c r="Q838" s="355">
        <v>0</v>
      </c>
      <c r="R838" s="355">
        <v>0</v>
      </c>
      <c r="S838" s="355">
        <v>0</v>
      </c>
      <c r="T838" s="355">
        <v>0</v>
      </c>
      <c r="U838" s="356">
        <v>0</v>
      </c>
      <c r="V838" s="357">
        <v>0</v>
      </c>
      <c r="W838" s="358"/>
      <c r="X838" s="359">
        <v>0</v>
      </c>
      <c r="Y838" s="360">
        <v>0</v>
      </c>
    </row>
    <row r="839" spans="1:25" x14ac:dyDescent="0.3">
      <c r="D839" s="293" t="s">
        <v>1803</v>
      </c>
      <c r="E839" s="294"/>
      <c r="F839" s="295" t="s">
        <v>1804</v>
      </c>
      <c r="G839" s="296"/>
      <c r="H839" s="297"/>
      <c r="I839" s="298"/>
      <c r="J839" s="299">
        <v>0</v>
      </c>
      <c r="K839" s="300">
        <v>0</v>
      </c>
      <c r="L839" s="300">
        <v>0</v>
      </c>
      <c r="M839" s="300">
        <v>0</v>
      </c>
      <c r="N839" s="300">
        <v>0</v>
      </c>
      <c r="O839" s="300">
        <v>0</v>
      </c>
      <c r="P839" s="300">
        <v>0</v>
      </c>
      <c r="Q839" s="300">
        <v>0</v>
      </c>
      <c r="R839" s="300">
        <v>0</v>
      </c>
      <c r="S839" s="300">
        <v>0</v>
      </c>
      <c r="T839" s="300">
        <v>0</v>
      </c>
      <c r="U839" s="301">
        <v>0</v>
      </c>
      <c r="V839" s="302">
        <v>0</v>
      </c>
      <c r="W839" s="303"/>
      <c r="X839" s="304">
        <v>0</v>
      </c>
      <c r="Y839" s="305">
        <v>0</v>
      </c>
    </row>
    <row r="840" spans="1:25" x14ac:dyDescent="0.3">
      <c r="A840" s="250"/>
      <c r="B840" s="250"/>
      <c r="C840" s="250"/>
      <c r="D840" s="250"/>
      <c r="E840" s="250" t="s">
        <v>1805</v>
      </c>
      <c r="F840" s="306">
        <v>4403581</v>
      </c>
      <c r="G840" s="307"/>
      <c r="H840" s="308"/>
      <c r="I840" s="309"/>
      <c r="J840" s="310">
        <v>0</v>
      </c>
      <c r="K840" s="311">
        <v>0</v>
      </c>
      <c r="L840" s="311">
        <v>0</v>
      </c>
      <c r="M840" s="311">
        <v>0</v>
      </c>
      <c r="N840" s="311">
        <v>0</v>
      </c>
      <c r="O840" s="311">
        <v>0</v>
      </c>
      <c r="P840" s="311">
        <v>0</v>
      </c>
      <c r="Q840" s="311">
        <v>0</v>
      </c>
      <c r="R840" s="311">
        <v>0</v>
      </c>
      <c r="S840" s="311">
        <v>0</v>
      </c>
      <c r="T840" s="311">
        <v>0</v>
      </c>
      <c r="U840" s="312">
        <v>0</v>
      </c>
      <c r="V840" s="313">
        <v>0</v>
      </c>
      <c r="W840" s="314"/>
      <c r="X840" s="315">
        <v>0</v>
      </c>
      <c r="Y840" s="316">
        <v>0</v>
      </c>
    </row>
    <row r="841" spans="1:25" x14ac:dyDescent="0.3">
      <c r="A841" s="250"/>
      <c r="B841" s="250"/>
      <c r="C841" s="250"/>
      <c r="D841" s="250"/>
      <c r="E841" s="250" t="s">
        <v>1806</v>
      </c>
      <c r="F841" s="306">
        <v>4403579</v>
      </c>
      <c r="G841" s="307"/>
      <c r="H841" s="308"/>
      <c r="I841" s="309"/>
      <c r="J841" s="310">
        <v>0</v>
      </c>
      <c r="K841" s="311">
        <v>0</v>
      </c>
      <c r="L841" s="311">
        <v>0</v>
      </c>
      <c r="M841" s="311">
        <v>0</v>
      </c>
      <c r="N841" s="311">
        <v>0</v>
      </c>
      <c r="O841" s="311">
        <v>0</v>
      </c>
      <c r="P841" s="311">
        <v>0</v>
      </c>
      <c r="Q841" s="311">
        <v>0</v>
      </c>
      <c r="R841" s="311">
        <v>0</v>
      </c>
      <c r="S841" s="311">
        <v>0</v>
      </c>
      <c r="T841" s="311">
        <v>0</v>
      </c>
      <c r="U841" s="312">
        <v>0</v>
      </c>
      <c r="V841" s="313">
        <v>0</v>
      </c>
      <c r="W841" s="314"/>
      <c r="X841" s="315">
        <v>0</v>
      </c>
      <c r="Y841" s="316">
        <v>0</v>
      </c>
    </row>
    <row r="842" spans="1:25" x14ac:dyDescent="0.3">
      <c r="A842" s="250"/>
      <c r="B842" s="250"/>
      <c r="C842" s="250"/>
      <c r="D842" s="250"/>
      <c r="E842" s="250" t="s">
        <v>1807</v>
      </c>
      <c r="F842" s="306">
        <v>4403578</v>
      </c>
      <c r="G842" s="307"/>
      <c r="H842" s="308"/>
      <c r="I842" s="309"/>
      <c r="J842" s="310">
        <v>0</v>
      </c>
      <c r="K842" s="311">
        <v>0</v>
      </c>
      <c r="L842" s="311">
        <v>0</v>
      </c>
      <c r="M842" s="311">
        <v>0</v>
      </c>
      <c r="N842" s="311">
        <v>0</v>
      </c>
      <c r="O842" s="311">
        <v>0</v>
      </c>
      <c r="P842" s="311">
        <v>0</v>
      </c>
      <c r="Q842" s="311">
        <v>0</v>
      </c>
      <c r="R842" s="311">
        <v>0</v>
      </c>
      <c r="S842" s="311">
        <v>0</v>
      </c>
      <c r="T842" s="311">
        <v>0</v>
      </c>
      <c r="U842" s="312">
        <v>0</v>
      </c>
      <c r="V842" s="313">
        <v>0</v>
      </c>
      <c r="W842" s="314"/>
      <c r="X842" s="315">
        <v>0</v>
      </c>
      <c r="Y842" s="316">
        <v>0</v>
      </c>
    </row>
    <row r="843" spans="1:25" x14ac:dyDescent="0.3">
      <c r="A843" s="250"/>
      <c r="B843" s="250"/>
      <c r="C843" s="250"/>
      <c r="D843" s="250"/>
      <c r="E843" s="250" t="s">
        <v>1808</v>
      </c>
      <c r="F843" s="306">
        <v>4403577</v>
      </c>
      <c r="G843" s="307"/>
      <c r="H843" s="308"/>
      <c r="I843" s="309"/>
      <c r="J843" s="310">
        <v>0</v>
      </c>
      <c r="K843" s="311">
        <v>0</v>
      </c>
      <c r="L843" s="311">
        <v>0</v>
      </c>
      <c r="M843" s="311">
        <v>0</v>
      </c>
      <c r="N843" s="311">
        <v>0</v>
      </c>
      <c r="O843" s="311">
        <v>0</v>
      </c>
      <c r="P843" s="311">
        <v>0</v>
      </c>
      <c r="Q843" s="311">
        <v>0</v>
      </c>
      <c r="R843" s="311">
        <v>0</v>
      </c>
      <c r="S843" s="311">
        <v>0</v>
      </c>
      <c r="T843" s="311">
        <v>0</v>
      </c>
      <c r="U843" s="312">
        <v>0</v>
      </c>
      <c r="V843" s="313">
        <v>0</v>
      </c>
      <c r="W843" s="314"/>
      <c r="X843" s="315">
        <v>0</v>
      </c>
      <c r="Y843" s="316">
        <v>0</v>
      </c>
    </row>
    <row r="844" spans="1:25" x14ac:dyDescent="0.3">
      <c r="A844" s="250"/>
      <c r="B844" s="250"/>
      <c r="C844" s="250"/>
      <c r="D844" s="250"/>
      <c r="E844" s="250" t="s">
        <v>1809</v>
      </c>
      <c r="F844" s="306">
        <v>4403576</v>
      </c>
      <c r="G844" s="307"/>
      <c r="H844" s="308"/>
      <c r="I844" s="309"/>
      <c r="J844" s="310">
        <v>0</v>
      </c>
      <c r="K844" s="311">
        <v>0</v>
      </c>
      <c r="L844" s="311">
        <v>0</v>
      </c>
      <c r="M844" s="311">
        <v>0</v>
      </c>
      <c r="N844" s="311">
        <v>0</v>
      </c>
      <c r="O844" s="311">
        <v>0</v>
      </c>
      <c r="P844" s="311">
        <v>0</v>
      </c>
      <c r="Q844" s="311">
        <v>0</v>
      </c>
      <c r="R844" s="311">
        <v>0</v>
      </c>
      <c r="S844" s="311">
        <v>0</v>
      </c>
      <c r="T844" s="311">
        <v>0</v>
      </c>
      <c r="U844" s="312">
        <v>0</v>
      </c>
      <c r="V844" s="313">
        <v>0</v>
      </c>
      <c r="W844" s="314"/>
      <c r="X844" s="315">
        <v>0</v>
      </c>
      <c r="Y844" s="316">
        <v>0</v>
      </c>
    </row>
    <row r="845" spans="1:25" x14ac:dyDescent="0.3">
      <c r="A845" s="250"/>
      <c r="B845" s="250"/>
      <c r="C845" s="250"/>
      <c r="D845" s="250"/>
      <c r="E845" s="250" t="s">
        <v>1810</v>
      </c>
      <c r="F845" s="306">
        <v>4403575</v>
      </c>
      <c r="G845" s="307"/>
      <c r="H845" s="308"/>
      <c r="I845" s="309"/>
      <c r="J845" s="310">
        <v>0</v>
      </c>
      <c r="K845" s="311">
        <v>0</v>
      </c>
      <c r="L845" s="311">
        <v>0</v>
      </c>
      <c r="M845" s="311">
        <v>0</v>
      </c>
      <c r="N845" s="311">
        <v>0</v>
      </c>
      <c r="O845" s="311">
        <v>0</v>
      </c>
      <c r="P845" s="311">
        <v>0</v>
      </c>
      <c r="Q845" s="311">
        <v>0</v>
      </c>
      <c r="R845" s="311">
        <v>0</v>
      </c>
      <c r="S845" s="311">
        <v>0</v>
      </c>
      <c r="T845" s="311">
        <v>0</v>
      </c>
      <c r="U845" s="312">
        <v>0</v>
      </c>
      <c r="V845" s="313">
        <v>0</v>
      </c>
      <c r="W845" s="314"/>
      <c r="X845" s="315">
        <v>0</v>
      </c>
      <c r="Y845" s="316">
        <v>0</v>
      </c>
    </row>
    <row r="846" spans="1:25" x14ac:dyDescent="0.3">
      <c r="A846" s="250"/>
      <c r="B846" s="250"/>
      <c r="C846" s="250"/>
      <c r="D846" s="250"/>
      <c r="E846" s="250" t="s">
        <v>1811</v>
      </c>
      <c r="F846" s="306">
        <v>4403574</v>
      </c>
      <c r="G846" s="307"/>
      <c r="H846" s="308"/>
      <c r="I846" s="309"/>
      <c r="J846" s="310">
        <v>0</v>
      </c>
      <c r="K846" s="311">
        <v>0</v>
      </c>
      <c r="L846" s="311">
        <v>0</v>
      </c>
      <c r="M846" s="311">
        <v>0</v>
      </c>
      <c r="N846" s="311">
        <v>0</v>
      </c>
      <c r="O846" s="311">
        <v>0</v>
      </c>
      <c r="P846" s="311">
        <v>0</v>
      </c>
      <c r="Q846" s="311">
        <v>0</v>
      </c>
      <c r="R846" s="311">
        <v>0</v>
      </c>
      <c r="S846" s="311">
        <v>0</v>
      </c>
      <c r="T846" s="311">
        <v>0</v>
      </c>
      <c r="U846" s="312">
        <v>0</v>
      </c>
      <c r="V846" s="313">
        <v>0</v>
      </c>
      <c r="W846" s="314"/>
      <c r="X846" s="315">
        <v>0</v>
      </c>
      <c r="Y846" s="316">
        <v>0</v>
      </c>
    </row>
    <row r="847" spans="1:25" x14ac:dyDescent="0.3">
      <c r="A847" s="250"/>
      <c r="B847" s="250"/>
      <c r="C847" s="250"/>
      <c r="D847" s="250"/>
      <c r="E847" s="250" t="s">
        <v>1812</v>
      </c>
      <c r="F847" s="306">
        <v>4403573</v>
      </c>
      <c r="G847" s="307"/>
      <c r="H847" s="308"/>
      <c r="I847" s="309"/>
      <c r="J847" s="310">
        <v>0</v>
      </c>
      <c r="K847" s="311">
        <v>0</v>
      </c>
      <c r="L847" s="311">
        <v>0</v>
      </c>
      <c r="M847" s="311">
        <v>0</v>
      </c>
      <c r="N847" s="311">
        <v>0</v>
      </c>
      <c r="O847" s="311">
        <v>0</v>
      </c>
      <c r="P847" s="311">
        <v>0</v>
      </c>
      <c r="Q847" s="311">
        <v>0</v>
      </c>
      <c r="R847" s="311">
        <v>0</v>
      </c>
      <c r="S847" s="311">
        <v>0</v>
      </c>
      <c r="T847" s="311">
        <v>0</v>
      </c>
      <c r="U847" s="312">
        <v>0</v>
      </c>
      <c r="V847" s="313">
        <v>0</v>
      </c>
      <c r="W847" s="314"/>
      <c r="X847" s="315">
        <v>0</v>
      </c>
      <c r="Y847" s="316">
        <v>0</v>
      </c>
    </row>
    <row r="848" spans="1:25" x14ac:dyDescent="0.3">
      <c r="A848" s="250"/>
      <c r="B848" s="250"/>
      <c r="C848" s="250"/>
      <c r="D848" s="250"/>
      <c r="E848" s="250" t="s">
        <v>1813</v>
      </c>
      <c r="F848" s="306">
        <v>4403568</v>
      </c>
      <c r="G848" s="307"/>
      <c r="H848" s="308"/>
      <c r="I848" s="309"/>
      <c r="J848" s="310">
        <v>0</v>
      </c>
      <c r="K848" s="311">
        <v>0</v>
      </c>
      <c r="L848" s="311">
        <v>0</v>
      </c>
      <c r="M848" s="311">
        <v>0</v>
      </c>
      <c r="N848" s="311">
        <v>0</v>
      </c>
      <c r="O848" s="311">
        <v>0</v>
      </c>
      <c r="P848" s="311">
        <v>0</v>
      </c>
      <c r="Q848" s="311">
        <v>0</v>
      </c>
      <c r="R848" s="311">
        <v>0</v>
      </c>
      <c r="S848" s="311">
        <v>0</v>
      </c>
      <c r="T848" s="311">
        <v>0</v>
      </c>
      <c r="U848" s="312">
        <v>0</v>
      </c>
      <c r="V848" s="313">
        <v>0</v>
      </c>
      <c r="W848" s="314"/>
      <c r="X848" s="315">
        <v>0</v>
      </c>
      <c r="Y848" s="316">
        <v>0</v>
      </c>
    </row>
    <row r="849" spans="1:25" x14ac:dyDescent="0.3">
      <c r="A849" s="250"/>
      <c r="B849" s="250"/>
      <c r="C849" s="250"/>
      <c r="D849" s="250"/>
      <c r="E849" s="250" t="s">
        <v>1814</v>
      </c>
      <c r="F849" s="306">
        <v>4403569</v>
      </c>
      <c r="G849" s="307"/>
      <c r="H849" s="308"/>
      <c r="I849" s="309"/>
      <c r="J849" s="310">
        <v>0</v>
      </c>
      <c r="K849" s="311">
        <v>0</v>
      </c>
      <c r="L849" s="311">
        <v>0</v>
      </c>
      <c r="M849" s="311">
        <v>0</v>
      </c>
      <c r="N849" s="311">
        <v>0</v>
      </c>
      <c r="O849" s="311">
        <v>0</v>
      </c>
      <c r="P849" s="311">
        <v>0</v>
      </c>
      <c r="Q849" s="311">
        <v>0</v>
      </c>
      <c r="R849" s="311">
        <v>0</v>
      </c>
      <c r="S849" s="311">
        <v>0</v>
      </c>
      <c r="T849" s="311">
        <v>0</v>
      </c>
      <c r="U849" s="312">
        <v>0</v>
      </c>
      <c r="V849" s="313">
        <v>0</v>
      </c>
      <c r="W849" s="314"/>
      <c r="X849" s="315">
        <v>0</v>
      </c>
      <c r="Y849" s="316">
        <v>0</v>
      </c>
    </row>
    <row r="850" spans="1:25" x14ac:dyDescent="0.3">
      <c r="A850" s="350"/>
      <c r="B850" s="350"/>
      <c r="C850" s="350"/>
      <c r="D850" s="350"/>
      <c r="E850" s="350" t="s">
        <v>1815</v>
      </c>
      <c r="F850" s="306">
        <v>4405516</v>
      </c>
      <c r="G850" s="307"/>
      <c r="H850" s="308"/>
      <c r="I850" s="309"/>
      <c r="J850" s="310">
        <v>0</v>
      </c>
      <c r="K850" s="311">
        <v>0</v>
      </c>
      <c r="L850" s="311">
        <v>0</v>
      </c>
      <c r="M850" s="311">
        <v>0</v>
      </c>
      <c r="N850" s="311">
        <v>0</v>
      </c>
      <c r="O850" s="311">
        <v>0</v>
      </c>
      <c r="P850" s="311">
        <v>0</v>
      </c>
      <c r="Q850" s="311">
        <v>0</v>
      </c>
      <c r="R850" s="311">
        <v>0</v>
      </c>
      <c r="S850" s="311">
        <v>0</v>
      </c>
      <c r="T850" s="311">
        <v>0</v>
      </c>
      <c r="U850" s="312">
        <v>0</v>
      </c>
      <c r="V850" s="313">
        <v>0</v>
      </c>
      <c r="W850" s="314"/>
      <c r="X850" s="315">
        <v>0</v>
      </c>
      <c r="Y850" s="316">
        <v>0</v>
      </c>
    </row>
    <row r="851" spans="1:25" x14ac:dyDescent="0.3">
      <c r="A851" s="350"/>
      <c r="B851" s="350"/>
      <c r="C851" s="350"/>
      <c r="D851" s="350"/>
      <c r="E851" s="350" t="s">
        <v>1816</v>
      </c>
      <c r="F851" s="306">
        <v>4405518</v>
      </c>
      <c r="G851" s="307"/>
      <c r="H851" s="308"/>
      <c r="I851" s="309"/>
      <c r="J851" s="310">
        <v>0</v>
      </c>
      <c r="K851" s="311">
        <v>0</v>
      </c>
      <c r="L851" s="311">
        <v>0</v>
      </c>
      <c r="M851" s="311">
        <v>0</v>
      </c>
      <c r="N851" s="311">
        <v>0</v>
      </c>
      <c r="O851" s="311">
        <v>0</v>
      </c>
      <c r="P851" s="311">
        <v>0</v>
      </c>
      <c r="Q851" s="311">
        <v>0</v>
      </c>
      <c r="R851" s="311">
        <v>0</v>
      </c>
      <c r="S851" s="311">
        <v>0</v>
      </c>
      <c r="T851" s="311">
        <v>0</v>
      </c>
      <c r="U851" s="312">
        <v>0</v>
      </c>
      <c r="V851" s="313">
        <v>0</v>
      </c>
      <c r="W851" s="314"/>
      <c r="X851" s="315">
        <v>0</v>
      </c>
      <c r="Y851" s="316">
        <v>0</v>
      </c>
    </row>
    <row r="852" spans="1:25" x14ac:dyDescent="0.3">
      <c r="A852" s="326"/>
      <c r="B852" s="326"/>
      <c r="C852" s="326"/>
      <c r="D852" s="326"/>
      <c r="E852" s="326" t="s">
        <v>1817</v>
      </c>
      <c r="F852" s="336"/>
      <c r="G852" s="327"/>
      <c r="H852" s="328"/>
      <c r="I852" s="329"/>
      <c r="J852" s="338">
        <v>0</v>
      </c>
      <c r="K852" s="330">
        <v>0</v>
      </c>
      <c r="L852" s="330">
        <v>0</v>
      </c>
      <c r="M852" s="330">
        <v>0</v>
      </c>
      <c r="N852" s="330">
        <v>0</v>
      </c>
      <c r="O852" s="330">
        <v>0</v>
      </c>
      <c r="P852" s="330">
        <v>0</v>
      </c>
      <c r="Q852" s="330">
        <v>0</v>
      </c>
      <c r="R852" s="330">
        <v>0</v>
      </c>
      <c r="S852" s="330">
        <v>0</v>
      </c>
      <c r="T852" s="330">
        <v>0</v>
      </c>
      <c r="U852" s="331">
        <v>0</v>
      </c>
      <c r="V852" s="332">
        <v>0</v>
      </c>
      <c r="W852" s="333"/>
      <c r="X852" s="334">
        <v>0</v>
      </c>
      <c r="Y852" s="335">
        <v>0</v>
      </c>
    </row>
    <row r="853" spans="1:25" x14ac:dyDescent="0.3">
      <c r="A853" s="326"/>
      <c r="B853" s="326"/>
      <c r="C853" s="326"/>
      <c r="D853" s="326"/>
      <c r="E853" s="326" t="s">
        <v>1818</v>
      </c>
      <c r="F853" s="336"/>
      <c r="G853" s="327"/>
      <c r="H853" s="328"/>
      <c r="I853" s="329"/>
      <c r="J853" s="338">
        <v>0</v>
      </c>
      <c r="K853" s="330">
        <v>0</v>
      </c>
      <c r="L853" s="330">
        <v>0</v>
      </c>
      <c r="M853" s="330">
        <v>0</v>
      </c>
      <c r="N853" s="330">
        <v>0</v>
      </c>
      <c r="O853" s="330">
        <v>0</v>
      </c>
      <c r="P853" s="330">
        <v>0</v>
      </c>
      <c r="Q853" s="330">
        <v>0</v>
      </c>
      <c r="R853" s="330">
        <v>0</v>
      </c>
      <c r="S853" s="330">
        <v>0</v>
      </c>
      <c r="T853" s="330">
        <v>0</v>
      </c>
      <c r="U853" s="331">
        <v>0</v>
      </c>
      <c r="V853" s="332">
        <v>0</v>
      </c>
      <c r="W853" s="333"/>
      <c r="X853" s="334">
        <v>0</v>
      </c>
      <c r="Y853" s="335">
        <v>0</v>
      </c>
    </row>
    <row r="854" spans="1:25" x14ac:dyDescent="0.3">
      <c r="A854" s="326"/>
      <c r="B854" s="326"/>
      <c r="C854" s="326"/>
      <c r="D854" s="326"/>
      <c r="E854" s="326" t="s">
        <v>1819</v>
      </c>
      <c r="F854" s="336"/>
      <c r="G854" s="327"/>
      <c r="H854" s="328"/>
      <c r="I854" s="329"/>
      <c r="J854" s="338">
        <v>0</v>
      </c>
      <c r="K854" s="330">
        <v>0</v>
      </c>
      <c r="L854" s="330">
        <v>0</v>
      </c>
      <c r="M854" s="330">
        <v>0</v>
      </c>
      <c r="N854" s="330">
        <v>0</v>
      </c>
      <c r="O854" s="330">
        <v>0</v>
      </c>
      <c r="P854" s="330">
        <v>0</v>
      </c>
      <c r="Q854" s="330">
        <v>0</v>
      </c>
      <c r="R854" s="330">
        <v>0</v>
      </c>
      <c r="S854" s="330">
        <v>0</v>
      </c>
      <c r="T854" s="330">
        <v>0</v>
      </c>
      <c r="U854" s="331">
        <v>0</v>
      </c>
      <c r="V854" s="332">
        <v>0</v>
      </c>
      <c r="W854" s="333"/>
      <c r="X854" s="334">
        <v>0</v>
      </c>
      <c r="Y854" s="335">
        <v>0</v>
      </c>
    </row>
    <row r="855" spans="1:25" x14ac:dyDescent="0.3">
      <c r="D855" s="293" t="s">
        <v>1820</v>
      </c>
      <c r="E855" s="294"/>
      <c r="F855" s="295" t="s">
        <v>1821</v>
      </c>
      <c r="G855" s="296"/>
      <c r="H855" s="297"/>
      <c r="I855" s="298"/>
      <c r="J855" s="299">
        <v>0</v>
      </c>
      <c r="K855" s="300">
        <v>0</v>
      </c>
      <c r="L855" s="300">
        <v>0</v>
      </c>
      <c r="M855" s="300">
        <v>0</v>
      </c>
      <c r="N855" s="300">
        <v>0</v>
      </c>
      <c r="O855" s="300">
        <v>0</v>
      </c>
      <c r="P855" s="300">
        <v>0</v>
      </c>
      <c r="Q855" s="300">
        <v>0</v>
      </c>
      <c r="R855" s="300">
        <v>0</v>
      </c>
      <c r="S855" s="300">
        <v>0</v>
      </c>
      <c r="T855" s="300">
        <v>0</v>
      </c>
      <c r="U855" s="301">
        <v>0</v>
      </c>
      <c r="V855" s="302">
        <v>0</v>
      </c>
      <c r="W855" s="303"/>
      <c r="X855" s="304">
        <v>0</v>
      </c>
      <c r="Y855" s="305">
        <v>0</v>
      </c>
    </row>
    <row r="856" spans="1:25" x14ac:dyDescent="0.3">
      <c r="E856" s="250" t="s">
        <v>1822</v>
      </c>
      <c r="F856" s="317">
        <v>4403572</v>
      </c>
      <c r="G856" s="318"/>
      <c r="H856" s="319"/>
      <c r="I856" s="320"/>
      <c r="J856" s="337">
        <v>0</v>
      </c>
      <c r="K856" s="321">
        <v>0</v>
      </c>
      <c r="L856" s="321">
        <v>0</v>
      </c>
      <c r="M856" s="321">
        <v>0</v>
      </c>
      <c r="N856" s="321">
        <v>0</v>
      </c>
      <c r="O856" s="321">
        <v>0</v>
      </c>
      <c r="P856" s="321">
        <v>0</v>
      </c>
      <c r="Q856" s="321">
        <v>0</v>
      </c>
      <c r="R856" s="321">
        <v>0</v>
      </c>
      <c r="S856" s="321">
        <v>0</v>
      </c>
      <c r="T856" s="321">
        <v>0</v>
      </c>
      <c r="U856" s="322">
        <v>0</v>
      </c>
      <c r="V856" s="323">
        <v>0</v>
      </c>
      <c r="W856" s="303"/>
      <c r="X856" s="324">
        <v>0</v>
      </c>
      <c r="Y856" s="325">
        <v>0</v>
      </c>
    </row>
    <row r="857" spans="1:25" x14ac:dyDescent="0.3">
      <c r="E857" s="250" t="s">
        <v>1823</v>
      </c>
      <c r="F857" s="317">
        <v>4403571</v>
      </c>
      <c r="G857" s="318"/>
      <c r="H857" s="319"/>
      <c r="I857" s="320"/>
      <c r="J857" s="337">
        <v>0</v>
      </c>
      <c r="K857" s="321">
        <v>0</v>
      </c>
      <c r="L857" s="321">
        <v>0</v>
      </c>
      <c r="M857" s="321">
        <v>0</v>
      </c>
      <c r="N857" s="321">
        <v>0</v>
      </c>
      <c r="O857" s="321">
        <v>0</v>
      </c>
      <c r="P857" s="321">
        <v>0</v>
      </c>
      <c r="Q857" s="321">
        <v>0</v>
      </c>
      <c r="R857" s="321">
        <v>0</v>
      </c>
      <c r="S857" s="321">
        <v>0</v>
      </c>
      <c r="T857" s="321">
        <v>0</v>
      </c>
      <c r="U857" s="322">
        <v>0</v>
      </c>
      <c r="V857" s="323">
        <v>0</v>
      </c>
      <c r="W857" s="303"/>
      <c r="X857" s="324">
        <v>0</v>
      </c>
      <c r="Y857" s="325">
        <v>0</v>
      </c>
    </row>
    <row r="858" spans="1:25" x14ac:dyDescent="0.3">
      <c r="E858" s="250" t="s">
        <v>1824</v>
      </c>
      <c r="F858" s="317">
        <v>4403570</v>
      </c>
      <c r="G858" s="318"/>
      <c r="H858" s="319"/>
      <c r="I858" s="320"/>
      <c r="J858" s="337">
        <v>0</v>
      </c>
      <c r="K858" s="321">
        <v>0</v>
      </c>
      <c r="L858" s="321">
        <v>0</v>
      </c>
      <c r="M858" s="321">
        <v>0</v>
      </c>
      <c r="N858" s="321">
        <v>0</v>
      </c>
      <c r="O858" s="321">
        <v>0</v>
      </c>
      <c r="P858" s="321">
        <v>0</v>
      </c>
      <c r="Q858" s="321">
        <v>0</v>
      </c>
      <c r="R858" s="321">
        <v>0</v>
      </c>
      <c r="S858" s="321">
        <v>0</v>
      </c>
      <c r="T858" s="321">
        <v>0</v>
      </c>
      <c r="U858" s="322">
        <v>0</v>
      </c>
      <c r="V858" s="323">
        <v>0</v>
      </c>
      <c r="W858" s="303"/>
      <c r="X858" s="324">
        <v>0</v>
      </c>
      <c r="Y858" s="325">
        <v>0</v>
      </c>
    </row>
    <row r="859" spans="1:25" x14ac:dyDescent="0.3">
      <c r="A859" s="326"/>
      <c r="B859" s="326"/>
      <c r="C859" s="326"/>
      <c r="D859" s="326"/>
      <c r="E859" s="326" t="s">
        <v>1825</v>
      </c>
      <c r="F859" s="336"/>
      <c r="G859" s="327"/>
      <c r="H859" s="328"/>
      <c r="I859" s="329"/>
      <c r="J859" s="338">
        <v>0</v>
      </c>
      <c r="K859" s="330">
        <v>0</v>
      </c>
      <c r="L859" s="330">
        <v>0</v>
      </c>
      <c r="M859" s="330">
        <v>0</v>
      </c>
      <c r="N859" s="330">
        <v>0</v>
      </c>
      <c r="O859" s="330">
        <v>0</v>
      </c>
      <c r="P859" s="330">
        <v>0</v>
      </c>
      <c r="Q859" s="330">
        <v>0</v>
      </c>
      <c r="R859" s="330">
        <v>0</v>
      </c>
      <c r="S859" s="330">
        <v>0</v>
      </c>
      <c r="T859" s="330">
        <v>0</v>
      </c>
      <c r="U859" s="331">
        <v>0</v>
      </c>
      <c r="V859" s="332">
        <v>0</v>
      </c>
      <c r="W859" s="333"/>
      <c r="X859" s="334">
        <v>0</v>
      </c>
      <c r="Y859" s="335">
        <v>0</v>
      </c>
    </row>
    <row r="860" spans="1:25" x14ac:dyDescent="0.3">
      <c r="A860" s="326"/>
      <c r="B860" s="326"/>
      <c r="C860" s="326"/>
      <c r="D860" s="326"/>
      <c r="E860" s="326" t="s">
        <v>1826</v>
      </c>
      <c r="F860" s="336"/>
      <c r="G860" s="327"/>
      <c r="H860" s="328"/>
      <c r="I860" s="329"/>
      <c r="J860" s="338">
        <v>0</v>
      </c>
      <c r="K860" s="330">
        <v>0</v>
      </c>
      <c r="L860" s="330">
        <v>0</v>
      </c>
      <c r="M860" s="330">
        <v>0</v>
      </c>
      <c r="N860" s="330">
        <v>0</v>
      </c>
      <c r="O860" s="330">
        <v>0</v>
      </c>
      <c r="P860" s="330">
        <v>0</v>
      </c>
      <c r="Q860" s="330">
        <v>0</v>
      </c>
      <c r="R860" s="330">
        <v>0</v>
      </c>
      <c r="S860" s="330">
        <v>0</v>
      </c>
      <c r="T860" s="330">
        <v>0</v>
      </c>
      <c r="U860" s="331">
        <v>0</v>
      </c>
      <c r="V860" s="332">
        <v>0</v>
      </c>
      <c r="W860" s="333"/>
      <c r="X860" s="334">
        <v>0</v>
      </c>
      <c r="Y860" s="335">
        <v>0</v>
      </c>
    </row>
    <row r="861" spans="1:25" x14ac:dyDescent="0.3">
      <c r="A861" s="326"/>
      <c r="B861" s="326"/>
      <c r="C861" s="326"/>
      <c r="D861" s="326"/>
      <c r="E861" s="326" t="s">
        <v>1827</v>
      </c>
      <c r="F861" s="336"/>
      <c r="G861" s="327"/>
      <c r="H861" s="328"/>
      <c r="I861" s="329"/>
      <c r="J861" s="338">
        <v>0</v>
      </c>
      <c r="K861" s="330">
        <v>0</v>
      </c>
      <c r="L861" s="330">
        <v>0</v>
      </c>
      <c r="M861" s="330">
        <v>0</v>
      </c>
      <c r="N861" s="330">
        <v>0</v>
      </c>
      <c r="O861" s="330">
        <v>0</v>
      </c>
      <c r="P861" s="330">
        <v>0</v>
      </c>
      <c r="Q861" s="330">
        <v>0</v>
      </c>
      <c r="R861" s="330">
        <v>0</v>
      </c>
      <c r="S861" s="330">
        <v>0</v>
      </c>
      <c r="T861" s="330">
        <v>0</v>
      </c>
      <c r="U861" s="331">
        <v>0</v>
      </c>
      <c r="V861" s="332">
        <v>0</v>
      </c>
      <c r="W861" s="333"/>
      <c r="X861" s="334">
        <v>0</v>
      </c>
      <c r="Y861" s="335">
        <v>0</v>
      </c>
    </row>
    <row r="862" spans="1:25" x14ac:dyDescent="0.3">
      <c r="D862" s="293" t="s">
        <v>1828</v>
      </c>
      <c r="E862" s="294"/>
      <c r="F862" s="295" t="s">
        <v>1829</v>
      </c>
      <c r="G862" s="296"/>
      <c r="H862" s="297"/>
      <c r="I862" s="298"/>
      <c r="J862" s="299">
        <v>0</v>
      </c>
      <c r="K862" s="300">
        <v>0</v>
      </c>
      <c r="L862" s="300">
        <v>0</v>
      </c>
      <c r="M862" s="300">
        <v>0</v>
      </c>
      <c r="N862" s="300">
        <v>0</v>
      </c>
      <c r="O862" s="300">
        <v>0</v>
      </c>
      <c r="P862" s="300">
        <v>0</v>
      </c>
      <c r="Q862" s="300">
        <v>0</v>
      </c>
      <c r="R862" s="300">
        <v>0</v>
      </c>
      <c r="S862" s="300">
        <v>0</v>
      </c>
      <c r="T862" s="300">
        <v>0</v>
      </c>
      <c r="U862" s="301">
        <v>0</v>
      </c>
      <c r="V862" s="302">
        <v>0</v>
      </c>
      <c r="W862" s="303"/>
      <c r="X862" s="304">
        <v>0</v>
      </c>
      <c r="Y862" s="305">
        <v>0</v>
      </c>
    </row>
    <row r="863" spans="1:25" x14ac:dyDescent="0.3">
      <c r="E863" s="250" t="s">
        <v>1830</v>
      </c>
      <c r="F863" s="317">
        <v>4409000</v>
      </c>
      <c r="G863" s="318"/>
      <c r="H863" s="319"/>
      <c r="I863" s="320"/>
      <c r="J863" s="337">
        <v>0</v>
      </c>
      <c r="K863" s="321">
        <v>0</v>
      </c>
      <c r="L863" s="321">
        <v>0</v>
      </c>
      <c r="M863" s="321">
        <v>0</v>
      </c>
      <c r="N863" s="321">
        <v>0</v>
      </c>
      <c r="O863" s="321">
        <v>0</v>
      </c>
      <c r="P863" s="321">
        <v>0</v>
      </c>
      <c r="Q863" s="321">
        <v>0</v>
      </c>
      <c r="R863" s="321">
        <v>0</v>
      </c>
      <c r="S863" s="321">
        <v>0</v>
      </c>
      <c r="T863" s="321">
        <v>0</v>
      </c>
      <c r="U863" s="322">
        <v>0</v>
      </c>
      <c r="V863" s="323">
        <v>0</v>
      </c>
      <c r="W863" s="303"/>
      <c r="X863" s="324">
        <v>0</v>
      </c>
      <c r="Y863" s="325">
        <v>0</v>
      </c>
    </row>
    <row r="864" spans="1:25" x14ac:dyDescent="0.3">
      <c r="A864" s="361"/>
      <c r="B864" s="361"/>
      <c r="C864" s="361"/>
      <c r="D864" s="361"/>
      <c r="E864" s="326" t="s">
        <v>1831</v>
      </c>
      <c r="F864" s="351"/>
      <c r="G864" s="352"/>
      <c r="H864" s="353"/>
      <c r="I864" s="354"/>
      <c r="J864" s="362">
        <v>0</v>
      </c>
      <c r="K864" s="355">
        <v>0</v>
      </c>
      <c r="L864" s="355">
        <v>0</v>
      </c>
      <c r="M864" s="355">
        <v>0</v>
      </c>
      <c r="N864" s="355">
        <v>0</v>
      </c>
      <c r="O864" s="355">
        <v>0</v>
      </c>
      <c r="P864" s="355">
        <v>0</v>
      </c>
      <c r="Q864" s="355">
        <v>0</v>
      </c>
      <c r="R864" s="355">
        <v>0</v>
      </c>
      <c r="S864" s="355">
        <v>0</v>
      </c>
      <c r="T864" s="355">
        <v>0</v>
      </c>
      <c r="U864" s="356">
        <v>0</v>
      </c>
      <c r="V864" s="357">
        <v>0</v>
      </c>
      <c r="W864" s="358"/>
      <c r="X864" s="359">
        <v>0</v>
      </c>
      <c r="Y864" s="360">
        <v>0</v>
      </c>
    </row>
    <row r="865" spans="1:25" x14ac:dyDescent="0.3">
      <c r="A865" s="361"/>
      <c r="B865" s="361"/>
      <c r="C865" s="361"/>
      <c r="D865" s="361"/>
      <c r="E865" s="326" t="s">
        <v>1832</v>
      </c>
      <c r="F865" s="351"/>
      <c r="G865" s="352"/>
      <c r="H865" s="353"/>
      <c r="I865" s="354"/>
      <c r="J865" s="362">
        <v>0</v>
      </c>
      <c r="K865" s="355">
        <v>0</v>
      </c>
      <c r="L865" s="355">
        <v>0</v>
      </c>
      <c r="M865" s="355">
        <v>0</v>
      </c>
      <c r="N865" s="355">
        <v>0</v>
      </c>
      <c r="O865" s="355">
        <v>0</v>
      </c>
      <c r="P865" s="355">
        <v>0</v>
      </c>
      <c r="Q865" s="355">
        <v>0</v>
      </c>
      <c r="R865" s="355">
        <v>0</v>
      </c>
      <c r="S865" s="355">
        <v>0</v>
      </c>
      <c r="T865" s="355">
        <v>0</v>
      </c>
      <c r="U865" s="356">
        <v>0</v>
      </c>
      <c r="V865" s="357">
        <v>0</v>
      </c>
      <c r="W865" s="358"/>
      <c r="X865" s="359">
        <v>0</v>
      </c>
      <c r="Y865" s="360">
        <v>0</v>
      </c>
    </row>
    <row r="866" spans="1:25" x14ac:dyDescent="0.3">
      <c r="A866" s="361"/>
      <c r="B866" s="361"/>
      <c r="C866" s="361"/>
      <c r="D866" s="361"/>
      <c r="E866" s="326" t="s">
        <v>1833</v>
      </c>
      <c r="F866" s="351"/>
      <c r="G866" s="352"/>
      <c r="H866" s="353"/>
      <c r="I866" s="354"/>
      <c r="J866" s="362">
        <v>0</v>
      </c>
      <c r="K866" s="355">
        <v>0</v>
      </c>
      <c r="L866" s="355">
        <v>0</v>
      </c>
      <c r="M866" s="355">
        <v>0</v>
      </c>
      <c r="N866" s="355">
        <v>0</v>
      </c>
      <c r="O866" s="355">
        <v>0</v>
      </c>
      <c r="P866" s="355">
        <v>0</v>
      </c>
      <c r="Q866" s="355">
        <v>0</v>
      </c>
      <c r="R866" s="355">
        <v>0</v>
      </c>
      <c r="S866" s="355">
        <v>0</v>
      </c>
      <c r="T866" s="355">
        <v>0</v>
      </c>
      <c r="U866" s="356">
        <v>0</v>
      </c>
      <c r="V866" s="357">
        <v>0</v>
      </c>
      <c r="W866" s="358"/>
      <c r="X866" s="359">
        <v>0</v>
      </c>
      <c r="Y866" s="360">
        <v>0</v>
      </c>
    </row>
    <row r="867" spans="1:25" x14ac:dyDescent="0.3">
      <c r="A867" s="233"/>
      <c r="B867" s="234" t="s">
        <v>73</v>
      </c>
      <c r="D867" s="293" t="s">
        <v>1834</v>
      </c>
      <c r="E867" s="294"/>
      <c r="F867" s="295" t="s">
        <v>1835</v>
      </c>
      <c r="G867" s="296"/>
      <c r="H867" s="297"/>
      <c r="I867" s="298"/>
      <c r="J867" s="299">
        <v>0</v>
      </c>
      <c r="K867" s="300">
        <v>0</v>
      </c>
      <c r="L867" s="300">
        <v>0</v>
      </c>
      <c r="M867" s="300">
        <v>0</v>
      </c>
      <c r="N867" s="300">
        <v>0</v>
      </c>
      <c r="O867" s="300">
        <v>0</v>
      </c>
      <c r="P867" s="300">
        <v>0</v>
      </c>
      <c r="Q867" s="300">
        <v>0</v>
      </c>
      <c r="R867" s="300">
        <v>0</v>
      </c>
      <c r="S867" s="300">
        <v>0</v>
      </c>
      <c r="T867" s="300">
        <v>0</v>
      </c>
      <c r="U867" s="301">
        <v>0</v>
      </c>
      <c r="V867" s="302">
        <v>0</v>
      </c>
      <c r="W867" s="303"/>
      <c r="X867" s="304">
        <v>0</v>
      </c>
      <c r="Y867" s="305">
        <v>0</v>
      </c>
    </row>
    <row r="868" spans="1:25" x14ac:dyDescent="0.3">
      <c r="E868" s="250" t="s">
        <v>1836</v>
      </c>
      <c r="F868" s="317">
        <v>4405501</v>
      </c>
      <c r="G868" s="318"/>
      <c r="H868" s="319">
        <v>7101350301</v>
      </c>
      <c r="I868" s="320"/>
      <c r="J868" s="337">
        <v>0</v>
      </c>
      <c r="K868" s="321">
        <v>0</v>
      </c>
      <c r="L868" s="321">
        <v>0</v>
      </c>
      <c r="M868" s="321">
        <v>0</v>
      </c>
      <c r="N868" s="321">
        <v>0</v>
      </c>
      <c r="O868" s="321">
        <v>0</v>
      </c>
      <c r="P868" s="321">
        <v>0</v>
      </c>
      <c r="Q868" s="321">
        <v>0</v>
      </c>
      <c r="R868" s="321">
        <v>0</v>
      </c>
      <c r="S868" s="321">
        <v>0</v>
      </c>
      <c r="T868" s="321">
        <v>0</v>
      </c>
      <c r="U868" s="322">
        <v>0</v>
      </c>
      <c r="V868" s="323">
        <v>0</v>
      </c>
      <c r="W868" s="303"/>
      <c r="X868" s="324">
        <v>0</v>
      </c>
      <c r="Y868" s="325">
        <v>0</v>
      </c>
    </row>
    <row r="869" spans="1:25" x14ac:dyDescent="0.3">
      <c r="E869" s="250" t="s">
        <v>1837</v>
      </c>
      <c r="F869" s="317">
        <v>4405502</v>
      </c>
      <c r="G869" s="318"/>
      <c r="H869" s="319">
        <v>7101350102</v>
      </c>
      <c r="I869" s="320"/>
      <c r="J869" s="337">
        <v>0</v>
      </c>
      <c r="K869" s="321">
        <v>0</v>
      </c>
      <c r="L869" s="321">
        <v>0</v>
      </c>
      <c r="M869" s="321">
        <v>0</v>
      </c>
      <c r="N869" s="321">
        <v>0</v>
      </c>
      <c r="O869" s="321">
        <v>0</v>
      </c>
      <c r="P869" s="321">
        <v>0</v>
      </c>
      <c r="Q869" s="321">
        <v>0</v>
      </c>
      <c r="R869" s="321">
        <v>0</v>
      </c>
      <c r="S869" s="321">
        <v>0</v>
      </c>
      <c r="T869" s="321">
        <v>0</v>
      </c>
      <c r="U869" s="322">
        <v>0</v>
      </c>
      <c r="V869" s="323">
        <v>0</v>
      </c>
      <c r="W869" s="303"/>
      <c r="X869" s="324">
        <v>0</v>
      </c>
      <c r="Y869" s="325">
        <v>0</v>
      </c>
    </row>
    <row r="870" spans="1:25" x14ac:dyDescent="0.3">
      <c r="E870" s="250" t="s">
        <v>1838</v>
      </c>
      <c r="F870" s="317">
        <v>4405503</v>
      </c>
      <c r="G870" s="318"/>
      <c r="H870" s="319"/>
      <c r="I870" s="320"/>
      <c r="J870" s="337">
        <v>0</v>
      </c>
      <c r="K870" s="321">
        <v>0</v>
      </c>
      <c r="L870" s="321">
        <v>0</v>
      </c>
      <c r="M870" s="321">
        <v>0</v>
      </c>
      <c r="N870" s="321">
        <v>0</v>
      </c>
      <c r="O870" s="321">
        <v>0</v>
      </c>
      <c r="P870" s="321">
        <v>0</v>
      </c>
      <c r="Q870" s="321">
        <v>0</v>
      </c>
      <c r="R870" s="321">
        <v>0</v>
      </c>
      <c r="S870" s="321">
        <v>0</v>
      </c>
      <c r="T870" s="321">
        <v>0</v>
      </c>
      <c r="U870" s="322">
        <v>0</v>
      </c>
      <c r="V870" s="323">
        <v>0</v>
      </c>
      <c r="W870" s="303"/>
      <c r="X870" s="324">
        <v>0</v>
      </c>
      <c r="Y870" s="325">
        <v>0</v>
      </c>
    </row>
    <row r="871" spans="1:25" x14ac:dyDescent="0.3">
      <c r="E871" s="250" t="s">
        <v>1839</v>
      </c>
      <c r="F871" s="317">
        <v>4405504</v>
      </c>
      <c r="G871" s="318"/>
      <c r="H871" s="319"/>
      <c r="I871" s="320"/>
      <c r="J871" s="337">
        <v>0</v>
      </c>
      <c r="K871" s="321">
        <v>0</v>
      </c>
      <c r="L871" s="321">
        <v>0</v>
      </c>
      <c r="M871" s="321">
        <v>0</v>
      </c>
      <c r="N871" s="321">
        <v>0</v>
      </c>
      <c r="O871" s="321">
        <v>0</v>
      </c>
      <c r="P871" s="321">
        <v>0</v>
      </c>
      <c r="Q871" s="321">
        <v>0</v>
      </c>
      <c r="R871" s="321">
        <v>0</v>
      </c>
      <c r="S871" s="321">
        <v>0</v>
      </c>
      <c r="T871" s="321">
        <v>0</v>
      </c>
      <c r="U871" s="322">
        <v>0</v>
      </c>
      <c r="V871" s="323">
        <v>0</v>
      </c>
      <c r="W871" s="303"/>
      <c r="X871" s="324">
        <v>0</v>
      </c>
      <c r="Y871" s="325">
        <v>0</v>
      </c>
    </row>
    <row r="872" spans="1:25" x14ac:dyDescent="0.3">
      <c r="E872" s="250" t="s">
        <v>1840</v>
      </c>
      <c r="F872" s="317">
        <v>4405505</v>
      </c>
      <c r="G872" s="318"/>
      <c r="H872" s="319"/>
      <c r="I872" s="320"/>
      <c r="J872" s="337">
        <v>0</v>
      </c>
      <c r="K872" s="321">
        <v>0</v>
      </c>
      <c r="L872" s="321">
        <v>0</v>
      </c>
      <c r="M872" s="321">
        <v>0</v>
      </c>
      <c r="N872" s="321">
        <v>0</v>
      </c>
      <c r="O872" s="321">
        <v>0</v>
      </c>
      <c r="P872" s="321">
        <v>0</v>
      </c>
      <c r="Q872" s="321">
        <v>0</v>
      </c>
      <c r="R872" s="321">
        <v>0</v>
      </c>
      <c r="S872" s="321">
        <v>0</v>
      </c>
      <c r="T872" s="321">
        <v>0</v>
      </c>
      <c r="U872" s="322">
        <v>0</v>
      </c>
      <c r="V872" s="323">
        <v>0</v>
      </c>
      <c r="W872" s="303"/>
      <c r="X872" s="324">
        <v>0</v>
      </c>
      <c r="Y872" s="325">
        <v>0</v>
      </c>
    </row>
    <row r="873" spans="1:25" x14ac:dyDescent="0.3">
      <c r="E873" s="250" t="s">
        <v>1841</v>
      </c>
      <c r="F873" s="317">
        <v>4405506</v>
      </c>
      <c r="G873" s="318"/>
      <c r="H873" s="319">
        <v>7101350105</v>
      </c>
      <c r="I873" s="320"/>
      <c r="J873" s="337">
        <v>0</v>
      </c>
      <c r="K873" s="321">
        <v>0</v>
      </c>
      <c r="L873" s="321">
        <v>0</v>
      </c>
      <c r="M873" s="321">
        <v>0</v>
      </c>
      <c r="N873" s="321">
        <v>0</v>
      </c>
      <c r="O873" s="321">
        <v>0</v>
      </c>
      <c r="P873" s="321">
        <v>0</v>
      </c>
      <c r="Q873" s="321">
        <v>0</v>
      </c>
      <c r="R873" s="321">
        <v>0</v>
      </c>
      <c r="S873" s="321">
        <v>0</v>
      </c>
      <c r="T873" s="321">
        <v>0</v>
      </c>
      <c r="U873" s="322">
        <v>0</v>
      </c>
      <c r="V873" s="323">
        <v>0</v>
      </c>
      <c r="W873" s="303"/>
      <c r="X873" s="324">
        <v>0</v>
      </c>
      <c r="Y873" s="325">
        <v>0</v>
      </c>
    </row>
    <row r="874" spans="1:25" x14ac:dyDescent="0.3">
      <c r="E874" s="250" t="s">
        <v>1842</v>
      </c>
      <c r="F874" s="317">
        <v>4405507</v>
      </c>
      <c r="G874" s="318"/>
      <c r="H874" s="319">
        <v>7101350101</v>
      </c>
      <c r="I874" s="320"/>
      <c r="J874" s="337">
        <v>0</v>
      </c>
      <c r="K874" s="321">
        <v>0</v>
      </c>
      <c r="L874" s="321">
        <v>0</v>
      </c>
      <c r="M874" s="321">
        <v>0</v>
      </c>
      <c r="N874" s="321">
        <v>0</v>
      </c>
      <c r="O874" s="321">
        <v>0</v>
      </c>
      <c r="P874" s="321">
        <v>0</v>
      </c>
      <c r="Q874" s="321">
        <v>0</v>
      </c>
      <c r="R874" s="321">
        <v>0</v>
      </c>
      <c r="S874" s="321">
        <v>0</v>
      </c>
      <c r="T874" s="321">
        <v>0</v>
      </c>
      <c r="U874" s="322">
        <v>0</v>
      </c>
      <c r="V874" s="323">
        <v>0</v>
      </c>
      <c r="W874" s="303"/>
      <c r="X874" s="324">
        <v>0</v>
      </c>
      <c r="Y874" s="325">
        <v>0</v>
      </c>
    </row>
    <row r="875" spans="1:25" x14ac:dyDescent="0.3">
      <c r="A875" s="326"/>
      <c r="B875" s="326"/>
      <c r="C875" s="326"/>
      <c r="D875" s="326"/>
      <c r="E875" s="250" t="s">
        <v>1843</v>
      </c>
      <c r="F875" s="306"/>
      <c r="G875" s="307"/>
      <c r="H875" s="308">
        <v>7101330101</v>
      </c>
      <c r="I875" s="309"/>
      <c r="J875" s="310">
        <v>0</v>
      </c>
      <c r="K875" s="311">
        <v>0</v>
      </c>
      <c r="L875" s="311">
        <v>0</v>
      </c>
      <c r="M875" s="311">
        <v>0</v>
      </c>
      <c r="N875" s="311">
        <v>0</v>
      </c>
      <c r="O875" s="311">
        <v>0</v>
      </c>
      <c r="P875" s="311">
        <v>0</v>
      </c>
      <c r="Q875" s="311">
        <v>0</v>
      </c>
      <c r="R875" s="311">
        <v>0</v>
      </c>
      <c r="S875" s="311">
        <v>0</v>
      </c>
      <c r="T875" s="311">
        <v>0</v>
      </c>
      <c r="U875" s="312">
        <v>0</v>
      </c>
      <c r="V875" s="313">
        <v>0</v>
      </c>
      <c r="W875" s="314"/>
      <c r="X875" s="315">
        <v>0</v>
      </c>
      <c r="Y875" s="316">
        <v>0</v>
      </c>
    </row>
    <row r="876" spans="1:25" x14ac:dyDescent="0.3">
      <c r="A876" s="326"/>
      <c r="B876" s="326"/>
      <c r="C876" s="326"/>
      <c r="D876" s="326"/>
      <c r="E876" s="350" t="s">
        <v>1844</v>
      </c>
      <c r="F876" s="306"/>
      <c r="G876" s="307"/>
      <c r="H876" s="308">
        <v>7101270000</v>
      </c>
      <c r="I876" s="309"/>
      <c r="J876" s="310">
        <v>0</v>
      </c>
      <c r="K876" s="311">
        <v>0</v>
      </c>
      <c r="L876" s="311">
        <v>0</v>
      </c>
      <c r="M876" s="311">
        <v>0</v>
      </c>
      <c r="N876" s="311">
        <v>0</v>
      </c>
      <c r="O876" s="311">
        <v>0</v>
      </c>
      <c r="P876" s="311">
        <v>0</v>
      </c>
      <c r="Q876" s="311">
        <v>0</v>
      </c>
      <c r="R876" s="311">
        <v>0</v>
      </c>
      <c r="S876" s="311">
        <v>0</v>
      </c>
      <c r="T876" s="311">
        <v>0</v>
      </c>
      <c r="U876" s="312">
        <v>0</v>
      </c>
      <c r="V876" s="313">
        <v>0</v>
      </c>
      <c r="W876" s="314"/>
      <c r="X876" s="315">
        <v>0</v>
      </c>
      <c r="Y876" s="316">
        <v>0</v>
      </c>
    </row>
    <row r="877" spans="1:25" x14ac:dyDescent="0.3">
      <c r="A877" s="350"/>
      <c r="B877" s="350"/>
      <c r="C877" s="350"/>
      <c r="D877" s="350"/>
      <c r="E877" s="350" t="s">
        <v>1845</v>
      </c>
      <c r="F877" s="306"/>
      <c r="G877" s="307"/>
      <c r="H877" s="308">
        <v>7101130101</v>
      </c>
      <c r="I877" s="309"/>
      <c r="J877" s="310">
        <v>0</v>
      </c>
      <c r="K877" s="311">
        <v>0</v>
      </c>
      <c r="L877" s="311">
        <v>0</v>
      </c>
      <c r="M877" s="311">
        <v>0</v>
      </c>
      <c r="N877" s="311">
        <v>0</v>
      </c>
      <c r="O877" s="311">
        <v>0</v>
      </c>
      <c r="P877" s="311">
        <v>0</v>
      </c>
      <c r="Q877" s="311">
        <v>0</v>
      </c>
      <c r="R877" s="311">
        <v>0</v>
      </c>
      <c r="S877" s="311">
        <v>0</v>
      </c>
      <c r="T877" s="311">
        <v>0</v>
      </c>
      <c r="U877" s="312">
        <v>0</v>
      </c>
      <c r="V877" s="313">
        <v>0</v>
      </c>
      <c r="W877" s="314"/>
      <c r="X877" s="315">
        <v>0</v>
      </c>
      <c r="Y877" s="316">
        <v>0</v>
      </c>
    </row>
    <row r="878" spans="1:25" x14ac:dyDescent="0.3">
      <c r="A878" s="233"/>
      <c r="B878" s="234" t="s">
        <v>53</v>
      </c>
      <c r="D878" s="293" t="s">
        <v>1846</v>
      </c>
      <c r="E878" s="294"/>
      <c r="F878" s="295" t="s">
        <v>1847</v>
      </c>
      <c r="G878" s="296"/>
      <c r="H878" s="297"/>
      <c r="I878" s="298"/>
      <c r="J878" s="299">
        <v>0</v>
      </c>
      <c r="K878" s="300">
        <v>0</v>
      </c>
      <c r="L878" s="300">
        <v>0</v>
      </c>
      <c r="M878" s="300">
        <v>0</v>
      </c>
      <c r="N878" s="300">
        <v>0</v>
      </c>
      <c r="O878" s="300">
        <v>0</v>
      </c>
      <c r="P878" s="300">
        <v>0</v>
      </c>
      <c r="Q878" s="300">
        <v>0</v>
      </c>
      <c r="R878" s="300">
        <v>0</v>
      </c>
      <c r="S878" s="300">
        <v>0</v>
      </c>
      <c r="T878" s="300">
        <v>0</v>
      </c>
      <c r="U878" s="301">
        <v>0</v>
      </c>
      <c r="V878" s="302">
        <v>0</v>
      </c>
      <c r="W878" s="303"/>
      <c r="X878" s="304">
        <v>0</v>
      </c>
      <c r="Y878" s="305">
        <v>0</v>
      </c>
    </row>
    <row r="879" spans="1:25" x14ac:dyDescent="0.3">
      <c r="E879" s="250" t="s">
        <v>1848</v>
      </c>
      <c r="F879" s="317">
        <v>4409901</v>
      </c>
      <c r="G879" s="318"/>
      <c r="H879" s="319">
        <v>7101990101</v>
      </c>
      <c r="I879" s="320"/>
      <c r="J879" s="337">
        <v>0</v>
      </c>
      <c r="K879" s="321">
        <v>0</v>
      </c>
      <c r="L879" s="321">
        <v>0</v>
      </c>
      <c r="M879" s="321">
        <v>0</v>
      </c>
      <c r="N879" s="321">
        <v>0</v>
      </c>
      <c r="O879" s="321">
        <v>0</v>
      </c>
      <c r="P879" s="321">
        <v>0</v>
      </c>
      <c r="Q879" s="321">
        <v>0</v>
      </c>
      <c r="R879" s="321">
        <v>0</v>
      </c>
      <c r="S879" s="321">
        <v>0</v>
      </c>
      <c r="T879" s="321">
        <v>0</v>
      </c>
      <c r="U879" s="322">
        <v>0</v>
      </c>
      <c r="V879" s="323">
        <v>0</v>
      </c>
      <c r="W879" s="303"/>
      <c r="X879" s="324">
        <v>0</v>
      </c>
      <c r="Y879" s="325">
        <v>0</v>
      </c>
    </row>
    <row r="880" spans="1:25" x14ac:dyDescent="0.3">
      <c r="E880" s="250" t="s">
        <v>1849</v>
      </c>
      <c r="F880" s="317">
        <v>4409902</v>
      </c>
      <c r="G880" s="318"/>
      <c r="H880" s="319">
        <v>7101990103</v>
      </c>
      <c r="I880" s="320"/>
      <c r="J880" s="337">
        <v>0</v>
      </c>
      <c r="K880" s="321">
        <v>0</v>
      </c>
      <c r="L880" s="321">
        <v>0</v>
      </c>
      <c r="M880" s="321">
        <v>0</v>
      </c>
      <c r="N880" s="321">
        <v>0</v>
      </c>
      <c r="O880" s="321">
        <v>0</v>
      </c>
      <c r="P880" s="321">
        <v>0</v>
      </c>
      <c r="Q880" s="321">
        <v>0</v>
      </c>
      <c r="R880" s="321">
        <v>0</v>
      </c>
      <c r="S880" s="321">
        <v>0</v>
      </c>
      <c r="T880" s="321">
        <v>0</v>
      </c>
      <c r="U880" s="322">
        <v>0</v>
      </c>
      <c r="V880" s="323">
        <v>0</v>
      </c>
      <c r="W880" s="303"/>
      <c r="X880" s="324">
        <v>0</v>
      </c>
      <c r="Y880" s="325">
        <v>0</v>
      </c>
    </row>
    <row r="881" spans="1:25" x14ac:dyDescent="0.3">
      <c r="E881" s="250" t="s">
        <v>1850</v>
      </c>
      <c r="F881" s="317">
        <v>4409903</v>
      </c>
      <c r="G881" s="318"/>
      <c r="H881" s="319">
        <v>7101990105</v>
      </c>
      <c r="I881" s="320"/>
      <c r="J881" s="337">
        <v>0</v>
      </c>
      <c r="K881" s="321">
        <v>0</v>
      </c>
      <c r="L881" s="321">
        <v>0</v>
      </c>
      <c r="M881" s="321">
        <v>0</v>
      </c>
      <c r="N881" s="321">
        <v>0</v>
      </c>
      <c r="O881" s="321">
        <v>0</v>
      </c>
      <c r="P881" s="321">
        <v>0</v>
      </c>
      <c r="Q881" s="321">
        <v>0</v>
      </c>
      <c r="R881" s="321">
        <v>0</v>
      </c>
      <c r="S881" s="321">
        <v>0</v>
      </c>
      <c r="T881" s="321">
        <v>0</v>
      </c>
      <c r="U881" s="322">
        <v>0</v>
      </c>
      <c r="V881" s="323">
        <v>0</v>
      </c>
      <c r="W881" s="303"/>
      <c r="X881" s="324">
        <v>0</v>
      </c>
      <c r="Y881" s="325">
        <v>0</v>
      </c>
    </row>
    <row r="882" spans="1:25" x14ac:dyDescent="0.3">
      <c r="E882" s="250" t="s">
        <v>1851</v>
      </c>
      <c r="F882" s="317">
        <v>4409904</v>
      </c>
      <c r="G882" s="318"/>
      <c r="H882" s="319"/>
      <c r="I882" s="320"/>
      <c r="J882" s="337">
        <v>0</v>
      </c>
      <c r="K882" s="321">
        <v>0</v>
      </c>
      <c r="L882" s="321">
        <v>0</v>
      </c>
      <c r="M882" s="321">
        <v>0</v>
      </c>
      <c r="N882" s="321">
        <v>0</v>
      </c>
      <c r="O882" s="321">
        <v>0</v>
      </c>
      <c r="P882" s="321">
        <v>0</v>
      </c>
      <c r="Q882" s="321">
        <v>0</v>
      </c>
      <c r="R882" s="321">
        <v>0</v>
      </c>
      <c r="S882" s="321">
        <v>0</v>
      </c>
      <c r="T882" s="321">
        <v>0</v>
      </c>
      <c r="U882" s="322">
        <v>0</v>
      </c>
      <c r="V882" s="323">
        <v>0</v>
      </c>
      <c r="W882" s="303"/>
      <c r="X882" s="324">
        <v>0</v>
      </c>
      <c r="Y882" s="325">
        <v>0</v>
      </c>
    </row>
    <row r="883" spans="1:25" x14ac:dyDescent="0.3">
      <c r="E883" s="250" t="s">
        <v>1852</v>
      </c>
      <c r="F883" s="317">
        <v>4409905</v>
      </c>
      <c r="G883" s="318"/>
      <c r="H883" s="319">
        <v>7101990109</v>
      </c>
      <c r="I883" s="320"/>
      <c r="J883" s="337">
        <v>0</v>
      </c>
      <c r="K883" s="321">
        <v>0</v>
      </c>
      <c r="L883" s="321">
        <v>0</v>
      </c>
      <c r="M883" s="321">
        <v>0</v>
      </c>
      <c r="N883" s="321">
        <v>0</v>
      </c>
      <c r="O883" s="321">
        <v>0</v>
      </c>
      <c r="P883" s="321">
        <v>0</v>
      </c>
      <c r="Q883" s="321">
        <v>0</v>
      </c>
      <c r="R883" s="321">
        <v>0</v>
      </c>
      <c r="S883" s="321">
        <v>0</v>
      </c>
      <c r="T883" s="321">
        <v>0</v>
      </c>
      <c r="U883" s="322">
        <v>0</v>
      </c>
      <c r="V883" s="323">
        <v>0</v>
      </c>
      <c r="W883" s="303"/>
      <c r="X883" s="324">
        <v>0</v>
      </c>
      <c r="Y883" s="325">
        <v>0</v>
      </c>
    </row>
    <row r="884" spans="1:25" x14ac:dyDescent="0.3">
      <c r="E884" s="250" t="s">
        <v>1853</v>
      </c>
      <c r="F884" s="317">
        <v>4409906</v>
      </c>
      <c r="G884" s="318"/>
      <c r="H884" s="319">
        <v>7101990111</v>
      </c>
      <c r="I884" s="320"/>
      <c r="J884" s="337">
        <v>0</v>
      </c>
      <c r="K884" s="321">
        <v>0</v>
      </c>
      <c r="L884" s="321">
        <v>0</v>
      </c>
      <c r="M884" s="321">
        <v>0</v>
      </c>
      <c r="N884" s="321">
        <v>0</v>
      </c>
      <c r="O884" s="321">
        <v>0</v>
      </c>
      <c r="P884" s="321">
        <v>0</v>
      </c>
      <c r="Q884" s="321">
        <v>0</v>
      </c>
      <c r="R884" s="321">
        <v>0</v>
      </c>
      <c r="S884" s="321">
        <v>0</v>
      </c>
      <c r="T884" s="321">
        <v>0</v>
      </c>
      <c r="U884" s="322">
        <v>0</v>
      </c>
      <c r="V884" s="323">
        <v>0</v>
      </c>
      <c r="W884" s="303"/>
      <c r="X884" s="324">
        <v>0</v>
      </c>
      <c r="Y884" s="325">
        <v>0</v>
      </c>
    </row>
    <row r="885" spans="1:25" x14ac:dyDescent="0.3">
      <c r="E885" s="250" t="s">
        <v>1854</v>
      </c>
      <c r="F885" s="317">
        <v>4409907</v>
      </c>
      <c r="G885" s="318"/>
      <c r="H885" s="319"/>
      <c r="I885" s="320"/>
      <c r="J885" s="337">
        <v>0</v>
      </c>
      <c r="K885" s="321">
        <v>0</v>
      </c>
      <c r="L885" s="321">
        <v>0</v>
      </c>
      <c r="M885" s="321">
        <v>0</v>
      </c>
      <c r="N885" s="321">
        <v>0</v>
      </c>
      <c r="O885" s="321">
        <v>0</v>
      </c>
      <c r="P885" s="321">
        <v>0</v>
      </c>
      <c r="Q885" s="321">
        <v>0</v>
      </c>
      <c r="R885" s="321">
        <v>0</v>
      </c>
      <c r="S885" s="321">
        <v>0</v>
      </c>
      <c r="T885" s="321">
        <v>0</v>
      </c>
      <c r="U885" s="322">
        <v>0</v>
      </c>
      <c r="V885" s="323">
        <v>0</v>
      </c>
      <c r="W885" s="303"/>
      <c r="X885" s="324">
        <v>0</v>
      </c>
      <c r="Y885" s="325">
        <v>0</v>
      </c>
    </row>
    <row r="886" spans="1:25" x14ac:dyDescent="0.3">
      <c r="E886" s="250" t="s">
        <v>1855</v>
      </c>
      <c r="F886" s="317">
        <v>4409908</v>
      </c>
      <c r="G886" s="318"/>
      <c r="H886" s="319">
        <v>7101990199</v>
      </c>
      <c r="I886" s="320"/>
      <c r="J886" s="337">
        <v>0</v>
      </c>
      <c r="K886" s="321">
        <v>0</v>
      </c>
      <c r="L886" s="321">
        <v>0</v>
      </c>
      <c r="M886" s="321">
        <v>0</v>
      </c>
      <c r="N886" s="321">
        <v>0</v>
      </c>
      <c r="O886" s="321">
        <v>0</v>
      </c>
      <c r="P886" s="321">
        <v>0</v>
      </c>
      <c r="Q886" s="321">
        <v>0</v>
      </c>
      <c r="R886" s="321">
        <v>0</v>
      </c>
      <c r="S886" s="321">
        <v>0</v>
      </c>
      <c r="T886" s="321">
        <v>0</v>
      </c>
      <c r="U886" s="322">
        <v>0</v>
      </c>
      <c r="V886" s="323">
        <v>0</v>
      </c>
      <c r="W886" s="303"/>
      <c r="X886" s="324">
        <v>0</v>
      </c>
      <c r="Y886" s="325">
        <v>0</v>
      </c>
    </row>
    <row r="887" spans="1:25" x14ac:dyDescent="0.3">
      <c r="E887" s="250" t="s">
        <v>1856</v>
      </c>
      <c r="F887" s="317">
        <v>4409999</v>
      </c>
      <c r="G887" s="318"/>
      <c r="H887" s="319"/>
      <c r="I887" s="320"/>
      <c r="J887" s="337">
        <v>0</v>
      </c>
      <c r="K887" s="321">
        <v>0</v>
      </c>
      <c r="L887" s="321">
        <v>0</v>
      </c>
      <c r="M887" s="321">
        <v>0</v>
      </c>
      <c r="N887" s="321">
        <v>0</v>
      </c>
      <c r="O887" s="321">
        <v>0</v>
      </c>
      <c r="P887" s="321">
        <v>0</v>
      </c>
      <c r="Q887" s="321">
        <v>0</v>
      </c>
      <c r="R887" s="321">
        <v>0</v>
      </c>
      <c r="S887" s="321">
        <v>0</v>
      </c>
      <c r="T887" s="321">
        <v>0</v>
      </c>
      <c r="U887" s="322">
        <v>0</v>
      </c>
      <c r="V887" s="323">
        <v>0</v>
      </c>
      <c r="W887" s="303"/>
      <c r="X887" s="324">
        <v>0</v>
      </c>
      <c r="Y887" s="325">
        <v>0</v>
      </c>
    </row>
    <row r="888" spans="1:25" x14ac:dyDescent="0.3">
      <c r="A888" s="361"/>
      <c r="B888" s="361"/>
      <c r="C888" s="361"/>
      <c r="D888" s="361"/>
      <c r="E888" s="326" t="s">
        <v>1857</v>
      </c>
      <c r="F888" s="351"/>
      <c r="G888" s="352"/>
      <c r="H888" s="353"/>
      <c r="I888" s="354"/>
      <c r="J888" s="362">
        <v>0</v>
      </c>
      <c r="K888" s="355">
        <v>0</v>
      </c>
      <c r="L888" s="355">
        <v>0</v>
      </c>
      <c r="M888" s="355">
        <v>0</v>
      </c>
      <c r="N888" s="355">
        <v>0</v>
      </c>
      <c r="O888" s="355">
        <v>0</v>
      </c>
      <c r="P888" s="355">
        <v>0</v>
      </c>
      <c r="Q888" s="355">
        <v>0</v>
      </c>
      <c r="R888" s="355">
        <v>0</v>
      </c>
      <c r="S888" s="355">
        <v>0</v>
      </c>
      <c r="T888" s="355">
        <v>0</v>
      </c>
      <c r="U888" s="356">
        <v>0</v>
      </c>
      <c r="V888" s="357">
        <v>0</v>
      </c>
      <c r="W888" s="358"/>
      <c r="X888" s="359">
        <v>0</v>
      </c>
      <c r="Y888" s="360">
        <v>0</v>
      </c>
    </row>
    <row r="889" spans="1:25" x14ac:dyDescent="0.3">
      <c r="A889" s="361"/>
      <c r="B889" s="361"/>
      <c r="C889" s="361"/>
      <c r="D889" s="361"/>
      <c r="E889" s="326" t="s">
        <v>1858</v>
      </c>
      <c r="F889" s="351"/>
      <c r="G889" s="352"/>
      <c r="H889" s="353"/>
      <c r="I889" s="354"/>
      <c r="J889" s="362">
        <v>0</v>
      </c>
      <c r="K889" s="355">
        <v>0</v>
      </c>
      <c r="L889" s="355">
        <v>0</v>
      </c>
      <c r="M889" s="355">
        <v>0</v>
      </c>
      <c r="N889" s="355">
        <v>0</v>
      </c>
      <c r="O889" s="355">
        <v>0</v>
      </c>
      <c r="P889" s="355">
        <v>0</v>
      </c>
      <c r="Q889" s="355">
        <v>0</v>
      </c>
      <c r="R889" s="355">
        <v>0</v>
      </c>
      <c r="S889" s="355">
        <v>0</v>
      </c>
      <c r="T889" s="355">
        <v>0</v>
      </c>
      <c r="U889" s="356">
        <v>0</v>
      </c>
      <c r="V889" s="357">
        <v>0</v>
      </c>
      <c r="W889" s="358"/>
      <c r="X889" s="359">
        <v>0</v>
      </c>
      <c r="Y889" s="360">
        <v>0</v>
      </c>
    </row>
    <row r="890" spans="1:25" x14ac:dyDescent="0.3">
      <c r="A890" s="361"/>
      <c r="B890" s="361"/>
      <c r="C890" s="361"/>
      <c r="D890" s="361"/>
      <c r="E890" s="326" t="s">
        <v>1859</v>
      </c>
      <c r="F890" s="351"/>
      <c r="G890" s="352"/>
      <c r="H890" s="353"/>
      <c r="I890" s="354"/>
      <c r="J890" s="362">
        <v>0</v>
      </c>
      <c r="K890" s="355">
        <v>0</v>
      </c>
      <c r="L890" s="355">
        <v>0</v>
      </c>
      <c r="M890" s="355">
        <v>0</v>
      </c>
      <c r="N890" s="355">
        <v>0</v>
      </c>
      <c r="O890" s="355">
        <v>0</v>
      </c>
      <c r="P890" s="355">
        <v>0</v>
      </c>
      <c r="Q890" s="355">
        <v>0</v>
      </c>
      <c r="R890" s="355">
        <v>0</v>
      </c>
      <c r="S890" s="355">
        <v>0</v>
      </c>
      <c r="T890" s="355">
        <v>0</v>
      </c>
      <c r="U890" s="356">
        <v>0</v>
      </c>
      <c r="V890" s="357">
        <v>0</v>
      </c>
      <c r="W890" s="358"/>
      <c r="X890" s="359">
        <v>0</v>
      </c>
      <c r="Y890" s="360">
        <v>0</v>
      </c>
    </row>
    <row r="891" spans="1:25" x14ac:dyDescent="0.3">
      <c r="A891" s="233"/>
      <c r="B891" s="234" t="s">
        <v>73</v>
      </c>
      <c r="D891" s="293" t="s">
        <v>1860</v>
      </c>
      <c r="E891" s="294"/>
      <c r="F891" s="295" t="s">
        <v>1861</v>
      </c>
      <c r="G891" s="296"/>
      <c r="H891" s="297"/>
      <c r="I891" s="298"/>
      <c r="J891" s="299">
        <v>0</v>
      </c>
      <c r="K891" s="300">
        <v>0</v>
      </c>
      <c r="L891" s="300">
        <v>0</v>
      </c>
      <c r="M891" s="300">
        <v>0</v>
      </c>
      <c r="N891" s="300">
        <v>0</v>
      </c>
      <c r="O891" s="300">
        <v>0</v>
      </c>
      <c r="P891" s="300">
        <v>0</v>
      </c>
      <c r="Q891" s="300">
        <v>0</v>
      </c>
      <c r="R891" s="300">
        <v>0</v>
      </c>
      <c r="S891" s="300">
        <v>0</v>
      </c>
      <c r="T891" s="300">
        <v>0</v>
      </c>
      <c r="U891" s="301">
        <v>0</v>
      </c>
      <c r="V891" s="302">
        <v>0</v>
      </c>
      <c r="W891" s="303"/>
      <c r="X891" s="304">
        <v>0</v>
      </c>
      <c r="Y891" s="305">
        <v>0</v>
      </c>
    </row>
    <row r="892" spans="1:25" x14ac:dyDescent="0.3">
      <c r="E892" s="250" t="s">
        <v>1862</v>
      </c>
      <c r="F892" s="317">
        <v>4405509</v>
      </c>
      <c r="G892" s="318"/>
      <c r="H892" s="319">
        <v>7501210101</v>
      </c>
      <c r="I892" s="320"/>
      <c r="J892" s="337">
        <v>0</v>
      </c>
      <c r="K892" s="321">
        <v>0</v>
      </c>
      <c r="L892" s="321">
        <v>0</v>
      </c>
      <c r="M892" s="321">
        <v>0</v>
      </c>
      <c r="N892" s="321">
        <v>0</v>
      </c>
      <c r="O892" s="321">
        <v>0</v>
      </c>
      <c r="P892" s="321">
        <v>0</v>
      </c>
      <c r="Q892" s="321">
        <v>0</v>
      </c>
      <c r="R892" s="321">
        <v>0</v>
      </c>
      <c r="S892" s="321">
        <v>0</v>
      </c>
      <c r="T892" s="321">
        <v>0</v>
      </c>
      <c r="U892" s="322">
        <v>0</v>
      </c>
      <c r="V892" s="323">
        <v>0</v>
      </c>
      <c r="W892" s="303"/>
      <c r="X892" s="324">
        <v>0</v>
      </c>
      <c r="Y892" s="325">
        <v>0</v>
      </c>
    </row>
    <row r="893" spans="1:25" x14ac:dyDescent="0.3">
      <c r="E893" s="250" t="s">
        <v>1863</v>
      </c>
      <c r="F893" s="317">
        <v>4405511</v>
      </c>
      <c r="G893" s="318"/>
      <c r="H893" s="319"/>
      <c r="I893" s="320"/>
      <c r="J893" s="337">
        <v>0</v>
      </c>
      <c r="K893" s="321">
        <v>0</v>
      </c>
      <c r="L893" s="321">
        <v>0</v>
      </c>
      <c r="M893" s="321">
        <v>0</v>
      </c>
      <c r="N893" s="321">
        <v>0</v>
      </c>
      <c r="O893" s="321">
        <v>0</v>
      </c>
      <c r="P893" s="321">
        <v>0</v>
      </c>
      <c r="Q893" s="321">
        <v>0</v>
      </c>
      <c r="R893" s="321">
        <v>0</v>
      </c>
      <c r="S893" s="321">
        <v>0</v>
      </c>
      <c r="T893" s="321">
        <v>0</v>
      </c>
      <c r="U893" s="322">
        <v>0</v>
      </c>
      <c r="V893" s="323">
        <v>0</v>
      </c>
      <c r="W893" s="303"/>
      <c r="X893" s="324">
        <v>0</v>
      </c>
      <c r="Y893" s="325">
        <v>0</v>
      </c>
    </row>
    <row r="894" spans="1:25" x14ac:dyDescent="0.3">
      <c r="E894" s="250" t="s">
        <v>1864</v>
      </c>
      <c r="F894" s="317">
        <v>4405513</v>
      </c>
      <c r="G894" s="318"/>
      <c r="H894" s="319">
        <v>7501170000</v>
      </c>
      <c r="I894" s="320"/>
      <c r="J894" s="337">
        <v>0</v>
      </c>
      <c r="K894" s="321">
        <v>0</v>
      </c>
      <c r="L894" s="321">
        <v>0</v>
      </c>
      <c r="M894" s="321">
        <v>0</v>
      </c>
      <c r="N894" s="321">
        <v>0</v>
      </c>
      <c r="O894" s="321">
        <v>0</v>
      </c>
      <c r="P894" s="321">
        <v>0</v>
      </c>
      <c r="Q894" s="321">
        <v>0</v>
      </c>
      <c r="R894" s="321">
        <v>0</v>
      </c>
      <c r="S894" s="321">
        <v>0</v>
      </c>
      <c r="T894" s="321">
        <v>0</v>
      </c>
      <c r="U894" s="322">
        <v>0</v>
      </c>
      <c r="V894" s="323">
        <v>0</v>
      </c>
      <c r="W894" s="303"/>
      <c r="X894" s="324">
        <v>0</v>
      </c>
      <c r="Y894" s="325">
        <v>0</v>
      </c>
    </row>
    <row r="895" spans="1:25" x14ac:dyDescent="0.3">
      <c r="D895" s="293" t="s">
        <v>1865</v>
      </c>
      <c r="E895" s="294"/>
      <c r="F895" s="295" t="s">
        <v>1866</v>
      </c>
      <c r="G895" s="296"/>
      <c r="H895" s="297"/>
      <c r="I895" s="298"/>
      <c r="J895" s="299">
        <v>0</v>
      </c>
      <c r="K895" s="300">
        <v>0</v>
      </c>
      <c r="L895" s="300">
        <v>0</v>
      </c>
      <c r="M895" s="300">
        <v>0</v>
      </c>
      <c r="N895" s="300">
        <v>0</v>
      </c>
      <c r="O895" s="300">
        <v>0</v>
      </c>
      <c r="P895" s="300">
        <v>0</v>
      </c>
      <c r="Q895" s="300">
        <v>0</v>
      </c>
      <c r="R895" s="300">
        <v>0</v>
      </c>
      <c r="S895" s="300">
        <v>0</v>
      </c>
      <c r="T895" s="300">
        <v>0</v>
      </c>
      <c r="U895" s="301">
        <v>0</v>
      </c>
      <c r="V895" s="302">
        <v>0</v>
      </c>
      <c r="W895" s="303"/>
      <c r="X895" s="304">
        <v>0</v>
      </c>
      <c r="Y895" s="305">
        <v>0</v>
      </c>
    </row>
    <row r="896" spans="1:25" x14ac:dyDescent="0.3">
      <c r="E896" s="250" t="s">
        <v>1867</v>
      </c>
      <c r="F896" s="317">
        <v>4405510</v>
      </c>
      <c r="G896" s="318"/>
      <c r="H896" s="319"/>
      <c r="I896" s="320"/>
      <c r="J896" s="337">
        <v>0</v>
      </c>
      <c r="K896" s="321">
        <v>0</v>
      </c>
      <c r="L896" s="321">
        <v>0</v>
      </c>
      <c r="M896" s="321">
        <v>0</v>
      </c>
      <c r="N896" s="321">
        <v>0</v>
      </c>
      <c r="O896" s="321">
        <v>0</v>
      </c>
      <c r="P896" s="321">
        <v>0</v>
      </c>
      <c r="Q896" s="321">
        <v>0</v>
      </c>
      <c r="R896" s="321">
        <v>0</v>
      </c>
      <c r="S896" s="321">
        <v>0</v>
      </c>
      <c r="T896" s="321">
        <v>0</v>
      </c>
      <c r="U896" s="322">
        <v>0</v>
      </c>
      <c r="V896" s="323">
        <v>0</v>
      </c>
      <c r="W896" s="303"/>
      <c r="X896" s="324">
        <v>0</v>
      </c>
      <c r="Y896" s="325">
        <v>0</v>
      </c>
    </row>
    <row r="897" spans="1:25" x14ac:dyDescent="0.3">
      <c r="E897" s="250" t="s">
        <v>1868</v>
      </c>
      <c r="F897" s="317">
        <v>4405512</v>
      </c>
      <c r="G897" s="318"/>
      <c r="H897" s="319"/>
      <c r="I897" s="320"/>
      <c r="J897" s="337">
        <v>0</v>
      </c>
      <c r="K897" s="321">
        <v>0</v>
      </c>
      <c r="L897" s="321">
        <v>0</v>
      </c>
      <c r="M897" s="321">
        <v>0</v>
      </c>
      <c r="N897" s="321">
        <v>0</v>
      </c>
      <c r="O897" s="321">
        <v>0</v>
      </c>
      <c r="P897" s="321">
        <v>0</v>
      </c>
      <c r="Q897" s="321">
        <v>0</v>
      </c>
      <c r="R897" s="321">
        <v>0</v>
      </c>
      <c r="S897" s="321">
        <v>0</v>
      </c>
      <c r="T897" s="321">
        <v>0</v>
      </c>
      <c r="U897" s="322">
        <v>0</v>
      </c>
      <c r="V897" s="323">
        <v>0</v>
      </c>
      <c r="W897" s="303"/>
      <c r="X897" s="324">
        <v>0</v>
      </c>
      <c r="Y897" s="325">
        <v>0</v>
      </c>
    </row>
    <row r="898" spans="1:25" x14ac:dyDescent="0.3">
      <c r="E898" s="250" t="s">
        <v>1869</v>
      </c>
      <c r="F898" s="317">
        <v>4405514</v>
      </c>
      <c r="G898" s="318"/>
      <c r="H898" s="319"/>
      <c r="I898" s="320"/>
      <c r="J898" s="337">
        <v>0</v>
      </c>
      <c r="K898" s="321">
        <v>0</v>
      </c>
      <c r="L898" s="321">
        <v>0</v>
      </c>
      <c r="M898" s="321">
        <v>0</v>
      </c>
      <c r="N898" s="321">
        <v>0</v>
      </c>
      <c r="O898" s="321">
        <v>0</v>
      </c>
      <c r="P898" s="321">
        <v>0</v>
      </c>
      <c r="Q898" s="321">
        <v>0</v>
      </c>
      <c r="R898" s="321">
        <v>0</v>
      </c>
      <c r="S898" s="321">
        <v>0</v>
      </c>
      <c r="T898" s="321">
        <v>0</v>
      </c>
      <c r="U898" s="322">
        <v>0</v>
      </c>
      <c r="V898" s="323">
        <v>0</v>
      </c>
      <c r="W898" s="303"/>
      <c r="X898" s="324">
        <v>0</v>
      </c>
      <c r="Y898" s="325">
        <v>0</v>
      </c>
    </row>
    <row r="899" spans="1:25" x14ac:dyDescent="0.3">
      <c r="D899" s="293" t="s">
        <v>1870</v>
      </c>
      <c r="E899" s="294"/>
      <c r="F899" s="295"/>
      <c r="G899" s="296"/>
      <c r="H899" s="297"/>
      <c r="I899" s="298"/>
      <c r="J899" s="299">
        <v>0</v>
      </c>
      <c r="K899" s="300">
        <v>0</v>
      </c>
      <c r="L899" s="300">
        <v>0</v>
      </c>
      <c r="M899" s="300">
        <v>0</v>
      </c>
      <c r="N899" s="300">
        <v>0</v>
      </c>
      <c r="O899" s="300">
        <v>0</v>
      </c>
      <c r="P899" s="300">
        <v>0</v>
      </c>
      <c r="Q899" s="300">
        <v>0</v>
      </c>
      <c r="R899" s="300">
        <v>0</v>
      </c>
      <c r="S899" s="300">
        <v>0</v>
      </c>
      <c r="T899" s="300">
        <v>0</v>
      </c>
      <c r="U899" s="301">
        <v>0</v>
      </c>
      <c r="V899" s="302">
        <v>0</v>
      </c>
      <c r="W899" s="303"/>
      <c r="X899" s="304">
        <v>0</v>
      </c>
      <c r="Y899" s="305">
        <v>0</v>
      </c>
    </row>
    <row r="900" spans="1:25" x14ac:dyDescent="0.3">
      <c r="A900" s="326"/>
      <c r="B900" s="326"/>
      <c r="C900" s="326"/>
      <c r="D900" s="326"/>
      <c r="E900" s="326" t="s">
        <v>1871</v>
      </c>
      <c r="F900" s="336"/>
      <c r="G900" s="327"/>
      <c r="H900" s="328"/>
      <c r="I900" s="329"/>
      <c r="J900" s="338">
        <v>0</v>
      </c>
      <c r="K900" s="330">
        <v>0</v>
      </c>
      <c r="L900" s="330">
        <v>0</v>
      </c>
      <c r="M900" s="330">
        <v>0</v>
      </c>
      <c r="N900" s="330">
        <v>0</v>
      </c>
      <c r="O900" s="330">
        <v>0</v>
      </c>
      <c r="P900" s="330">
        <v>0</v>
      </c>
      <c r="Q900" s="330">
        <v>0</v>
      </c>
      <c r="R900" s="330">
        <v>0</v>
      </c>
      <c r="S900" s="330">
        <v>0</v>
      </c>
      <c r="T900" s="330">
        <v>0</v>
      </c>
      <c r="U900" s="331">
        <v>0</v>
      </c>
      <c r="V900" s="332">
        <v>0</v>
      </c>
      <c r="W900" s="333"/>
      <c r="X900" s="334">
        <v>0</v>
      </c>
      <c r="Y900" s="335">
        <v>0</v>
      </c>
    </row>
    <row r="901" spans="1:25" x14ac:dyDescent="0.3">
      <c r="A901" s="326"/>
      <c r="B901" s="326"/>
      <c r="C901" s="326"/>
      <c r="D901" s="326"/>
      <c r="E901" s="326" t="s">
        <v>1872</v>
      </c>
      <c r="F901" s="336"/>
      <c r="G901" s="327"/>
      <c r="H901" s="328"/>
      <c r="I901" s="329"/>
      <c r="J901" s="338">
        <v>0</v>
      </c>
      <c r="K901" s="330">
        <v>0</v>
      </c>
      <c r="L901" s="330">
        <v>0</v>
      </c>
      <c r="M901" s="330">
        <v>0</v>
      </c>
      <c r="N901" s="330">
        <v>0</v>
      </c>
      <c r="O901" s="330">
        <v>0</v>
      </c>
      <c r="P901" s="330">
        <v>0</v>
      </c>
      <c r="Q901" s="330">
        <v>0</v>
      </c>
      <c r="R901" s="330">
        <v>0</v>
      </c>
      <c r="S901" s="330">
        <v>0</v>
      </c>
      <c r="T901" s="330">
        <v>0</v>
      </c>
      <c r="U901" s="331">
        <v>0</v>
      </c>
      <c r="V901" s="332">
        <v>0</v>
      </c>
      <c r="W901" s="333"/>
      <c r="X901" s="334">
        <v>0</v>
      </c>
      <c r="Y901" s="335">
        <v>0</v>
      </c>
    </row>
    <row r="902" spans="1:25" x14ac:dyDescent="0.3">
      <c r="A902" s="326"/>
      <c r="B902" s="326"/>
      <c r="C902" s="326"/>
      <c r="D902" s="326"/>
      <c r="E902" s="326" t="s">
        <v>1873</v>
      </c>
      <c r="F902" s="336"/>
      <c r="G902" s="327"/>
      <c r="H902" s="328"/>
      <c r="I902" s="329"/>
      <c r="J902" s="338">
        <v>0</v>
      </c>
      <c r="K902" s="330">
        <v>0</v>
      </c>
      <c r="L902" s="330">
        <v>0</v>
      </c>
      <c r="M902" s="330">
        <v>0</v>
      </c>
      <c r="N902" s="330">
        <v>0</v>
      </c>
      <c r="O902" s="330">
        <v>0</v>
      </c>
      <c r="P902" s="330">
        <v>0</v>
      </c>
      <c r="Q902" s="330">
        <v>0</v>
      </c>
      <c r="R902" s="330">
        <v>0</v>
      </c>
      <c r="S902" s="330">
        <v>0</v>
      </c>
      <c r="T902" s="330">
        <v>0</v>
      </c>
      <c r="U902" s="331">
        <v>0</v>
      </c>
      <c r="V902" s="332">
        <v>0</v>
      </c>
      <c r="W902" s="333"/>
      <c r="X902" s="334">
        <v>0</v>
      </c>
      <c r="Y902" s="335">
        <v>0</v>
      </c>
    </row>
    <row r="903" spans="1:25" x14ac:dyDescent="0.3">
      <c r="D903" s="293" t="s">
        <v>1874</v>
      </c>
      <c r="E903" s="294"/>
      <c r="F903" s="295"/>
      <c r="G903" s="296"/>
      <c r="H903" s="297"/>
      <c r="I903" s="298"/>
      <c r="J903" s="299">
        <v>0</v>
      </c>
      <c r="K903" s="300">
        <v>0</v>
      </c>
      <c r="L903" s="300">
        <v>0</v>
      </c>
      <c r="M903" s="300">
        <v>0</v>
      </c>
      <c r="N903" s="300">
        <v>0</v>
      </c>
      <c r="O903" s="300">
        <v>0</v>
      </c>
      <c r="P903" s="300">
        <v>0</v>
      </c>
      <c r="Q903" s="300">
        <v>0</v>
      </c>
      <c r="R903" s="300">
        <v>0</v>
      </c>
      <c r="S903" s="300">
        <v>0</v>
      </c>
      <c r="T903" s="300">
        <v>0</v>
      </c>
      <c r="U903" s="301">
        <v>0</v>
      </c>
      <c r="V903" s="302">
        <v>0</v>
      </c>
      <c r="W903" s="303"/>
      <c r="X903" s="304">
        <v>0</v>
      </c>
      <c r="Y903" s="305">
        <v>0</v>
      </c>
    </row>
    <row r="904" spans="1:25" x14ac:dyDescent="0.3">
      <c r="A904" s="326"/>
      <c r="B904" s="326"/>
      <c r="C904" s="326"/>
      <c r="D904" s="326"/>
      <c r="E904" s="326" t="s">
        <v>1871</v>
      </c>
      <c r="F904" s="336"/>
      <c r="G904" s="327"/>
      <c r="H904" s="328"/>
      <c r="I904" s="329"/>
      <c r="J904" s="338">
        <v>0</v>
      </c>
      <c r="K904" s="330">
        <v>0</v>
      </c>
      <c r="L904" s="330">
        <v>0</v>
      </c>
      <c r="M904" s="330">
        <v>0</v>
      </c>
      <c r="N904" s="330">
        <v>0</v>
      </c>
      <c r="O904" s="330">
        <v>0</v>
      </c>
      <c r="P904" s="330">
        <v>0</v>
      </c>
      <c r="Q904" s="330">
        <v>0</v>
      </c>
      <c r="R904" s="330">
        <v>0</v>
      </c>
      <c r="S904" s="330">
        <v>0</v>
      </c>
      <c r="T904" s="330">
        <v>0</v>
      </c>
      <c r="U904" s="331">
        <v>0</v>
      </c>
      <c r="V904" s="332">
        <v>0</v>
      </c>
      <c r="W904" s="333"/>
      <c r="X904" s="334">
        <v>0</v>
      </c>
      <c r="Y904" s="335">
        <v>0</v>
      </c>
    </row>
    <row r="905" spans="1:25" x14ac:dyDescent="0.3">
      <c r="A905" s="326"/>
      <c r="B905" s="326"/>
      <c r="C905" s="326"/>
      <c r="D905" s="326"/>
      <c r="E905" s="326" t="s">
        <v>1872</v>
      </c>
      <c r="F905" s="336"/>
      <c r="G905" s="327"/>
      <c r="H905" s="328"/>
      <c r="I905" s="329"/>
      <c r="J905" s="338">
        <v>0</v>
      </c>
      <c r="K905" s="330">
        <v>0</v>
      </c>
      <c r="L905" s="330">
        <v>0</v>
      </c>
      <c r="M905" s="330">
        <v>0</v>
      </c>
      <c r="N905" s="330">
        <v>0</v>
      </c>
      <c r="O905" s="330">
        <v>0</v>
      </c>
      <c r="P905" s="330">
        <v>0</v>
      </c>
      <c r="Q905" s="330">
        <v>0</v>
      </c>
      <c r="R905" s="330">
        <v>0</v>
      </c>
      <c r="S905" s="330">
        <v>0</v>
      </c>
      <c r="T905" s="330">
        <v>0</v>
      </c>
      <c r="U905" s="331">
        <v>0</v>
      </c>
      <c r="V905" s="332">
        <v>0</v>
      </c>
      <c r="W905" s="333"/>
      <c r="X905" s="334">
        <v>0</v>
      </c>
      <c r="Y905" s="335">
        <v>0</v>
      </c>
    </row>
    <row r="906" spans="1:25" x14ac:dyDescent="0.3">
      <c r="A906" s="326"/>
      <c r="B906" s="326"/>
      <c r="C906" s="326"/>
      <c r="D906" s="326"/>
      <c r="E906" s="326" t="s">
        <v>1873</v>
      </c>
      <c r="F906" s="336"/>
      <c r="G906" s="327"/>
      <c r="H906" s="328"/>
      <c r="I906" s="329"/>
      <c r="J906" s="338">
        <v>0</v>
      </c>
      <c r="K906" s="330">
        <v>0</v>
      </c>
      <c r="L906" s="330">
        <v>0</v>
      </c>
      <c r="M906" s="330">
        <v>0</v>
      </c>
      <c r="N906" s="330">
        <v>0</v>
      </c>
      <c r="O906" s="330">
        <v>0</v>
      </c>
      <c r="P906" s="330">
        <v>0</v>
      </c>
      <c r="Q906" s="330">
        <v>0</v>
      </c>
      <c r="R906" s="330">
        <v>0</v>
      </c>
      <c r="S906" s="330">
        <v>0</v>
      </c>
      <c r="T906" s="330">
        <v>0</v>
      </c>
      <c r="U906" s="331">
        <v>0</v>
      </c>
      <c r="V906" s="332">
        <v>0</v>
      </c>
      <c r="W906" s="333"/>
      <c r="X906" s="334">
        <v>0</v>
      </c>
      <c r="Y906" s="335">
        <v>0</v>
      </c>
    </row>
    <row r="907" spans="1:25" x14ac:dyDescent="0.3">
      <c r="D907" s="293" t="s">
        <v>1875</v>
      </c>
      <c r="E907" s="294"/>
      <c r="F907" s="295"/>
      <c r="G907" s="296"/>
      <c r="H907" s="297"/>
      <c r="I907" s="298"/>
      <c r="J907" s="299">
        <v>0</v>
      </c>
      <c r="K907" s="300">
        <v>0</v>
      </c>
      <c r="L907" s="300">
        <v>0</v>
      </c>
      <c r="M907" s="300">
        <v>0</v>
      </c>
      <c r="N907" s="300">
        <v>0</v>
      </c>
      <c r="O907" s="300">
        <v>0</v>
      </c>
      <c r="P907" s="300">
        <v>0</v>
      </c>
      <c r="Q907" s="300">
        <v>0</v>
      </c>
      <c r="R907" s="300">
        <v>0</v>
      </c>
      <c r="S907" s="300">
        <v>0</v>
      </c>
      <c r="T907" s="300">
        <v>0</v>
      </c>
      <c r="U907" s="301">
        <v>0</v>
      </c>
      <c r="V907" s="302">
        <v>0</v>
      </c>
      <c r="W907" s="303"/>
      <c r="X907" s="304">
        <v>0</v>
      </c>
      <c r="Y907" s="305">
        <v>0</v>
      </c>
    </row>
    <row r="908" spans="1:25" x14ac:dyDescent="0.3">
      <c r="A908" s="326"/>
      <c r="B908" s="326"/>
      <c r="C908" s="326"/>
      <c r="D908" s="326"/>
      <c r="E908" s="326" t="s">
        <v>1871</v>
      </c>
      <c r="F908" s="336"/>
      <c r="G908" s="327"/>
      <c r="H908" s="328"/>
      <c r="I908" s="329"/>
      <c r="J908" s="338">
        <v>0</v>
      </c>
      <c r="K908" s="330">
        <v>0</v>
      </c>
      <c r="L908" s="330">
        <v>0</v>
      </c>
      <c r="M908" s="330">
        <v>0</v>
      </c>
      <c r="N908" s="330">
        <v>0</v>
      </c>
      <c r="O908" s="330">
        <v>0</v>
      </c>
      <c r="P908" s="330">
        <v>0</v>
      </c>
      <c r="Q908" s="330">
        <v>0</v>
      </c>
      <c r="R908" s="330">
        <v>0</v>
      </c>
      <c r="S908" s="330">
        <v>0</v>
      </c>
      <c r="T908" s="330">
        <v>0</v>
      </c>
      <c r="U908" s="331">
        <v>0</v>
      </c>
      <c r="V908" s="332">
        <v>0</v>
      </c>
      <c r="W908" s="333"/>
      <c r="X908" s="334">
        <v>0</v>
      </c>
      <c r="Y908" s="335">
        <v>0</v>
      </c>
    </row>
    <row r="909" spans="1:25" x14ac:dyDescent="0.3">
      <c r="A909" s="326"/>
      <c r="B909" s="326"/>
      <c r="C909" s="326"/>
      <c r="D909" s="326"/>
      <c r="E909" s="326" t="s">
        <v>1872</v>
      </c>
      <c r="F909" s="336"/>
      <c r="G909" s="327"/>
      <c r="H909" s="328"/>
      <c r="I909" s="329"/>
      <c r="J909" s="338">
        <v>0</v>
      </c>
      <c r="K909" s="330">
        <v>0</v>
      </c>
      <c r="L909" s="330">
        <v>0</v>
      </c>
      <c r="M909" s="330">
        <v>0</v>
      </c>
      <c r="N909" s="330">
        <v>0</v>
      </c>
      <c r="O909" s="330">
        <v>0</v>
      </c>
      <c r="P909" s="330">
        <v>0</v>
      </c>
      <c r="Q909" s="330">
        <v>0</v>
      </c>
      <c r="R909" s="330">
        <v>0</v>
      </c>
      <c r="S909" s="330">
        <v>0</v>
      </c>
      <c r="T909" s="330">
        <v>0</v>
      </c>
      <c r="U909" s="331">
        <v>0</v>
      </c>
      <c r="V909" s="332">
        <v>0</v>
      </c>
      <c r="W909" s="333"/>
      <c r="X909" s="334">
        <v>0</v>
      </c>
      <c r="Y909" s="335">
        <v>0</v>
      </c>
    </row>
    <row r="910" spans="1:25" x14ac:dyDescent="0.3">
      <c r="A910" s="326"/>
      <c r="B910" s="326"/>
      <c r="C910" s="326"/>
      <c r="D910" s="326"/>
      <c r="E910" s="326" t="s">
        <v>1873</v>
      </c>
      <c r="F910" s="336"/>
      <c r="G910" s="327"/>
      <c r="H910" s="328"/>
      <c r="I910" s="329"/>
      <c r="J910" s="338">
        <v>0</v>
      </c>
      <c r="K910" s="330">
        <v>0</v>
      </c>
      <c r="L910" s="330">
        <v>0</v>
      </c>
      <c r="M910" s="330">
        <v>0</v>
      </c>
      <c r="N910" s="330">
        <v>0</v>
      </c>
      <c r="O910" s="330">
        <v>0</v>
      </c>
      <c r="P910" s="330">
        <v>0</v>
      </c>
      <c r="Q910" s="330">
        <v>0</v>
      </c>
      <c r="R910" s="330">
        <v>0</v>
      </c>
      <c r="S910" s="330">
        <v>0</v>
      </c>
      <c r="T910" s="330">
        <v>0</v>
      </c>
      <c r="U910" s="331">
        <v>0</v>
      </c>
      <c r="V910" s="332">
        <v>0</v>
      </c>
      <c r="W910" s="333"/>
      <c r="X910" s="334">
        <v>0</v>
      </c>
      <c r="Y910" s="335">
        <v>0</v>
      </c>
    </row>
    <row r="911" spans="1:25" ht="33" x14ac:dyDescent="0.3">
      <c r="A911" s="248" t="s">
        <v>70</v>
      </c>
      <c r="B911" s="248"/>
      <c r="C911" s="280" t="s">
        <v>1876</v>
      </c>
      <c r="D911" s="281"/>
      <c r="E911" s="282"/>
      <c r="F911" s="283" t="s">
        <v>1877</v>
      </c>
      <c r="G911" s="284"/>
      <c r="H911" s="285"/>
      <c r="I911" s="286"/>
      <c r="J911" s="287">
        <v>0</v>
      </c>
      <c r="K911" s="288">
        <v>0</v>
      </c>
      <c r="L911" s="288">
        <v>0</v>
      </c>
      <c r="M911" s="288">
        <v>0</v>
      </c>
      <c r="N911" s="288">
        <v>0</v>
      </c>
      <c r="O911" s="288">
        <v>0</v>
      </c>
      <c r="P911" s="288">
        <v>0</v>
      </c>
      <c r="Q911" s="288">
        <v>0</v>
      </c>
      <c r="R911" s="288">
        <v>0</v>
      </c>
      <c r="S911" s="288">
        <v>0</v>
      </c>
      <c r="T911" s="288">
        <v>0</v>
      </c>
      <c r="U911" s="289">
        <v>101.854</v>
      </c>
      <c r="V911" s="290">
        <v>101.854</v>
      </c>
      <c r="W911" s="277"/>
      <c r="X911" s="291">
        <v>101.854</v>
      </c>
      <c r="Y911" s="292">
        <v>101.854</v>
      </c>
    </row>
    <row r="912" spans="1:25" x14ac:dyDescent="0.3">
      <c r="A912" s="233"/>
      <c r="B912" s="234" t="s">
        <v>54</v>
      </c>
      <c r="D912" s="293" t="s">
        <v>1878</v>
      </c>
      <c r="E912" s="294"/>
      <c r="F912" s="295" t="s">
        <v>1879</v>
      </c>
      <c r="G912" s="296"/>
      <c r="H912" s="297"/>
      <c r="I912" s="298"/>
      <c r="J912" s="299">
        <v>0</v>
      </c>
      <c r="K912" s="300">
        <v>0</v>
      </c>
      <c r="L912" s="300">
        <v>0</v>
      </c>
      <c r="M912" s="300">
        <v>0</v>
      </c>
      <c r="N912" s="300">
        <v>0</v>
      </c>
      <c r="O912" s="300">
        <v>0</v>
      </c>
      <c r="P912" s="300">
        <v>0</v>
      </c>
      <c r="Q912" s="300">
        <v>0</v>
      </c>
      <c r="R912" s="300">
        <v>0</v>
      </c>
      <c r="S912" s="300">
        <v>0</v>
      </c>
      <c r="T912" s="300">
        <v>0</v>
      </c>
      <c r="U912" s="301">
        <v>0</v>
      </c>
      <c r="V912" s="302">
        <v>0</v>
      </c>
      <c r="W912" s="303"/>
      <c r="X912" s="304">
        <v>0</v>
      </c>
      <c r="Y912" s="305">
        <v>0</v>
      </c>
    </row>
    <row r="913" spans="1:25" x14ac:dyDescent="0.3">
      <c r="E913" s="250" t="s">
        <v>1880</v>
      </c>
      <c r="F913" s="317">
        <v>4502501</v>
      </c>
      <c r="G913" s="318"/>
      <c r="H913" s="319"/>
      <c r="I913" s="320"/>
      <c r="J913" s="337">
        <v>0</v>
      </c>
      <c r="K913" s="321">
        <v>0</v>
      </c>
      <c r="L913" s="321">
        <v>0</v>
      </c>
      <c r="M913" s="321">
        <v>0</v>
      </c>
      <c r="N913" s="321">
        <v>0</v>
      </c>
      <c r="O913" s="321">
        <v>0</v>
      </c>
      <c r="P913" s="321">
        <v>0</v>
      </c>
      <c r="Q913" s="321">
        <v>0</v>
      </c>
      <c r="R913" s="321">
        <v>0</v>
      </c>
      <c r="S913" s="321">
        <v>0</v>
      </c>
      <c r="T913" s="321">
        <v>0</v>
      </c>
      <c r="U913" s="322">
        <v>0</v>
      </c>
      <c r="V913" s="323">
        <v>0</v>
      </c>
      <c r="W913" s="303"/>
      <c r="X913" s="324">
        <v>0</v>
      </c>
      <c r="Y913" s="325">
        <v>0</v>
      </c>
    </row>
    <row r="914" spans="1:25" x14ac:dyDescent="0.3">
      <c r="E914" s="250" t="s">
        <v>1881</v>
      </c>
      <c r="F914" s="317">
        <v>4502502</v>
      </c>
      <c r="G914" s="318"/>
      <c r="H914" s="319">
        <v>7301010101</v>
      </c>
      <c r="I914" s="320"/>
      <c r="J914" s="337">
        <v>0</v>
      </c>
      <c r="K914" s="321">
        <v>0</v>
      </c>
      <c r="L914" s="321">
        <v>0</v>
      </c>
      <c r="M914" s="321">
        <v>0</v>
      </c>
      <c r="N914" s="321">
        <v>0</v>
      </c>
      <c r="O914" s="321">
        <v>0</v>
      </c>
      <c r="P914" s="321">
        <v>0</v>
      </c>
      <c r="Q914" s="321">
        <v>0</v>
      </c>
      <c r="R914" s="321">
        <v>0</v>
      </c>
      <c r="S914" s="321">
        <v>0</v>
      </c>
      <c r="T914" s="321">
        <v>0</v>
      </c>
      <c r="U914" s="322">
        <v>0</v>
      </c>
      <c r="V914" s="323">
        <v>0</v>
      </c>
      <c r="W914" s="303"/>
      <c r="X914" s="324">
        <v>0</v>
      </c>
      <c r="Y914" s="325">
        <v>0</v>
      </c>
    </row>
    <row r="915" spans="1:25" x14ac:dyDescent="0.3">
      <c r="E915" s="250" t="s">
        <v>1882</v>
      </c>
      <c r="F915" s="317">
        <v>4502510</v>
      </c>
      <c r="G915" s="318"/>
      <c r="H915" s="319"/>
      <c r="I915" s="320"/>
      <c r="J915" s="337">
        <v>0</v>
      </c>
      <c r="K915" s="321">
        <v>0</v>
      </c>
      <c r="L915" s="321">
        <v>0</v>
      </c>
      <c r="M915" s="321">
        <v>0</v>
      </c>
      <c r="N915" s="321">
        <v>0</v>
      </c>
      <c r="O915" s="321">
        <v>0</v>
      </c>
      <c r="P915" s="321">
        <v>0</v>
      </c>
      <c r="Q915" s="321">
        <v>0</v>
      </c>
      <c r="R915" s="321">
        <v>0</v>
      </c>
      <c r="S915" s="321">
        <v>0</v>
      </c>
      <c r="T915" s="321">
        <v>0</v>
      </c>
      <c r="U915" s="322">
        <v>0</v>
      </c>
      <c r="V915" s="323">
        <v>0</v>
      </c>
      <c r="W915" s="303"/>
      <c r="X915" s="324">
        <v>0</v>
      </c>
      <c r="Y915" s="325">
        <v>0</v>
      </c>
    </row>
    <row r="916" spans="1:25" x14ac:dyDescent="0.3">
      <c r="E916" s="250" t="s">
        <v>1883</v>
      </c>
      <c r="F916" s="317">
        <v>4502503</v>
      </c>
      <c r="G916" s="318"/>
      <c r="H916" s="319"/>
      <c r="I916" s="320"/>
      <c r="J916" s="337">
        <v>0</v>
      </c>
      <c r="K916" s="321">
        <v>0</v>
      </c>
      <c r="L916" s="321">
        <v>0</v>
      </c>
      <c r="M916" s="321">
        <v>0</v>
      </c>
      <c r="N916" s="321">
        <v>0</v>
      </c>
      <c r="O916" s="321">
        <v>0</v>
      </c>
      <c r="P916" s="321">
        <v>0</v>
      </c>
      <c r="Q916" s="321">
        <v>0</v>
      </c>
      <c r="R916" s="321">
        <v>0</v>
      </c>
      <c r="S916" s="321">
        <v>0</v>
      </c>
      <c r="T916" s="321">
        <v>0</v>
      </c>
      <c r="U916" s="322">
        <v>0</v>
      </c>
      <c r="V916" s="323">
        <v>0</v>
      </c>
      <c r="W916" s="303"/>
      <c r="X916" s="324">
        <v>0</v>
      </c>
      <c r="Y916" s="325">
        <v>0</v>
      </c>
    </row>
    <row r="917" spans="1:25" x14ac:dyDescent="0.3">
      <c r="E917" s="250" t="s">
        <v>1884</v>
      </c>
      <c r="F917" s="317">
        <v>4502508</v>
      </c>
      <c r="G917" s="318"/>
      <c r="H917" s="319"/>
      <c r="I917" s="320"/>
      <c r="J917" s="337">
        <v>0</v>
      </c>
      <c r="K917" s="321">
        <v>0</v>
      </c>
      <c r="L917" s="321">
        <v>0</v>
      </c>
      <c r="M917" s="321">
        <v>0</v>
      </c>
      <c r="N917" s="321">
        <v>0</v>
      </c>
      <c r="O917" s="321">
        <v>0</v>
      </c>
      <c r="P917" s="321">
        <v>0</v>
      </c>
      <c r="Q917" s="321">
        <v>0</v>
      </c>
      <c r="R917" s="321">
        <v>0</v>
      </c>
      <c r="S917" s="321">
        <v>0</v>
      </c>
      <c r="T917" s="321">
        <v>0</v>
      </c>
      <c r="U917" s="322">
        <v>0</v>
      </c>
      <c r="V917" s="323">
        <v>0</v>
      </c>
      <c r="W917" s="303"/>
      <c r="X917" s="324">
        <v>0</v>
      </c>
      <c r="Y917" s="325">
        <v>0</v>
      </c>
    </row>
    <row r="918" spans="1:25" x14ac:dyDescent="0.3">
      <c r="E918" s="250" t="s">
        <v>1885</v>
      </c>
      <c r="F918" s="317">
        <v>4502504</v>
      </c>
      <c r="G918" s="318"/>
      <c r="H918" s="319"/>
      <c r="I918" s="320"/>
      <c r="J918" s="337">
        <v>0</v>
      </c>
      <c r="K918" s="321">
        <v>0</v>
      </c>
      <c r="L918" s="321">
        <v>0</v>
      </c>
      <c r="M918" s="321">
        <v>0</v>
      </c>
      <c r="N918" s="321">
        <v>0</v>
      </c>
      <c r="O918" s="321">
        <v>0</v>
      </c>
      <c r="P918" s="321">
        <v>0</v>
      </c>
      <c r="Q918" s="321">
        <v>0</v>
      </c>
      <c r="R918" s="321">
        <v>0</v>
      </c>
      <c r="S918" s="321">
        <v>0</v>
      </c>
      <c r="T918" s="321">
        <v>0</v>
      </c>
      <c r="U918" s="322">
        <v>0</v>
      </c>
      <c r="V918" s="323">
        <v>0</v>
      </c>
      <c r="W918" s="303"/>
      <c r="X918" s="324">
        <v>0</v>
      </c>
      <c r="Y918" s="325">
        <v>0</v>
      </c>
    </row>
    <row r="919" spans="1:25" x14ac:dyDescent="0.3">
      <c r="E919" s="250" t="s">
        <v>1886</v>
      </c>
      <c r="F919" s="317">
        <v>4502507</v>
      </c>
      <c r="G919" s="318"/>
      <c r="H919" s="319"/>
      <c r="I919" s="320"/>
      <c r="J919" s="337">
        <v>0</v>
      </c>
      <c r="K919" s="321">
        <v>0</v>
      </c>
      <c r="L919" s="321">
        <v>0</v>
      </c>
      <c r="M919" s="321">
        <v>0</v>
      </c>
      <c r="N919" s="321">
        <v>0</v>
      </c>
      <c r="O919" s="321">
        <v>0</v>
      </c>
      <c r="P919" s="321">
        <v>0</v>
      </c>
      <c r="Q919" s="321">
        <v>0</v>
      </c>
      <c r="R919" s="321">
        <v>0</v>
      </c>
      <c r="S919" s="321">
        <v>0</v>
      </c>
      <c r="T919" s="321">
        <v>0</v>
      </c>
      <c r="U919" s="322">
        <v>0</v>
      </c>
      <c r="V919" s="323">
        <v>0</v>
      </c>
      <c r="W919" s="303"/>
      <c r="X919" s="324">
        <v>0</v>
      </c>
      <c r="Y919" s="325">
        <v>0</v>
      </c>
    </row>
    <row r="920" spans="1:25" x14ac:dyDescent="0.3">
      <c r="E920" s="250" t="s">
        <v>1887</v>
      </c>
      <c r="F920" s="317">
        <v>4502511</v>
      </c>
      <c r="G920" s="318"/>
      <c r="H920" s="319"/>
      <c r="I920" s="320"/>
      <c r="J920" s="337">
        <v>0</v>
      </c>
      <c r="K920" s="321">
        <v>0</v>
      </c>
      <c r="L920" s="321">
        <v>0</v>
      </c>
      <c r="M920" s="321">
        <v>0</v>
      </c>
      <c r="N920" s="321">
        <v>0</v>
      </c>
      <c r="O920" s="321">
        <v>0</v>
      </c>
      <c r="P920" s="321">
        <v>0</v>
      </c>
      <c r="Q920" s="321">
        <v>0</v>
      </c>
      <c r="R920" s="321">
        <v>0</v>
      </c>
      <c r="S920" s="321">
        <v>0</v>
      </c>
      <c r="T920" s="321">
        <v>0</v>
      </c>
      <c r="U920" s="322">
        <v>0</v>
      </c>
      <c r="V920" s="323">
        <v>0</v>
      </c>
      <c r="W920" s="303"/>
      <c r="X920" s="324">
        <v>0</v>
      </c>
      <c r="Y920" s="325">
        <v>0</v>
      </c>
    </row>
    <row r="921" spans="1:25" x14ac:dyDescent="0.3">
      <c r="E921" s="250" t="s">
        <v>1888</v>
      </c>
      <c r="F921" s="317">
        <v>4502506</v>
      </c>
      <c r="G921" s="318"/>
      <c r="H921" s="319"/>
      <c r="I921" s="320"/>
      <c r="J921" s="337">
        <v>0</v>
      </c>
      <c r="K921" s="321">
        <v>0</v>
      </c>
      <c r="L921" s="321">
        <v>0</v>
      </c>
      <c r="M921" s="321">
        <v>0</v>
      </c>
      <c r="N921" s="321">
        <v>0</v>
      </c>
      <c r="O921" s="321">
        <v>0</v>
      </c>
      <c r="P921" s="321">
        <v>0</v>
      </c>
      <c r="Q921" s="321">
        <v>0</v>
      </c>
      <c r="R921" s="321">
        <v>0</v>
      </c>
      <c r="S921" s="321">
        <v>0</v>
      </c>
      <c r="T921" s="321">
        <v>0</v>
      </c>
      <c r="U921" s="322">
        <v>0</v>
      </c>
      <c r="V921" s="323">
        <v>0</v>
      </c>
      <c r="W921" s="303"/>
      <c r="X921" s="324">
        <v>0</v>
      </c>
      <c r="Y921" s="325">
        <v>0</v>
      </c>
    </row>
    <row r="922" spans="1:25" x14ac:dyDescent="0.3">
      <c r="E922" s="250" t="s">
        <v>1889</v>
      </c>
      <c r="F922" s="317">
        <v>4502509</v>
      </c>
      <c r="G922" s="318"/>
      <c r="H922" s="319"/>
      <c r="I922" s="320"/>
      <c r="J922" s="337">
        <v>0</v>
      </c>
      <c r="K922" s="321">
        <v>0</v>
      </c>
      <c r="L922" s="321">
        <v>0</v>
      </c>
      <c r="M922" s="321">
        <v>0</v>
      </c>
      <c r="N922" s="321">
        <v>0</v>
      </c>
      <c r="O922" s="321">
        <v>0</v>
      </c>
      <c r="P922" s="321">
        <v>0</v>
      </c>
      <c r="Q922" s="321">
        <v>0</v>
      </c>
      <c r="R922" s="321">
        <v>0</v>
      </c>
      <c r="S922" s="321">
        <v>0</v>
      </c>
      <c r="T922" s="321">
        <v>0</v>
      </c>
      <c r="U922" s="322">
        <v>0</v>
      </c>
      <c r="V922" s="323">
        <v>0</v>
      </c>
      <c r="W922" s="303"/>
      <c r="X922" s="324">
        <v>0</v>
      </c>
      <c r="Y922" s="325">
        <v>0</v>
      </c>
    </row>
    <row r="923" spans="1:25" x14ac:dyDescent="0.3">
      <c r="E923" s="250" t="s">
        <v>1890</v>
      </c>
      <c r="F923" s="317">
        <v>4502512</v>
      </c>
      <c r="G923" s="318"/>
      <c r="H923" s="319"/>
      <c r="I923" s="320"/>
      <c r="J923" s="337">
        <v>0</v>
      </c>
      <c r="K923" s="321">
        <v>0</v>
      </c>
      <c r="L923" s="321">
        <v>0</v>
      </c>
      <c r="M923" s="321">
        <v>0</v>
      </c>
      <c r="N923" s="321">
        <v>0</v>
      </c>
      <c r="O923" s="321">
        <v>0</v>
      </c>
      <c r="P923" s="321">
        <v>0</v>
      </c>
      <c r="Q923" s="321">
        <v>0</v>
      </c>
      <c r="R923" s="321">
        <v>0</v>
      </c>
      <c r="S923" s="321">
        <v>0</v>
      </c>
      <c r="T923" s="321">
        <v>0</v>
      </c>
      <c r="U923" s="322">
        <v>0</v>
      </c>
      <c r="V923" s="323">
        <v>0</v>
      </c>
      <c r="W923" s="303"/>
      <c r="X923" s="324">
        <v>0</v>
      </c>
      <c r="Y923" s="325">
        <v>0</v>
      </c>
    </row>
    <row r="924" spans="1:25" x14ac:dyDescent="0.3">
      <c r="E924" s="250" t="s">
        <v>1891</v>
      </c>
      <c r="F924" s="317">
        <v>4502505</v>
      </c>
      <c r="G924" s="318"/>
      <c r="H924" s="319"/>
      <c r="I924" s="320"/>
      <c r="J924" s="337">
        <v>0</v>
      </c>
      <c r="K924" s="321">
        <v>0</v>
      </c>
      <c r="L924" s="321">
        <v>0</v>
      </c>
      <c r="M924" s="321">
        <v>0</v>
      </c>
      <c r="N924" s="321">
        <v>0</v>
      </c>
      <c r="O924" s="321">
        <v>0</v>
      </c>
      <c r="P924" s="321">
        <v>0</v>
      </c>
      <c r="Q924" s="321">
        <v>0</v>
      </c>
      <c r="R924" s="321">
        <v>0</v>
      </c>
      <c r="S924" s="321">
        <v>0</v>
      </c>
      <c r="T924" s="321">
        <v>0</v>
      </c>
      <c r="U924" s="322">
        <v>0</v>
      </c>
      <c r="V924" s="323">
        <v>0</v>
      </c>
      <c r="W924" s="303"/>
      <c r="X924" s="324">
        <v>0</v>
      </c>
      <c r="Y924" s="325">
        <v>0</v>
      </c>
    </row>
    <row r="925" spans="1:25" x14ac:dyDescent="0.3">
      <c r="E925" s="250" t="s">
        <v>1892</v>
      </c>
      <c r="F925" s="317">
        <v>4502590</v>
      </c>
      <c r="G925" s="318"/>
      <c r="H925" s="319"/>
      <c r="I925" s="320"/>
      <c r="J925" s="337">
        <v>0</v>
      </c>
      <c r="K925" s="321">
        <v>0</v>
      </c>
      <c r="L925" s="321">
        <v>0</v>
      </c>
      <c r="M925" s="321">
        <v>0</v>
      </c>
      <c r="N925" s="321">
        <v>0</v>
      </c>
      <c r="O925" s="321">
        <v>0</v>
      </c>
      <c r="P925" s="321">
        <v>0</v>
      </c>
      <c r="Q925" s="321">
        <v>0</v>
      </c>
      <c r="R925" s="321">
        <v>0</v>
      </c>
      <c r="S925" s="321">
        <v>0</v>
      </c>
      <c r="T925" s="321">
        <v>0</v>
      </c>
      <c r="U925" s="322">
        <v>0</v>
      </c>
      <c r="V925" s="323">
        <v>0</v>
      </c>
      <c r="W925" s="303"/>
      <c r="X925" s="324">
        <v>0</v>
      </c>
      <c r="Y925" s="325">
        <v>0</v>
      </c>
    </row>
    <row r="926" spans="1:25" x14ac:dyDescent="0.3">
      <c r="E926" s="250" t="s">
        <v>1893</v>
      </c>
      <c r="F926" s="317">
        <v>4502599</v>
      </c>
      <c r="G926" s="318"/>
      <c r="H926" s="319"/>
      <c r="I926" s="320"/>
      <c r="J926" s="337">
        <v>0</v>
      </c>
      <c r="K926" s="321">
        <v>0</v>
      </c>
      <c r="L926" s="321">
        <v>0</v>
      </c>
      <c r="M926" s="321">
        <v>0</v>
      </c>
      <c r="N926" s="321">
        <v>0</v>
      </c>
      <c r="O926" s="321">
        <v>0</v>
      </c>
      <c r="P926" s="321">
        <v>0</v>
      </c>
      <c r="Q926" s="321">
        <v>0</v>
      </c>
      <c r="R926" s="321">
        <v>0</v>
      </c>
      <c r="S926" s="321">
        <v>0</v>
      </c>
      <c r="T926" s="321">
        <v>0</v>
      </c>
      <c r="U926" s="322">
        <v>0</v>
      </c>
      <c r="V926" s="323">
        <v>0</v>
      </c>
      <c r="W926" s="303"/>
      <c r="X926" s="324">
        <v>0</v>
      </c>
      <c r="Y926" s="325">
        <v>0</v>
      </c>
    </row>
    <row r="927" spans="1:25" x14ac:dyDescent="0.3">
      <c r="A927" s="361"/>
      <c r="B927" s="361"/>
      <c r="C927" s="361"/>
      <c r="D927" s="361"/>
      <c r="E927" s="326" t="s">
        <v>1894</v>
      </c>
      <c r="F927" s="351"/>
      <c r="G927" s="352"/>
      <c r="H927" s="353"/>
      <c r="I927" s="354"/>
      <c r="J927" s="362">
        <v>0</v>
      </c>
      <c r="K927" s="355">
        <v>0</v>
      </c>
      <c r="L927" s="355">
        <v>0</v>
      </c>
      <c r="M927" s="355">
        <v>0</v>
      </c>
      <c r="N927" s="355">
        <v>0</v>
      </c>
      <c r="O927" s="355">
        <v>0</v>
      </c>
      <c r="P927" s="355">
        <v>0</v>
      </c>
      <c r="Q927" s="355">
        <v>0</v>
      </c>
      <c r="R927" s="355">
        <v>0</v>
      </c>
      <c r="S927" s="355">
        <v>0</v>
      </c>
      <c r="T927" s="355">
        <v>0</v>
      </c>
      <c r="U927" s="356">
        <v>0</v>
      </c>
      <c r="V927" s="357">
        <v>0</v>
      </c>
      <c r="W927" s="358"/>
      <c r="X927" s="359">
        <v>0</v>
      </c>
      <c r="Y927" s="360">
        <v>0</v>
      </c>
    </row>
    <row r="928" spans="1:25" x14ac:dyDescent="0.3">
      <c r="A928" s="361"/>
      <c r="B928" s="361"/>
      <c r="C928" s="361"/>
      <c r="D928" s="361"/>
      <c r="E928" s="326" t="s">
        <v>1894</v>
      </c>
      <c r="F928" s="351"/>
      <c r="G928" s="352"/>
      <c r="H928" s="353"/>
      <c r="I928" s="354"/>
      <c r="J928" s="362">
        <v>0</v>
      </c>
      <c r="K928" s="355">
        <v>0</v>
      </c>
      <c r="L928" s="355">
        <v>0</v>
      </c>
      <c r="M928" s="355">
        <v>0</v>
      </c>
      <c r="N928" s="355">
        <v>0</v>
      </c>
      <c r="O928" s="355">
        <v>0</v>
      </c>
      <c r="P928" s="355">
        <v>0</v>
      </c>
      <c r="Q928" s="355">
        <v>0</v>
      </c>
      <c r="R928" s="355">
        <v>0</v>
      </c>
      <c r="S928" s="355">
        <v>0</v>
      </c>
      <c r="T928" s="355">
        <v>0</v>
      </c>
      <c r="U928" s="356">
        <v>0</v>
      </c>
      <c r="V928" s="357">
        <v>0</v>
      </c>
      <c r="W928" s="358"/>
      <c r="X928" s="359">
        <v>0</v>
      </c>
      <c r="Y928" s="360">
        <v>0</v>
      </c>
    </row>
    <row r="929" spans="1:25" x14ac:dyDescent="0.3">
      <c r="A929" s="361"/>
      <c r="B929" s="361"/>
      <c r="C929" s="361"/>
      <c r="D929" s="361"/>
      <c r="E929" s="326" t="s">
        <v>1895</v>
      </c>
      <c r="F929" s="351"/>
      <c r="G929" s="352"/>
      <c r="H929" s="353"/>
      <c r="I929" s="354"/>
      <c r="J929" s="362">
        <v>0</v>
      </c>
      <c r="K929" s="355">
        <v>0</v>
      </c>
      <c r="L929" s="355">
        <v>0</v>
      </c>
      <c r="M929" s="355">
        <v>0</v>
      </c>
      <c r="N929" s="355">
        <v>0</v>
      </c>
      <c r="O929" s="355">
        <v>0</v>
      </c>
      <c r="P929" s="355">
        <v>0</v>
      </c>
      <c r="Q929" s="355">
        <v>0</v>
      </c>
      <c r="R929" s="355">
        <v>0</v>
      </c>
      <c r="S929" s="355">
        <v>0</v>
      </c>
      <c r="T929" s="355">
        <v>0</v>
      </c>
      <c r="U929" s="356">
        <v>0</v>
      </c>
      <c r="V929" s="357">
        <v>0</v>
      </c>
      <c r="W929" s="358"/>
      <c r="X929" s="359">
        <v>0</v>
      </c>
      <c r="Y929" s="360">
        <v>0</v>
      </c>
    </row>
    <row r="930" spans="1:25" x14ac:dyDescent="0.3">
      <c r="A930" s="233"/>
      <c r="B930" s="234" t="s">
        <v>55</v>
      </c>
      <c r="D930" s="293" t="s">
        <v>1896</v>
      </c>
      <c r="E930" s="294"/>
      <c r="F930" s="295" t="s">
        <v>1897</v>
      </c>
      <c r="G930" s="296"/>
      <c r="H930" s="297"/>
      <c r="I930" s="298"/>
      <c r="J930" s="299">
        <v>0</v>
      </c>
      <c r="K930" s="300">
        <v>0</v>
      </c>
      <c r="L930" s="300">
        <v>0</v>
      </c>
      <c r="M930" s="300">
        <v>0</v>
      </c>
      <c r="N930" s="300">
        <v>0</v>
      </c>
      <c r="O930" s="300">
        <v>0</v>
      </c>
      <c r="P930" s="300">
        <v>0</v>
      </c>
      <c r="Q930" s="300">
        <v>0</v>
      </c>
      <c r="R930" s="300">
        <v>0</v>
      </c>
      <c r="S930" s="300">
        <v>0</v>
      </c>
      <c r="T930" s="300">
        <v>0</v>
      </c>
      <c r="U930" s="301">
        <v>0</v>
      </c>
      <c r="V930" s="302">
        <v>0</v>
      </c>
      <c r="W930" s="303"/>
      <c r="X930" s="304">
        <v>0</v>
      </c>
      <c r="Y930" s="305">
        <v>0</v>
      </c>
    </row>
    <row r="931" spans="1:25" x14ac:dyDescent="0.3">
      <c r="E931" s="250" t="s">
        <v>1898</v>
      </c>
      <c r="F931" s="317">
        <v>4503007</v>
      </c>
      <c r="G931" s="318"/>
      <c r="H931" s="319"/>
      <c r="I931" s="320"/>
      <c r="J931" s="337">
        <v>0</v>
      </c>
      <c r="K931" s="321">
        <v>0</v>
      </c>
      <c r="L931" s="321">
        <v>0</v>
      </c>
      <c r="M931" s="321">
        <v>0</v>
      </c>
      <c r="N931" s="321">
        <v>0</v>
      </c>
      <c r="O931" s="321">
        <v>0</v>
      </c>
      <c r="P931" s="321">
        <v>0</v>
      </c>
      <c r="Q931" s="321">
        <v>0</v>
      </c>
      <c r="R931" s="321">
        <v>0</v>
      </c>
      <c r="S931" s="321">
        <v>0</v>
      </c>
      <c r="T931" s="321">
        <v>0</v>
      </c>
      <c r="U931" s="322">
        <v>0</v>
      </c>
      <c r="V931" s="323">
        <v>0</v>
      </c>
      <c r="W931" s="303"/>
      <c r="X931" s="324">
        <v>0</v>
      </c>
      <c r="Y931" s="325">
        <v>0</v>
      </c>
    </row>
    <row r="932" spans="1:25" x14ac:dyDescent="0.3">
      <c r="E932" s="250" t="s">
        <v>1899</v>
      </c>
      <c r="F932" s="317">
        <v>4503010</v>
      </c>
      <c r="G932" s="318"/>
      <c r="H932" s="319"/>
      <c r="I932" s="320"/>
      <c r="J932" s="337">
        <v>0</v>
      </c>
      <c r="K932" s="321">
        <v>0</v>
      </c>
      <c r="L932" s="321">
        <v>0</v>
      </c>
      <c r="M932" s="321">
        <v>0</v>
      </c>
      <c r="N932" s="321">
        <v>0</v>
      </c>
      <c r="O932" s="321">
        <v>0</v>
      </c>
      <c r="P932" s="321">
        <v>0</v>
      </c>
      <c r="Q932" s="321">
        <v>0</v>
      </c>
      <c r="R932" s="321">
        <v>0</v>
      </c>
      <c r="S932" s="321">
        <v>0</v>
      </c>
      <c r="T932" s="321">
        <v>0</v>
      </c>
      <c r="U932" s="322">
        <v>0</v>
      </c>
      <c r="V932" s="323">
        <v>0</v>
      </c>
      <c r="W932" s="303"/>
      <c r="X932" s="324">
        <v>0</v>
      </c>
      <c r="Y932" s="325">
        <v>0</v>
      </c>
    </row>
    <row r="933" spans="1:25" x14ac:dyDescent="0.3">
      <c r="E933" s="250" t="s">
        <v>1900</v>
      </c>
      <c r="F933" s="317">
        <v>4503006</v>
      </c>
      <c r="G933" s="318"/>
      <c r="H933" s="319"/>
      <c r="I933" s="320"/>
      <c r="J933" s="337">
        <v>0</v>
      </c>
      <c r="K933" s="321">
        <v>0</v>
      </c>
      <c r="L933" s="321">
        <v>0</v>
      </c>
      <c r="M933" s="321">
        <v>0</v>
      </c>
      <c r="N933" s="321">
        <v>0</v>
      </c>
      <c r="O933" s="321">
        <v>0</v>
      </c>
      <c r="P933" s="321">
        <v>0</v>
      </c>
      <c r="Q933" s="321">
        <v>0</v>
      </c>
      <c r="R933" s="321">
        <v>0</v>
      </c>
      <c r="S933" s="321">
        <v>0</v>
      </c>
      <c r="T933" s="321">
        <v>0</v>
      </c>
      <c r="U933" s="322">
        <v>0</v>
      </c>
      <c r="V933" s="323">
        <v>0</v>
      </c>
      <c r="W933" s="303"/>
      <c r="X933" s="324">
        <v>0</v>
      </c>
      <c r="Y933" s="325">
        <v>0</v>
      </c>
    </row>
    <row r="934" spans="1:25" x14ac:dyDescent="0.3">
      <c r="E934" s="250" t="s">
        <v>1901</v>
      </c>
      <c r="F934" s="317">
        <v>4503002</v>
      </c>
      <c r="G934" s="318"/>
      <c r="H934" s="319"/>
      <c r="I934" s="320"/>
      <c r="J934" s="337">
        <v>0</v>
      </c>
      <c r="K934" s="321">
        <v>0</v>
      </c>
      <c r="L934" s="321">
        <v>0</v>
      </c>
      <c r="M934" s="321">
        <v>0</v>
      </c>
      <c r="N934" s="321">
        <v>0</v>
      </c>
      <c r="O934" s="321">
        <v>0</v>
      </c>
      <c r="P934" s="321">
        <v>0</v>
      </c>
      <c r="Q934" s="321">
        <v>0</v>
      </c>
      <c r="R934" s="321">
        <v>0</v>
      </c>
      <c r="S934" s="321">
        <v>0</v>
      </c>
      <c r="T934" s="321">
        <v>0</v>
      </c>
      <c r="U934" s="322">
        <v>0</v>
      </c>
      <c r="V934" s="323">
        <v>0</v>
      </c>
      <c r="W934" s="303"/>
      <c r="X934" s="324">
        <v>0</v>
      </c>
      <c r="Y934" s="325">
        <v>0</v>
      </c>
    </row>
    <row r="935" spans="1:25" x14ac:dyDescent="0.3">
      <c r="E935" s="250" t="s">
        <v>1902</v>
      </c>
      <c r="F935" s="317">
        <v>4503001</v>
      </c>
      <c r="G935" s="318"/>
      <c r="H935" s="319"/>
      <c r="I935" s="320"/>
      <c r="J935" s="337">
        <v>0</v>
      </c>
      <c r="K935" s="321">
        <v>0</v>
      </c>
      <c r="L935" s="321">
        <v>0</v>
      </c>
      <c r="M935" s="321">
        <v>0</v>
      </c>
      <c r="N935" s="321">
        <v>0</v>
      </c>
      <c r="O935" s="321">
        <v>0</v>
      </c>
      <c r="P935" s="321">
        <v>0</v>
      </c>
      <c r="Q935" s="321">
        <v>0</v>
      </c>
      <c r="R935" s="321">
        <v>0</v>
      </c>
      <c r="S935" s="321">
        <v>0</v>
      </c>
      <c r="T935" s="321">
        <v>0</v>
      </c>
      <c r="U935" s="322">
        <v>0</v>
      </c>
      <c r="V935" s="323">
        <v>0</v>
      </c>
      <c r="W935" s="303"/>
      <c r="X935" s="324">
        <v>0</v>
      </c>
      <c r="Y935" s="325">
        <v>0</v>
      </c>
    </row>
    <row r="936" spans="1:25" x14ac:dyDescent="0.3">
      <c r="E936" s="250" t="s">
        <v>1903</v>
      </c>
      <c r="F936" s="317">
        <v>4503008</v>
      </c>
      <c r="G936" s="318"/>
      <c r="H936" s="319">
        <v>7301050101</v>
      </c>
      <c r="I936" s="320"/>
      <c r="J936" s="337">
        <v>0</v>
      </c>
      <c r="K936" s="321">
        <v>0</v>
      </c>
      <c r="L936" s="321">
        <v>0</v>
      </c>
      <c r="M936" s="321">
        <v>0</v>
      </c>
      <c r="N936" s="321">
        <v>0</v>
      </c>
      <c r="O936" s="321">
        <v>0</v>
      </c>
      <c r="P936" s="321">
        <v>0</v>
      </c>
      <c r="Q936" s="321">
        <v>0</v>
      </c>
      <c r="R936" s="321">
        <v>0</v>
      </c>
      <c r="S936" s="321">
        <v>0</v>
      </c>
      <c r="T936" s="321">
        <v>0</v>
      </c>
      <c r="U936" s="322">
        <v>0</v>
      </c>
      <c r="V936" s="323">
        <v>0</v>
      </c>
      <c r="W936" s="303"/>
      <c r="X936" s="324">
        <v>0</v>
      </c>
      <c r="Y936" s="325">
        <v>0</v>
      </c>
    </row>
    <row r="937" spans="1:25" x14ac:dyDescent="0.3">
      <c r="E937" s="250" t="s">
        <v>1904</v>
      </c>
      <c r="F937" s="317">
        <v>4503011</v>
      </c>
      <c r="G937" s="318"/>
      <c r="H937" s="319"/>
      <c r="I937" s="320"/>
      <c r="J937" s="337">
        <v>0</v>
      </c>
      <c r="K937" s="321">
        <v>0</v>
      </c>
      <c r="L937" s="321">
        <v>0</v>
      </c>
      <c r="M937" s="321">
        <v>0</v>
      </c>
      <c r="N937" s="321">
        <v>0</v>
      </c>
      <c r="O937" s="321">
        <v>0</v>
      </c>
      <c r="P937" s="321">
        <v>0</v>
      </c>
      <c r="Q937" s="321">
        <v>0</v>
      </c>
      <c r="R937" s="321">
        <v>0</v>
      </c>
      <c r="S937" s="321">
        <v>0</v>
      </c>
      <c r="T937" s="321">
        <v>0</v>
      </c>
      <c r="U937" s="322">
        <v>0</v>
      </c>
      <c r="V937" s="323">
        <v>0</v>
      </c>
      <c r="W937" s="303"/>
      <c r="X937" s="324">
        <v>0</v>
      </c>
      <c r="Y937" s="325">
        <v>0</v>
      </c>
    </row>
    <row r="938" spans="1:25" x14ac:dyDescent="0.3">
      <c r="E938" s="250" t="s">
        <v>1905</v>
      </c>
      <c r="F938" s="317">
        <v>4503012</v>
      </c>
      <c r="G938" s="318"/>
      <c r="H938" s="319"/>
      <c r="I938" s="320"/>
      <c r="J938" s="337">
        <v>0</v>
      </c>
      <c r="K938" s="321">
        <v>0</v>
      </c>
      <c r="L938" s="321">
        <v>0</v>
      </c>
      <c r="M938" s="321">
        <v>0</v>
      </c>
      <c r="N938" s="321">
        <v>0</v>
      </c>
      <c r="O938" s="321">
        <v>0</v>
      </c>
      <c r="P938" s="321">
        <v>0</v>
      </c>
      <c r="Q938" s="321">
        <v>0</v>
      </c>
      <c r="R938" s="321">
        <v>0</v>
      </c>
      <c r="S938" s="321">
        <v>0</v>
      </c>
      <c r="T938" s="321">
        <v>0</v>
      </c>
      <c r="U938" s="322">
        <v>0</v>
      </c>
      <c r="V938" s="323">
        <v>0</v>
      </c>
      <c r="W938" s="303"/>
      <c r="X938" s="324">
        <v>0</v>
      </c>
      <c r="Y938" s="325">
        <v>0</v>
      </c>
    </row>
    <row r="939" spans="1:25" x14ac:dyDescent="0.3">
      <c r="E939" s="250" t="s">
        <v>1906</v>
      </c>
      <c r="F939" s="317">
        <v>4503003</v>
      </c>
      <c r="G939" s="318"/>
      <c r="H939" s="319"/>
      <c r="I939" s="320"/>
      <c r="J939" s="337">
        <v>0</v>
      </c>
      <c r="K939" s="321">
        <v>0</v>
      </c>
      <c r="L939" s="321">
        <v>0</v>
      </c>
      <c r="M939" s="321">
        <v>0</v>
      </c>
      <c r="N939" s="321">
        <v>0</v>
      </c>
      <c r="O939" s="321">
        <v>0</v>
      </c>
      <c r="P939" s="321">
        <v>0</v>
      </c>
      <c r="Q939" s="321">
        <v>0</v>
      </c>
      <c r="R939" s="321">
        <v>0</v>
      </c>
      <c r="S939" s="321">
        <v>0</v>
      </c>
      <c r="T939" s="321">
        <v>0</v>
      </c>
      <c r="U939" s="322">
        <v>0</v>
      </c>
      <c r="V939" s="323">
        <v>0</v>
      </c>
      <c r="W939" s="303"/>
      <c r="X939" s="324">
        <v>0</v>
      </c>
      <c r="Y939" s="325">
        <v>0</v>
      </c>
    </row>
    <row r="940" spans="1:25" x14ac:dyDescent="0.3">
      <c r="E940" s="250" t="s">
        <v>1907</v>
      </c>
      <c r="F940" s="317">
        <v>4503004</v>
      </c>
      <c r="G940" s="318"/>
      <c r="H940" s="319"/>
      <c r="I940" s="320"/>
      <c r="J940" s="337">
        <v>0</v>
      </c>
      <c r="K940" s="321">
        <v>0</v>
      </c>
      <c r="L940" s="321">
        <v>0</v>
      </c>
      <c r="M940" s="321">
        <v>0</v>
      </c>
      <c r="N940" s="321">
        <v>0</v>
      </c>
      <c r="O940" s="321">
        <v>0</v>
      </c>
      <c r="P940" s="321">
        <v>0</v>
      </c>
      <c r="Q940" s="321">
        <v>0</v>
      </c>
      <c r="R940" s="321">
        <v>0</v>
      </c>
      <c r="S940" s="321">
        <v>0</v>
      </c>
      <c r="T940" s="321">
        <v>0</v>
      </c>
      <c r="U940" s="322">
        <v>0</v>
      </c>
      <c r="V940" s="323">
        <v>0</v>
      </c>
      <c r="W940" s="303"/>
      <c r="X940" s="324">
        <v>0</v>
      </c>
      <c r="Y940" s="325">
        <v>0</v>
      </c>
    </row>
    <row r="941" spans="1:25" x14ac:dyDescent="0.3">
      <c r="E941" s="250" t="s">
        <v>1908</v>
      </c>
      <c r="F941" s="317">
        <v>4503005</v>
      </c>
      <c r="G941" s="318"/>
      <c r="H941" s="319"/>
      <c r="I941" s="320"/>
      <c r="J941" s="337">
        <v>0</v>
      </c>
      <c r="K941" s="321">
        <v>0</v>
      </c>
      <c r="L941" s="321">
        <v>0</v>
      </c>
      <c r="M941" s="321">
        <v>0</v>
      </c>
      <c r="N941" s="321">
        <v>0</v>
      </c>
      <c r="O941" s="321">
        <v>0</v>
      </c>
      <c r="P941" s="321">
        <v>0</v>
      </c>
      <c r="Q941" s="321">
        <v>0</v>
      </c>
      <c r="R941" s="321">
        <v>0</v>
      </c>
      <c r="S941" s="321">
        <v>0</v>
      </c>
      <c r="T941" s="321">
        <v>0</v>
      </c>
      <c r="U941" s="322">
        <v>0</v>
      </c>
      <c r="V941" s="323">
        <v>0</v>
      </c>
      <c r="W941" s="303"/>
      <c r="X941" s="324">
        <v>0</v>
      </c>
      <c r="Y941" s="325">
        <v>0</v>
      </c>
    </row>
    <row r="942" spans="1:25" x14ac:dyDescent="0.3">
      <c r="E942" s="250" t="s">
        <v>1909</v>
      </c>
      <c r="F942" s="317">
        <v>4503009</v>
      </c>
      <c r="G942" s="318"/>
      <c r="H942" s="319"/>
      <c r="I942" s="320"/>
      <c r="J942" s="337">
        <v>0</v>
      </c>
      <c r="K942" s="321">
        <v>0</v>
      </c>
      <c r="L942" s="321">
        <v>0</v>
      </c>
      <c r="M942" s="321">
        <v>0</v>
      </c>
      <c r="N942" s="321">
        <v>0</v>
      </c>
      <c r="O942" s="321">
        <v>0</v>
      </c>
      <c r="P942" s="321">
        <v>0</v>
      </c>
      <c r="Q942" s="321">
        <v>0</v>
      </c>
      <c r="R942" s="321">
        <v>0</v>
      </c>
      <c r="S942" s="321">
        <v>0</v>
      </c>
      <c r="T942" s="321">
        <v>0</v>
      </c>
      <c r="U942" s="322">
        <v>0</v>
      </c>
      <c r="V942" s="323">
        <v>0</v>
      </c>
      <c r="W942" s="303"/>
      <c r="X942" s="324">
        <v>0</v>
      </c>
      <c r="Y942" s="325">
        <v>0</v>
      </c>
    </row>
    <row r="943" spans="1:25" x14ac:dyDescent="0.3">
      <c r="A943" s="250"/>
      <c r="B943" s="250"/>
      <c r="C943" s="250"/>
      <c r="D943" s="250"/>
      <c r="E943" s="250" t="s">
        <v>1910</v>
      </c>
      <c r="F943" s="306">
        <v>4505606</v>
      </c>
      <c r="G943" s="307"/>
      <c r="H943" s="308"/>
      <c r="I943" s="309"/>
      <c r="J943" s="310">
        <v>0</v>
      </c>
      <c r="K943" s="311">
        <v>0</v>
      </c>
      <c r="L943" s="311">
        <v>0</v>
      </c>
      <c r="M943" s="311">
        <v>0</v>
      </c>
      <c r="N943" s="311">
        <v>0</v>
      </c>
      <c r="O943" s="311">
        <v>0</v>
      </c>
      <c r="P943" s="311">
        <v>0</v>
      </c>
      <c r="Q943" s="311">
        <v>0</v>
      </c>
      <c r="R943" s="311">
        <v>0</v>
      </c>
      <c r="S943" s="311">
        <v>0</v>
      </c>
      <c r="T943" s="311">
        <v>0</v>
      </c>
      <c r="U943" s="312">
        <v>0</v>
      </c>
      <c r="V943" s="313">
        <v>0</v>
      </c>
      <c r="W943" s="314"/>
      <c r="X943" s="315">
        <v>0</v>
      </c>
      <c r="Y943" s="316">
        <v>0</v>
      </c>
    </row>
    <row r="944" spans="1:25" x14ac:dyDescent="0.3">
      <c r="A944" s="250"/>
      <c r="B944" s="250"/>
      <c r="C944" s="250"/>
      <c r="D944" s="250"/>
      <c r="E944" s="250" t="s">
        <v>1911</v>
      </c>
      <c r="F944" s="306">
        <v>4505608</v>
      </c>
      <c r="G944" s="307"/>
      <c r="H944" s="308"/>
      <c r="I944" s="309"/>
      <c r="J944" s="310">
        <v>0</v>
      </c>
      <c r="K944" s="311">
        <v>0</v>
      </c>
      <c r="L944" s="311">
        <v>0</v>
      </c>
      <c r="M944" s="311">
        <v>0</v>
      </c>
      <c r="N944" s="311">
        <v>0</v>
      </c>
      <c r="O944" s="311">
        <v>0</v>
      </c>
      <c r="P944" s="311">
        <v>0</v>
      </c>
      <c r="Q944" s="311">
        <v>0</v>
      </c>
      <c r="R944" s="311">
        <v>0</v>
      </c>
      <c r="S944" s="311">
        <v>0</v>
      </c>
      <c r="T944" s="311">
        <v>0</v>
      </c>
      <c r="U944" s="312">
        <v>0</v>
      </c>
      <c r="V944" s="313">
        <v>0</v>
      </c>
      <c r="W944" s="314"/>
      <c r="X944" s="315">
        <v>0</v>
      </c>
      <c r="Y944" s="316">
        <v>0</v>
      </c>
    </row>
    <row r="945" spans="1:25" x14ac:dyDescent="0.3">
      <c r="A945" s="326"/>
      <c r="B945" s="326"/>
      <c r="C945" s="326"/>
      <c r="D945" s="326"/>
      <c r="E945" s="326" t="s">
        <v>1912</v>
      </c>
      <c r="F945" s="336"/>
      <c r="G945" s="327"/>
      <c r="H945" s="328"/>
      <c r="I945" s="329"/>
      <c r="J945" s="338">
        <v>0</v>
      </c>
      <c r="K945" s="330">
        <v>0</v>
      </c>
      <c r="L945" s="330">
        <v>0</v>
      </c>
      <c r="M945" s="330">
        <v>0</v>
      </c>
      <c r="N945" s="330">
        <v>0</v>
      </c>
      <c r="O945" s="330">
        <v>0</v>
      </c>
      <c r="P945" s="330">
        <v>0</v>
      </c>
      <c r="Q945" s="330">
        <v>0</v>
      </c>
      <c r="R945" s="330">
        <v>0</v>
      </c>
      <c r="S945" s="330">
        <v>0</v>
      </c>
      <c r="T945" s="330">
        <v>0</v>
      </c>
      <c r="U945" s="331">
        <v>0</v>
      </c>
      <c r="V945" s="332">
        <v>0</v>
      </c>
      <c r="W945" s="333"/>
      <c r="X945" s="334">
        <v>0</v>
      </c>
      <c r="Y945" s="335">
        <v>0</v>
      </c>
    </row>
    <row r="946" spans="1:25" x14ac:dyDescent="0.3">
      <c r="A946" s="326"/>
      <c r="B946" s="326"/>
      <c r="C946" s="326"/>
      <c r="D946" s="326"/>
      <c r="E946" s="326" t="s">
        <v>1913</v>
      </c>
      <c r="F946" s="336"/>
      <c r="G946" s="327"/>
      <c r="H946" s="328"/>
      <c r="I946" s="329"/>
      <c r="J946" s="338">
        <v>0</v>
      </c>
      <c r="K946" s="330">
        <v>0</v>
      </c>
      <c r="L946" s="330">
        <v>0</v>
      </c>
      <c r="M946" s="330">
        <v>0</v>
      </c>
      <c r="N946" s="330">
        <v>0</v>
      </c>
      <c r="O946" s="330">
        <v>0</v>
      </c>
      <c r="P946" s="330">
        <v>0</v>
      </c>
      <c r="Q946" s="330">
        <v>0</v>
      </c>
      <c r="R946" s="330">
        <v>0</v>
      </c>
      <c r="S946" s="330">
        <v>0</v>
      </c>
      <c r="T946" s="330">
        <v>0</v>
      </c>
      <c r="U946" s="331">
        <v>0</v>
      </c>
      <c r="V946" s="332">
        <v>0</v>
      </c>
      <c r="W946" s="333"/>
      <c r="X946" s="334">
        <v>0</v>
      </c>
      <c r="Y946" s="335">
        <v>0</v>
      </c>
    </row>
    <row r="947" spans="1:25" x14ac:dyDescent="0.3">
      <c r="A947" s="326"/>
      <c r="B947" s="326"/>
      <c r="C947" s="326"/>
      <c r="D947" s="326"/>
      <c r="E947" s="326" t="s">
        <v>1914</v>
      </c>
      <c r="F947" s="336"/>
      <c r="G947" s="327"/>
      <c r="H947" s="328"/>
      <c r="I947" s="329"/>
      <c r="J947" s="338">
        <v>0</v>
      </c>
      <c r="K947" s="330">
        <v>0</v>
      </c>
      <c r="L947" s="330">
        <v>0</v>
      </c>
      <c r="M947" s="330">
        <v>0</v>
      </c>
      <c r="N947" s="330">
        <v>0</v>
      </c>
      <c r="O947" s="330">
        <v>0</v>
      </c>
      <c r="P947" s="330">
        <v>0</v>
      </c>
      <c r="Q947" s="330">
        <v>0</v>
      </c>
      <c r="R947" s="330">
        <v>0</v>
      </c>
      <c r="S947" s="330">
        <v>0</v>
      </c>
      <c r="T947" s="330">
        <v>0</v>
      </c>
      <c r="U947" s="331">
        <v>0</v>
      </c>
      <c r="V947" s="332">
        <v>0</v>
      </c>
      <c r="W947" s="333"/>
      <c r="X947" s="334">
        <v>0</v>
      </c>
      <c r="Y947" s="335">
        <v>0</v>
      </c>
    </row>
    <row r="948" spans="1:25" x14ac:dyDescent="0.3">
      <c r="A948" s="233"/>
      <c r="B948" s="234" t="s">
        <v>74</v>
      </c>
      <c r="D948" s="293" t="s">
        <v>1915</v>
      </c>
      <c r="E948" s="294"/>
      <c r="F948" s="295" t="s">
        <v>1916</v>
      </c>
      <c r="G948" s="296"/>
      <c r="H948" s="297"/>
      <c r="I948" s="298"/>
      <c r="J948" s="299">
        <v>0</v>
      </c>
      <c r="K948" s="300">
        <v>0</v>
      </c>
      <c r="L948" s="300">
        <v>0</v>
      </c>
      <c r="M948" s="300">
        <v>0</v>
      </c>
      <c r="N948" s="300">
        <v>0</v>
      </c>
      <c r="O948" s="300">
        <v>0</v>
      </c>
      <c r="P948" s="300">
        <v>0</v>
      </c>
      <c r="Q948" s="300">
        <v>0</v>
      </c>
      <c r="R948" s="300">
        <v>0</v>
      </c>
      <c r="S948" s="300">
        <v>0</v>
      </c>
      <c r="T948" s="300">
        <v>0</v>
      </c>
      <c r="U948" s="301">
        <v>0</v>
      </c>
      <c r="V948" s="302">
        <v>0</v>
      </c>
      <c r="W948" s="303"/>
      <c r="X948" s="304">
        <v>0</v>
      </c>
      <c r="Y948" s="305">
        <v>0</v>
      </c>
    </row>
    <row r="949" spans="1:25" x14ac:dyDescent="0.3">
      <c r="E949" s="250" t="s">
        <v>1917</v>
      </c>
      <c r="F949" s="317">
        <v>4504581</v>
      </c>
      <c r="G949" s="318"/>
      <c r="H949" s="319"/>
      <c r="I949" s="320"/>
      <c r="J949" s="337">
        <v>0</v>
      </c>
      <c r="K949" s="321">
        <v>0</v>
      </c>
      <c r="L949" s="321">
        <v>0</v>
      </c>
      <c r="M949" s="321">
        <v>0</v>
      </c>
      <c r="N949" s="321">
        <v>0</v>
      </c>
      <c r="O949" s="321">
        <v>0</v>
      </c>
      <c r="P949" s="321">
        <v>0</v>
      </c>
      <c r="Q949" s="321">
        <v>0</v>
      </c>
      <c r="R949" s="321">
        <v>0</v>
      </c>
      <c r="S949" s="321">
        <v>0</v>
      </c>
      <c r="T949" s="321">
        <v>0</v>
      </c>
      <c r="U949" s="322">
        <v>0</v>
      </c>
      <c r="V949" s="323">
        <v>0</v>
      </c>
      <c r="W949" s="303"/>
      <c r="X949" s="324">
        <v>0</v>
      </c>
      <c r="Y949" s="325">
        <v>0</v>
      </c>
    </row>
    <row r="950" spans="1:25" x14ac:dyDescent="0.3">
      <c r="E950" s="250" t="s">
        <v>1918</v>
      </c>
      <c r="F950" s="317">
        <v>4504582</v>
      </c>
      <c r="G950" s="318"/>
      <c r="H950" s="319"/>
      <c r="I950" s="320"/>
      <c r="J950" s="337">
        <v>0</v>
      </c>
      <c r="K950" s="321">
        <v>0</v>
      </c>
      <c r="L950" s="321">
        <v>0</v>
      </c>
      <c r="M950" s="321">
        <v>0</v>
      </c>
      <c r="N950" s="321">
        <v>0</v>
      </c>
      <c r="O950" s="321">
        <v>0</v>
      </c>
      <c r="P950" s="321">
        <v>0</v>
      </c>
      <c r="Q950" s="321">
        <v>0</v>
      </c>
      <c r="R950" s="321">
        <v>0</v>
      </c>
      <c r="S950" s="321">
        <v>0</v>
      </c>
      <c r="T950" s="321">
        <v>0</v>
      </c>
      <c r="U950" s="322">
        <v>0</v>
      </c>
      <c r="V950" s="323">
        <v>0</v>
      </c>
      <c r="W950" s="303"/>
      <c r="X950" s="324">
        <v>0</v>
      </c>
      <c r="Y950" s="325">
        <v>0</v>
      </c>
    </row>
    <row r="951" spans="1:25" x14ac:dyDescent="0.3">
      <c r="E951" s="250" t="s">
        <v>1919</v>
      </c>
      <c r="F951" s="317">
        <v>4504580</v>
      </c>
      <c r="G951" s="318"/>
      <c r="H951" s="319"/>
      <c r="I951" s="320"/>
      <c r="J951" s="337">
        <v>0</v>
      </c>
      <c r="K951" s="321">
        <v>0</v>
      </c>
      <c r="L951" s="321">
        <v>0</v>
      </c>
      <c r="M951" s="321">
        <v>0</v>
      </c>
      <c r="N951" s="321">
        <v>0</v>
      </c>
      <c r="O951" s="321">
        <v>0</v>
      </c>
      <c r="P951" s="321">
        <v>0</v>
      </c>
      <c r="Q951" s="321">
        <v>0</v>
      </c>
      <c r="R951" s="321">
        <v>0</v>
      </c>
      <c r="S951" s="321">
        <v>0</v>
      </c>
      <c r="T951" s="321">
        <v>0</v>
      </c>
      <c r="U951" s="322">
        <v>0</v>
      </c>
      <c r="V951" s="323">
        <v>0</v>
      </c>
      <c r="W951" s="303"/>
      <c r="X951" s="324">
        <v>0</v>
      </c>
      <c r="Y951" s="325">
        <v>0</v>
      </c>
    </row>
    <row r="952" spans="1:25" x14ac:dyDescent="0.3">
      <c r="E952" s="250" t="s">
        <v>1920</v>
      </c>
      <c r="F952" s="317">
        <v>4504583</v>
      </c>
      <c r="G952" s="318"/>
      <c r="H952" s="319"/>
      <c r="I952" s="320"/>
      <c r="J952" s="337">
        <v>0</v>
      </c>
      <c r="K952" s="321">
        <v>0</v>
      </c>
      <c r="L952" s="321">
        <v>0</v>
      </c>
      <c r="M952" s="321">
        <v>0</v>
      </c>
      <c r="N952" s="321">
        <v>0</v>
      </c>
      <c r="O952" s="321">
        <v>0</v>
      </c>
      <c r="P952" s="321">
        <v>0</v>
      </c>
      <c r="Q952" s="321">
        <v>0</v>
      </c>
      <c r="R952" s="321">
        <v>0</v>
      </c>
      <c r="S952" s="321">
        <v>0</v>
      </c>
      <c r="T952" s="321">
        <v>0</v>
      </c>
      <c r="U952" s="322">
        <v>0</v>
      </c>
      <c r="V952" s="323">
        <v>0</v>
      </c>
      <c r="W952" s="303"/>
      <c r="X952" s="324">
        <v>0</v>
      </c>
      <c r="Y952" s="325">
        <v>0</v>
      </c>
    </row>
    <row r="953" spans="1:25" x14ac:dyDescent="0.3">
      <c r="E953" s="250" t="s">
        <v>1921</v>
      </c>
      <c r="F953" s="317">
        <v>4504584</v>
      </c>
      <c r="G953" s="318"/>
      <c r="H953" s="319"/>
      <c r="I953" s="320"/>
      <c r="J953" s="337">
        <v>0</v>
      </c>
      <c r="K953" s="321">
        <v>0</v>
      </c>
      <c r="L953" s="321">
        <v>0</v>
      </c>
      <c r="M953" s="321">
        <v>0</v>
      </c>
      <c r="N953" s="321">
        <v>0</v>
      </c>
      <c r="O953" s="321">
        <v>0</v>
      </c>
      <c r="P953" s="321">
        <v>0</v>
      </c>
      <c r="Q953" s="321">
        <v>0</v>
      </c>
      <c r="R953" s="321">
        <v>0</v>
      </c>
      <c r="S953" s="321">
        <v>0</v>
      </c>
      <c r="T953" s="321">
        <v>0</v>
      </c>
      <c r="U953" s="322">
        <v>0</v>
      </c>
      <c r="V953" s="323">
        <v>0</v>
      </c>
      <c r="W953" s="303"/>
      <c r="X953" s="324">
        <v>0</v>
      </c>
      <c r="Y953" s="325">
        <v>0</v>
      </c>
    </row>
    <row r="954" spans="1:25" x14ac:dyDescent="0.3">
      <c r="A954" s="326"/>
      <c r="B954" s="326"/>
      <c r="C954" s="326"/>
      <c r="D954" s="326"/>
      <c r="E954" s="326" t="s">
        <v>1922</v>
      </c>
      <c r="F954" s="336"/>
      <c r="G954" s="327"/>
      <c r="H954" s="328"/>
      <c r="I954" s="329"/>
      <c r="J954" s="338">
        <v>0</v>
      </c>
      <c r="K954" s="330">
        <v>0</v>
      </c>
      <c r="L954" s="330">
        <v>0</v>
      </c>
      <c r="M954" s="330">
        <v>0</v>
      </c>
      <c r="N954" s="330">
        <v>0</v>
      </c>
      <c r="O954" s="330">
        <v>0</v>
      </c>
      <c r="P954" s="330">
        <v>0</v>
      </c>
      <c r="Q954" s="330">
        <v>0</v>
      </c>
      <c r="R954" s="330">
        <v>0</v>
      </c>
      <c r="S954" s="330">
        <v>0</v>
      </c>
      <c r="T954" s="330">
        <v>0</v>
      </c>
      <c r="U954" s="331">
        <v>0</v>
      </c>
      <c r="V954" s="332">
        <v>0</v>
      </c>
      <c r="W954" s="333"/>
      <c r="X954" s="334">
        <v>0</v>
      </c>
      <c r="Y954" s="335">
        <v>0</v>
      </c>
    </row>
    <row r="955" spans="1:25" x14ac:dyDescent="0.3">
      <c r="A955" s="326"/>
      <c r="B955" s="326"/>
      <c r="C955" s="326"/>
      <c r="D955" s="326"/>
      <c r="E955" s="326" t="s">
        <v>1923</v>
      </c>
      <c r="F955" s="336"/>
      <c r="G955" s="327"/>
      <c r="H955" s="328"/>
      <c r="I955" s="329"/>
      <c r="J955" s="338">
        <v>0</v>
      </c>
      <c r="K955" s="330">
        <v>0</v>
      </c>
      <c r="L955" s="330">
        <v>0</v>
      </c>
      <c r="M955" s="330">
        <v>0</v>
      </c>
      <c r="N955" s="330">
        <v>0</v>
      </c>
      <c r="O955" s="330">
        <v>0</v>
      </c>
      <c r="P955" s="330">
        <v>0</v>
      </c>
      <c r="Q955" s="330">
        <v>0</v>
      </c>
      <c r="R955" s="330">
        <v>0</v>
      </c>
      <c r="S955" s="330">
        <v>0</v>
      </c>
      <c r="T955" s="330">
        <v>0</v>
      </c>
      <c r="U955" s="331">
        <v>0</v>
      </c>
      <c r="V955" s="332">
        <v>0</v>
      </c>
      <c r="W955" s="333"/>
      <c r="X955" s="334">
        <v>0</v>
      </c>
      <c r="Y955" s="335">
        <v>0</v>
      </c>
    </row>
    <row r="956" spans="1:25" x14ac:dyDescent="0.3">
      <c r="A956" s="326"/>
      <c r="B956" s="326"/>
      <c r="C956" s="326"/>
      <c r="D956" s="326"/>
      <c r="E956" s="326" t="s">
        <v>1924</v>
      </c>
      <c r="F956" s="336"/>
      <c r="G956" s="327"/>
      <c r="H956" s="328"/>
      <c r="I956" s="329"/>
      <c r="J956" s="338">
        <v>0</v>
      </c>
      <c r="K956" s="330">
        <v>0</v>
      </c>
      <c r="L956" s="330">
        <v>0</v>
      </c>
      <c r="M956" s="330">
        <v>0</v>
      </c>
      <c r="N956" s="330">
        <v>0</v>
      </c>
      <c r="O956" s="330">
        <v>0</v>
      </c>
      <c r="P956" s="330">
        <v>0</v>
      </c>
      <c r="Q956" s="330">
        <v>0</v>
      </c>
      <c r="R956" s="330">
        <v>0</v>
      </c>
      <c r="S956" s="330">
        <v>0</v>
      </c>
      <c r="T956" s="330">
        <v>0</v>
      </c>
      <c r="U956" s="331">
        <v>0</v>
      </c>
      <c r="V956" s="332">
        <v>0</v>
      </c>
      <c r="W956" s="333"/>
      <c r="X956" s="334">
        <v>0</v>
      </c>
      <c r="Y956" s="335">
        <v>0</v>
      </c>
    </row>
    <row r="957" spans="1:25" x14ac:dyDescent="0.3">
      <c r="A957" s="233"/>
      <c r="B957" s="234" t="s">
        <v>74</v>
      </c>
      <c r="D957" s="293" t="s">
        <v>1925</v>
      </c>
      <c r="E957" s="294"/>
      <c r="F957" s="295" t="s">
        <v>1926</v>
      </c>
      <c r="G957" s="296"/>
      <c r="H957" s="297"/>
      <c r="I957" s="298"/>
      <c r="J957" s="299">
        <v>0</v>
      </c>
      <c r="K957" s="300">
        <v>0</v>
      </c>
      <c r="L957" s="300">
        <v>0</v>
      </c>
      <c r="M957" s="300">
        <v>0</v>
      </c>
      <c r="N957" s="300">
        <v>0</v>
      </c>
      <c r="O957" s="300">
        <v>0</v>
      </c>
      <c r="P957" s="300">
        <v>0</v>
      </c>
      <c r="Q957" s="300">
        <v>0</v>
      </c>
      <c r="R957" s="300">
        <v>0</v>
      </c>
      <c r="S957" s="300">
        <v>0</v>
      </c>
      <c r="T957" s="300">
        <v>0</v>
      </c>
      <c r="U957" s="301">
        <v>101.854</v>
      </c>
      <c r="V957" s="302">
        <v>101.854</v>
      </c>
      <c r="W957" s="303"/>
      <c r="X957" s="304">
        <v>101.854</v>
      </c>
      <c r="Y957" s="305">
        <v>101.854</v>
      </c>
    </row>
    <row r="958" spans="1:25" x14ac:dyDescent="0.3">
      <c r="A958" s="250"/>
      <c r="B958" s="250"/>
      <c r="C958" s="250"/>
      <c r="D958" s="250"/>
      <c r="E958" s="250" t="s">
        <v>1927</v>
      </c>
      <c r="F958" s="376">
        <v>4503068</v>
      </c>
      <c r="G958" s="377"/>
      <c r="H958" s="378">
        <v>7301030000</v>
      </c>
      <c r="I958" s="379"/>
      <c r="J958" s="391">
        <v>0</v>
      </c>
      <c r="K958" s="392">
        <v>0</v>
      </c>
      <c r="L958" s="392">
        <v>0</v>
      </c>
      <c r="M958" s="392">
        <v>0</v>
      </c>
      <c r="N958" s="392">
        <v>0</v>
      </c>
      <c r="O958" s="392">
        <v>0</v>
      </c>
      <c r="P958" s="392">
        <v>0</v>
      </c>
      <c r="Q958" s="392">
        <v>0</v>
      </c>
      <c r="R958" s="392">
        <v>0</v>
      </c>
      <c r="S958" s="392">
        <v>0</v>
      </c>
      <c r="T958" s="392">
        <v>0</v>
      </c>
      <c r="U958" s="393">
        <v>0</v>
      </c>
      <c r="V958" s="394">
        <v>0</v>
      </c>
      <c r="W958" s="395"/>
      <c r="X958" s="396">
        <v>0</v>
      </c>
      <c r="Y958" s="397">
        <v>0</v>
      </c>
    </row>
    <row r="959" spans="1:25" x14ac:dyDescent="0.3">
      <c r="A959" s="250"/>
      <c r="B959" s="250"/>
      <c r="C959" s="250"/>
      <c r="D959" s="250"/>
      <c r="E959" s="250" t="s">
        <v>1928</v>
      </c>
      <c r="F959" s="376">
        <v>4503069</v>
      </c>
      <c r="G959" s="377"/>
      <c r="H959" s="378"/>
      <c r="I959" s="379"/>
      <c r="J959" s="391">
        <v>0</v>
      </c>
      <c r="K959" s="392">
        <v>0</v>
      </c>
      <c r="L959" s="392">
        <v>0</v>
      </c>
      <c r="M959" s="392">
        <v>0</v>
      </c>
      <c r="N959" s="392">
        <v>0</v>
      </c>
      <c r="O959" s="392">
        <v>0</v>
      </c>
      <c r="P959" s="392">
        <v>0</v>
      </c>
      <c r="Q959" s="392">
        <v>0</v>
      </c>
      <c r="R959" s="392">
        <v>0</v>
      </c>
      <c r="S959" s="392">
        <v>0</v>
      </c>
      <c r="T959" s="392">
        <v>0</v>
      </c>
      <c r="U959" s="393">
        <v>0</v>
      </c>
      <c r="V959" s="394">
        <v>0</v>
      </c>
      <c r="W959" s="395"/>
      <c r="X959" s="396">
        <v>0</v>
      </c>
      <c r="Y959" s="397">
        <v>0</v>
      </c>
    </row>
    <row r="960" spans="1:25" x14ac:dyDescent="0.3">
      <c r="A960" s="250"/>
      <c r="B960" s="250"/>
      <c r="C960" s="250"/>
      <c r="D960" s="250"/>
      <c r="E960" s="250" t="s">
        <v>1929</v>
      </c>
      <c r="F960" s="376">
        <v>4503070</v>
      </c>
      <c r="G960" s="377"/>
      <c r="H960" s="378"/>
      <c r="I960" s="379"/>
      <c r="J960" s="391">
        <v>0</v>
      </c>
      <c r="K960" s="392">
        <v>0</v>
      </c>
      <c r="L960" s="392">
        <v>0</v>
      </c>
      <c r="M960" s="392">
        <v>0</v>
      </c>
      <c r="N960" s="392">
        <v>0</v>
      </c>
      <c r="O960" s="392">
        <v>0</v>
      </c>
      <c r="P960" s="392">
        <v>0</v>
      </c>
      <c r="Q960" s="392">
        <v>0</v>
      </c>
      <c r="R960" s="392">
        <v>0</v>
      </c>
      <c r="S960" s="392">
        <v>0</v>
      </c>
      <c r="T960" s="392">
        <v>0</v>
      </c>
      <c r="U960" s="393">
        <v>0</v>
      </c>
      <c r="V960" s="394">
        <v>0</v>
      </c>
      <c r="W960" s="395"/>
      <c r="X960" s="396">
        <v>0</v>
      </c>
      <c r="Y960" s="397">
        <v>0</v>
      </c>
    </row>
    <row r="961" spans="1:25" x14ac:dyDescent="0.3">
      <c r="A961" s="250"/>
      <c r="B961" s="250"/>
      <c r="C961" s="250"/>
      <c r="D961" s="250"/>
      <c r="E961" s="250" t="s">
        <v>1930</v>
      </c>
      <c r="F961" s="376">
        <v>4503071</v>
      </c>
      <c r="G961" s="377"/>
      <c r="H961" s="378"/>
      <c r="I961" s="379"/>
      <c r="J961" s="391">
        <v>0</v>
      </c>
      <c r="K961" s="392">
        <v>0</v>
      </c>
      <c r="L961" s="392">
        <v>0</v>
      </c>
      <c r="M961" s="392">
        <v>0</v>
      </c>
      <c r="N961" s="392">
        <v>0</v>
      </c>
      <c r="O961" s="392">
        <v>0</v>
      </c>
      <c r="P961" s="392">
        <v>0</v>
      </c>
      <c r="Q961" s="392">
        <v>0</v>
      </c>
      <c r="R961" s="392">
        <v>0</v>
      </c>
      <c r="S961" s="392">
        <v>0</v>
      </c>
      <c r="T961" s="392">
        <v>0</v>
      </c>
      <c r="U961" s="393">
        <v>0</v>
      </c>
      <c r="V961" s="394">
        <v>0</v>
      </c>
      <c r="W961" s="395"/>
      <c r="X961" s="396">
        <v>0</v>
      </c>
      <c r="Y961" s="397">
        <v>0</v>
      </c>
    </row>
    <row r="962" spans="1:25" x14ac:dyDescent="0.3">
      <c r="A962" s="250"/>
      <c r="B962" s="250"/>
      <c r="C962" s="250"/>
      <c r="D962" s="250"/>
      <c r="E962" s="250" t="s">
        <v>1931</v>
      </c>
      <c r="F962" s="376">
        <v>4503085</v>
      </c>
      <c r="G962" s="377"/>
      <c r="H962" s="378"/>
      <c r="I962" s="379"/>
      <c r="J962" s="391">
        <v>0</v>
      </c>
      <c r="K962" s="392">
        <v>0</v>
      </c>
      <c r="L962" s="392">
        <v>0</v>
      </c>
      <c r="M962" s="392">
        <v>0</v>
      </c>
      <c r="N962" s="392">
        <v>0</v>
      </c>
      <c r="O962" s="392">
        <v>0</v>
      </c>
      <c r="P962" s="392">
        <v>0</v>
      </c>
      <c r="Q962" s="392">
        <v>0</v>
      </c>
      <c r="R962" s="392">
        <v>0</v>
      </c>
      <c r="S962" s="392">
        <v>0</v>
      </c>
      <c r="T962" s="392">
        <v>0</v>
      </c>
      <c r="U962" s="393">
        <v>0</v>
      </c>
      <c r="V962" s="394">
        <v>0</v>
      </c>
      <c r="W962" s="395"/>
      <c r="X962" s="396">
        <v>0</v>
      </c>
      <c r="Y962" s="397">
        <v>0</v>
      </c>
    </row>
    <row r="963" spans="1:25" x14ac:dyDescent="0.3">
      <c r="A963" s="250"/>
      <c r="B963" s="250"/>
      <c r="C963" s="250"/>
      <c r="D963" s="250"/>
      <c r="E963" s="250" t="s">
        <v>1932</v>
      </c>
      <c r="F963" s="376">
        <v>4503090</v>
      </c>
      <c r="G963" s="377"/>
      <c r="H963" s="378"/>
      <c r="I963" s="379"/>
      <c r="J963" s="391">
        <v>0</v>
      </c>
      <c r="K963" s="392">
        <v>0</v>
      </c>
      <c r="L963" s="392">
        <v>0</v>
      </c>
      <c r="M963" s="392">
        <v>0</v>
      </c>
      <c r="N963" s="392">
        <v>0</v>
      </c>
      <c r="O963" s="392">
        <v>0</v>
      </c>
      <c r="P963" s="392">
        <v>0</v>
      </c>
      <c r="Q963" s="392">
        <v>0</v>
      </c>
      <c r="R963" s="392">
        <v>0</v>
      </c>
      <c r="S963" s="392">
        <v>0</v>
      </c>
      <c r="T963" s="392">
        <v>0</v>
      </c>
      <c r="U963" s="393">
        <v>0</v>
      </c>
      <c r="V963" s="394">
        <v>0</v>
      </c>
      <c r="W963" s="395"/>
      <c r="X963" s="396">
        <v>0</v>
      </c>
      <c r="Y963" s="397">
        <v>0</v>
      </c>
    </row>
    <row r="964" spans="1:25" x14ac:dyDescent="0.3">
      <c r="A964" s="250"/>
      <c r="B964" s="250"/>
      <c r="C964" s="250"/>
      <c r="D964" s="250"/>
      <c r="E964" s="250" t="s">
        <v>1933</v>
      </c>
      <c r="F964" s="376">
        <v>4503072</v>
      </c>
      <c r="G964" s="377"/>
      <c r="H964" s="378"/>
      <c r="I964" s="379"/>
      <c r="J964" s="391">
        <v>0</v>
      </c>
      <c r="K964" s="392">
        <v>0</v>
      </c>
      <c r="L964" s="392">
        <v>0</v>
      </c>
      <c r="M964" s="392">
        <v>0</v>
      </c>
      <c r="N964" s="392">
        <v>0</v>
      </c>
      <c r="O964" s="392">
        <v>0</v>
      </c>
      <c r="P964" s="392">
        <v>0</v>
      </c>
      <c r="Q964" s="392">
        <v>0</v>
      </c>
      <c r="R964" s="392">
        <v>0</v>
      </c>
      <c r="S964" s="392">
        <v>0</v>
      </c>
      <c r="T964" s="392">
        <v>0</v>
      </c>
      <c r="U964" s="393">
        <v>0</v>
      </c>
      <c r="V964" s="394">
        <v>0</v>
      </c>
      <c r="W964" s="395"/>
      <c r="X964" s="396">
        <v>0</v>
      </c>
      <c r="Y964" s="397">
        <v>0</v>
      </c>
    </row>
    <row r="965" spans="1:25" x14ac:dyDescent="0.3">
      <c r="A965" s="250"/>
      <c r="B965" s="250"/>
      <c r="C965" s="250"/>
      <c r="D965" s="250"/>
      <c r="E965" s="250" t="s">
        <v>1934</v>
      </c>
      <c r="F965" s="376">
        <v>4503073</v>
      </c>
      <c r="G965" s="377"/>
      <c r="H965" s="378"/>
      <c r="I965" s="379"/>
      <c r="J965" s="391">
        <v>0</v>
      </c>
      <c r="K965" s="392">
        <v>0</v>
      </c>
      <c r="L965" s="392">
        <v>0</v>
      </c>
      <c r="M965" s="392">
        <v>0</v>
      </c>
      <c r="N965" s="392">
        <v>0</v>
      </c>
      <c r="O965" s="392">
        <v>0</v>
      </c>
      <c r="P965" s="392">
        <v>0</v>
      </c>
      <c r="Q965" s="392">
        <v>0</v>
      </c>
      <c r="R965" s="392">
        <v>0</v>
      </c>
      <c r="S965" s="392">
        <v>0</v>
      </c>
      <c r="T965" s="392">
        <v>0</v>
      </c>
      <c r="U965" s="393">
        <v>0</v>
      </c>
      <c r="V965" s="394">
        <v>0</v>
      </c>
      <c r="W965" s="395"/>
      <c r="X965" s="396">
        <v>0</v>
      </c>
      <c r="Y965" s="397">
        <v>0</v>
      </c>
    </row>
    <row r="966" spans="1:25" x14ac:dyDescent="0.3">
      <c r="A966" s="250"/>
      <c r="B966" s="250"/>
      <c r="C966" s="250"/>
      <c r="D966" s="250"/>
      <c r="E966" s="250" t="s">
        <v>1935</v>
      </c>
      <c r="F966" s="376">
        <v>4503074</v>
      </c>
      <c r="G966" s="377"/>
      <c r="H966" s="378"/>
      <c r="I966" s="379"/>
      <c r="J966" s="391">
        <v>0</v>
      </c>
      <c r="K966" s="392">
        <v>0</v>
      </c>
      <c r="L966" s="392">
        <v>0</v>
      </c>
      <c r="M966" s="392">
        <v>0</v>
      </c>
      <c r="N966" s="392">
        <v>0</v>
      </c>
      <c r="O966" s="392">
        <v>0</v>
      </c>
      <c r="P966" s="392">
        <v>0</v>
      </c>
      <c r="Q966" s="392">
        <v>0</v>
      </c>
      <c r="R966" s="392">
        <v>0</v>
      </c>
      <c r="S966" s="392">
        <v>0</v>
      </c>
      <c r="T966" s="392">
        <v>0</v>
      </c>
      <c r="U966" s="393">
        <v>0</v>
      </c>
      <c r="V966" s="394">
        <v>0</v>
      </c>
      <c r="W966" s="395"/>
      <c r="X966" s="396">
        <v>0</v>
      </c>
      <c r="Y966" s="397">
        <v>0</v>
      </c>
    </row>
    <row r="967" spans="1:25" x14ac:dyDescent="0.3">
      <c r="A967" s="250"/>
      <c r="B967" s="250"/>
      <c r="C967" s="250"/>
      <c r="D967" s="250"/>
      <c r="E967" s="250" t="s">
        <v>1936</v>
      </c>
      <c r="F967" s="376">
        <v>4503083</v>
      </c>
      <c r="G967" s="377"/>
      <c r="H967" s="378"/>
      <c r="I967" s="379"/>
      <c r="J967" s="391">
        <v>0</v>
      </c>
      <c r="K967" s="392">
        <v>0</v>
      </c>
      <c r="L967" s="392">
        <v>0</v>
      </c>
      <c r="M967" s="392">
        <v>0</v>
      </c>
      <c r="N967" s="392">
        <v>0</v>
      </c>
      <c r="O967" s="392">
        <v>0</v>
      </c>
      <c r="P967" s="392">
        <v>0</v>
      </c>
      <c r="Q967" s="392">
        <v>0</v>
      </c>
      <c r="R967" s="392">
        <v>0</v>
      </c>
      <c r="S967" s="392">
        <v>0</v>
      </c>
      <c r="T967" s="392">
        <v>0</v>
      </c>
      <c r="U967" s="393">
        <v>0</v>
      </c>
      <c r="V967" s="394">
        <v>0</v>
      </c>
      <c r="W967" s="395"/>
      <c r="X967" s="396">
        <v>0</v>
      </c>
      <c r="Y967" s="397">
        <v>0</v>
      </c>
    </row>
    <row r="968" spans="1:25" x14ac:dyDescent="0.3">
      <c r="A968" s="250"/>
      <c r="B968" s="250"/>
      <c r="C968" s="250"/>
      <c r="D968" s="250"/>
      <c r="E968" s="250" t="s">
        <v>1937</v>
      </c>
      <c r="F968" s="376">
        <v>4503067</v>
      </c>
      <c r="G968" s="377"/>
      <c r="H968" s="378"/>
      <c r="I968" s="379"/>
      <c r="J968" s="391">
        <v>0</v>
      </c>
      <c r="K968" s="392">
        <v>0</v>
      </c>
      <c r="L968" s="392">
        <v>0</v>
      </c>
      <c r="M968" s="392">
        <v>0</v>
      </c>
      <c r="N968" s="392">
        <v>0</v>
      </c>
      <c r="O968" s="392">
        <v>0</v>
      </c>
      <c r="P968" s="392">
        <v>0</v>
      </c>
      <c r="Q968" s="392">
        <v>0</v>
      </c>
      <c r="R968" s="392">
        <v>0</v>
      </c>
      <c r="S968" s="392">
        <v>0</v>
      </c>
      <c r="T968" s="392">
        <v>0</v>
      </c>
      <c r="U968" s="393">
        <v>0</v>
      </c>
      <c r="V968" s="394">
        <v>0</v>
      </c>
      <c r="W968" s="395"/>
      <c r="X968" s="396">
        <v>0</v>
      </c>
      <c r="Y968" s="397">
        <v>0</v>
      </c>
    </row>
    <row r="969" spans="1:25" x14ac:dyDescent="0.3">
      <c r="A969" s="250"/>
      <c r="B969" s="250"/>
      <c r="C969" s="250"/>
      <c r="D969" s="250"/>
      <c r="E969" s="250" t="s">
        <v>1938</v>
      </c>
      <c r="F969" s="376">
        <v>4503084</v>
      </c>
      <c r="G969" s="377"/>
      <c r="H969" s="378"/>
      <c r="I969" s="379"/>
      <c r="J969" s="391">
        <v>0</v>
      </c>
      <c r="K969" s="392">
        <v>0</v>
      </c>
      <c r="L969" s="392">
        <v>0</v>
      </c>
      <c r="M969" s="392">
        <v>0</v>
      </c>
      <c r="N969" s="392">
        <v>0</v>
      </c>
      <c r="O969" s="392">
        <v>0</v>
      </c>
      <c r="P969" s="392">
        <v>0</v>
      </c>
      <c r="Q969" s="392">
        <v>0</v>
      </c>
      <c r="R969" s="392">
        <v>0</v>
      </c>
      <c r="S969" s="392">
        <v>0</v>
      </c>
      <c r="T969" s="392">
        <v>0</v>
      </c>
      <c r="U969" s="393">
        <v>101.854</v>
      </c>
      <c r="V969" s="394">
        <v>101.854</v>
      </c>
      <c r="W969" s="395"/>
      <c r="X969" s="396">
        <v>101.854</v>
      </c>
      <c r="Y969" s="397">
        <v>101.854</v>
      </c>
    </row>
    <row r="970" spans="1:25" x14ac:dyDescent="0.3">
      <c r="A970" s="250"/>
      <c r="B970" s="250"/>
      <c r="C970" s="250"/>
      <c r="D970" s="250"/>
      <c r="E970" s="250" t="s">
        <v>1939</v>
      </c>
      <c r="F970" s="376">
        <v>4503075</v>
      </c>
      <c r="G970" s="377"/>
      <c r="H970" s="378"/>
      <c r="I970" s="379"/>
      <c r="J970" s="391">
        <v>0</v>
      </c>
      <c r="K970" s="392">
        <v>0</v>
      </c>
      <c r="L970" s="392">
        <v>0</v>
      </c>
      <c r="M970" s="392">
        <v>0</v>
      </c>
      <c r="N970" s="392">
        <v>0</v>
      </c>
      <c r="O970" s="392">
        <v>0</v>
      </c>
      <c r="P970" s="392">
        <v>0</v>
      </c>
      <c r="Q970" s="392">
        <v>0</v>
      </c>
      <c r="R970" s="392">
        <v>0</v>
      </c>
      <c r="S970" s="392">
        <v>0</v>
      </c>
      <c r="T970" s="392">
        <v>0</v>
      </c>
      <c r="U970" s="393">
        <v>0</v>
      </c>
      <c r="V970" s="394">
        <v>0</v>
      </c>
      <c r="W970" s="395"/>
      <c r="X970" s="396">
        <v>0</v>
      </c>
      <c r="Y970" s="397">
        <v>0</v>
      </c>
    </row>
    <row r="971" spans="1:25" x14ac:dyDescent="0.3">
      <c r="A971" s="250"/>
      <c r="B971" s="250"/>
      <c r="C971" s="250"/>
      <c r="D971" s="250"/>
      <c r="E971" s="250" t="s">
        <v>1940</v>
      </c>
      <c r="F971" s="376">
        <v>4503076</v>
      </c>
      <c r="G971" s="377"/>
      <c r="H971" s="378"/>
      <c r="I971" s="379"/>
      <c r="J971" s="391">
        <v>0</v>
      </c>
      <c r="K971" s="392">
        <v>0</v>
      </c>
      <c r="L971" s="392">
        <v>0</v>
      </c>
      <c r="M971" s="392">
        <v>0</v>
      </c>
      <c r="N971" s="392">
        <v>0</v>
      </c>
      <c r="O971" s="392">
        <v>0</v>
      </c>
      <c r="P971" s="392">
        <v>0</v>
      </c>
      <c r="Q971" s="392">
        <v>0</v>
      </c>
      <c r="R971" s="392">
        <v>0</v>
      </c>
      <c r="S971" s="392">
        <v>0</v>
      </c>
      <c r="T971" s="392">
        <v>0</v>
      </c>
      <c r="U971" s="393">
        <v>0</v>
      </c>
      <c r="V971" s="394">
        <v>0</v>
      </c>
      <c r="W971" s="395"/>
      <c r="X971" s="396">
        <v>0</v>
      </c>
      <c r="Y971" s="397">
        <v>0</v>
      </c>
    </row>
    <row r="972" spans="1:25" x14ac:dyDescent="0.3">
      <c r="A972" s="350"/>
      <c r="B972" s="350"/>
      <c r="C972" s="350"/>
      <c r="D972" s="350"/>
      <c r="E972" s="350" t="s">
        <v>1941</v>
      </c>
      <c r="F972" s="306">
        <v>4503077</v>
      </c>
      <c r="G972" s="307"/>
      <c r="H972" s="308"/>
      <c r="I972" s="309"/>
      <c r="J972" s="310">
        <v>0</v>
      </c>
      <c r="K972" s="311">
        <v>0</v>
      </c>
      <c r="L972" s="311">
        <v>0</v>
      </c>
      <c r="M972" s="311">
        <v>0</v>
      </c>
      <c r="N972" s="311">
        <v>0</v>
      </c>
      <c r="O972" s="311">
        <v>0</v>
      </c>
      <c r="P972" s="311">
        <v>0</v>
      </c>
      <c r="Q972" s="311">
        <v>0</v>
      </c>
      <c r="R972" s="311">
        <v>0</v>
      </c>
      <c r="S972" s="311">
        <v>0</v>
      </c>
      <c r="T972" s="311">
        <v>0</v>
      </c>
      <c r="U972" s="312">
        <v>0</v>
      </c>
      <c r="V972" s="313">
        <v>0</v>
      </c>
      <c r="W972" s="314"/>
      <c r="X972" s="315">
        <v>0</v>
      </c>
      <c r="Y972" s="316">
        <v>0</v>
      </c>
    </row>
    <row r="973" spans="1:25" x14ac:dyDescent="0.3">
      <c r="A973" s="350"/>
      <c r="B973" s="350"/>
      <c r="C973" s="350"/>
      <c r="D973" s="350"/>
      <c r="E973" s="326" t="s">
        <v>1942</v>
      </c>
      <c r="F973" s="306"/>
      <c r="G973" s="307"/>
      <c r="H973" s="308"/>
      <c r="I973" s="309"/>
      <c r="J973" s="310">
        <v>0</v>
      </c>
      <c r="K973" s="311">
        <v>0</v>
      </c>
      <c r="L973" s="311">
        <v>0</v>
      </c>
      <c r="M973" s="311">
        <v>0</v>
      </c>
      <c r="N973" s="311">
        <v>0</v>
      </c>
      <c r="O973" s="311">
        <v>0</v>
      </c>
      <c r="P973" s="311">
        <v>0</v>
      </c>
      <c r="Q973" s="311">
        <v>0</v>
      </c>
      <c r="R973" s="311">
        <v>0</v>
      </c>
      <c r="S973" s="311">
        <v>0</v>
      </c>
      <c r="T973" s="311">
        <v>0</v>
      </c>
      <c r="U973" s="312">
        <v>0</v>
      </c>
      <c r="V973" s="313">
        <v>0</v>
      </c>
      <c r="W973" s="314"/>
      <c r="X973" s="315">
        <v>0</v>
      </c>
      <c r="Y973" s="316">
        <v>0</v>
      </c>
    </row>
    <row r="974" spans="1:25" x14ac:dyDescent="0.3">
      <c r="A974" s="350"/>
      <c r="B974" s="350"/>
      <c r="C974" s="350"/>
      <c r="D974" s="350"/>
      <c r="E974" s="326" t="s">
        <v>1942</v>
      </c>
      <c r="F974" s="306"/>
      <c r="G974" s="307"/>
      <c r="H974" s="308"/>
      <c r="I974" s="309"/>
      <c r="J974" s="310">
        <v>0</v>
      </c>
      <c r="K974" s="311">
        <v>0</v>
      </c>
      <c r="L974" s="311">
        <v>0</v>
      </c>
      <c r="M974" s="311">
        <v>0</v>
      </c>
      <c r="N974" s="311">
        <v>0</v>
      </c>
      <c r="O974" s="311">
        <v>0</v>
      </c>
      <c r="P974" s="311">
        <v>0</v>
      </c>
      <c r="Q974" s="311">
        <v>0</v>
      </c>
      <c r="R974" s="311">
        <v>0</v>
      </c>
      <c r="S974" s="311">
        <v>0</v>
      </c>
      <c r="T974" s="311">
        <v>0</v>
      </c>
      <c r="U974" s="312">
        <v>0</v>
      </c>
      <c r="V974" s="313">
        <v>0</v>
      </c>
      <c r="W974" s="314"/>
      <c r="X974" s="315">
        <v>0</v>
      </c>
      <c r="Y974" s="316">
        <v>0</v>
      </c>
    </row>
    <row r="975" spans="1:25" x14ac:dyDescent="0.3">
      <c r="A975" s="350"/>
      <c r="B975" s="350"/>
      <c r="C975" s="350"/>
      <c r="D975" s="350"/>
      <c r="E975" s="326" t="s">
        <v>1943</v>
      </c>
      <c r="F975" s="306"/>
      <c r="G975" s="307"/>
      <c r="H975" s="308"/>
      <c r="I975" s="309"/>
      <c r="J975" s="310">
        <v>0</v>
      </c>
      <c r="K975" s="311">
        <v>0</v>
      </c>
      <c r="L975" s="311">
        <v>0</v>
      </c>
      <c r="M975" s="311">
        <v>0</v>
      </c>
      <c r="N975" s="311">
        <v>0</v>
      </c>
      <c r="O975" s="311">
        <v>0</v>
      </c>
      <c r="P975" s="311">
        <v>0</v>
      </c>
      <c r="Q975" s="311">
        <v>0</v>
      </c>
      <c r="R975" s="311">
        <v>0</v>
      </c>
      <c r="S975" s="311">
        <v>0</v>
      </c>
      <c r="T975" s="311">
        <v>0</v>
      </c>
      <c r="U975" s="312">
        <v>0</v>
      </c>
      <c r="V975" s="313">
        <v>0</v>
      </c>
      <c r="W975" s="314"/>
      <c r="X975" s="315">
        <v>0</v>
      </c>
      <c r="Y975" s="316">
        <v>0</v>
      </c>
    </row>
    <row r="976" spans="1:25" x14ac:dyDescent="0.3">
      <c r="A976" s="233"/>
      <c r="B976" s="234" t="s">
        <v>74</v>
      </c>
      <c r="D976" s="293" t="s">
        <v>1944</v>
      </c>
      <c r="E976" s="294"/>
      <c r="F976" s="295" t="s">
        <v>1945</v>
      </c>
      <c r="G976" s="296"/>
      <c r="H976" s="297"/>
      <c r="I976" s="298"/>
      <c r="J976" s="299">
        <v>0</v>
      </c>
      <c r="K976" s="300">
        <v>0</v>
      </c>
      <c r="L976" s="300">
        <v>0</v>
      </c>
      <c r="M976" s="300">
        <v>0</v>
      </c>
      <c r="N976" s="300">
        <v>0</v>
      </c>
      <c r="O976" s="300">
        <v>0</v>
      </c>
      <c r="P976" s="300">
        <v>0</v>
      </c>
      <c r="Q976" s="300">
        <v>0</v>
      </c>
      <c r="R976" s="300">
        <v>0</v>
      </c>
      <c r="S976" s="300">
        <v>0</v>
      </c>
      <c r="T976" s="300">
        <v>0</v>
      </c>
      <c r="U976" s="301">
        <v>0</v>
      </c>
      <c r="V976" s="302">
        <v>0</v>
      </c>
      <c r="W976" s="303"/>
      <c r="X976" s="304">
        <v>0</v>
      </c>
      <c r="Y976" s="305">
        <v>0</v>
      </c>
    </row>
    <row r="977" spans="1:25" x14ac:dyDescent="0.3">
      <c r="E977" s="250" t="s">
        <v>1946</v>
      </c>
      <c r="F977" s="317">
        <v>4503087</v>
      </c>
      <c r="G977" s="318"/>
      <c r="H977" s="319">
        <v>7301230102</v>
      </c>
      <c r="I977" s="320"/>
      <c r="J977" s="337">
        <v>0</v>
      </c>
      <c r="K977" s="321">
        <v>0</v>
      </c>
      <c r="L977" s="321">
        <v>0</v>
      </c>
      <c r="M977" s="321">
        <v>0</v>
      </c>
      <c r="N977" s="321">
        <v>0</v>
      </c>
      <c r="O977" s="321">
        <v>0</v>
      </c>
      <c r="P977" s="321">
        <v>0</v>
      </c>
      <c r="Q977" s="321">
        <v>0</v>
      </c>
      <c r="R977" s="321">
        <v>0</v>
      </c>
      <c r="S977" s="321">
        <v>0</v>
      </c>
      <c r="T977" s="321">
        <v>0</v>
      </c>
      <c r="U977" s="322">
        <v>0</v>
      </c>
      <c r="V977" s="323">
        <v>0</v>
      </c>
      <c r="W977" s="303"/>
      <c r="X977" s="324">
        <v>0</v>
      </c>
      <c r="Y977" s="325">
        <v>0</v>
      </c>
    </row>
    <row r="978" spans="1:25" x14ac:dyDescent="0.3">
      <c r="E978" s="250" t="s">
        <v>1947</v>
      </c>
      <c r="F978" s="317">
        <v>4503065</v>
      </c>
      <c r="G978" s="318"/>
      <c r="H978" s="319"/>
      <c r="I978" s="320"/>
      <c r="J978" s="337">
        <v>0</v>
      </c>
      <c r="K978" s="321">
        <v>0</v>
      </c>
      <c r="L978" s="321">
        <v>0</v>
      </c>
      <c r="M978" s="321">
        <v>0</v>
      </c>
      <c r="N978" s="321">
        <v>0</v>
      </c>
      <c r="O978" s="321">
        <v>0</v>
      </c>
      <c r="P978" s="321">
        <v>0</v>
      </c>
      <c r="Q978" s="321">
        <v>0</v>
      </c>
      <c r="R978" s="321">
        <v>0</v>
      </c>
      <c r="S978" s="321">
        <v>0</v>
      </c>
      <c r="T978" s="321">
        <v>0</v>
      </c>
      <c r="U978" s="322">
        <v>0</v>
      </c>
      <c r="V978" s="323">
        <v>0</v>
      </c>
      <c r="W978" s="303"/>
      <c r="X978" s="324">
        <v>0</v>
      </c>
      <c r="Y978" s="325">
        <v>0</v>
      </c>
    </row>
    <row r="979" spans="1:25" x14ac:dyDescent="0.3">
      <c r="E979" s="250" t="s">
        <v>1948</v>
      </c>
      <c r="F979" s="317">
        <v>4503066</v>
      </c>
      <c r="G979" s="318"/>
      <c r="H979" s="319"/>
      <c r="I979" s="320"/>
      <c r="J979" s="337">
        <v>0</v>
      </c>
      <c r="K979" s="321">
        <v>0</v>
      </c>
      <c r="L979" s="321">
        <v>0</v>
      </c>
      <c r="M979" s="321">
        <v>0</v>
      </c>
      <c r="N979" s="321">
        <v>0</v>
      </c>
      <c r="O979" s="321">
        <v>0</v>
      </c>
      <c r="P979" s="321">
        <v>0</v>
      </c>
      <c r="Q979" s="321">
        <v>0</v>
      </c>
      <c r="R979" s="321">
        <v>0</v>
      </c>
      <c r="S979" s="321">
        <v>0</v>
      </c>
      <c r="T979" s="321">
        <v>0</v>
      </c>
      <c r="U979" s="322">
        <v>0</v>
      </c>
      <c r="V979" s="323">
        <v>0</v>
      </c>
      <c r="W979" s="303"/>
      <c r="X979" s="324">
        <v>0</v>
      </c>
      <c r="Y979" s="325">
        <v>0</v>
      </c>
    </row>
    <row r="980" spans="1:25" x14ac:dyDescent="0.3">
      <c r="E980" s="250" t="s">
        <v>1949</v>
      </c>
      <c r="F980" s="317">
        <v>4503086</v>
      </c>
      <c r="G980" s="318"/>
      <c r="H980" s="319">
        <v>7301230101</v>
      </c>
      <c r="I980" s="320"/>
      <c r="J980" s="337">
        <v>0</v>
      </c>
      <c r="K980" s="321">
        <v>0</v>
      </c>
      <c r="L980" s="321">
        <v>0</v>
      </c>
      <c r="M980" s="321">
        <v>0</v>
      </c>
      <c r="N980" s="321">
        <v>0</v>
      </c>
      <c r="O980" s="321">
        <v>0</v>
      </c>
      <c r="P980" s="321">
        <v>0</v>
      </c>
      <c r="Q980" s="321">
        <v>0</v>
      </c>
      <c r="R980" s="321">
        <v>0</v>
      </c>
      <c r="S980" s="321">
        <v>0</v>
      </c>
      <c r="T980" s="321">
        <v>0</v>
      </c>
      <c r="U980" s="322">
        <v>0</v>
      </c>
      <c r="V980" s="323">
        <v>0</v>
      </c>
      <c r="W980" s="303"/>
      <c r="X980" s="324">
        <v>0</v>
      </c>
      <c r="Y980" s="325">
        <v>0</v>
      </c>
    </row>
    <row r="981" spans="1:25" x14ac:dyDescent="0.3">
      <c r="E981" s="250" t="s">
        <v>1950</v>
      </c>
      <c r="F981" s="317">
        <v>4503078</v>
      </c>
      <c r="G981" s="318"/>
      <c r="H981" s="319"/>
      <c r="I981" s="320"/>
      <c r="J981" s="337">
        <v>0</v>
      </c>
      <c r="K981" s="321">
        <v>0</v>
      </c>
      <c r="L981" s="321">
        <v>0</v>
      </c>
      <c r="M981" s="321">
        <v>0</v>
      </c>
      <c r="N981" s="321">
        <v>0</v>
      </c>
      <c r="O981" s="321">
        <v>0</v>
      </c>
      <c r="P981" s="321">
        <v>0</v>
      </c>
      <c r="Q981" s="321">
        <v>0</v>
      </c>
      <c r="R981" s="321">
        <v>0</v>
      </c>
      <c r="S981" s="321">
        <v>0</v>
      </c>
      <c r="T981" s="321">
        <v>0</v>
      </c>
      <c r="U981" s="322">
        <v>0</v>
      </c>
      <c r="V981" s="323">
        <v>0</v>
      </c>
      <c r="W981" s="303"/>
      <c r="X981" s="324">
        <v>0</v>
      </c>
      <c r="Y981" s="325">
        <v>0</v>
      </c>
    </row>
    <row r="982" spans="1:25" x14ac:dyDescent="0.3">
      <c r="E982" s="250" t="s">
        <v>1951</v>
      </c>
      <c r="F982" s="317">
        <v>4503180</v>
      </c>
      <c r="G982" s="318"/>
      <c r="H982" s="319"/>
      <c r="I982" s="320"/>
      <c r="J982" s="337">
        <v>0</v>
      </c>
      <c r="K982" s="321">
        <v>0</v>
      </c>
      <c r="L982" s="321">
        <v>0</v>
      </c>
      <c r="M982" s="321">
        <v>0</v>
      </c>
      <c r="N982" s="321">
        <v>0</v>
      </c>
      <c r="O982" s="321">
        <v>0</v>
      </c>
      <c r="P982" s="321">
        <v>0</v>
      </c>
      <c r="Q982" s="321">
        <v>0</v>
      </c>
      <c r="R982" s="321">
        <v>0</v>
      </c>
      <c r="S982" s="321">
        <v>0</v>
      </c>
      <c r="T982" s="321">
        <v>0</v>
      </c>
      <c r="U982" s="322">
        <v>0</v>
      </c>
      <c r="V982" s="323">
        <v>0</v>
      </c>
      <c r="W982" s="303"/>
      <c r="X982" s="324">
        <v>0</v>
      </c>
      <c r="Y982" s="325">
        <v>0</v>
      </c>
    </row>
    <row r="983" spans="1:25" x14ac:dyDescent="0.3">
      <c r="E983" s="250" t="s">
        <v>1952</v>
      </c>
      <c r="F983" s="317">
        <v>4503181</v>
      </c>
      <c r="G983" s="318"/>
      <c r="H983" s="319"/>
      <c r="I983" s="320"/>
      <c r="J983" s="337">
        <v>0</v>
      </c>
      <c r="K983" s="321">
        <v>0</v>
      </c>
      <c r="L983" s="321">
        <v>0</v>
      </c>
      <c r="M983" s="321">
        <v>0</v>
      </c>
      <c r="N983" s="321">
        <v>0</v>
      </c>
      <c r="O983" s="321">
        <v>0</v>
      </c>
      <c r="P983" s="321">
        <v>0</v>
      </c>
      <c r="Q983" s="321">
        <v>0</v>
      </c>
      <c r="R983" s="321">
        <v>0</v>
      </c>
      <c r="S983" s="321">
        <v>0</v>
      </c>
      <c r="T983" s="321">
        <v>0</v>
      </c>
      <c r="U983" s="322">
        <v>0</v>
      </c>
      <c r="V983" s="323">
        <v>0</v>
      </c>
      <c r="W983" s="303"/>
      <c r="X983" s="324">
        <v>0</v>
      </c>
      <c r="Y983" s="325">
        <v>0</v>
      </c>
    </row>
    <row r="984" spans="1:25" x14ac:dyDescent="0.3">
      <c r="A984" s="250"/>
      <c r="B984" s="250"/>
      <c r="C984" s="250"/>
      <c r="D984" s="250"/>
      <c r="E984" s="250" t="s">
        <v>1953</v>
      </c>
      <c r="F984" s="306">
        <v>4505607</v>
      </c>
      <c r="G984" s="307"/>
      <c r="H984" s="308"/>
      <c r="I984" s="309"/>
      <c r="J984" s="310">
        <v>0</v>
      </c>
      <c r="K984" s="311">
        <v>0</v>
      </c>
      <c r="L984" s="311">
        <v>0</v>
      </c>
      <c r="M984" s="311">
        <v>0</v>
      </c>
      <c r="N984" s="311">
        <v>0</v>
      </c>
      <c r="O984" s="311">
        <v>0</v>
      </c>
      <c r="P984" s="311">
        <v>0</v>
      </c>
      <c r="Q984" s="311">
        <v>0</v>
      </c>
      <c r="R984" s="311">
        <v>0</v>
      </c>
      <c r="S984" s="311">
        <v>0</v>
      </c>
      <c r="T984" s="311">
        <v>0</v>
      </c>
      <c r="U984" s="312">
        <v>0</v>
      </c>
      <c r="V984" s="313">
        <v>0</v>
      </c>
      <c r="W984" s="314"/>
      <c r="X984" s="315">
        <v>0</v>
      </c>
      <c r="Y984" s="316">
        <v>0</v>
      </c>
    </row>
    <row r="985" spans="1:25" x14ac:dyDescent="0.3">
      <c r="A985" s="250"/>
      <c r="B985" s="250"/>
      <c r="C985" s="250"/>
      <c r="D985" s="250"/>
      <c r="E985" s="250" t="s">
        <v>1954</v>
      </c>
      <c r="F985" s="306">
        <v>4505609</v>
      </c>
      <c r="G985" s="307"/>
      <c r="H985" s="308"/>
      <c r="I985" s="309"/>
      <c r="J985" s="310">
        <v>0</v>
      </c>
      <c r="K985" s="311">
        <v>0</v>
      </c>
      <c r="L985" s="311">
        <v>0</v>
      </c>
      <c r="M985" s="311">
        <v>0</v>
      </c>
      <c r="N985" s="311">
        <v>0</v>
      </c>
      <c r="O985" s="311">
        <v>0</v>
      </c>
      <c r="P985" s="311">
        <v>0</v>
      </c>
      <c r="Q985" s="311">
        <v>0</v>
      </c>
      <c r="R985" s="311">
        <v>0</v>
      </c>
      <c r="S985" s="311">
        <v>0</v>
      </c>
      <c r="T985" s="311">
        <v>0</v>
      </c>
      <c r="U985" s="312">
        <v>0</v>
      </c>
      <c r="V985" s="313">
        <v>0</v>
      </c>
      <c r="W985" s="314"/>
      <c r="X985" s="315">
        <v>0</v>
      </c>
      <c r="Y985" s="316">
        <v>0</v>
      </c>
    </row>
    <row r="986" spans="1:25" x14ac:dyDescent="0.3">
      <c r="A986" s="326"/>
      <c r="B986" s="326"/>
      <c r="C986" s="326"/>
      <c r="D986" s="326"/>
      <c r="E986" s="326" t="s">
        <v>1955</v>
      </c>
      <c r="F986" s="336"/>
      <c r="G986" s="327"/>
      <c r="H986" s="328"/>
      <c r="I986" s="329"/>
      <c r="J986" s="338">
        <v>0</v>
      </c>
      <c r="K986" s="330">
        <v>0</v>
      </c>
      <c r="L986" s="330">
        <v>0</v>
      </c>
      <c r="M986" s="330">
        <v>0</v>
      </c>
      <c r="N986" s="330">
        <v>0</v>
      </c>
      <c r="O986" s="330">
        <v>0</v>
      </c>
      <c r="P986" s="330">
        <v>0</v>
      </c>
      <c r="Q986" s="330">
        <v>0</v>
      </c>
      <c r="R986" s="330">
        <v>0</v>
      </c>
      <c r="S986" s="330">
        <v>0</v>
      </c>
      <c r="T986" s="330">
        <v>0</v>
      </c>
      <c r="U986" s="331">
        <v>0</v>
      </c>
      <c r="V986" s="332">
        <v>0</v>
      </c>
      <c r="W986" s="333"/>
      <c r="X986" s="334">
        <v>0</v>
      </c>
      <c r="Y986" s="335">
        <v>0</v>
      </c>
    </row>
    <row r="987" spans="1:25" x14ac:dyDescent="0.3">
      <c r="A987" s="326"/>
      <c r="B987" s="326"/>
      <c r="C987" s="326"/>
      <c r="D987" s="326"/>
      <c r="E987" s="326" t="s">
        <v>1956</v>
      </c>
      <c r="F987" s="336"/>
      <c r="G987" s="327"/>
      <c r="H987" s="328"/>
      <c r="I987" s="329"/>
      <c r="J987" s="338">
        <v>0</v>
      </c>
      <c r="K987" s="330">
        <v>0</v>
      </c>
      <c r="L987" s="330">
        <v>0</v>
      </c>
      <c r="M987" s="330">
        <v>0</v>
      </c>
      <c r="N987" s="330">
        <v>0</v>
      </c>
      <c r="O987" s="330">
        <v>0</v>
      </c>
      <c r="P987" s="330">
        <v>0</v>
      </c>
      <c r="Q987" s="330">
        <v>0</v>
      </c>
      <c r="R987" s="330">
        <v>0</v>
      </c>
      <c r="S987" s="330">
        <v>0</v>
      </c>
      <c r="T987" s="330">
        <v>0</v>
      </c>
      <c r="U987" s="331">
        <v>0</v>
      </c>
      <c r="V987" s="332">
        <v>0</v>
      </c>
      <c r="W987" s="333"/>
      <c r="X987" s="334">
        <v>0</v>
      </c>
      <c r="Y987" s="335">
        <v>0</v>
      </c>
    </row>
    <row r="988" spans="1:25" x14ac:dyDescent="0.3">
      <c r="A988" s="326"/>
      <c r="B988" s="326"/>
      <c r="C988" s="326"/>
      <c r="D988" s="326"/>
      <c r="E988" s="326" t="s">
        <v>1957</v>
      </c>
      <c r="F988" s="336"/>
      <c r="G988" s="327"/>
      <c r="H988" s="328"/>
      <c r="I988" s="329"/>
      <c r="J988" s="338">
        <v>0</v>
      </c>
      <c r="K988" s="330">
        <v>0</v>
      </c>
      <c r="L988" s="330">
        <v>0</v>
      </c>
      <c r="M988" s="330">
        <v>0</v>
      </c>
      <c r="N988" s="330">
        <v>0</v>
      </c>
      <c r="O988" s="330">
        <v>0</v>
      </c>
      <c r="P988" s="330">
        <v>0</v>
      </c>
      <c r="Q988" s="330">
        <v>0</v>
      </c>
      <c r="R988" s="330">
        <v>0</v>
      </c>
      <c r="S988" s="330">
        <v>0</v>
      </c>
      <c r="T988" s="330">
        <v>0</v>
      </c>
      <c r="U988" s="331">
        <v>0</v>
      </c>
      <c r="V988" s="332">
        <v>0</v>
      </c>
      <c r="W988" s="333"/>
      <c r="X988" s="334">
        <v>0</v>
      </c>
      <c r="Y988" s="335">
        <v>0</v>
      </c>
    </row>
    <row r="989" spans="1:25" x14ac:dyDescent="0.3">
      <c r="A989" s="233"/>
      <c r="B989" s="234" t="s">
        <v>74</v>
      </c>
      <c r="D989" s="293" t="s">
        <v>1958</v>
      </c>
      <c r="E989" s="294"/>
      <c r="F989" s="295" t="s">
        <v>1959</v>
      </c>
      <c r="G989" s="296"/>
      <c r="H989" s="297"/>
      <c r="I989" s="298"/>
      <c r="J989" s="299">
        <v>0</v>
      </c>
      <c r="K989" s="300">
        <v>0</v>
      </c>
      <c r="L989" s="300">
        <v>0</v>
      </c>
      <c r="M989" s="300">
        <v>0</v>
      </c>
      <c r="N989" s="300">
        <v>0</v>
      </c>
      <c r="O989" s="300">
        <v>0</v>
      </c>
      <c r="P989" s="300">
        <v>0</v>
      </c>
      <c r="Q989" s="300">
        <v>0</v>
      </c>
      <c r="R989" s="300">
        <v>0</v>
      </c>
      <c r="S989" s="300">
        <v>0</v>
      </c>
      <c r="T989" s="300">
        <v>0</v>
      </c>
      <c r="U989" s="301">
        <v>0</v>
      </c>
      <c r="V989" s="302">
        <v>0</v>
      </c>
      <c r="W989" s="303"/>
      <c r="X989" s="304">
        <v>0</v>
      </c>
      <c r="Y989" s="305">
        <v>0</v>
      </c>
    </row>
    <row r="990" spans="1:25" x14ac:dyDescent="0.3">
      <c r="A990" s="250"/>
      <c r="B990" s="250"/>
      <c r="C990" s="250"/>
      <c r="D990" s="250"/>
      <c r="E990" s="250" t="s">
        <v>1960</v>
      </c>
      <c r="F990" s="376">
        <v>4503089</v>
      </c>
      <c r="G990" s="377"/>
      <c r="H990" s="378">
        <v>7301090101</v>
      </c>
      <c r="I990" s="379"/>
      <c r="J990" s="391">
        <v>0</v>
      </c>
      <c r="K990" s="392">
        <v>0</v>
      </c>
      <c r="L990" s="392">
        <v>0</v>
      </c>
      <c r="M990" s="392">
        <v>0</v>
      </c>
      <c r="N990" s="392">
        <v>0</v>
      </c>
      <c r="O990" s="392">
        <v>0</v>
      </c>
      <c r="P990" s="392">
        <v>0</v>
      </c>
      <c r="Q990" s="392">
        <v>0</v>
      </c>
      <c r="R990" s="392">
        <v>0</v>
      </c>
      <c r="S990" s="392">
        <v>0</v>
      </c>
      <c r="T990" s="392">
        <v>0</v>
      </c>
      <c r="U990" s="393">
        <v>0</v>
      </c>
      <c r="V990" s="394">
        <v>0</v>
      </c>
      <c r="W990" s="395"/>
      <c r="X990" s="396">
        <v>0</v>
      </c>
      <c r="Y990" s="397">
        <v>0</v>
      </c>
    </row>
    <row r="991" spans="1:25" x14ac:dyDescent="0.3">
      <c r="A991" s="250"/>
      <c r="B991" s="250"/>
      <c r="C991" s="250"/>
      <c r="D991" s="250"/>
      <c r="E991" s="250" t="s">
        <v>1961</v>
      </c>
      <c r="F991" s="376">
        <v>4503091</v>
      </c>
      <c r="G991" s="377"/>
      <c r="H991" s="378"/>
      <c r="I991" s="379"/>
      <c r="J991" s="391">
        <v>0</v>
      </c>
      <c r="K991" s="392">
        <v>0</v>
      </c>
      <c r="L991" s="392">
        <v>0</v>
      </c>
      <c r="M991" s="392">
        <v>0</v>
      </c>
      <c r="N991" s="392">
        <v>0</v>
      </c>
      <c r="O991" s="392">
        <v>0</v>
      </c>
      <c r="P991" s="392">
        <v>0</v>
      </c>
      <c r="Q991" s="392">
        <v>0</v>
      </c>
      <c r="R991" s="392">
        <v>0</v>
      </c>
      <c r="S991" s="392">
        <v>0</v>
      </c>
      <c r="T991" s="392">
        <v>0</v>
      </c>
      <c r="U991" s="393">
        <v>0</v>
      </c>
      <c r="V991" s="394">
        <v>0</v>
      </c>
      <c r="W991" s="395"/>
      <c r="X991" s="396">
        <v>0</v>
      </c>
      <c r="Y991" s="397">
        <v>0</v>
      </c>
    </row>
    <row r="992" spans="1:25" x14ac:dyDescent="0.3">
      <c r="A992" s="250"/>
      <c r="B992" s="250"/>
      <c r="C992" s="250"/>
      <c r="D992" s="250"/>
      <c r="E992" s="250" t="s">
        <v>1962</v>
      </c>
      <c r="F992" s="376">
        <v>4503092</v>
      </c>
      <c r="G992" s="377"/>
      <c r="H992" s="378"/>
      <c r="I992" s="379"/>
      <c r="J992" s="391">
        <v>0</v>
      </c>
      <c r="K992" s="392">
        <v>0</v>
      </c>
      <c r="L992" s="392">
        <v>0</v>
      </c>
      <c r="M992" s="392">
        <v>0</v>
      </c>
      <c r="N992" s="392">
        <v>0</v>
      </c>
      <c r="O992" s="392">
        <v>0</v>
      </c>
      <c r="P992" s="392">
        <v>0</v>
      </c>
      <c r="Q992" s="392">
        <v>0</v>
      </c>
      <c r="R992" s="392">
        <v>0</v>
      </c>
      <c r="S992" s="392">
        <v>0</v>
      </c>
      <c r="T992" s="392">
        <v>0</v>
      </c>
      <c r="U992" s="393">
        <v>0</v>
      </c>
      <c r="V992" s="394">
        <v>0</v>
      </c>
      <c r="W992" s="395"/>
      <c r="X992" s="396">
        <v>0</v>
      </c>
      <c r="Y992" s="397">
        <v>0</v>
      </c>
    </row>
    <row r="993" spans="1:25" x14ac:dyDescent="0.3">
      <c r="A993" s="350"/>
      <c r="B993" s="350"/>
      <c r="C993" s="350"/>
      <c r="D993" s="350"/>
      <c r="E993" s="350" t="s">
        <v>1963</v>
      </c>
      <c r="F993" s="306">
        <v>4503093</v>
      </c>
      <c r="G993" s="307"/>
      <c r="H993" s="308"/>
      <c r="I993" s="309"/>
      <c r="J993" s="310">
        <v>0</v>
      </c>
      <c r="K993" s="311">
        <v>0</v>
      </c>
      <c r="L993" s="311">
        <v>0</v>
      </c>
      <c r="M993" s="311">
        <v>0</v>
      </c>
      <c r="N993" s="311">
        <v>0</v>
      </c>
      <c r="O993" s="311">
        <v>0</v>
      </c>
      <c r="P993" s="311">
        <v>0</v>
      </c>
      <c r="Q993" s="311">
        <v>0</v>
      </c>
      <c r="R993" s="311">
        <v>0</v>
      </c>
      <c r="S993" s="311">
        <v>0</v>
      </c>
      <c r="T993" s="311">
        <v>0</v>
      </c>
      <c r="U993" s="312">
        <v>0</v>
      </c>
      <c r="V993" s="313">
        <v>0</v>
      </c>
      <c r="W993" s="314"/>
      <c r="X993" s="315">
        <v>0</v>
      </c>
      <c r="Y993" s="316">
        <v>0</v>
      </c>
    </row>
    <row r="994" spans="1:25" x14ac:dyDescent="0.3">
      <c r="A994" s="350"/>
      <c r="B994" s="350"/>
      <c r="C994" s="350"/>
      <c r="D994" s="350"/>
      <c r="E994" s="350" t="s">
        <v>1964</v>
      </c>
      <c r="F994" s="306">
        <v>4503094</v>
      </c>
      <c r="G994" s="307"/>
      <c r="H994" s="308"/>
      <c r="I994" s="309"/>
      <c r="J994" s="310">
        <v>0</v>
      </c>
      <c r="K994" s="311">
        <v>0</v>
      </c>
      <c r="L994" s="311">
        <v>0</v>
      </c>
      <c r="M994" s="311">
        <v>0</v>
      </c>
      <c r="N994" s="311">
        <v>0</v>
      </c>
      <c r="O994" s="311">
        <v>0</v>
      </c>
      <c r="P994" s="311">
        <v>0</v>
      </c>
      <c r="Q994" s="311">
        <v>0</v>
      </c>
      <c r="R994" s="311">
        <v>0</v>
      </c>
      <c r="S994" s="311">
        <v>0</v>
      </c>
      <c r="T994" s="311">
        <v>0</v>
      </c>
      <c r="U994" s="312">
        <v>0</v>
      </c>
      <c r="V994" s="313">
        <v>0</v>
      </c>
      <c r="W994" s="314"/>
      <c r="X994" s="315">
        <v>0</v>
      </c>
      <c r="Y994" s="316">
        <v>0</v>
      </c>
    </row>
    <row r="995" spans="1:25" x14ac:dyDescent="0.3">
      <c r="A995" s="361"/>
      <c r="B995" s="361"/>
      <c r="C995" s="361"/>
      <c r="D995" s="361"/>
      <c r="E995" s="361" t="s">
        <v>1965</v>
      </c>
      <c r="F995" s="351"/>
      <c r="G995" s="352"/>
      <c r="H995" s="353"/>
      <c r="I995" s="354"/>
      <c r="J995" s="362">
        <v>0</v>
      </c>
      <c r="K995" s="355">
        <v>0</v>
      </c>
      <c r="L995" s="355">
        <v>0</v>
      </c>
      <c r="M995" s="355">
        <v>0</v>
      </c>
      <c r="N995" s="355">
        <v>0</v>
      </c>
      <c r="O995" s="355">
        <v>0</v>
      </c>
      <c r="P995" s="355">
        <v>0</v>
      </c>
      <c r="Q995" s="355">
        <v>0</v>
      </c>
      <c r="R995" s="355">
        <v>0</v>
      </c>
      <c r="S995" s="355">
        <v>0</v>
      </c>
      <c r="T995" s="355">
        <v>0</v>
      </c>
      <c r="U995" s="356">
        <v>0</v>
      </c>
      <c r="V995" s="357">
        <v>0</v>
      </c>
      <c r="W995" s="358"/>
      <c r="X995" s="359">
        <v>0</v>
      </c>
      <c r="Y995" s="360">
        <v>0</v>
      </c>
    </row>
    <row r="996" spans="1:25" x14ac:dyDescent="0.3">
      <c r="A996" s="361"/>
      <c r="B996" s="361"/>
      <c r="C996" s="361"/>
      <c r="D996" s="361"/>
      <c r="E996" s="361" t="s">
        <v>1966</v>
      </c>
      <c r="F996" s="351"/>
      <c r="G996" s="352"/>
      <c r="H996" s="353"/>
      <c r="I996" s="354"/>
      <c r="J996" s="362">
        <v>0</v>
      </c>
      <c r="K996" s="355">
        <v>0</v>
      </c>
      <c r="L996" s="355">
        <v>0</v>
      </c>
      <c r="M996" s="355">
        <v>0</v>
      </c>
      <c r="N996" s="355">
        <v>0</v>
      </c>
      <c r="O996" s="355">
        <v>0</v>
      </c>
      <c r="P996" s="355">
        <v>0</v>
      </c>
      <c r="Q996" s="355">
        <v>0</v>
      </c>
      <c r="R996" s="355">
        <v>0</v>
      </c>
      <c r="S996" s="355">
        <v>0</v>
      </c>
      <c r="T996" s="355">
        <v>0</v>
      </c>
      <c r="U996" s="356">
        <v>0</v>
      </c>
      <c r="V996" s="357">
        <v>0</v>
      </c>
      <c r="W996" s="358"/>
      <c r="X996" s="359">
        <v>0</v>
      </c>
      <c r="Y996" s="360">
        <v>0</v>
      </c>
    </row>
    <row r="997" spans="1:25" x14ac:dyDescent="0.3">
      <c r="A997" s="361"/>
      <c r="B997" s="361"/>
      <c r="C997" s="361"/>
      <c r="D997" s="361"/>
      <c r="E997" s="361" t="s">
        <v>1967</v>
      </c>
      <c r="F997" s="351"/>
      <c r="G997" s="352"/>
      <c r="H997" s="353"/>
      <c r="I997" s="354"/>
      <c r="J997" s="362">
        <v>0</v>
      </c>
      <c r="K997" s="355">
        <v>0</v>
      </c>
      <c r="L997" s="355">
        <v>0</v>
      </c>
      <c r="M997" s="355">
        <v>0</v>
      </c>
      <c r="N997" s="355">
        <v>0</v>
      </c>
      <c r="O997" s="355">
        <v>0</v>
      </c>
      <c r="P997" s="355">
        <v>0</v>
      </c>
      <c r="Q997" s="355">
        <v>0</v>
      </c>
      <c r="R997" s="355">
        <v>0</v>
      </c>
      <c r="S997" s="355">
        <v>0</v>
      </c>
      <c r="T997" s="355">
        <v>0</v>
      </c>
      <c r="U997" s="356">
        <v>0</v>
      </c>
      <c r="V997" s="357">
        <v>0</v>
      </c>
      <c r="W997" s="358"/>
      <c r="X997" s="359">
        <v>0</v>
      </c>
      <c r="Y997" s="360">
        <v>0</v>
      </c>
    </row>
    <row r="998" spans="1:25" x14ac:dyDescent="0.3">
      <c r="A998" s="233"/>
      <c r="B998" s="234" t="s">
        <v>74</v>
      </c>
      <c r="D998" s="293" t="s">
        <v>1968</v>
      </c>
      <c r="E998" s="294"/>
      <c r="F998" s="295" t="s">
        <v>1969</v>
      </c>
      <c r="G998" s="296"/>
      <c r="H998" s="297"/>
      <c r="I998" s="298"/>
      <c r="J998" s="299">
        <v>0</v>
      </c>
      <c r="K998" s="300">
        <v>0</v>
      </c>
      <c r="L998" s="300">
        <v>0</v>
      </c>
      <c r="M998" s="300">
        <v>0</v>
      </c>
      <c r="N998" s="300">
        <v>0</v>
      </c>
      <c r="O998" s="300">
        <v>0</v>
      </c>
      <c r="P998" s="300">
        <v>0</v>
      </c>
      <c r="Q998" s="300">
        <v>0</v>
      </c>
      <c r="R998" s="300">
        <v>0</v>
      </c>
      <c r="S998" s="300">
        <v>0</v>
      </c>
      <c r="T998" s="300">
        <v>0</v>
      </c>
      <c r="U998" s="301">
        <v>0</v>
      </c>
      <c r="V998" s="302">
        <v>0</v>
      </c>
      <c r="W998" s="303"/>
      <c r="X998" s="304">
        <v>0</v>
      </c>
      <c r="Y998" s="305">
        <v>0</v>
      </c>
    </row>
    <row r="999" spans="1:25" x14ac:dyDescent="0.3">
      <c r="A999" s="250"/>
      <c r="B999" s="250"/>
      <c r="C999" s="250"/>
      <c r="D999" s="250"/>
      <c r="E999" s="250" t="s">
        <v>1970</v>
      </c>
      <c r="F999" s="376">
        <v>4507501</v>
      </c>
      <c r="G999" s="377"/>
      <c r="H999" s="378">
        <v>7301190101</v>
      </c>
      <c r="I999" s="379"/>
      <c r="J999" s="391">
        <v>0</v>
      </c>
      <c r="K999" s="392">
        <v>0</v>
      </c>
      <c r="L999" s="392">
        <v>0</v>
      </c>
      <c r="M999" s="392">
        <v>0</v>
      </c>
      <c r="N999" s="392">
        <v>0</v>
      </c>
      <c r="O999" s="392">
        <v>0</v>
      </c>
      <c r="P999" s="392">
        <v>0</v>
      </c>
      <c r="Q999" s="392">
        <v>0</v>
      </c>
      <c r="R999" s="392">
        <v>0</v>
      </c>
      <c r="S999" s="392">
        <v>0</v>
      </c>
      <c r="T999" s="392">
        <v>0</v>
      </c>
      <c r="U999" s="393">
        <v>0</v>
      </c>
      <c r="V999" s="394">
        <v>0</v>
      </c>
      <c r="W999" s="395"/>
      <c r="X999" s="396">
        <v>0</v>
      </c>
      <c r="Y999" s="397">
        <v>0</v>
      </c>
    </row>
    <row r="1000" spans="1:25" x14ac:dyDescent="0.3">
      <c r="A1000" s="350"/>
      <c r="B1000" s="350"/>
      <c r="C1000" s="350"/>
      <c r="D1000" s="350"/>
      <c r="E1000" s="350" t="s">
        <v>1971</v>
      </c>
      <c r="F1000" s="306">
        <v>4507502</v>
      </c>
      <c r="G1000" s="307"/>
      <c r="H1000" s="308"/>
      <c r="I1000" s="309"/>
      <c r="J1000" s="310">
        <v>0</v>
      </c>
      <c r="K1000" s="311">
        <v>0</v>
      </c>
      <c r="L1000" s="311">
        <v>0</v>
      </c>
      <c r="M1000" s="311">
        <v>0</v>
      </c>
      <c r="N1000" s="311">
        <v>0</v>
      </c>
      <c r="O1000" s="311">
        <v>0</v>
      </c>
      <c r="P1000" s="311">
        <v>0</v>
      </c>
      <c r="Q1000" s="311">
        <v>0</v>
      </c>
      <c r="R1000" s="311">
        <v>0</v>
      </c>
      <c r="S1000" s="311">
        <v>0</v>
      </c>
      <c r="T1000" s="311">
        <v>0</v>
      </c>
      <c r="U1000" s="312">
        <v>0</v>
      </c>
      <c r="V1000" s="313">
        <v>0</v>
      </c>
      <c r="W1000" s="314"/>
      <c r="X1000" s="315">
        <v>0</v>
      </c>
      <c r="Y1000" s="316">
        <v>0</v>
      </c>
    </row>
    <row r="1001" spans="1:25" x14ac:dyDescent="0.3">
      <c r="A1001" s="350"/>
      <c r="B1001" s="350"/>
      <c r="C1001" s="350"/>
      <c r="D1001" s="350"/>
      <c r="E1001" s="350" t="s">
        <v>1972</v>
      </c>
      <c r="F1001" s="306">
        <v>4507503</v>
      </c>
      <c r="G1001" s="307"/>
      <c r="H1001" s="308"/>
      <c r="I1001" s="309"/>
      <c r="J1001" s="310">
        <v>0</v>
      </c>
      <c r="K1001" s="311">
        <v>0</v>
      </c>
      <c r="L1001" s="311">
        <v>0</v>
      </c>
      <c r="M1001" s="311">
        <v>0</v>
      </c>
      <c r="N1001" s="311">
        <v>0</v>
      </c>
      <c r="O1001" s="311">
        <v>0</v>
      </c>
      <c r="P1001" s="311">
        <v>0</v>
      </c>
      <c r="Q1001" s="311">
        <v>0</v>
      </c>
      <c r="R1001" s="311">
        <v>0</v>
      </c>
      <c r="S1001" s="311">
        <v>0</v>
      </c>
      <c r="T1001" s="311">
        <v>0</v>
      </c>
      <c r="U1001" s="312">
        <v>0</v>
      </c>
      <c r="V1001" s="313">
        <v>0</v>
      </c>
      <c r="W1001" s="314"/>
      <c r="X1001" s="315">
        <v>0</v>
      </c>
      <c r="Y1001" s="316">
        <v>0</v>
      </c>
    </row>
    <row r="1002" spans="1:25" x14ac:dyDescent="0.3">
      <c r="A1002" s="350"/>
      <c r="B1002" s="350"/>
      <c r="C1002" s="350"/>
      <c r="D1002" s="350"/>
      <c r="E1002" s="350" t="s">
        <v>1973</v>
      </c>
      <c r="F1002" s="306">
        <v>4507504</v>
      </c>
      <c r="G1002" s="307"/>
      <c r="H1002" s="308"/>
      <c r="I1002" s="309"/>
      <c r="J1002" s="310">
        <v>0</v>
      </c>
      <c r="K1002" s="311">
        <v>0</v>
      </c>
      <c r="L1002" s="311">
        <v>0</v>
      </c>
      <c r="M1002" s="311">
        <v>0</v>
      </c>
      <c r="N1002" s="311">
        <v>0</v>
      </c>
      <c r="O1002" s="311">
        <v>0</v>
      </c>
      <c r="P1002" s="311">
        <v>0</v>
      </c>
      <c r="Q1002" s="311">
        <v>0</v>
      </c>
      <c r="R1002" s="311">
        <v>0</v>
      </c>
      <c r="S1002" s="311">
        <v>0</v>
      </c>
      <c r="T1002" s="311">
        <v>0</v>
      </c>
      <c r="U1002" s="312">
        <v>0</v>
      </c>
      <c r="V1002" s="313">
        <v>0</v>
      </c>
      <c r="W1002" s="314"/>
      <c r="X1002" s="315">
        <v>0</v>
      </c>
      <c r="Y1002" s="316">
        <v>0</v>
      </c>
    </row>
    <row r="1003" spans="1:25" x14ac:dyDescent="0.3">
      <c r="A1003" s="350"/>
      <c r="B1003" s="350"/>
      <c r="C1003" s="350"/>
      <c r="D1003" s="350"/>
      <c r="E1003" s="350" t="s">
        <v>1974</v>
      </c>
      <c r="F1003" s="306">
        <v>4507505</v>
      </c>
      <c r="G1003" s="307"/>
      <c r="H1003" s="308"/>
      <c r="I1003" s="309"/>
      <c r="J1003" s="310">
        <v>0</v>
      </c>
      <c r="K1003" s="311">
        <v>0</v>
      </c>
      <c r="L1003" s="311">
        <v>0</v>
      </c>
      <c r="M1003" s="311">
        <v>0</v>
      </c>
      <c r="N1003" s="311">
        <v>0</v>
      </c>
      <c r="O1003" s="311">
        <v>0</v>
      </c>
      <c r="P1003" s="311">
        <v>0</v>
      </c>
      <c r="Q1003" s="311">
        <v>0</v>
      </c>
      <c r="R1003" s="311">
        <v>0</v>
      </c>
      <c r="S1003" s="311">
        <v>0</v>
      </c>
      <c r="T1003" s="311">
        <v>0</v>
      </c>
      <c r="U1003" s="312">
        <v>0</v>
      </c>
      <c r="V1003" s="313">
        <v>0</v>
      </c>
      <c r="W1003" s="314"/>
      <c r="X1003" s="315">
        <v>0</v>
      </c>
      <c r="Y1003" s="316">
        <v>0</v>
      </c>
    </row>
    <row r="1004" spans="1:25" x14ac:dyDescent="0.3">
      <c r="A1004" s="350"/>
      <c r="B1004" s="350"/>
      <c r="C1004" s="350"/>
      <c r="D1004" s="350"/>
      <c r="E1004" s="350" t="s">
        <v>1975</v>
      </c>
      <c r="F1004" s="306">
        <v>4507506</v>
      </c>
      <c r="G1004" s="307"/>
      <c r="H1004" s="308"/>
      <c r="I1004" s="309"/>
      <c r="J1004" s="310">
        <v>0</v>
      </c>
      <c r="K1004" s="311">
        <v>0</v>
      </c>
      <c r="L1004" s="311">
        <v>0</v>
      </c>
      <c r="M1004" s="311">
        <v>0</v>
      </c>
      <c r="N1004" s="311">
        <v>0</v>
      </c>
      <c r="O1004" s="311">
        <v>0</v>
      </c>
      <c r="P1004" s="311">
        <v>0</v>
      </c>
      <c r="Q1004" s="311">
        <v>0</v>
      </c>
      <c r="R1004" s="311">
        <v>0</v>
      </c>
      <c r="S1004" s="311">
        <v>0</v>
      </c>
      <c r="T1004" s="311">
        <v>0</v>
      </c>
      <c r="U1004" s="312">
        <v>0</v>
      </c>
      <c r="V1004" s="313">
        <v>0</v>
      </c>
      <c r="W1004" s="314"/>
      <c r="X1004" s="315">
        <v>0</v>
      </c>
      <c r="Y1004" s="316">
        <v>0</v>
      </c>
    </row>
    <row r="1005" spans="1:25" x14ac:dyDescent="0.3">
      <c r="A1005" s="361"/>
      <c r="B1005" s="361"/>
      <c r="C1005" s="361"/>
      <c r="D1005" s="361"/>
      <c r="E1005" s="361" t="s">
        <v>1976</v>
      </c>
      <c r="F1005" s="351"/>
      <c r="G1005" s="352"/>
      <c r="H1005" s="353"/>
      <c r="I1005" s="354"/>
      <c r="J1005" s="362">
        <v>0</v>
      </c>
      <c r="K1005" s="355">
        <v>0</v>
      </c>
      <c r="L1005" s="355">
        <v>0</v>
      </c>
      <c r="M1005" s="355">
        <v>0</v>
      </c>
      <c r="N1005" s="355">
        <v>0</v>
      </c>
      <c r="O1005" s="355">
        <v>0</v>
      </c>
      <c r="P1005" s="355">
        <v>0</v>
      </c>
      <c r="Q1005" s="355">
        <v>0</v>
      </c>
      <c r="R1005" s="355">
        <v>0</v>
      </c>
      <c r="S1005" s="355">
        <v>0</v>
      </c>
      <c r="T1005" s="355">
        <v>0</v>
      </c>
      <c r="U1005" s="356">
        <v>0</v>
      </c>
      <c r="V1005" s="357">
        <v>0</v>
      </c>
      <c r="W1005" s="358"/>
      <c r="X1005" s="359">
        <v>0</v>
      </c>
      <c r="Y1005" s="360">
        <v>0</v>
      </c>
    </row>
    <row r="1006" spans="1:25" x14ac:dyDescent="0.3">
      <c r="A1006" s="361"/>
      <c r="B1006" s="361"/>
      <c r="C1006" s="361"/>
      <c r="D1006" s="361"/>
      <c r="E1006" s="361" t="s">
        <v>1977</v>
      </c>
      <c r="F1006" s="351"/>
      <c r="G1006" s="352"/>
      <c r="H1006" s="353"/>
      <c r="I1006" s="354"/>
      <c r="J1006" s="362">
        <v>0</v>
      </c>
      <c r="K1006" s="355">
        <v>0</v>
      </c>
      <c r="L1006" s="355">
        <v>0</v>
      </c>
      <c r="M1006" s="355">
        <v>0</v>
      </c>
      <c r="N1006" s="355">
        <v>0</v>
      </c>
      <c r="O1006" s="355">
        <v>0</v>
      </c>
      <c r="P1006" s="355">
        <v>0</v>
      </c>
      <c r="Q1006" s="355">
        <v>0</v>
      </c>
      <c r="R1006" s="355">
        <v>0</v>
      </c>
      <c r="S1006" s="355">
        <v>0</v>
      </c>
      <c r="T1006" s="355">
        <v>0</v>
      </c>
      <c r="U1006" s="356">
        <v>0</v>
      </c>
      <c r="V1006" s="357">
        <v>0</v>
      </c>
      <c r="W1006" s="358"/>
      <c r="X1006" s="359">
        <v>0</v>
      </c>
      <c r="Y1006" s="360">
        <v>0</v>
      </c>
    </row>
    <row r="1007" spans="1:25" x14ac:dyDescent="0.3">
      <c r="A1007" s="361"/>
      <c r="B1007" s="361"/>
      <c r="C1007" s="361"/>
      <c r="D1007" s="361"/>
      <c r="E1007" s="361" t="s">
        <v>1978</v>
      </c>
      <c r="F1007" s="351"/>
      <c r="G1007" s="352"/>
      <c r="H1007" s="353"/>
      <c r="I1007" s="354"/>
      <c r="J1007" s="362">
        <v>0</v>
      </c>
      <c r="K1007" s="355">
        <v>0</v>
      </c>
      <c r="L1007" s="355">
        <v>0</v>
      </c>
      <c r="M1007" s="355">
        <v>0</v>
      </c>
      <c r="N1007" s="355">
        <v>0</v>
      </c>
      <c r="O1007" s="355">
        <v>0</v>
      </c>
      <c r="P1007" s="355">
        <v>0</v>
      </c>
      <c r="Q1007" s="355">
        <v>0</v>
      </c>
      <c r="R1007" s="355">
        <v>0</v>
      </c>
      <c r="S1007" s="355">
        <v>0</v>
      </c>
      <c r="T1007" s="355">
        <v>0</v>
      </c>
      <c r="U1007" s="356">
        <v>0</v>
      </c>
      <c r="V1007" s="357">
        <v>0</v>
      </c>
      <c r="W1007" s="358"/>
      <c r="X1007" s="359">
        <v>0</v>
      </c>
      <c r="Y1007" s="360">
        <v>0</v>
      </c>
    </row>
    <row r="1008" spans="1:25" x14ac:dyDescent="0.3">
      <c r="B1008" s="234" t="s">
        <v>74</v>
      </c>
      <c r="D1008" s="293" t="s">
        <v>1979</v>
      </c>
      <c r="E1008" s="294"/>
      <c r="F1008" s="295" t="s">
        <v>1980</v>
      </c>
      <c r="G1008" s="296"/>
      <c r="H1008" s="297"/>
      <c r="I1008" s="298"/>
      <c r="J1008" s="299">
        <v>0</v>
      </c>
      <c r="K1008" s="300">
        <v>0</v>
      </c>
      <c r="L1008" s="300">
        <v>0</v>
      </c>
      <c r="M1008" s="300">
        <v>0</v>
      </c>
      <c r="N1008" s="300">
        <v>0</v>
      </c>
      <c r="O1008" s="300">
        <v>0</v>
      </c>
      <c r="P1008" s="300">
        <v>0</v>
      </c>
      <c r="Q1008" s="300">
        <v>0</v>
      </c>
      <c r="R1008" s="300">
        <v>0</v>
      </c>
      <c r="S1008" s="300">
        <v>0</v>
      </c>
      <c r="T1008" s="300">
        <v>0</v>
      </c>
      <c r="U1008" s="301">
        <v>0</v>
      </c>
      <c r="V1008" s="302">
        <v>0</v>
      </c>
      <c r="W1008" s="303"/>
      <c r="X1008" s="304">
        <v>0</v>
      </c>
      <c r="Y1008" s="305">
        <v>0</v>
      </c>
    </row>
    <row r="1009" spans="1:25" x14ac:dyDescent="0.3">
      <c r="A1009" s="350"/>
      <c r="B1009" s="350"/>
      <c r="C1009" s="350"/>
      <c r="D1009" s="350"/>
      <c r="E1009" s="350" t="s">
        <v>1981</v>
      </c>
      <c r="F1009" s="306">
        <v>4508700</v>
      </c>
      <c r="G1009" s="307"/>
      <c r="H1009" s="308"/>
      <c r="I1009" s="309"/>
      <c r="J1009" s="310">
        <v>0</v>
      </c>
      <c r="K1009" s="311">
        <v>0</v>
      </c>
      <c r="L1009" s="311">
        <v>0</v>
      </c>
      <c r="M1009" s="311">
        <v>0</v>
      </c>
      <c r="N1009" s="311">
        <v>0</v>
      </c>
      <c r="O1009" s="311">
        <v>0</v>
      </c>
      <c r="P1009" s="311">
        <v>0</v>
      </c>
      <c r="Q1009" s="311">
        <v>0</v>
      </c>
      <c r="R1009" s="311">
        <v>0</v>
      </c>
      <c r="S1009" s="311">
        <v>0</v>
      </c>
      <c r="T1009" s="311">
        <v>0</v>
      </c>
      <c r="U1009" s="312">
        <v>0</v>
      </c>
      <c r="V1009" s="313">
        <v>0</v>
      </c>
      <c r="W1009" s="314"/>
      <c r="X1009" s="315">
        <v>0</v>
      </c>
      <c r="Y1009" s="316">
        <v>0</v>
      </c>
    </row>
    <row r="1010" spans="1:25" x14ac:dyDescent="0.3">
      <c r="A1010" s="361"/>
      <c r="B1010" s="361"/>
      <c r="C1010" s="361"/>
      <c r="D1010" s="361"/>
      <c r="E1010" s="361" t="s">
        <v>1982</v>
      </c>
      <c r="F1010" s="351"/>
      <c r="G1010" s="352"/>
      <c r="H1010" s="353"/>
      <c r="I1010" s="354"/>
      <c r="J1010" s="362">
        <v>0</v>
      </c>
      <c r="K1010" s="355">
        <v>0</v>
      </c>
      <c r="L1010" s="355">
        <v>0</v>
      </c>
      <c r="M1010" s="355">
        <v>0</v>
      </c>
      <c r="N1010" s="355">
        <v>0</v>
      </c>
      <c r="O1010" s="355">
        <v>0</v>
      </c>
      <c r="P1010" s="355">
        <v>0</v>
      </c>
      <c r="Q1010" s="355">
        <v>0</v>
      </c>
      <c r="R1010" s="355">
        <v>0</v>
      </c>
      <c r="S1010" s="355">
        <v>0</v>
      </c>
      <c r="T1010" s="355">
        <v>0</v>
      </c>
      <c r="U1010" s="356">
        <v>0</v>
      </c>
      <c r="V1010" s="357">
        <v>0</v>
      </c>
      <c r="W1010" s="358"/>
      <c r="X1010" s="359">
        <v>0</v>
      </c>
      <c r="Y1010" s="360">
        <v>0</v>
      </c>
    </row>
    <row r="1011" spans="1:25" x14ac:dyDescent="0.3">
      <c r="A1011" s="361"/>
      <c r="B1011" s="361"/>
      <c r="C1011" s="361"/>
      <c r="D1011" s="361"/>
      <c r="E1011" s="361" t="s">
        <v>1983</v>
      </c>
      <c r="F1011" s="351"/>
      <c r="G1011" s="352"/>
      <c r="H1011" s="353"/>
      <c r="I1011" s="354"/>
      <c r="J1011" s="362">
        <v>0</v>
      </c>
      <c r="K1011" s="355">
        <v>0</v>
      </c>
      <c r="L1011" s="355">
        <v>0</v>
      </c>
      <c r="M1011" s="355">
        <v>0</v>
      </c>
      <c r="N1011" s="355">
        <v>0</v>
      </c>
      <c r="O1011" s="355">
        <v>0</v>
      </c>
      <c r="P1011" s="355">
        <v>0</v>
      </c>
      <c r="Q1011" s="355">
        <v>0</v>
      </c>
      <c r="R1011" s="355">
        <v>0</v>
      </c>
      <c r="S1011" s="355">
        <v>0</v>
      </c>
      <c r="T1011" s="355">
        <v>0</v>
      </c>
      <c r="U1011" s="356">
        <v>0</v>
      </c>
      <c r="V1011" s="357">
        <v>0</v>
      </c>
      <c r="W1011" s="358"/>
      <c r="X1011" s="359">
        <v>0</v>
      </c>
      <c r="Y1011" s="360">
        <v>0</v>
      </c>
    </row>
    <row r="1012" spans="1:25" x14ac:dyDescent="0.3">
      <c r="A1012" s="361"/>
      <c r="B1012" s="361"/>
      <c r="C1012" s="361"/>
      <c r="D1012" s="361"/>
      <c r="E1012" s="361" t="s">
        <v>1984</v>
      </c>
      <c r="F1012" s="351"/>
      <c r="G1012" s="352"/>
      <c r="H1012" s="353"/>
      <c r="I1012" s="354"/>
      <c r="J1012" s="362">
        <v>0</v>
      </c>
      <c r="K1012" s="355">
        <v>0</v>
      </c>
      <c r="L1012" s="355">
        <v>0</v>
      </c>
      <c r="M1012" s="355">
        <v>0</v>
      </c>
      <c r="N1012" s="355">
        <v>0</v>
      </c>
      <c r="O1012" s="355">
        <v>0</v>
      </c>
      <c r="P1012" s="355">
        <v>0</v>
      </c>
      <c r="Q1012" s="355">
        <v>0</v>
      </c>
      <c r="R1012" s="355">
        <v>0</v>
      </c>
      <c r="S1012" s="355">
        <v>0</v>
      </c>
      <c r="T1012" s="355">
        <v>0</v>
      </c>
      <c r="U1012" s="356">
        <v>0</v>
      </c>
      <c r="V1012" s="357">
        <v>0</v>
      </c>
      <c r="W1012" s="358"/>
      <c r="X1012" s="359">
        <v>0</v>
      </c>
      <c r="Y1012" s="360">
        <v>0</v>
      </c>
    </row>
    <row r="1013" spans="1:25" x14ac:dyDescent="0.3">
      <c r="A1013" s="233"/>
      <c r="B1013" s="234" t="s">
        <v>74</v>
      </c>
      <c r="D1013" s="293" t="s">
        <v>1985</v>
      </c>
      <c r="E1013" s="294"/>
      <c r="F1013" s="295" t="s">
        <v>1986</v>
      </c>
      <c r="G1013" s="296"/>
      <c r="H1013" s="297"/>
      <c r="I1013" s="298"/>
      <c r="J1013" s="299">
        <v>0</v>
      </c>
      <c r="K1013" s="300">
        <v>0</v>
      </c>
      <c r="L1013" s="300">
        <v>0</v>
      </c>
      <c r="M1013" s="300">
        <v>0</v>
      </c>
      <c r="N1013" s="300">
        <v>0</v>
      </c>
      <c r="O1013" s="300">
        <v>0</v>
      </c>
      <c r="P1013" s="300">
        <v>0</v>
      </c>
      <c r="Q1013" s="300">
        <v>0</v>
      </c>
      <c r="R1013" s="300">
        <v>0</v>
      </c>
      <c r="S1013" s="300">
        <v>0</v>
      </c>
      <c r="T1013" s="300">
        <v>0</v>
      </c>
      <c r="U1013" s="301">
        <v>0</v>
      </c>
      <c r="V1013" s="302">
        <v>0</v>
      </c>
      <c r="W1013" s="303"/>
      <c r="X1013" s="304">
        <v>0</v>
      </c>
      <c r="Y1013" s="305">
        <v>0</v>
      </c>
    </row>
    <row r="1014" spans="1:25" x14ac:dyDescent="0.3">
      <c r="E1014" s="250" t="s">
        <v>1987</v>
      </c>
      <c r="F1014" s="317">
        <v>4503088</v>
      </c>
      <c r="G1014" s="318"/>
      <c r="H1014" s="319">
        <v>7301100000</v>
      </c>
      <c r="I1014" s="320"/>
      <c r="J1014" s="337">
        <v>0</v>
      </c>
      <c r="K1014" s="321">
        <v>0</v>
      </c>
      <c r="L1014" s="321">
        <v>0</v>
      </c>
      <c r="M1014" s="321">
        <v>0</v>
      </c>
      <c r="N1014" s="321">
        <v>0</v>
      </c>
      <c r="O1014" s="321">
        <v>0</v>
      </c>
      <c r="P1014" s="321">
        <v>0</v>
      </c>
      <c r="Q1014" s="321">
        <v>0</v>
      </c>
      <c r="R1014" s="321">
        <v>0</v>
      </c>
      <c r="S1014" s="321">
        <v>0</v>
      </c>
      <c r="T1014" s="321">
        <v>0</v>
      </c>
      <c r="U1014" s="322">
        <v>0</v>
      </c>
      <c r="V1014" s="323">
        <v>0</v>
      </c>
      <c r="W1014" s="303"/>
      <c r="X1014" s="324">
        <v>0</v>
      </c>
      <c r="Y1014" s="325">
        <v>0</v>
      </c>
    </row>
    <row r="1015" spans="1:25" x14ac:dyDescent="0.3">
      <c r="E1015" s="250" t="s">
        <v>1988</v>
      </c>
      <c r="F1015" s="317">
        <v>4503501</v>
      </c>
      <c r="G1015" s="318"/>
      <c r="H1015" s="319">
        <v>7301310201</v>
      </c>
      <c r="I1015" s="320"/>
      <c r="J1015" s="337">
        <v>0</v>
      </c>
      <c r="K1015" s="321">
        <v>0</v>
      </c>
      <c r="L1015" s="321">
        <v>0</v>
      </c>
      <c r="M1015" s="321">
        <v>0</v>
      </c>
      <c r="N1015" s="321">
        <v>0</v>
      </c>
      <c r="O1015" s="321">
        <v>0</v>
      </c>
      <c r="P1015" s="321">
        <v>0</v>
      </c>
      <c r="Q1015" s="321">
        <v>0</v>
      </c>
      <c r="R1015" s="321">
        <v>0</v>
      </c>
      <c r="S1015" s="321">
        <v>0</v>
      </c>
      <c r="T1015" s="321">
        <v>0</v>
      </c>
      <c r="U1015" s="322">
        <v>0</v>
      </c>
      <c r="V1015" s="323">
        <v>0</v>
      </c>
      <c r="W1015" s="303"/>
      <c r="X1015" s="324">
        <v>0</v>
      </c>
      <c r="Y1015" s="325">
        <v>0</v>
      </c>
    </row>
    <row r="1016" spans="1:25" x14ac:dyDescent="0.3">
      <c r="E1016" s="250" t="s">
        <v>1989</v>
      </c>
      <c r="F1016" s="317">
        <v>4503502</v>
      </c>
      <c r="G1016" s="318"/>
      <c r="H1016" s="319">
        <v>7301310301</v>
      </c>
      <c r="I1016" s="320"/>
      <c r="J1016" s="337">
        <v>0</v>
      </c>
      <c r="K1016" s="321">
        <v>0</v>
      </c>
      <c r="L1016" s="321">
        <v>0</v>
      </c>
      <c r="M1016" s="321">
        <v>0</v>
      </c>
      <c r="N1016" s="321">
        <v>0</v>
      </c>
      <c r="O1016" s="321">
        <v>0</v>
      </c>
      <c r="P1016" s="321">
        <v>0</v>
      </c>
      <c r="Q1016" s="321">
        <v>0</v>
      </c>
      <c r="R1016" s="321">
        <v>0</v>
      </c>
      <c r="S1016" s="321">
        <v>0</v>
      </c>
      <c r="T1016" s="321">
        <v>0</v>
      </c>
      <c r="U1016" s="322">
        <v>0</v>
      </c>
      <c r="V1016" s="323">
        <v>0</v>
      </c>
      <c r="W1016" s="303"/>
      <c r="X1016" s="324">
        <v>0</v>
      </c>
      <c r="Y1016" s="325">
        <v>0</v>
      </c>
    </row>
    <row r="1017" spans="1:25" x14ac:dyDescent="0.3">
      <c r="E1017" s="250" t="s">
        <v>1990</v>
      </c>
      <c r="F1017" s="317">
        <v>4503505</v>
      </c>
      <c r="G1017" s="318"/>
      <c r="H1017" s="319"/>
      <c r="I1017" s="320"/>
      <c r="J1017" s="337">
        <v>0</v>
      </c>
      <c r="K1017" s="321">
        <v>0</v>
      </c>
      <c r="L1017" s="321">
        <v>0</v>
      </c>
      <c r="M1017" s="321">
        <v>0</v>
      </c>
      <c r="N1017" s="321">
        <v>0</v>
      </c>
      <c r="O1017" s="321">
        <v>0</v>
      </c>
      <c r="P1017" s="321">
        <v>0</v>
      </c>
      <c r="Q1017" s="321">
        <v>0</v>
      </c>
      <c r="R1017" s="321">
        <v>0</v>
      </c>
      <c r="S1017" s="321">
        <v>0</v>
      </c>
      <c r="T1017" s="321">
        <v>0</v>
      </c>
      <c r="U1017" s="322">
        <v>0</v>
      </c>
      <c r="V1017" s="323">
        <v>0</v>
      </c>
      <c r="W1017" s="303"/>
      <c r="X1017" s="324">
        <v>0</v>
      </c>
      <c r="Y1017" s="325">
        <v>0</v>
      </c>
    </row>
    <row r="1018" spans="1:25" x14ac:dyDescent="0.3">
      <c r="E1018" s="250" t="s">
        <v>1991</v>
      </c>
      <c r="F1018" s="317">
        <v>4503506</v>
      </c>
      <c r="G1018" s="318"/>
      <c r="H1018" s="319"/>
      <c r="I1018" s="320"/>
      <c r="J1018" s="337">
        <v>0</v>
      </c>
      <c r="K1018" s="321">
        <v>0</v>
      </c>
      <c r="L1018" s="321">
        <v>0</v>
      </c>
      <c r="M1018" s="321">
        <v>0</v>
      </c>
      <c r="N1018" s="321">
        <v>0</v>
      </c>
      <c r="O1018" s="321">
        <v>0</v>
      </c>
      <c r="P1018" s="321">
        <v>0</v>
      </c>
      <c r="Q1018" s="321">
        <v>0</v>
      </c>
      <c r="R1018" s="321">
        <v>0</v>
      </c>
      <c r="S1018" s="321">
        <v>0</v>
      </c>
      <c r="T1018" s="321">
        <v>0</v>
      </c>
      <c r="U1018" s="322">
        <v>0</v>
      </c>
      <c r="V1018" s="323">
        <v>0</v>
      </c>
      <c r="W1018" s="303"/>
      <c r="X1018" s="324">
        <v>0</v>
      </c>
      <c r="Y1018" s="325">
        <v>0</v>
      </c>
    </row>
    <row r="1019" spans="1:25" x14ac:dyDescent="0.3">
      <c r="E1019" s="250" t="s">
        <v>1992</v>
      </c>
      <c r="F1019" s="317">
        <v>4503507</v>
      </c>
      <c r="G1019" s="318"/>
      <c r="H1019" s="319"/>
      <c r="I1019" s="320"/>
      <c r="J1019" s="337">
        <v>0</v>
      </c>
      <c r="K1019" s="321">
        <v>0</v>
      </c>
      <c r="L1019" s="321">
        <v>0</v>
      </c>
      <c r="M1019" s="321">
        <v>0</v>
      </c>
      <c r="N1019" s="321">
        <v>0</v>
      </c>
      <c r="O1019" s="321">
        <v>0</v>
      </c>
      <c r="P1019" s="321">
        <v>0</v>
      </c>
      <c r="Q1019" s="321">
        <v>0</v>
      </c>
      <c r="R1019" s="321">
        <v>0</v>
      </c>
      <c r="S1019" s="321">
        <v>0</v>
      </c>
      <c r="T1019" s="321">
        <v>0</v>
      </c>
      <c r="U1019" s="322">
        <v>0</v>
      </c>
      <c r="V1019" s="323">
        <v>0</v>
      </c>
      <c r="W1019" s="303"/>
      <c r="X1019" s="324">
        <v>0</v>
      </c>
      <c r="Y1019" s="325">
        <v>0</v>
      </c>
    </row>
    <row r="1020" spans="1:25" x14ac:dyDescent="0.3">
      <c r="A1020" s="326"/>
      <c r="B1020" s="326"/>
      <c r="C1020" s="326"/>
      <c r="D1020" s="326"/>
      <c r="E1020" s="250" t="s">
        <v>1993</v>
      </c>
      <c r="F1020" s="306">
        <v>4309204</v>
      </c>
      <c r="G1020" s="307"/>
      <c r="H1020" s="308">
        <v>7301310101</v>
      </c>
      <c r="I1020" s="309"/>
      <c r="J1020" s="310">
        <v>0</v>
      </c>
      <c r="K1020" s="311">
        <v>0</v>
      </c>
      <c r="L1020" s="311">
        <v>0</v>
      </c>
      <c r="M1020" s="311">
        <v>0</v>
      </c>
      <c r="N1020" s="311">
        <v>0</v>
      </c>
      <c r="O1020" s="311">
        <v>0</v>
      </c>
      <c r="P1020" s="311">
        <v>0</v>
      </c>
      <c r="Q1020" s="311">
        <v>0</v>
      </c>
      <c r="R1020" s="311">
        <v>0</v>
      </c>
      <c r="S1020" s="311">
        <v>0</v>
      </c>
      <c r="T1020" s="311">
        <v>0</v>
      </c>
      <c r="U1020" s="312">
        <v>0</v>
      </c>
      <c r="V1020" s="313">
        <v>0</v>
      </c>
      <c r="W1020" s="314"/>
      <c r="X1020" s="315">
        <v>0</v>
      </c>
      <c r="Y1020" s="316">
        <v>0</v>
      </c>
    </row>
    <row r="1021" spans="1:25" x14ac:dyDescent="0.3">
      <c r="A1021" s="326"/>
      <c r="B1021" s="326"/>
      <c r="C1021" s="326"/>
      <c r="D1021" s="326"/>
      <c r="E1021" s="250" t="s">
        <v>1994</v>
      </c>
      <c r="F1021" s="306">
        <v>4309205</v>
      </c>
      <c r="G1021" s="307"/>
      <c r="H1021" s="308"/>
      <c r="I1021" s="309"/>
      <c r="J1021" s="310">
        <v>0</v>
      </c>
      <c r="K1021" s="311">
        <v>0</v>
      </c>
      <c r="L1021" s="311">
        <v>0</v>
      </c>
      <c r="M1021" s="311">
        <v>0</v>
      </c>
      <c r="N1021" s="311">
        <v>0</v>
      </c>
      <c r="O1021" s="311">
        <v>0</v>
      </c>
      <c r="P1021" s="311">
        <v>0</v>
      </c>
      <c r="Q1021" s="311">
        <v>0</v>
      </c>
      <c r="R1021" s="311">
        <v>0</v>
      </c>
      <c r="S1021" s="311">
        <v>0</v>
      </c>
      <c r="T1021" s="311">
        <v>0</v>
      </c>
      <c r="U1021" s="312">
        <v>0</v>
      </c>
      <c r="V1021" s="313">
        <v>0</v>
      </c>
      <c r="W1021" s="314"/>
      <c r="X1021" s="315">
        <v>0</v>
      </c>
      <c r="Y1021" s="316">
        <v>0</v>
      </c>
    </row>
    <row r="1022" spans="1:25" x14ac:dyDescent="0.3">
      <c r="A1022" s="326"/>
      <c r="B1022" s="326"/>
      <c r="C1022" s="326"/>
      <c r="D1022" s="326"/>
      <c r="E1022" s="326" t="s">
        <v>1995</v>
      </c>
      <c r="F1022" s="336"/>
      <c r="G1022" s="327"/>
      <c r="H1022" s="328"/>
      <c r="I1022" s="329"/>
      <c r="J1022" s="338">
        <v>0</v>
      </c>
      <c r="K1022" s="330">
        <v>0</v>
      </c>
      <c r="L1022" s="330">
        <v>0</v>
      </c>
      <c r="M1022" s="330">
        <v>0</v>
      </c>
      <c r="N1022" s="330">
        <v>0</v>
      </c>
      <c r="O1022" s="330">
        <v>0</v>
      </c>
      <c r="P1022" s="330">
        <v>0</v>
      </c>
      <c r="Q1022" s="330">
        <v>0</v>
      </c>
      <c r="R1022" s="330">
        <v>0</v>
      </c>
      <c r="S1022" s="330">
        <v>0</v>
      </c>
      <c r="T1022" s="330">
        <v>0</v>
      </c>
      <c r="U1022" s="331">
        <v>0</v>
      </c>
      <c r="V1022" s="332">
        <v>0</v>
      </c>
      <c r="W1022" s="333"/>
      <c r="X1022" s="334">
        <v>0</v>
      </c>
      <c r="Y1022" s="335">
        <v>0</v>
      </c>
    </row>
    <row r="1023" spans="1:25" x14ac:dyDescent="0.3">
      <c r="A1023" s="233"/>
      <c r="B1023" s="234" t="s">
        <v>56</v>
      </c>
      <c r="D1023" s="293" t="s">
        <v>1996</v>
      </c>
      <c r="E1023" s="294"/>
      <c r="F1023" s="295" t="s">
        <v>1997</v>
      </c>
      <c r="G1023" s="296"/>
      <c r="H1023" s="297"/>
      <c r="I1023" s="298"/>
      <c r="J1023" s="299">
        <v>0</v>
      </c>
      <c r="K1023" s="300">
        <v>0</v>
      </c>
      <c r="L1023" s="300">
        <v>0</v>
      </c>
      <c r="M1023" s="300">
        <v>0</v>
      </c>
      <c r="N1023" s="300">
        <v>0</v>
      </c>
      <c r="O1023" s="300">
        <v>0</v>
      </c>
      <c r="P1023" s="300">
        <v>0</v>
      </c>
      <c r="Q1023" s="300">
        <v>0</v>
      </c>
      <c r="R1023" s="300">
        <v>0</v>
      </c>
      <c r="S1023" s="300">
        <v>0</v>
      </c>
      <c r="T1023" s="300">
        <v>0</v>
      </c>
      <c r="U1023" s="301">
        <v>0</v>
      </c>
      <c r="V1023" s="302">
        <v>0</v>
      </c>
      <c r="W1023" s="303"/>
      <c r="X1023" s="304">
        <v>0</v>
      </c>
      <c r="Y1023" s="305">
        <v>0</v>
      </c>
    </row>
    <row r="1024" spans="1:25" x14ac:dyDescent="0.3">
      <c r="E1024" s="250" t="s">
        <v>1998</v>
      </c>
      <c r="F1024" s="317">
        <v>4509901</v>
      </c>
      <c r="G1024" s="318"/>
      <c r="H1024" s="319">
        <v>7301990101</v>
      </c>
      <c r="I1024" s="320"/>
      <c r="J1024" s="337">
        <v>0</v>
      </c>
      <c r="K1024" s="321">
        <v>0</v>
      </c>
      <c r="L1024" s="321">
        <v>0</v>
      </c>
      <c r="M1024" s="321">
        <v>0</v>
      </c>
      <c r="N1024" s="321">
        <v>0</v>
      </c>
      <c r="O1024" s="321">
        <v>0</v>
      </c>
      <c r="P1024" s="321">
        <v>0</v>
      </c>
      <c r="Q1024" s="321">
        <v>0</v>
      </c>
      <c r="R1024" s="321">
        <v>0</v>
      </c>
      <c r="S1024" s="321">
        <v>0</v>
      </c>
      <c r="T1024" s="321">
        <v>0</v>
      </c>
      <c r="U1024" s="322">
        <v>0</v>
      </c>
      <c r="V1024" s="323">
        <v>0</v>
      </c>
      <c r="W1024" s="303"/>
      <c r="X1024" s="324">
        <v>0</v>
      </c>
      <c r="Y1024" s="325">
        <v>0</v>
      </c>
    </row>
    <row r="1025" spans="1:25" x14ac:dyDescent="0.3">
      <c r="E1025" s="250" t="s">
        <v>1999</v>
      </c>
      <c r="F1025" s="317">
        <v>4509902</v>
      </c>
      <c r="G1025" s="318"/>
      <c r="H1025" s="319">
        <v>7301990199</v>
      </c>
      <c r="I1025" s="320"/>
      <c r="J1025" s="337">
        <v>0</v>
      </c>
      <c r="K1025" s="321">
        <v>0</v>
      </c>
      <c r="L1025" s="321">
        <v>0</v>
      </c>
      <c r="M1025" s="321">
        <v>0</v>
      </c>
      <c r="N1025" s="321">
        <v>0</v>
      </c>
      <c r="O1025" s="321">
        <v>0</v>
      </c>
      <c r="P1025" s="321">
        <v>0</v>
      </c>
      <c r="Q1025" s="321">
        <v>0</v>
      </c>
      <c r="R1025" s="321">
        <v>0</v>
      </c>
      <c r="S1025" s="321">
        <v>0</v>
      </c>
      <c r="T1025" s="321">
        <v>0</v>
      </c>
      <c r="U1025" s="322">
        <v>0</v>
      </c>
      <c r="V1025" s="323">
        <v>0</v>
      </c>
      <c r="W1025" s="303"/>
      <c r="X1025" s="324">
        <v>0</v>
      </c>
      <c r="Y1025" s="325">
        <v>0</v>
      </c>
    </row>
    <row r="1026" spans="1:25" x14ac:dyDescent="0.3">
      <c r="E1026" s="250" t="s">
        <v>2000</v>
      </c>
      <c r="F1026" s="317">
        <v>4509903</v>
      </c>
      <c r="G1026" s="318"/>
      <c r="H1026" s="319"/>
      <c r="I1026" s="320"/>
      <c r="J1026" s="337">
        <v>0</v>
      </c>
      <c r="K1026" s="321">
        <v>0</v>
      </c>
      <c r="L1026" s="321">
        <v>0</v>
      </c>
      <c r="M1026" s="321">
        <v>0</v>
      </c>
      <c r="N1026" s="321">
        <v>0</v>
      </c>
      <c r="O1026" s="321">
        <v>0</v>
      </c>
      <c r="P1026" s="321">
        <v>0</v>
      </c>
      <c r="Q1026" s="321">
        <v>0</v>
      </c>
      <c r="R1026" s="321">
        <v>0</v>
      </c>
      <c r="S1026" s="321">
        <v>0</v>
      </c>
      <c r="T1026" s="321">
        <v>0</v>
      </c>
      <c r="U1026" s="322">
        <v>0</v>
      </c>
      <c r="V1026" s="323">
        <v>0</v>
      </c>
      <c r="W1026" s="303"/>
      <c r="X1026" s="324">
        <v>0</v>
      </c>
      <c r="Y1026" s="325">
        <v>0</v>
      </c>
    </row>
    <row r="1027" spans="1:25" x14ac:dyDescent="0.3">
      <c r="E1027" s="250" t="s">
        <v>2001</v>
      </c>
      <c r="F1027" s="317">
        <v>4509904</v>
      </c>
      <c r="G1027" s="318"/>
      <c r="H1027" s="319"/>
      <c r="I1027" s="320"/>
      <c r="J1027" s="337">
        <v>0</v>
      </c>
      <c r="K1027" s="321">
        <v>0</v>
      </c>
      <c r="L1027" s="321">
        <v>0</v>
      </c>
      <c r="M1027" s="321">
        <v>0</v>
      </c>
      <c r="N1027" s="321">
        <v>0</v>
      </c>
      <c r="O1027" s="321">
        <v>0</v>
      </c>
      <c r="P1027" s="321">
        <v>0</v>
      </c>
      <c r="Q1027" s="321">
        <v>0</v>
      </c>
      <c r="R1027" s="321">
        <v>0</v>
      </c>
      <c r="S1027" s="321">
        <v>0</v>
      </c>
      <c r="T1027" s="321">
        <v>0</v>
      </c>
      <c r="U1027" s="322">
        <v>0</v>
      </c>
      <c r="V1027" s="323">
        <v>0</v>
      </c>
      <c r="W1027" s="303"/>
      <c r="X1027" s="324">
        <v>0</v>
      </c>
      <c r="Y1027" s="325">
        <v>0</v>
      </c>
    </row>
    <row r="1028" spans="1:25" x14ac:dyDescent="0.3">
      <c r="E1028" s="250" t="s">
        <v>2002</v>
      </c>
      <c r="F1028" s="317">
        <v>4509905</v>
      </c>
      <c r="G1028" s="318"/>
      <c r="H1028" s="319">
        <v>7301990105</v>
      </c>
      <c r="I1028" s="320"/>
      <c r="J1028" s="337">
        <v>0</v>
      </c>
      <c r="K1028" s="321">
        <v>0</v>
      </c>
      <c r="L1028" s="321">
        <v>0</v>
      </c>
      <c r="M1028" s="321">
        <v>0</v>
      </c>
      <c r="N1028" s="321">
        <v>0</v>
      </c>
      <c r="O1028" s="321">
        <v>0</v>
      </c>
      <c r="P1028" s="321">
        <v>0</v>
      </c>
      <c r="Q1028" s="321">
        <v>0</v>
      </c>
      <c r="R1028" s="321">
        <v>0</v>
      </c>
      <c r="S1028" s="321">
        <v>0</v>
      </c>
      <c r="T1028" s="321">
        <v>0</v>
      </c>
      <c r="U1028" s="322">
        <v>0</v>
      </c>
      <c r="V1028" s="323">
        <v>0</v>
      </c>
      <c r="W1028" s="303"/>
      <c r="X1028" s="324">
        <v>0</v>
      </c>
      <c r="Y1028" s="325">
        <v>0</v>
      </c>
    </row>
    <row r="1029" spans="1:25" x14ac:dyDescent="0.3">
      <c r="E1029" s="250" t="s">
        <v>2003</v>
      </c>
      <c r="F1029" s="317">
        <v>4509999</v>
      </c>
      <c r="G1029" s="318"/>
      <c r="H1029" s="319"/>
      <c r="I1029" s="320"/>
      <c r="J1029" s="337">
        <v>0</v>
      </c>
      <c r="K1029" s="321">
        <v>0</v>
      </c>
      <c r="L1029" s="321">
        <v>0</v>
      </c>
      <c r="M1029" s="321">
        <v>0</v>
      </c>
      <c r="N1029" s="321">
        <v>0</v>
      </c>
      <c r="O1029" s="321">
        <v>0</v>
      </c>
      <c r="P1029" s="321">
        <v>0</v>
      </c>
      <c r="Q1029" s="321">
        <v>0</v>
      </c>
      <c r="R1029" s="321">
        <v>0</v>
      </c>
      <c r="S1029" s="321">
        <v>0</v>
      </c>
      <c r="T1029" s="321">
        <v>0</v>
      </c>
      <c r="U1029" s="322">
        <v>0</v>
      </c>
      <c r="V1029" s="323">
        <v>0</v>
      </c>
      <c r="W1029" s="303"/>
      <c r="X1029" s="324">
        <v>0</v>
      </c>
      <c r="Y1029" s="325">
        <v>0</v>
      </c>
    </row>
    <row r="1030" spans="1:25" x14ac:dyDescent="0.3">
      <c r="A1030" s="361"/>
      <c r="B1030" s="361"/>
      <c r="C1030" s="361"/>
      <c r="D1030" s="361"/>
      <c r="E1030" s="326" t="s">
        <v>2004</v>
      </c>
      <c r="F1030" s="351"/>
      <c r="G1030" s="352"/>
      <c r="H1030" s="353"/>
      <c r="I1030" s="354"/>
      <c r="J1030" s="362">
        <v>0</v>
      </c>
      <c r="K1030" s="355">
        <v>0</v>
      </c>
      <c r="L1030" s="355">
        <v>0</v>
      </c>
      <c r="M1030" s="355">
        <v>0</v>
      </c>
      <c r="N1030" s="355">
        <v>0</v>
      </c>
      <c r="O1030" s="355">
        <v>0</v>
      </c>
      <c r="P1030" s="355">
        <v>0</v>
      </c>
      <c r="Q1030" s="355">
        <v>0</v>
      </c>
      <c r="R1030" s="355">
        <v>0</v>
      </c>
      <c r="S1030" s="355">
        <v>0</v>
      </c>
      <c r="T1030" s="355">
        <v>0</v>
      </c>
      <c r="U1030" s="356">
        <v>0</v>
      </c>
      <c r="V1030" s="357">
        <v>0</v>
      </c>
      <c r="W1030" s="358"/>
      <c r="X1030" s="359">
        <v>0</v>
      </c>
      <c r="Y1030" s="360">
        <v>0</v>
      </c>
    </row>
    <row r="1031" spans="1:25" x14ac:dyDescent="0.3">
      <c r="A1031" s="361"/>
      <c r="B1031" s="361"/>
      <c r="C1031" s="361"/>
      <c r="D1031" s="361"/>
      <c r="E1031" s="326" t="s">
        <v>2005</v>
      </c>
      <c r="F1031" s="351"/>
      <c r="G1031" s="352"/>
      <c r="H1031" s="353"/>
      <c r="I1031" s="354"/>
      <c r="J1031" s="362">
        <v>0</v>
      </c>
      <c r="K1031" s="355">
        <v>0</v>
      </c>
      <c r="L1031" s="355">
        <v>0</v>
      </c>
      <c r="M1031" s="355">
        <v>0</v>
      </c>
      <c r="N1031" s="355">
        <v>0</v>
      </c>
      <c r="O1031" s="355">
        <v>0</v>
      </c>
      <c r="P1031" s="355">
        <v>0</v>
      </c>
      <c r="Q1031" s="355">
        <v>0</v>
      </c>
      <c r="R1031" s="355">
        <v>0</v>
      </c>
      <c r="S1031" s="355">
        <v>0</v>
      </c>
      <c r="T1031" s="355">
        <v>0</v>
      </c>
      <c r="U1031" s="356">
        <v>0</v>
      </c>
      <c r="V1031" s="357">
        <v>0</v>
      </c>
      <c r="W1031" s="358"/>
      <c r="X1031" s="359">
        <v>0</v>
      </c>
      <c r="Y1031" s="360">
        <v>0</v>
      </c>
    </row>
    <row r="1032" spans="1:25" x14ac:dyDescent="0.3">
      <c r="A1032" s="361"/>
      <c r="B1032" s="361"/>
      <c r="C1032" s="361"/>
      <c r="D1032" s="361"/>
      <c r="E1032" s="326" t="s">
        <v>2006</v>
      </c>
      <c r="F1032" s="351"/>
      <c r="G1032" s="352"/>
      <c r="H1032" s="353"/>
      <c r="I1032" s="354"/>
      <c r="J1032" s="362">
        <v>0</v>
      </c>
      <c r="K1032" s="355">
        <v>0</v>
      </c>
      <c r="L1032" s="355">
        <v>0</v>
      </c>
      <c r="M1032" s="355">
        <v>0</v>
      </c>
      <c r="N1032" s="355">
        <v>0</v>
      </c>
      <c r="O1032" s="355">
        <v>0</v>
      </c>
      <c r="P1032" s="355">
        <v>0</v>
      </c>
      <c r="Q1032" s="355">
        <v>0</v>
      </c>
      <c r="R1032" s="355">
        <v>0</v>
      </c>
      <c r="S1032" s="355">
        <v>0</v>
      </c>
      <c r="T1032" s="355">
        <v>0</v>
      </c>
      <c r="U1032" s="356">
        <v>0</v>
      </c>
      <c r="V1032" s="357">
        <v>0</v>
      </c>
      <c r="W1032" s="358"/>
      <c r="X1032" s="359">
        <v>0</v>
      </c>
      <c r="Y1032" s="360">
        <v>0</v>
      </c>
    </row>
    <row r="1033" spans="1:25" x14ac:dyDescent="0.3">
      <c r="A1033" s="233"/>
      <c r="B1033" s="234" t="s">
        <v>74</v>
      </c>
      <c r="D1033" s="293" t="s">
        <v>2007</v>
      </c>
      <c r="E1033" s="294"/>
      <c r="F1033" s="295" t="s">
        <v>2008</v>
      </c>
      <c r="G1033" s="296"/>
      <c r="H1033" s="297"/>
      <c r="I1033" s="298"/>
      <c r="J1033" s="299">
        <v>0</v>
      </c>
      <c r="K1033" s="300">
        <v>0</v>
      </c>
      <c r="L1033" s="300">
        <v>0</v>
      </c>
      <c r="M1033" s="300">
        <v>0</v>
      </c>
      <c r="N1033" s="300">
        <v>0</v>
      </c>
      <c r="O1033" s="300">
        <v>0</v>
      </c>
      <c r="P1033" s="300">
        <v>0</v>
      </c>
      <c r="Q1033" s="300">
        <v>0</v>
      </c>
      <c r="R1033" s="300">
        <v>0</v>
      </c>
      <c r="S1033" s="300">
        <v>0</v>
      </c>
      <c r="T1033" s="300">
        <v>0</v>
      </c>
      <c r="U1033" s="301">
        <v>0</v>
      </c>
      <c r="V1033" s="302">
        <v>0</v>
      </c>
      <c r="W1033" s="303"/>
      <c r="X1033" s="304">
        <v>0</v>
      </c>
      <c r="Y1033" s="305">
        <v>0</v>
      </c>
    </row>
    <row r="1034" spans="1:25" x14ac:dyDescent="0.3">
      <c r="E1034" s="250" t="s">
        <v>2009</v>
      </c>
      <c r="F1034" s="317">
        <v>4505601</v>
      </c>
      <c r="G1034" s="318"/>
      <c r="H1034" s="319">
        <v>7301350101</v>
      </c>
      <c r="I1034" s="320"/>
      <c r="J1034" s="337">
        <v>0</v>
      </c>
      <c r="K1034" s="321">
        <v>0</v>
      </c>
      <c r="L1034" s="321">
        <v>0</v>
      </c>
      <c r="M1034" s="321">
        <v>0</v>
      </c>
      <c r="N1034" s="321">
        <v>0</v>
      </c>
      <c r="O1034" s="321">
        <v>0</v>
      </c>
      <c r="P1034" s="321">
        <v>0</v>
      </c>
      <c r="Q1034" s="321">
        <v>0</v>
      </c>
      <c r="R1034" s="321">
        <v>0</v>
      </c>
      <c r="S1034" s="321">
        <v>0</v>
      </c>
      <c r="T1034" s="321">
        <v>0</v>
      </c>
      <c r="U1034" s="322">
        <v>0</v>
      </c>
      <c r="V1034" s="323">
        <v>0</v>
      </c>
      <c r="W1034" s="303"/>
      <c r="X1034" s="324">
        <v>0</v>
      </c>
      <c r="Y1034" s="325">
        <v>0</v>
      </c>
    </row>
    <row r="1035" spans="1:25" x14ac:dyDescent="0.3">
      <c r="E1035" s="250" t="s">
        <v>2010</v>
      </c>
      <c r="F1035" s="317">
        <v>4505602</v>
      </c>
      <c r="G1035" s="318"/>
      <c r="H1035" s="319"/>
      <c r="I1035" s="320"/>
      <c r="J1035" s="337">
        <v>0</v>
      </c>
      <c r="K1035" s="321">
        <v>0</v>
      </c>
      <c r="L1035" s="321">
        <v>0</v>
      </c>
      <c r="M1035" s="321">
        <v>0</v>
      </c>
      <c r="N1035" s="321">
        <v>0</v>
      </c>
      <c r="O1035" s="321">
        <v>0</v>
      </c>
      <c r="P1035" s="321">
        <v>0</v>
      </c>
      <c r="Q1035" s="321">
        <v>0</v>
      </c>
      <c r="R1035" s="321">
        <v>0</v>
      </c>
      <c r="S1035" s="321">
        <v>0</v>
      </c>
      <c r="T1035" s="321">
        <v>0</v>
      </c>
      <c r="U1035" s="322">
        <v>0</v>
      </c>
      <c r="V1035" s="323">
        <v>0</v>
      </c>
      <c r="W1035" s="303"/>
      <c r="X1035" s="324">
        <v>0</v>
      </c>
      <c r="Y1035" s="325">
        <v>0</v>
      </c>
    </row>
    <row r="1036" spans="1:25" x14ac:dyDescent="0.3">
      <c r="E1036" s="250" t="s">
        <v>2011</v>
      </c>
      <c r="F1036" s="317">
        <v>4505604</v>
      </c>
      <c r="G1036" s="318"/>
      <c r="H1036" s="319">
        <v>7701150105</v>
      </c>
      <c r="I1036" s="320"/>
      <c r="J1036" s="337">
        <v>0</v>
      </c>
      <c r="K1036" s="321">
        <v>0</v>
      </c>
      <c r="L1036" s="321">
        <v>0</v>
      </c>
      <c r="M1036" s="321">
        <v>0</v>
      </c>
      <c r="N1036" s="321">
        <v>0</v>
      </c>
      <c r="O1036" s="321">
        <v>0</v>
      </c>
      <c r="P1036" s="321">
        <v>0</v>
      </c>
      <c r="Q1036" s="321">
        <v>0</v>
      </c>
      <c r="R1036" s="321">
        <v>0</v>
      </c>
      <c r="S1036" s="321">
        <v>0</v>
      </c>
      <c r="T1036" s="321">
        <v>0</v>
      </c>
      <c r="U1036" s="322">
        <v>0</v>
      </c>
      <c r="V1036" s="323">
        <v>0</v>
      </c>
      <c r="W1036" s="303"/>
      <c r="X1036" s="324">
        <v>0</v>
      </c>
      <c r="Y1036" s="325">
        <v>0</v>
      </c>
    </row>
    <row r="1037" spans="1:25" x14ac:dyDescent="0.3">
      <c r="A1037" s="233"/>
      <c r="B1037" s="234" t="s">
        <v>74</v>
      </c>
      <c r="D1037" s="293" t="s">
        <v>2012</v>
      </c>
      <c r="E1037" s="294"/>
      <c r="F1037" s="295" t="s">
        <v>2013</v>
      </c>
      <c r="G1037" s="296"/>
      <c r="H1037" s="297"/>
      <c r="I1037" s="298"/>
      <c r="J1037" s="299">
        <v>0</v>
      </c>
      <c r="K1037" s="300">
        <v>0</v>
      </c>
      <c r="L1037" s="300">
        <v>0</v>
      </c>
      <c r="M1037" s="300">
        <v>0</v>
      </c>
      <c r="N1037" s="300">
        <v>0</v>
      </c>
      <c r="O1037" s="300">
        <v>0</v>
      </c>
      <c r="P1037" s="300">
        <v>0</v>
      </c>
      <c r="Q1037" s="300">
        <v>0</v>
      </c>
      <c r="R1037" s="300">
        <v>0</v>
      </c>
      <c r="S1037" s="300">
        <v>0</v>
      </c>
      <c r="T1037" s="300">
        <v>0</v>
      </c>
      <c r="U1037" s="301">
        <v>0</v>
      </c>
      <c r="V1037" s="302">
        <v>0</v>
      </c>
      <c r="W1037" s="303"/>
      <c r="X1037" s="304">
        <v>0</v>
      </c>
      <c r="Y1037" s="305">
        <v>0</v>
      </c>
    </row>
    <row r="1038" spans="1:25" x14ac:dyDescent="0.3">
      <c r="E1038" s="250" t="s">
        <v>2014</v>
      </c>
      <c r="F1038" s="317">
        <v>4505600</v>
      </c>
      <c r="G1038" s="318"/>
      <c r="H1038" s="319">
        <v>7301330101</v>
      </c>
      <c r="I1038" s="320"/>
      <c r="J1038" s="337">
        <v>0</v>
      </c>
      <c r="K1038" s="321">
        <v>0</v>
      </c>
      <c r="L1038" s="321">
        <v>0</v>
      </c>
      <c r="M1038" s="321">
        <v>0</v>
      </c>
      <c r="N1038" s="321">
        <v>0</v>
      </c>
      <c r="O1038" s="321">
        <v>0</v>
      </c>
      <c r="P1038" s="321">
        <v>0</v>
      </c>
      <c r="Q1038" s="321">
        <v>0</v>
      </c>
      <c r="R1038" s="321">
        <v>0</v>
      </c>
      <c r="S1038" s="321">
        <v>0</v>
      </c>
      <c r="T1038" s="321">
        <v>0</v>
      </c>
      <c r="U1038" s="322">
        <v>0</v>
      </c>
      <c r="V1038" s="323">
        <v>0</v>
      </c>
      <c r="W1038" s="303"/>
      <c r="X1038" s="324">
        <v>0</v>
      </c>
      <c r="Y1038" s="325">
        <v>0</v>
      </c>
    </row>
    <row r="1039" spans="1:25" x14ac:dyDescent="0.3">
      <c r="E1039" s="250" t="s">
        <v>2015</v>
      </c>
      <c r="F1039" s="317">
        <v>4505603</v>
      </c>
      <c r="G1039" s="318"/>
      <c r="H1039" s="319"/>
      <c r="I1039" s="320"/>
      <c r="J1039" s="337">
        <v>0</v>
      </c>
      <c r="K1039" s="321">
        <v>0</v>
      </c>
      <c r="L1039" s="321">
        <v>0</v>
      </c>
      <c r="M1039" s="321">
        <v>0</v>
      </c>
      <c r="N1039" s="321">
        <v>0</v>
      </c>
      <c r="O1039" s="321">
        <v>0</v>
      </c>
      <c r="P1039" s="321">
        <v>0</v>
      </c>
      <c r="Q1039" s="321">
        <v>0</v>
      </c>
      <c r="R1039" s="321">
        <v>0</v>
      </c>
      <c r="S1039" s="321">
        <v>0</v>
      </c>
      <c r="T1039" s="321">
        <v>0</v>
      </c>
      <c r="U1039" s="322">
        <v>0</v>
      </c>
      <c r="V1039" s="323">
        <v>0</v>
      </c>
      <c r="W1039" s="303"/>
      <c r="X1039" s="324">
        <v>0</v>
      </c>
      <c r="Y1039" s="325">
        <v>0</v>
      </c>
    </row>
    <row r="1040" spans="1:25" x14ac:dyDescent="0.3">
      <c r="E1040" s="250" t="s">
        <v>2016</v>
      </c>
      <c r="F1040" s="317">
        <v>4505605</v>
      </c>
      <c r="G1040" s="318"/>
      <c r="H1040" s="319">
        <v>7701190105</v>
      </c>
      <c r="I1040" s="320"/>
      <c r="J1040" s="337">
        <v>0</v>
      </c>
      <c r="K1040" s="321">
        <v>0</v>
      </c>
      <c r="L1040" s="321">
        <v>0</v>
      </c>
      <c r="M1040" s="321">
        <v>0</v>
      </c>
      <c r="N1040" s="321">
        <v>0</v>
      </c>
      <c r="O1040" s="321">
        <v>0</v>
      </c>
      <c r="P1040" s="321">
        <v>0</v>
      </c>
      <c r="Q1040" s="321">
        <v>0</v>
      </c>
      <c r="R1040" s="321">
        <v>0</v>
      </c>
      <c r="S1040" s="321">
        <v>0</v>
      </c>
      <c r="T1040" s="321">
        <v>0</v>
      </c>
      <c r="U1040" s="322">
        <v>0</v>
      </c>
      <c r="V1040" s="323">
        <v>0</v>
      </c>
      <c r="W1040" s="303"/>
      <c r="X1040" s="324">
        <v>0</v>
      </c>
      <c r="Y1040" s="325">
        <v>0</v>
      </c>
    </row>
    <row r="1041" spans="1:25" x14ac:dyDescent="0.3">
      <c r="B1041" s="234" t="s">
        <v>74</v>
      </c>
      <c r="D1041" s="293" t="s">
        <v>2017</v>
      </c>
      <c r="E1041" s="294"/>
      <c r="F1041" s="295"/>
      <c r="G1041" s="296"/>
      <c r="H1041" s="297"/>
      <c r="I1041" s="298"/>
      <c r="J1041" s="299">
        <v>0</v>
      </c>
      <c r="K1041" s="300">
        <v>0</v>
      </c>
      <c r="L1041" s="300">
        <v>0</v>
      </c>
      <c r="M1041" s="300">
        <v>0</v>
      </c>
      <c r="N1041" s="300">
        <v>0</v>
      </c>
      <c r="O1041" s="300">
        <v>0</v>
      </c>
      <c r="P1041" s="300">
        <v>0</v>
      </c>
      <c r="Q1041" s="300">
        <v>0</v>
      </c>
      <c r="R1041" s="300">
        <v>0</v>
      </c>
      <c r="S1041" s="300">
        <v>0</v>
      </c>
      <c r="T1041" s="300">
        <v>0</v>
      </c>
      <c r="U1041" s="301">
        <v>0</v>
      </c>
      <c r="V1041" s="302">
        <v>0</v>
      </c>
      <c r="W1041" s="303"/>
      <c r="X1041" s="304">
        <v>0</v>
      </c>
      <c r="Y1041" s="305">
        <v>0</v>
      </c>
    </row>
    <row r="1042" spans="1:25" x14ac:dyDescent="0.3">
      <c r="A1042" s="326"/>
      <c r="B1042" s="326"/>
      <c r="C1042" s="326"/>
      <c r="D1042" s="326"/>
      <c r="E1042" s="326" t="s">
        <v>2018</v>
      </c>
      <c r="F1042" s="336"/>
      <c r="G1042" s="327"/>
      <c r="H1042" s="328">
        <v>7301310300</v>
      </c>
      <c r="I1042" s="329"/>
      <c r="J1042" s="338">
        <v>0</v>
      </c>
      <c r="K1042" s="330">
        <v>0</v>
      </c>
      <c r="L1042" s="330">
        <v>0</v>
      </c>
      <c r="M1042" s="330">
        <v>0</v>
      </c>
      <c r="N1042" s="330">
        <v>0</v>
      </c>
      <c r="O1042" s="330">
        <v>0</v>
      </c>
      <c r="P1042" s="330">
        <v>0</v>
      </c>
      <c r="Q1042" s="330">
        <v>0</v>
      </c>
      <c r="R1042" s="330">
        <v>0</v>
      </c>
      <c r="S1042" s="330">
        <v>0</v>
      </c>
      <c r="T1042" s="330">
        <v>0</v>
      </c>
      <c r="U1042" s="331">
        <v>0</v>
      </c>
      <c r="V1042" s="332">
        <v>0</v>
      </c>
      <c r="W1042" s="333"/>
      <c r="X1042" s="334">
        <v>0</v>
      </c>
      <c r="Y1042" s="335">
        <v>0</v>
      </c>
    </row>
    <row r="1043" spans="1:25" x14ac:dyDescent="0.3">
      <c r="A1043" s="326"/>
      <c r="B1043" s="326"/>
      <c r="C1043" s="326"/>
      <c r="D1043" s="326"/>
      <c r="E1043" s="326" t="s">
        <v>2019</v>
      </c>
      <c r="F1043" s="336"/>
      <c r="G1043" s="327"/>
      <c r="H1043" s="328"/>
      <c r="I1043" s="329"/>
      <c r="J1043" s="338">
        <v>0</v>
      </c>
      <c r="K1043" s="330">
        <v>0</v>
      </c>
      <c r="L1043" s="330">
        <v>0</v>
      </c>
      <c r="M1043" s="330">
        <v>0</v>
      </c>
      <c r="N1043" s="330">
        <v>0</v>
      </c>
      <c r="O1043" s="330">
        <v>0</v>
      </c>
      <c r="P1043" s="330">
        <v>0</v>
      </c>
      <c r="Q1043" s="330">
        <v>0</v>
      </c>
      <c r="R1043" s="330">
        <v>0</v>
      </c>
      <c r="S1043" s="330">
        <v>0</v>
      </c>
      <c r="T1043" s="330">
        <v>0</v>
      </c>
      <c r="U1043" s="331">
        <v>0</v>
      </c>
      <c r="V1043" s="332">
        <v>0</v>
      </c>
      <c r="W1043" s="333"/>
      <c r="X1043" s="334">
        <v>0</v>
      </c>
      <c r="Y1043" s="335">
        <v>0</v>
      </c>
    </row>
    <row r="1044" spans="1:25" x14ac:dyDescent="0.3">
      <c r="A1044" s="326"/>
      <c r="B1044" s="326"/>
      <c r="C1044" s="326"/>
      <c r="D1044" s="326"/>
      <c r="E1044" s="326" t="s">
        <v>2020</v>
      </c>
      <c r="F1044" s="336"/>
      <c r="G1044" s="327"/>
      <c r="H1044" s="328"/>
      <c r="I1044" s="329"/>
      <c r="J1044" s="338">
        <v>0</v>
      </c>
      <c r="K1044" s="330">
        <v>0</v>
      </c>
      <c r="L1044" s="330">
        <v>0</v>
      </c>
      <c r="M1044" s="330">
        <v>0</v>
      </c>
      <c r="N1044" s="330">
        <v>0</v>
      </c>
      <c r="O1044" s="330">
        <v>0</v>
      </c>
      <c r="P1044" s="330">
        <v>0</v>
      </c>
      <c r="Q1044" s="330">
        <v>0</v>
      </c>
      <c r="R1044" s="330">
        <v>0</v>
      </c>
      <c r="S1044" s="330">
        <v>0</v>
      </c>
      <c r="T1044" s="330">
        <v>0</v>
      </c>
      <c r="U1044" s="331">
        <v>0</v>
      </c>
      <c r="V1044" s="332">
        <v>0</v>
      </c>
      <c r="W1044" s="333"/>
      <c r="X1044" s="334">
        <v>0</v>
      </c>
      <c r="Y1044" s="335">
        <v>0</v>
      </c>
    </row>
    <row r="1045" spans="1:25" x14ac:dyDescent="0.3">
      <c r="B1045" s="234" t="s">
        <v>74</v>
      </c>
      <c r="D1045" s="293" t="s">
        <v>2021</v>
      </c>
      <c r="E1045" s="294"/>
      <c r="F1045" s="295"/>
      <c r="G1045" s="296"/>
      <c r="H1045" s="297"/>
      <c r="I1045" s="298"/>
      <c r="J1045" s="299">
        <v>0</v>
      </c>
      <c r="K1045" s="300">
        <v>0</v>
      </c>
      <c r="L1045" s="300">
        <v>0</v>
      </c>
      <c r="M1045" s="300">
        <v>0</v>
      </c>
      <c r="N1045" s="300">
        <v>0</v>
      </c>
      <c r="O1045" s="300">
        <v>0</v>
      </c>
      <c r="P1045" s="300">
        <v>0</v>
      </c>
      <c r="Q1045" s="300">
        <v>0</v>
      </c>
      <c r="R1045" s="300">
        <v>0</v>
      </c>
      <c r="S1045" s="300">
        <v>0</v>
      </c>
      <c r="T1045" s="300">
        <v>0</v>
      </c>
      <c r="U1045" s="301">
        <v>0</v>
      </c>
      <c r="V1045" s="302">
        <v>0</v>
      </c>
      <c r="W1045" s="303"/>
      <c r="X1045" s="304">
        <v>0</v>
      </c>
      <c r="Y1045" s="305">
        <v>0</v>
      </c>
    </row>
    <row r="1046" spans="1:25" x14ac:dyDescent="0.3">
      <c r="A1046" s="326"/>
      <c r="B1046" s="326"/>
      <c r="C1046" s="326"/>
      <c r="D1046" s="326"/>
      <c r="E1046" s="326" t="s">
        <v>2018</v>
      </c>
      <c r="F1046" s="336"/>
      <c r="G1046" s="327"/>
      <c r="H1046" s="328"/>
      <c r="I1046" s="329"/>
      <c r="J1046" s="338">
        <v>0</v>
      </c>
      <c r="K1046" s="330">
        <v>0</v>
      </c>
      <c r="L1046" s="330">
        <v>0</v>
      </c>
      <c r="M1046" s="330">
        <v>0</v>
      </c>
      <c r="N1046" s="330">
        <v>0</v>
      </c>
      <c r="O1046" s="330">
        <v>0</v>
      </c>
      <c r="P1046" s="330">
        <v>0</v>
      </c>
      <c r="Q1046" s="330">
        <v>0</v>
      </c>
      <c r="R1046" s="330">
        <v>0</v>
      </c>
      <c r="S1046" s="330">
        <v>0</v>
      </c>
      <c r="T1046" s="330">
        <v>0</v>
      </c>
      <c r="U1046" s="331">
        <v>0</v>
      </c>
      <c r="V1046" s="332">
        <v>0</v>
      </c>
      <c r="W1046" s="333"/>
      <c r="X1046" s="334">
        <v>0</v>
      </c>
      <c r="Y1046" s="335">
        <v>0</v>
      </c>
    </row>
    <row r="1047" spans="1:25" x14ac:dyDescent="0.3">
      <c r="A1047" s="326"/>
      <c r="B1047" s="326"/>
      <c r="C1047" s="326"/>
      <c r="D1047" s="326"/>
      <c r="E1047" s="326" t="s">
        <v>2019</v>
      </c>
      <c r="F1047" s="336"/>
      <c r="G1047" s="327"/>
      <c r="H1047" s="328"/>
      <c r="I1047" s="329"/>
      <c r="J1047" s="338">
        <v>0</v>
      </c>
      <c r="K1047" s="330">
        <v>0</v>
      </c>
      <c r="L1047" s="330">
        <v>0</v>
      </c>
      <c r="M1047" s="330">
        <v>0</v>
      </c>
      <c r="N1047" s="330">
        <v>0</v>
      </c>
      <c r="O1047" s="330">
        <v>0</v>
      </c>
      <c r="P1047" s="330">
        <v>0</v>
      </c>
      <c r="Q1047" s="330">
        <v>0</v>
      </c>
      <c r="R1047" s="330">
        <v>0</v>
      </c>
      <c r="S1047" s="330">
        <v>0</v>
      </c>
      <c r="T1047" s="330">
        <v>0</v>
      </c>
      <c r="U1047" s="331">
        <v>0</v>
      </c>
      <c r="V1047" s="332">
        <v>0</v>
      </c>
      <c r="W1047" s="333"/>
      <c r="X1047" s="334">
        <v>0</v>
      </c>
      <c r="Y1047" s="335">
        <v>0</v>
      </c>
    </row>
    <row r="1048" spans="1:25" x14ac:dyDescent="0.3">
      <c r="A1048" s="326"/>
      <c r="B1048" s="326"/>
      <c r="C1048" s="326"/>
      <c r="D1048" s="326"/>
      <c r="E1048" s="326" t="s">
        <v>2020</v>
      </c>
      <c r="F1048" s="336"/>
      <c r="G1048" s="327"/>
      <c r="H1048" s="328"/>
      <c r="I1048" s="329"/>
      <c r="J1048" s="338">
        <v>0</v>
      </c>
      <c r="K1048" s="330">
        <v>0</v>
      </c>
      <c r="L1048" s="330">
        <v>0</v>
      </c>
      <c r="M1048" s="330">
        <v>0</v>
      </c>
      <c r="N1048" s="330">
        <v>0</v>
      </c>
      <c r="O1048" s="330">
        <v>0</v>
      </c>
      <c r="P1048" s="330">
        <v>0</v>
      </c>
      <c r="Q1048" s="330">
        <v>0</v>
      </c>
      <c r="R1048" s="330">
        <v>0</v>
      </c>
      <c r="S1048" s="330">
        <v>0</v>
      </c>
      <c r="T1048" s="330">
        <v>0</v>
      </c>
      <c r="U1048" s="331">
        <v>0</v>
      </c>
      <c r="V1048" s="332">
        <v>0</v>
      </c>
      <c r="W1048" s="333"/>
      <c r="X1048" s="334">
        <v>0</v>
      </c>
      <c r="Y1048" s="335">
        <v>0</v>
      </c>
    </row>
    <row r="1049" spans="1:25" x14ac:dyDescent="0.3">
      <c r="B1049" s="234" t="s">
        <v>74</v>
      </c>
      <c r="D1049" s="293" t="s">
        <v>2022</v>
      </c>
      <c r="E1049" s="294"/>
      <c r="F1049" s="295"/>
      <c r="G1049" s="296"/>
      <c r="H1049" s="297"/>
      <c r="I1049" s="298"/>
      <c r="J1049" s="299">
        <v>0</v>
      </c>
      <c r="K1049" s="300">
        <v>0</v>
      </c>
      <c r="L1049" s="300">
        <v>0</v>
      </c>
      <c r="M1049" s="300">
        <v>0</v>
      </c>
      <c r="N1049" s="300">
        <v>0</v>
      </c>
      <c r="O1049" s="300">
        <v>0</v>
      </c>
      <c r="P1049" s="300">
        <v>0</v>
      </c>
      <c r="Q1049" s="300">
        <v>0</v>
      </c>
      <c r="R1049" s="300">
        <v>0</v>
      </c>
      <c r="S1049" s="300">
        <v>0</v>
      </c>
      <c r="T1049" s="300">
        <v>0</v>
      </c>
      <c r="U1049" s="301">
        <v>0</v>
      </c>
      <c r="V1049" s="302">
        <v>0</v>
      </c>
      <c r="W1049" s="303"/>
      <c r="X1049" s="304">
        <v>0</v>
      </c>
      <c r="Y1049" s="305">
        <v>0</v>
      </c>
    </row>
    <row r="1050" spans="1:25" x14ac:dyDescent="0.3">
      <c r="A1050" s="326"/>
      <c r="B1050" s="326"/>
      <c r="C1050" s="326"/>
      <c r="D1050" s="326"/>
      <c r="E1050" s="326" t="s">
        <v>2018</v>
      </c>
      <c r="F1050" s="336"/>
      <c r="G1050" s="327"/>
      <c r="H1050" s="328"/>
      <c r="I1050" s="329"/>
      <c r="J1050" s="338">
        <v>0</v>
      </c>
      <c r="K1050" s="330">
        <v>0</v>
      </c>
      <c r="L1050" s="330">
        <v>0</v>
      </c>
      <c r="M1050" s="330">
        <v>0</v>
      </c>
      <c r="N1050" s="330">
        <v>0</v>
      </c>
      <c r="O1050" s="330">
        <v>0</v>
      </c>
      <c r="P1050" s="330">
        <v>0</v>
      </c>
      <c r="Q1050" s="330">
        <v>0</v>
      </c>
      <c r="R1050" s="330">
        <v>0</v>
      </c>
      <c r="S1050" s="330">
        <v>0</v>
      </c>
      <c r="T1050" s="330">
        <v>0</v>
      </c>
      <c r="U1050" s="331">
        <v>0</v>
      </c>
      <c r="V1050" s="332">
        <v>0</v>
      </c>
      <c r="W1050" s="333"/>
      <c r="X1050" s="334">
        <v>0</v>
      </c>
      <c r="Y1050" s="335">
        <v>0</v>
      </c>
    </row>
    <row r="1051" spans="1:25" x14ac:dyDescent="0.3">
      <c r="A1051" s="326"/>
      <c r="B1051" s="326"/>
      <c r="C1051" s="326"/>
      <c r="D1051" s="326"/>
      <c r="E1051" s="326" t="s">
        <v>2019</v>
      </c>
      <c r="F1051" s="336"/>
      <c r="G1051" s="327"/>
      <c r="H1051" s="328"/>
      <c r="I1051" s="329"/>
      <c r="J1051" s="338">
        <v>0</v>
      </c>
      <c r="K1051" s="330">
        <v>0</v>
      </c>
      <c r="L1051" s="330">
        <v>0</v>
      </c>
      <c r="M1051" s="330">
        <v>0</v>
      </c>
      <c r="N1051" s="330">
        <v>0</v>
      </c>
      <c r="O1051" s="330">
        <v>0</v>
      </c>
      <c r="P1051" s="330">
        <v>0</v>
      </c>
      <c r="Q1051" s="330">
        <v>0</v>
      </c>
      <c r="R1051" s="330">
        <v>0</v>
      </c>
      <c r="S1051" s="330">
        <v>0</v>
      </c>
      <c r="T1051" s="330">
        <v>0</v>
      </c>
      <c r="U1051" s="331">
        <v>0</v>
      </c>
      <c r="V1051" s="332">
        <v>0</v>
      </c>
      <c r="W1051" s="333"/>
      <c r="X1051" s="334">
        <v>0</v>
      </c>
      <c r="Y1051" s="335">
        <v>0</v>
      </c>
    </row>
    <row r="1052" spans="1:25" x14ac:dyDescent="0.3">
      <c r="A1052" s="326"/>
      <c r="B1052" s="326"/>
      <c r="C1052" s="326"/>
      <c r="D1052" s="326"/>
      <c r="E1052" s="326" t="s">
        <v>2020</v>
      </c>
      <c r="F1052" s="336"/>
      <c r="G1052" s="327"/>
      <c r="H1052" s="328"/>
      <c r="I1052" s="329"/>
      <c r="J1052" s="338">
        <v>0</v>
      </c>
      <c r="K1052" s="330">
        <v>0</v>
      </c>
      <c r="L1052" s="330">
        <v>0</v>
      </c>
      <c r="M1052" s="330">
        <v>0</v>
      </c>
      <c r="N1052" s="330">
        <v>0</v>
      </c>
      <c r="O1052" s="330">
        <v>0</v>
      </c>
      <c r="P1052" s="330">
        <v>0</v>
      </c>
      <c r="Q1052" s="330">
        <v>0</v>
      </c>
      <c r="R1052" s="330">
        <v>0</v>
      </c>
      <c r="S1052" s="330">
        <v>0</v>
      </c>
      <c r="T1052" s="330">
        <v>0</v>
      </c>
      <c r="U1052" s="331">
        <v>0</v>
      </c>
      <c r="V1052" s="332">
        <v>0</v>
      </c>
      <c r="W1052" s="333"/>
      <c r="X1052" s="334">
        <v>0</v>
      </c>
      <c r="Y1052" s="335">
        <v>0</v>
      </c>
    </row>
    <row r="1053" spans="1:25" ht="33" x14ac:dyDescent="0.3">
      <c r="A1053" s="248" t="s">
        <v>75</v>
      </c>
      <c r="B1053" s="248"/>
      <c r="C1053" s="280" t="s">
        <v>2023</v>
      </c>
      <c r="D1053" s="281"/>
      <c r="E1053" s="282"/>
      <c r="F1053" s="283" t="s">
        <v>2024</v>
      </c>
      <c r="G1053" s="284"/>
      <c r="H1053" s="285"/>
      <c r="I1053" s="286"/>
      <c r="J1053" s="287">
        <v>0</v>
      </c>
      <c r="K1053" s="288">
        <v>0</v>
      </c>
      <c r="L1053" s="288">
        <v>61230.214</v>
      </c>
      <c r="M1053" s="288">
        <v>38.33</v>
      </c>
      <c r="N1053" s="288">
        <v>0</v>
      </c>
      <c r="O1053" s="288">
        <v>59830.192000000003</v>
      </c>
      <c r="P1053" s="288">
        <v>0</v>
      </c>
      <c r="Q1053" s="288">
        <v>0</v>
      </c>
      <c r="R1053" s="288">
        <v>96379.017999999996</v>
      </c>
      <c r="S1053" s="288">
        <v>1125.9549999999999</v>
      </c>
      <c r="T1053" s="288">
        <v>0</v>
      </c>
      <c r="U1053" s="289">
        <v>175729.86300000001</v>
      </c>
      <c r="V1053" s="290">
        <v>394333.57199999999</v>
      </c>
      <c r="W1053" s="277"/>
      <c r="X1053" s="291">
        <v>175729.86300000001</v>
      </c>
      <c r="Y1053" s="292">
        <v>394333.57199999999</v>
      </c>
    </row>
    <row r="1054" spans="1:25" x14ac:dyDescent="0.3">
      <c r="A1054" s="233"/>
      <c r="B1054" s="234" t="s">
        <v>76</v>
      </c>
      <c r="D1054" s="293" t="s">
        <v>2025</v>
      </c>
      <c r="E1054" s="294"/>
      <c r="F1054" s="295" t="s">
        <v>2026</v>
      </c>
      <c r="G1054" s="296"/>
      <c r="H1054" s="297"/>
      <c r="I1054" s="298"/>
      <c r="J1054" s="299">
        <v>0</v>
      </c>
      <c r="K1054" s="300">
        <v>0</v>
      </c>
      <c r="L1054" s="300">
        <v>61230.214</v>
      </c>
      <c r="M1054" s="300">
        <v>0</v>
      </c>
      <c r="N1054" s="300">
        <v>0</v>
      </c>
      <c r="O1054" s="300">
        <v>59830.192000000003</v>
      </c>
      <c r="P1054" s="300">
        <v>0</v>
      </c>
      <c r="Q1054" s="300">
        <v>0</v>
      </c>
      <c r="R1054" s="300">
        <v>68489.631999999998</v>
      </c>
      <c r="S1054" s="300">
        <v>0</v>
      </c>
      <c r="T1054" s="300">
        <v>0</v>
      </c>
      <c r="U1054" s="301">
        <v>70507.091</v>
      </c>
      <c r="V1054" s="302">
        <v>260057.12900000002</v>
      </c>
      <c r="W1054" s="303"/>
      <c r="X1054" s="304">
        <v>70507.091</v>
      </c>
      <c r="Y1054" s="305">
        <v>260057.12900000002</v>
      </c>
    </row>
    <row r="1055" spans="1:25" x14ac:dyDescent="0.3">
      <c r="E1055" s="339" t="s">
        <v>2027</v>
      </c>
      <c r="F1055" s="340" t="s">
        <v>2028</v>
      </c>
      <c r="G1055" s="341"/>
      <c r="H1055" s="342"/>
      <c r="I1055" s="343"/>
      <c r="J1055" s="344">
        <v>0</v>
      </c>
      <c r="K1055" s="345">
        <v>0</v>
      </c>
      <c r="L1055" s="345">
        <v>61230.214</v>
      </c>
      <c r="M1055" s="345">
        <v>0</v>
      </c>
      <c r="N1055" s="345">
        <v>0</v>
      </c>
      <c r="O1055" s="345">
        <v>59830.192000000003</v>
      </c>
      <c r="P1055" s="345">
        <v>0</v>
      </c>
      <c r="Q1055" s="345">
        <v>0</v>
      </c>
      <c r="R1055" s="345">
        <v>68489.631999999998</v>
      </c>
      <c r="S1055" s="345">
        <v>0</v>
      </c>
      <c r="T1055" s="345">
        <v>0</v>
      </c>
      <c r="U1055" s="346">
        <v>70507.091</v>
      </c>
      <c r="V1055" s="347">
        <v>260057.12900000002</v>
      </c>
      <c r="W1055" s="303"/>
      <c r="X1055" s="348">
        <v>70507.091</v>
      </c>
      <c r="Y1055" s="349">
        <v>260057.12900000002</v>
      </c>
    </row>
    <row r="1056" spans="1:25" x14ac:dyDescent="0.3">
      <c r="E1056" t="s">
        <v>2029</v>
      </c>
      <c r="F1056" s="317">
        <v>4400101</v>
      </c>
      <c r="G1056" s="318"/>
      <c r="H1056" s="319">
        <v>7501010101</v>
      </c>
      <c r="I1056" s="320"/>
      <c r="J1056" s="337">
        <v>0</v>
      </c>
      <c r="K1056" s="321">
        <v>0</v>
      </c>
      <c r="L1056" s="321">
        <v>0</v>
      </c>
      <c r="M1056" s="321">
        <v>0</v>
      </c>
      <c r="N1056" s="321">
        <v>0</v>
      </c>
      <c r="O1056" s="321">
        <v>0</v>
      </c>
      <c r="P1056" s="321">
        <v>0</v>
      </c>
      <c r="Q1056" s="321">
        <v>0</v>
      </c>
      <c r="R1056" s="321">
        <v>0</v>
      </c>
      <c r="S1056" s="321">
        <v>0</v>
      </c>
      <c r="T1056" s="321">
        <v>0</v>
      </c>
      <c r="U1056" s="322">
        <v>0</v>
      </c>
      <c r="V1056" s="323">
        <v>0</v>
      </c>
      <c r="W1056" s="303"/>
      <c r="X1056" s="324">
        <v>0</v>
      </c>
      <c r="Y1056" s="325">
        <v>0</v>
      </c>
    </row>
    <row r="1057" spans="1:25" x14ac:dyDescent="0.3">
      <c r="E1057" t="s">
        <v>2030</v>
      </c>
      <c r="F1057" s="317">
        <v>4400102</v>
      </c>
      <c r="G1057" s="318"/>
      <c r="H1057" s="319"/>
      <c r="I1057" s="320"/>
      <c r="J1057" s="337">
        <v>0</v>
      </c>
      <c r="K1057" s="321">
        <v>0</v>
      </c>
      <c r="L1057" s="321">
        <v>0</v>
      </c>
      <c r="M1057" s="321">
        <v>0</v>
      </c>
      <c r="N1057" s="321">
        <v>0</v>
      </c>
      <c r="O1057" s="321">
        <v>0</v>
      </c>
      <c r="P1057" s="321">
        <v>0</v>
      </c>
      <c r="Q1057" s="321">
        <v>0</v>
      </c>
      <c r="R1057" s="321">
        <v>0</v>
      </c>
      <c r="S1057" s="321">
        <v>0</v>
      </c>
      <c r="T1057" s="321">
        <v>0</v>
      </c>
      <c r="U1057" s="322">
        <v>0</v>
      </c>
      <c r="V1057" s="323">
        <v>0</v>
      </c>
      <c r="W1057" s="303"/>
      <c r="X1057" s="324">
        <v>0</v>
      </c>
      <c r="Y1057" s="325">
        <v>0</v>
      </c>
    </row>
    <row r="1058" spans="1:25" x14ac:dyDescent="0.3">
      <c r="E1058" t="s">
        <v>2031</v>
      </c>
      <c r="F1058" s="317">
        <v>4400199</v>
      </c>
      <c r="G1058" s="318"/>
      <c r="H1058" s="319">
        <v>7501010199</v>
      </c>
      <c r="I1058" s="320"/>
      <c r="J1058" s="337">
        <v>0</v>
      </c>
      <c r="K1058" s="321">
        <v>0</v>
      </c>
      <c r="L1058" s="321">
        <v>61230.214</v>
      </c>
      <c r="M1058" s="321">
        <v>0</v>
      </c>
      <c r="N1058" s="321">
        <v>0</v>
      </c>
      <c r="O1058" s="321">
        <v>59830.192000000003</v>
      </c>
      <c r="P1058" s="321">
        <v>0</v>
      </c>
      <c r="Q1058" s="321">
        <v>0</v>
      </c>
      <c r="R1058" s="321">
        <v>68489.631999999998</v>
      </c>
      <c r="S1058" s="321">
        <v>0</v>
      </c>
      <c r="T1058" s="321">
        <v>0</v>
      </c>
      <c r="U1058" s="322">
        <v>70507.091</v>
      </c>
      <c r="V1058" s="323">
        <v>260057.12900000002</v>
      </c>
      <c r="W1058" s="303"/>
      <c r="X1058" s="324">
        <v>70507.091</v>
      </c>
      <c r="Y1058" s="325">
        <v>260057.12900000002</v>
      </c>
    </row>
    <row r="1059" spans="1:25" x14ac:dyDescent="0.3">
      <c r="A1059" s="326"/>
      <c r="B1059" s="326"/>
      <c r="C1059" s="326"/>
      <c r="D1059" s="326"/>
      <c r="E1059" s="326" t="s">
        <v>2032</v>
      </c>
      <c r="F1059" s="336"/>
      <c r="G1059" s="327"/>
      <c r="H1059" s="328"/>
      <c r="I1059" s="329"/>
      <c r="J1059" s="338">
        <v>0</v>
      </c>
      <c r="K1059" s="330">
        <v>0</v>
      </c>
      <c r="L1059" s="330">
        <v>0</v>
      </c>
      <c r="M1059" s="330">
        <v>0</v>
      </c>
      <c r="N1059" s="330">
        <v>0</v>
      </c>
      <c r="O1059" s="330">
        <v>0</v>
      </c>
      <c r="P1059" s="330">
        <v>0</v>
      </c>
      <c r="Q1059" s="330">
        <v>0</v>
      </c>
      <c r="R1059" s="330">
        <v>0</v>
      </c>
      <c r="S1059" s="330">
        <v>0</v>
      </c>
      <c r="T1059" s="330">
        <v>0</v>
      </c>
      <c r="U1059" s="331">
        <v>0</v>
      </c>
      <c r="V1059" s="332">
        <v>0</v>
      </c>
      <c r="W1059" s="333"/>
      <c r="X1059" s="334">
        <v>0</v>
      </c>
      <c r="Y1059" s="335">
        <v>0</v>
      </c>
    </row>
    <row r="1060" spans="1:25" x14ac:dyDescent="0.3">
      <c r="A1060" s="326"/>
      <c r="B1060" s="326"/>
      <c r="C1060" s="326"/>
      <c r="D1060" s="326"/>
      <c r="E1060" s="326" t="s">
        <v>2033</v>
      </c>
      <c r="F1060" s="336"/>
      <c r="G1060" s="327"/>
      <c r="H1060" s="328"/>
      <c r="I1060" s="329"/>
      <c r="J1060" s="338">
        <v>0</v>
      </c>
      <c r="K1060" s="330">
        <v>0</v>
      </c>
      <c r="L1060" s="330">
        <v>0</v>
      </c>
      <c r="M1060" s="330">
        <v>0</v>
      </c>
      <c r="N1060" s="330">
        <v>0</v>
      </c>
      <c r="O1060" s="330">
        <v>0</v>
      </c>
      <c r="P1060" s="330">
        <v>0</v>
      </c>
      <c r="Q1060" s="330">
        <v>0</v>
      </c>
      <c r="R1060" s="330">
        <v>0</v>
      </c>
      <c r="S1060" s="330">
        <v>0</v>
      </c>
      <c r="T1060" s="330">
        <v>0</v>
      </c>
      <c r="U1060" s="331">
        <v>0</v>
      </c>
      <c r="V1060" s="332">
        <v>0</v>
      </c>
      <c r="W1060" s="333"/>
      <c r="X1060" s="334">
        <v>0</v>
      </c>
      <c r="Y1060" s="335">
        <v>0</v>
      </c>
    </row>
    <row r="1061" spans="1:25" x14ac:dyDescent="0.3">
      <c r="A1061" s="326"/>
      <c r="B1061" s="326"/>
      <c r="C1061" s="326"/>
      <c r="D1061" s="326"/>
      <c r="E1061" s="326" t="s">
        <v>2034</v>
      </c>
      <c r="F1061" s="336"/>
      <c r="G1061" s="327"/>
      <c r="H1061" s="328"/>
      <c r="I1061" s="329"/>
      <c r="J1061" s="338">
        <v>0</v>
      </c>
      <c r="K1061" s="330">
        <v>0</v>
      </c>
      <c r="L1061" s="330">
        <v>0</v>
      </c>
      <c r="M1061" s="330">
        <v>0</v>
      </c>
      <c r="N1061" s="330">
        <v>0</v>
      </c>
      <c r="O1061" s="330">
        <v>0</v>
      </c>
      <c r="P1061" s="330">
        <v>0</v>
      </c>
      <c r="Q1061" s="330">
        <v>0</v>
      </c>
      <c r="R1061" s="330">
        <v>0</v>
      </c>
      <c r="S1061" s="330">
        <v>0</v>
      </c>
      <c r="T1061" s="330">
        <v>0</v>
      </c>
      <c r="U1061" s="331">
        <v>0</v>
      </c>
      <c r="V1061" s="332">
        <v>0</v>
      </c>
      <c r="W1061" s="333"/>
      <c r="X1061" s="334">
        <v>0</v>
      </c>
      <c r="Y1061" s="335">
        <v>0</v>
      </c>
    </row>
    <row r="1062" spans="1:25" x14ac:dyDescent="0.3">
      <c r="E1062" s="339" t="s">
        <v>2035</v>
      </c>
      <c r="F1062" s="340" t="s">
        <v>2036</v>
      </c>
      <c r="G1062" s="341"/>
      <c r="H1062" s="342"/>
      <c r="I1062" s="343"/>
      <c r="J1062" s="344">
        <v>0</v>
      </c>
      <c r="K1062" s="345">
        <v>0</v>
      </c>
      <c r="L1062" s="345">
        <v>0</v>
      </c>
      <c r="M1062" s="345">
        <v>0</v>
      </c>
      <c r="N1062" s="345">
        <v>0</v>
      </c>
      <c r="O1062" s="345">
        <v>0</v>
      </c>
      <c r="P1062" s="345">
        <v>0</v>
      </c>
      <c r="Q1062" s="345">
        <v>0</v>
      </c>
      <c r="R1062" s="345">
        <v>0</v>
      </c>
      <c r="S1062" s="345">
        <v>0</v>
      </c>
      <c r="T1062" s="345">
        <v>0</v>
      </c>
      <c r="U1062" s="346">
        <v>0</v>
      </c>
      <c r="V1062" s="347">
        <v>0</v>
      </c>
      <c r="W1062" s="303"/>
      <c r="X1062" s="348">
        <v>0</v>
      </c>
      <c r="Y1062" s="349">
        <v>0</v>
      </c>
    </row>
    <row r="1063" spans="1:25" x14ac:dyDescent="0.3">
      <c r="E1063" t="s">
        <v>2037</v>
      </c>
      <c r="F1063" s="317">
        <v>4400182</v>
      </c>
      <c r="G1063" s="318"/>
      <c r="H1063" s="319">
        <v>7501010303</v>
      </c>
      <c r="I1063" s="320"/>
      <c r="J1063" s="337">
        <v>0</v>
      </c>
      <c r="K1063" s="321">
        <v>0</v>
      </c>
      <c r="L1063" s="321">
        <v>0</v>
      </c>
      <c r="M1063" s="321">
        <v>0</v>
      </c>
      <c r="N1063" s="321">
        <v>0</v>
      </c>
      <c r="O1063" s="321">
        <v>0</v>
      </c>
      <c r="P1063" s="321">
        <v>0</v>
      </c>
      <c r="Q1063" s="321">
        <v>0</v>
      </c>
      <c r="R1063" s="321">
        <v>0</v>
      </c>
      <c r="S1063" s="321">
        <v>0</v>
      </c>
      <c r="T1063" s="321">
        <v>0</v>
      </c>
      <c r="U1063" s="322">
        <v>0</v>
      </c>
      <c r="V1063" s="323">
        <v>0</v>
      </c>
      <c r="W1063" s="303"/>
      <c r="X1063" s="324">
        <v>0</v>
      </c>
      <c r="Y1063" s="325">
        <v>0</v>
      </c>
    </row>
    <row r="1064" spans="1:25" x14ac:dyDescent="0.3">
      <c r="E1064" t="s">
        <v>2038</v>
      </c>
      <c r="F1064" s="317">
        <v>4400181</v>
      </c>
      <c r="G1064" s="318"/>
      <c r="H1064" s="319">
        <v>7501010301</v>
      </c>
      <c r="I1064" s="320"/>
      <c r="J1064" s="337">
        <v>0</v>
      </c>
      <c r="K1064" s="321">
        <v>0</v>
      </c>
      <c r="L1064" s="321">
        <v>0</v>
      </c>
      <c r="M1064" s="321">
        <v>0</v>
      </c>
      <c r="N1064" s="321">
        <v>0</v>
      </c>
      <c r="O1064" s="321">
        <v>0</v>
      </c>
      <c r="P1064" s="321">
        <v>0</v>
      </c>
      <c r="Q1064" s="321">
        <v>0</v>
      </c>
      <c r="R1064" s="321">
        <v>0</v>
      </c>
      <c r="S1064" s="321">
        <v>0</v>
      </c>
      <c r="T1064" s="321">
        <v>0</v>
      </c>
      <c r="U1064" s="322">
        <v>0</v>
      </c>
      <c r="V1064" s="323">
        <v>0</v>
      </c>
      <c r="W1064" s="303"/>
      <c r="X1064" s="324">
        <v>0</v>
      </c>
      <c r="Y1064" s="325">
        <v>0</v>
      </c>
    </row>
    <row r="1065" spans="1:25" x14ac:dyDescent="0.3">
      <c r="A1065" s="326"/>
      <c r="B1065" s="326"/>
      <c r="C1065" s="326"/>
      <c r="D1065" s="326"/>
      <c r="E1065" s="326" t="s">
        <v>2032</v>
      </c>
      <c r="F1065" s="336"/>
      <c r="G1065" s="327"/>
      <c r="H1065" s="328"/>
      <c r="I1065" s="329"/>
      <c r="J1065" s="338">
        <v>0</v>
      </c>
      <c r="K1065" s="330">
        <v>0</v>
      </c>
      <c r="L1065" s="330">
        <v>0</v>
      </c>
      <c r="M1065" s="330">
        <v>0</v>
      </c>
      <c r="N1065" s="330">
        <v>0</v>
      </c>
      <c r="O1065" s="330">
        <v>0</v>
      </c>
      <c r="P1065" s="330">
        <v>0</v>
      </c>
      <c r="Q1065" s="330">
        <v>0</v>
      </c>
      <c r="R1065" s="330">
        <v>0</v>
      </c>
      <c r="S1065" s="330">
        <v>0</v>
      </c>
      <c r="T1065" s="330">
        <v>0</v>
      </c>
      <c r="U1065" s="331">
        <v>0</v>
      </c>
      <c r="V1065" s="332">
        <v>0</v>
      </c>
      <c r="W1065" s="333"/>
      <c r="X1065" s="334">
        <v>0</v>
      </c>
      <c r="Y1065" s="335">
        <v>0</v>
      </c>
    </row>
    <row r="1066" spans="1:25" x14ac:dyDescent="0.3">
      <c r="A1066" s="326"/>
      <c r="B1066" s="326"/>
      <c r="C1066" s="326"/>
      <c r="D1066" s="326"/>
      <c r="E1066" s="326" t="s">
        <v>2033</v>
      </c>
      <c r="F1066" s="336"/>
      <c r="G1066" s="327"/>
      <c r="H1066" s="328"/>
      <c r="I1066" s="329"/>
      <c r="J1066" s="338">
        <v>0</v>
      </c>
      <c r="K1066" s="330">
        <v>0</v>
      </c>
      <c r="L1066" s="330">
        <v>0</v>
      </c>
      <c r="M1066" s="330">
        <v>0</v>
      </c>
      <c r="N1066" s="330">
        <v>0</v>
      </c>
      <c r="O1066" s="330">
        <v>0</v>
      </c>
      <c r="P1066" s="330">
        <v>0</v>
      </c>
      <c r="Q1066" s="330">
        <v>0</v>
      </c>
      <c r="R1066" s="330">
        <v>0</v>
      </c>
      <c r="S1066" s="330">
        <v>0</v>
      </c>
      <c r="T1066" s="330">
        <v>0</v>
      </c>
      <c r="U1066" s="331">
        <v>0</v>
      </c>
      <c r="V1066" s="332">
        <v>0</v>
      </c>
      <c r="W1066" s="333"/>
      <c r="X1066" s="334">
        <v>0</v>
      </c>
      <c r="Y1066" s="335">
        <v>0</v>
      </c>
    </row>
    <row r="1067" spans="1:25" x14ac:dyDescent="0.3">
      <c r="A1067" s="326"/>
      <c r="B1067" s="326"/>
      <c r="C1067" s="326"/>
      <c r="D1067" s="326"/>
      <c r="E1067" s="326" t="s">
        <v>2034</v>
      </c>
      <c r="F1067" s="336"/>
      <c r="G1067" s="327"/>
      <c r="H1067" s="328"/>
      <c r="I1067" s="329"/>
      <c r="J1067" s="338">
        <v>0</v>
      </c>
      <c r="K1067" s="330">
        <v>0</v>
      </c>
      <c r="L1067" s="330">
        <v>0</v>
      </c>
      <c r="M1067" s="330">
        <v>0</v>
      </c>
      <c r="N1067" s="330">
        <v>0</v>
      </c>
      <c r="O1067" s="330">
        <v>0</v>
      </c>
      <c r="P1067" s="330">
        <v>0</v>
      </c>
      <c r="Q1067" s="330">
        <v>0</v>
      </c>
      <c r="R1067" s="330">
        <v>0</v>
      </c>
      <c r="S1067" s="330">
        <v>0</v>
      </c>
      <c r="T1067" s="330">
        <v>0</v>
      </c>
      <c r="U1067" s="331">
        <v>0</v>
      </c>
      <c r="V1067" s="332">
        <v>0</v>
      </c>
      <c r="W1067" s="333"/>
      <c r="X1067" s="334">
        <v>0</v>
      </c>
      <c r="Y1067" s="335">
        <v>0</v>
      </c>
    </row>
    <row r="1068" spans="1:25" x14ac:dyDescent="0.3">
      <c r="A1068" s="233"/>
      <c r="B1068" s="234" t="s">
        <v>77</v>
      </c>
      <c r="D1068" s="293" t="s">
        <v>2039</v>
      </c>
      <c r="E1068" s="294"/>
      <c r="F1068" s="295" t="s">
        <v>2040</v>
      </c>
      <c r="G1068" s="296"/>
      <c r="H1068" s="297"/>
      <c r="I1068" s="298"/>
      <c r="J1068" s="299">
        <v>0</v>
      </c>
      <c r="K1068" s="300">
        <v>0</v>
      </c>
      <c r="L1068" s="300">
        <v>0</v>
      </c>
      <c r="M1068" s="300">
        <v>0</v>
      </c>
      <c r="N1068" s="300">
        <v>0</v>
      </c>
      <c r="O1068" s="300">
        <v>0</v>
      </c>
      <c r="P1068" s="300">
        <v>0</v>
      </c>
      <c r="Q1068" s="300">
        <v>0</v>
      </c>
      <c r="R1068" s="300">
        <v>0</v>
      </c>
      <c r="S1068" s="300">
        <v>0</v>
      </c>
      <c r="T1068" s="300">
        <v>0</v>
      </c>
      <c r="U1068" s="301">
        <v>0</v>
      </c>
      <c r="V1068" s="302">
        <v>0</v>
      </c>
      <c r="W1068" s="303"/>
      <c r="X1068" s="304">
        <v>0</v>
      </c>
      <c r="Y1068" s="305">
        <v>0</v>
      </c>
    </row>
    <row r="1069" spans="1:25" x14ac:dyDescent="0.3">
      <c r="E1069" t="s">
        <v>2041</v>
      </c>
      <c r="F1069" s="317">
        <v>4401000</v>
      </c>
      <c r="G1069" s="318"/>
      <c r="H1069" s="319">
        <v>7501030101</v>
      </c>
      <c r="I1069" s="320"/>
      <c r="J1069" s="337">
        <v>0</v>
      </c>
      <c r="K1069" s="321">
        <v>0</v>
      </c>
      <c r="L1069" s="321">
        <v>0</v>
      </c>
      <c r="M1069" s="321">
        <v>0</v>
      </c>
      <c r="N1069" s="321">
        <v>0</v>
      </c>
      <c r="O1069" s="321">
        <v>0</v>
      </c>
      <c r="P1069" s="321">
        <v>0</v>
      </c>
      <c r="Q1069" s="321">
        <v>0</v>
      </c>
      <c r="R1069" s="321">
        <v>0</v>
      </c>
      <c r="S1069" s="321">
        <v>0</v>
      </c>
      <c r="T1069" s="321">
        <v>0</v>
      </c>
      <c r="U1069" s="322">
        <v>0</v>
      </c>
      <c r="V1069" s="323">
        <v>0</v>
      </c>
      <c r="W1069" s="303"/>
      <c r="X1069" s="324">
        <v>0</v>
      </c>
      <c r="Y1069" s="325">
        <v>0</v>
      </c>
    </row>
    <row r="1070" spans="1:25" x14ac:dyDescent="0.3">
      <c r="A1070" s="326"/>
      <c r="B1070" s="326"/>
      <c r="C1070" s="326"/>
      <c r="D1070" s="326"/>
      <c r="E1070" s="326" t="s">
        <v>2042</v>
      </c>
      <c r="F1070" s="336"/>
      <c r="G1070" s="327"/>
      <c r="H1070" s="328"/>
      <c r="I1070" s="329"/>
      <c r="J1070" s="338">
        <v>0</v>
      </c>
      <c r="K1070" s="330">
        <v>0</v>
      </c>
      <c r="L1070" s="330">
        <v>0</v>
      </c>
      <c r="M1070" s="330">
        <v>0</v>
      </c>
      <c r="N1070" s="330">
        <v>0</v>
      </c>
      <c r="O1070" s="330">
        <v>0</v>
      </c>
      <c r="P1070" s="330">
        <v>0</v>
      </c>
      <c r="Q1070" s="330">
        <v>0</v>
      </c>
      <c r="R1070" s="330">
        <v>0</v>
      </c>
      <c r="S1070" s="330">
        <v>0</v>
      </c>
      <c r="T1070" s="330">
        <v>0</v>
      </c>
      <c r="U1070" s="331">
        <v>0</v>
      </c>
      <c r="V1070" s="332">
        <v>0</v>
      </c>
      <c r="W1070" s="333"/>
      <c r="X1070" s="334">
        <v>0</v>
      </c>
      <c r="Y1070" s="335">
        <v>0</v>
      </c>
    </row>
    <row r="1071" spans="1:25" x14ac:dyDescent="0.3">
      <c r="A1071" s="326"/>
      <c r="B1071" s="326"/>
      <c r="C1071" s="326"/>
      <c r="D1071" s="326"/>
      <c r="E1071" s="326" t="s">
        <v>2043</v>
      </c>
      <c r="F1071" s="336"/>
      <c r="G1071" s="327"/>
      <c r="H1071" s="328"/>
      <c r="I1071" s="329"/>
      <c r="J1071" s="338">
        <v>0</v>
      </c>
      <c r="K1071" s="330">
        <v>0</v>
      </c>
      <c r="L1071" s="330">
        <v>0</v>
      </c>
      <c r="M1071" s="330">
        <v>0</v>
      </c>
      <c r="N1071" s="330">
        <v>0</v>
      </c>
      <c r="O1071" s="330">
        <v>0</v>
      </c>
      <c r="P1071" s="330">
        <v>0</v>
      </c>
      <c r="Q1071" s="330">
        <v>0</v>
      </c>
      <c r="R1071" s="330">
        <v>0</v>
      </c>
      <c r="S1071" s="330">
        <v>0</v>
      </c>
      <c r="T1071" s="330">
        <v>0</v>
      </c>
      <c r="U1071" s="331">
        <v>0</v>
      </c>
      <c r="V1071" s="332">
        <v>0</v>
      </c>
      <c r="W1071" s="333"/>
      <c r="X1071" s="334">
        <v>0</v>
      </c>
      <c r="Y1071" s="335">
        <v>0</v>
      </c>
    </row>
    <row r="1072" spans="1:25" x14ac:dyDescent="0.3">
      <c r="A1072" s="326"/>
      <c r="B1072" s="326"/>
      <c r="C1072" s="326"/>
      <c r="D1072" s="326"/>
      <c r="E1072" s="326" t="s">
        <v>2044</v>
      </c>
      <c r="F1072" s="336"/>
      <c r="G1072" s="327"/>
      <c r="H1072" s="328"/>
      <c r="I1072" s="329"/>
      <c r="J1072" s="338">
        <v>0</v>
      </c>
      <c r="K1072" s="330">
        <v>0</v>
      </c>
      <c r="L1072" s="330">
        <v>0</v>
      </c>
      <c r="M1072" s="330">
        <v>0</v>
      </c>
      <c r="N1072" s="330">
        <v>0</v>
      </c>
      <c r="O1072" s="330">
        <v>0</v>
      </c>
      <c r="P1072" s="330">
        <v>0</v>
      </c>
      <c r="Q1072" s="330">
        <v>0</v>
      </c>
      <c r="R1072" s="330">
        <v>0</v>
      </c>
      <c r="S1072" s="330">
        <v>0</v>
      </c>
      <c r="T1072" s="330">
        <v>0</v>
      </c>
      <c r="U1072" s="331">
        <v>0</v>
      </c>
      <c r="V1072" s="332">
        <v>0</v>
      </c>
      <c r="W1072" s="333"/>
      <c r="X1072" s="334">
        <v>0</v>
      </c>
      <c r="Y1072" s="335">
        <v>0</v>
      </c>
    </row>
    <row r="1073" spans="1:25" x14ac:dyDescent="0.3">
      <c r="A1073" s="233"/>
      <c r="B1073" s="234" t="s">
        <v>78</v>
      </c>
      <c r="D1073" s="293" t="s">
        <v>2045</v>
      </c>
      <c r="E1073" s="294"/>
      <c r="F1073" s="295" t="s">
        <v>2046</v>
      </c>
      <c r="G1073" s="296"/>
      <c r="H1073" s="297"/>
      <c r="I1073" s="298"/>
      <c r="J1073" s="299">
        <v>0</v>
      </c>
      <c r="K1073" s="300">
        <v>0</v>
      </c>
      <c r="L1073" s="300">
        <v>0</v>
      </c>
      <c r="M1073" s="300">
        <v>0</v>
      </c>
      <c r="N1073" s="300">
        <v>0</v>
      </c>
      <c r="O1073" s="300">
        <v>0</v>
      </c>
      <c r="P1073" s="300">
        <v>0</v>
      </c>
      <c r="Q1073" s="300">
        <v>0</v>
      </c>
      <c r="R1073" s="300">
        <v>0</v>
      </c>
      <c r="S1073" s="300">
        <v>0</v>
      </c>
      <c r="T1073" s="300">
        <v>0</v>
      </c>
      <c r="U1073" s="301">
        <v>0</v>
      </c>
      <c r="V1073" s="302">
        <v>0</v>
      </c>
      <c r="W1073" s="303"/>
      <c r="X1073" s="304">
        <v>0</v>
      </c>
      <c r="Y1073" s="305">
        <v>0</v>
      </c>
    </row>
    <row r="1074" spans="1:25" x14ac:dyDescent="0.3">
      <c r="E1074" t="s">
        <v>2047</v>
      </c>
      <c r="F1074" s="317">
        <v>4408510</v>
      </c>
      <c r="G1074" s="318"/>
      <c r="H1074" s="319">
        <v>7501320101</v>
      </c>
      <c r="I1074" s="320"/>
      <c r="J1074" s="337">
        <v>0</v>
      </c>
      <c r="K1074" s="321">
        <v>0</v>
      </c>
      <c r="L1074" s="321">
        <v>0</v>
      </c>
      <c r="M1074" s="321">
        <v>0</v>
      </c>
      <c r="N1074" s="321">
        <v>0</v>
      </c>
      <c r="O1074" s="321">
        <v>0</v>
      </c>
      <c r="P1074" s="321">
        <v>0</v>
      </c>
      <c r="Q1074" s="321">
        <v>0</v>
      </c>
      <c r="R1074" s="321">
        <v>0</v>
      </c>
      <c r="S1074" s="321">
        <v>0</v>
      </c>
      <c r="T1074" s="321">
        <v>0</v>
      </c>
      <c r="U1074" s="322">
        <v>0</v>
      </c>
      <c r="V1074" s="323">
        <v>0</v>
      </c>
      <c r="W1074" s="303"/>
      <c r="X1074" s="324">
        <v>0</v>
      </c>
      <c r="Y1074" s="325">
        <v>0</v>
      </c>
    </row>
    <row r="1075" spans="1:25" x14ac:dyDescent="0.3">
      <c r="E1075" t="s">
        <v>2048</v>
      </c>
      <c r="F1075" s="317">
        <v>4408511</v>
      </c>
      <c r="G1075" s="318"/>
      <c r="H1075" s="319">
        <v>7501320102</v>
      </c>
      <c r="I1075" s="320"/>
      <c r="J1075" s="337">
        <v>0</v>
      </c>
      <c r="K1075" s="321">
        <v>0</v>
      </c>
      <c r="L1075" s="321">
        <v>0</v>
      </c>
      <c r="M1075" s="321">
        <v>0</v>
      </c>
      <c r="N1075" s="321">
        <v>0</v>
      </c>
      <c r="O1075" s="321">
        <v>0</v>
      </c>
      <c r="P1075" s="321">
        <v>0</v>
      </c>
      <c r="Q1075" s="321">
        <v>0</v>
      </c>
      <c r="R1075" s="321">
        <v>0</v>
      </c>
      <c r="S1075" s="321">
        <v>0</v>
      </c>
      <c r="T1075" s="321">
        <v>0</v>
      </c>
      <c r="U1075" s="322">
        <v>0</v>
      </c>
      <c r="V1075" s="323">
        <v>0</v>
      </c>
      <c r="W1075" s="303"/>
      <c r="X1075" s="324">
        <v>0</v>
      </c>
      <c r="Y1075" s="325">
        <v>0</v>
      </c>
    </row>
    <row r="1076" spans="1:25" x14ac:dyDescent="0.3">
      <c r="E1076" t="s">
        <v>2049</v>
      </c>
      <c r="F1076" s="317">
        <v>4408512</v>
      </c>
      <c r="G1076" s="318"/>
      <c r="H1076" s="319">
        <v>7501320103</v>
      </c>
      <c r="I1076" s="320"/>
      <c r="J1076" s="337">
        <v>0</v>
      </c>
      <c r="K1076" s="321">
        <v>0</v>
      </c>
      <c r="L1076" s="321">
        <v>0</v>
      </c>
      <c r="M1076" s="321">
        <v>0</v>
      </c>
      <c r="N1076" s="321">
        <v>0</v>
      </c>
      <c r="O1076" s="321">
        <v>0</v>
      </c>
      <c r="P1076" s="321">
        <v>0</v>
      </c>
      <c r="Q1076" s="321">
        <v>0</v>
      </c>
      <c r="R1076" s="321">
        <v>0</v>
      </c>
      <c r="S1076" s="321">
        <v>0</v>
      </c>
      <c r="T1076" s="321">
        <v>0</v>
      </c>
      <c r="U1076" s="322">
        <v>0</v>
      </c>
      <c r="V1076" s="323">
        <v>0</v>
      </c>
      <c r="W1076" s="303"/>
      <c r="X1076" s="324">
        <v>0</v>
      </c>
      <c r="Y1076" s="325">
        <v>0</v>
      </c>
    </row>
    <row r="1077" spans="1:25" x14ac:dyDescent="0.3">
      <c r="E1077" t="s">
        <v>2050</v>
      </c>
      <c r="F1077" s="317">
        <v>4408513</v>
      </c>
      <c r="G1077" s="318"/>
      <c r="H1077" s="319"/>
      <c r="I1077" s="320"/>
      <c r="J1077" s="337">
        <v>0</v>
      </c>
      <c r="K1077" s="321">
        <v>0</v>
      </c>
      <c r="L1077" s="321">
        <v>0</v>
      </c>
      <c r="M1077" s="321">
        <v>0</v>
      </c>
      <c r="N1077" s="321">
        <v>0</v>
      </c>
      <c r="O1077" s="321">
        <v>0</v>
      </c>
      <c r="P1077" s="321">
        <v>0</v>
      </c>
      <c r="Q1077" s="321">
        <v>0</v>
      </c>
      <c r="R1077" s="321">
        <v>0</v>
      </c>
      <c r="S1077" s="321">
        <v>0</v>
      </c>
      <c r="T1077" s="321">
        <v>0</v>
      </c>
      <c r="U1077" s="322">
        <v>0</v>
      </c>
      <c r="V1077" s="323">
        <v>0</v>
      </c>
      <c r="W1077" s="303"/>
      <c r="X1077" s="324">
        <v>0</v>
      </c>
      <c r="Y1077" s="325">
        <v>0</v>
      </c>
    </row>
    <row r="1078" spans="1:25" x14ac:dyDescent="0.3">
      <c r="E1078" t="s">
        <v>2051</v>
      </c>
      <c r="F1078" s="317">
        <v>4408514</v>
      </c>
      <c r="G1078" s="318"/>
      <c r="H1078" s="319"/>
      <c r="I1078" s="320"/>
      <c r="J1078" s="337">
        <v>0</v>
      </c>
      <c r="K1078" s="321">
        <v>0</v>
      </c>
      <c r="L1078" s="321">
        <v>0</v>
      </c>
      <c r="M1078" s="321">
        <v>0</v>
      </c>
      <c r="N1078" s="321">
        <v>0</v>
      </c>
      <c r="O1078" s="321">
        <v>0</v>
      </c>
      <c r="P1078" s="321">
        <v>0</v>
      </c>
      <c r="Q1078" s="321">
        <v>0</v>
      </c>
      <c r="R1078" s="321">
        <v>0</v>
      </c>
      <c r="S1078" s="321">
        <v>0</v>
      </c>
      <c r="T1078" s="321">
        <v>0</v>
      </c>
      <c r="U1078" s="322">
        <v>0</v>
      </c>
      <c r="V1078" s="323">
        <v>0</v>
      </c>
      <c r="W1078" s="303"/>
      <c r="X1078" s="324">
        <v>0</v>
      </c>
      <c r="Y1078" s="325">
        <v>0</v>
      </c>
    </row>
    <row r="1079" spans="1:25" x14ac:dyDescent="0.3">
      <c r="A1079" s="326"/>
      <c r="B1079" s="326"/>
      <c r="C1079" s="326"/>
      <c r="D1079" s="326"/>
      <c r="E1079" s="326" t="s">
        <v>2052</v>
      </c>
      <c r="F1079" s="336"/>
      <c r="G1079" s="327"/>
      <c r="H1079" s="328"/>
      <c r="I1079" s="329"/>
      <c r="J1079" s="338">
        <v>0</v>
      </c>
      <c r="K1079" s="330">
        <v>0</v>
      </c>
      <c r="L1079" s="330">
        <v>0</v>
      </c>
      <c r="M1079" s="330">
        <v>0</v>
      </c>
      <c r="N1079" s="330">
        <v>0</v>
      </c>
      <c r="O1079" s="330">
        <v>0</v>
      </c>
      <c r="P1079" s="330">
        <v>0</v>
      </c>
      <c r="Q1079" s="330">
        <v>0</v>
      </c>
      <c r="R1079" s="330">
        <v>0</v>
      </c>
      <c r="S1079" s="330">
        <v>0</v>
      </c>
      <c r="T1079" s="330">
        <v>0</v>
      </c>
      <c r="U1079" s="331">
        <v>0</v>
      </c>
      <c r="V1079" s="332">
        <v>0</v>
      </c>
      <c r="W1079" s="333"/>
      <c r="X1079" s="334">
        <v>0</v>
      </c>
      <c r="Y1079" s="335">
        <v>0</v>
      </c>
    </row>
    <row r="1080" spans="1:25" x14ac:dyDescent="0.3">
      <c r="A1080" s="326"/>
      <c r="B1080" s="326"/>
      <c r="C1080" s="326"/>
      <c r="D1080" s="326"/>
      <c r="E1080" s="326" t="s">
        <v>2053</v>
      </c>
      <c r="F1080" s="336"/>
      <c r="G1080" s="327"/>
      <c r="H1080" s="328"/>
      <c r="I1080" s="329"/>
      <c r="J1080" s="338">
        <v>0</v>
      </c>
      <c r="K1080" s="330">
        <v>0</v>
      </c>
      <c r="L1080" s="330">
        <v>0</v>
      </c>
      <c r="M1080" s="330">
        <v>0</v>
      </c>
      <c r="N1080" s="330">
        <v>0</v>
      </c>
      <c r="O1080" s="330">
        <v>0</v>
      </c>
      <c r="P1080" s="330">
        <v>0</v>
      </c>
      <c r="Q1080" s="330">
        <v>0</v>
      </c>
      <c r="R1080" s="330">
        <v>0</v>
      </c>
      <c r="S1080" s="330">
        <v>0</v>
      </c>
      <c r="T1080" s="330">
        <v>0</v>
      </c>
      <c r="U1080" s="331">
        <v>0</v>
      </c>
      <c r="V1080" s="332">
        <v>0</v>
      </c>
      <c r="W1080" s="333"/>
      <c r="X1080" s="334">
        <v>0</v>
      </c>
      <c r="Y1080" s="335">
        <v>0</v>
      </c>
    </row>
    <row r="1081" spans="1:25" x14ac:dyDescent="0.3">
      <c r="A1081" s="326"/>
      <c r="B1081" s="326"/>
      <c r="C1081" s="326"/>
      <c r="D1081" s="326"/>
      <c r="E1081" s="326" t="s">
        <v>2054</v>
      </c>
      <c r="F1081" s="336"/>
      <c r="G1081" s="327"/>
      <c r="H1081" s="328"/>
      <c r="I1081" s="329"/>
      <c r="J1081" s="338">
        <v>0</v>
      </c>
      <c r="K1081" s="330">
        <v>0</v>
      </c>
      <c r="L1081" s="330">
        <v>0</v>
      </c>
      <c r="M1081" s="330">
        <v>0</v>
      </c>
      <c r="N1081" s="330">
        <v>0</v>
      </c>
      <c r="O1081" s="330">
        <v>0</v>
      </c>
      <c r="P1081" s="330">
        <v>0</v>
      </c>
      <c r="Q1081" s="330">
        <v>0</v>
      </c>
      <c r="R1081" s="330">
        <v>0</v>
      </c>
      <c r="S1081" s="330">
        <v>0</v>
      </c>
      <c r="T1081" s="330">
        <v>0</v>
      </c>
      <c r="U1081" s="331">
        <v>0</v>
      </c>
      <c r="V1081" s="332">
        <v>0</v>
      </c>
      <c r="W1081" s="333"/>
      <c r="X1081" s="334">
        <v>0</v>
      </c>
      <c r="Y1081" s="335">
        <v>0</v>
      </c>
    </row>
    <row r="1082" spans="1:25" x14ac:dyDescent="0.3">
      <c r="A1082" s="233"/>
      <c r="B1082" s="234" t="s">
        <v>78</v>
      </c>
      <c r="D1082" s="293" t="s">
        <v>2055</v>
      </c>
      <c r="E1082" s="294"/>
      <c r="F1082" s="295" t="s">
        <v>2056</v>
      </c>
      <c r="G1082" s="296"/>
      <c r="H1082" s="297"/>
      <c r="I1082" s="298"/>
      <c r="J1082" s="299">
        <v>0</v>
      </c>
      <c r="K1082" s="300">
        <v>0</v>
      </c>
      <c r="L1082" s="300">
        <v>0</v>
      </c>
      <c r="M1082" s="300">
        <v>0</v>
      </c>
      <c r="N1082" s="300">
        <v>0</v>
      </c>
      <c r="O1082" s="300">
        <v>0</v>
      </c>
      <c r="P1082" s="300">
        <v>0</v>
      </c>
      <c r="Q1082" s="300">
        <v>0</v>
      </c>
      <c r="R1082" s="300">
        <v>0</v>
      </c>
      <c r="S1082" s="300">
        <v>0</v>
      </c>
      <c r="T1082" s="300">
        <v>0</v>
      </c>
      <c r="U1082" s="301">
        <v>0</v>
      </c>
      <c r="V1082" s="302">
        <v>0</v>
      </c>
      <c r="W1082" s="303"/>
      <c r="X1082" s="304">
        <v>0</v>
      </c>
      <c r="Y1082" s="305">
        <v>0</v>
      </c>
    </row>
    <row r="1083" spans="1:25" x14ac:dyDescent="0.3">
      <c r="E1083" t="s">
        <v>2057</v>
      </c>
      <c r="F1083" s="317">
        <v>4402580</v>
      </c>
      <c r="G1083" s="318"/>
      <c r="H1083" s="319">
        <v>7501070101</v>
      </c>
      <c r="I1083" s="320"/>
      <c r="J1083" s="337">
        <v>0</v>
      </c>
      <c r="K1083" s="321">
        <v>0</v>
      </c>
      <c r="L1083" s="321">
        <v>0</v>
      </c>
      <c r="M1083" s="321">
        <v>0</v>
      </c>
      <c r="N1083" s="321">
        <v>0</v>
      </c>
      <c r="O1083" s="321">
        <v>0</v>
      </c>
      <c r="P1083" s="321">
        <v>0</v>
      </c>
      <c r="Q1083" s="321">
        <v>0</v>
      </c>
      <c r="R1083" s="321">
        <v>0</v>
      </c>
      <c r="S1083" s="321">
        <v>0</v>
      </c>
      <c r="T1083" s="321">
        <v>0</v>
      </c>
      <c r="U1083" s="322">
        <v>0</v>
      </c>
      <c r="V1083" s="323">
        <v>0</v>
      </c>
      <c r="W1083" s="303"/>
      <c r="X1083" s="324">
        <v>0</v>
      </c>
      <c r="Y1083" s="325">
        <v>0</v>
      </c>
    </row>
    <row r="1084" spans="1:25" x14ac:dyDescent="0.3">
      <c r="E1084" t="s">
        <v>2058</v>
      </c>
      <c r="F1084" s="317">
        <v>4402505</v>
      </c>
      <c r="G1084" s="318"/>
      <c r="H1084" s="319"/>
      <c r="I1084" s="320"/>
      <c r="J1084" s="337">
        <v>0</v>
      </c>
      <c r="K1084" s="321">
        <v>0</v>
      </c>
      <c r="L1084" s="321">
        <v>0</v>
      </c>
      <c r="M1084" s="321">
        <v>0</v>
      </c>
      <c r="N1084" s="321">
        <v>0</v>
      </c>
      <c r="O1084" s="321">
        <v>0</v>
      </c>
      <c r="P1084" s="321">
        <v>0</v>
      </c>
      <c r="Q1084" s="321">
        <v>0</v>
      </c>
      <c r="R1084" s="321">
        <v>0</v>
      </c>
      <c r="S1084" s="321">
        <v>0</v>
      </c>
      <c r="T1084" s="321">
        <v>0</v>
      </c>
      <c r="U1084" s="322">
        <v>0</v>
      </c>
      <c r="V1084" s="323">
        <v>0</v>
      </c>
      <c r="W1084" s="303"/>
      <c r="X1084" s="324">
        <v>0</v>
      </c>
      <c r="Y1084" s="325">
        <v>0</v>
      </c>
    </row>
    <row r="1085" spans="1:25" x14ac:dyDescent="0.3">
      <c r="E1085" t="s">
        <v>2059</v>
      </c>
      <c r="F1085" s="317">
        <v>4402506</v>
      </c>
      <c r="G1085" s="318"/>
      <c r="H1085" s="319"/>
      <c r="I1085" s="320"/>
      <c r="J1085" s="337">
        <v>0</v>
      </c>
      <c r="K1085" s="321">
        <v>0</v>
      </c>
      <c r="L1085" s="321">
        <v>0</v>
      </c>
      <c r="M1085" s="321">
        <v>0</v>
      </c>
      <c r="N1085" s="321">
        <v>0</v>
      </c>
      <c r="O1085" s="321">
        <v>0</v>
      </c>
      <c r="P1085" s="321">
        <v>0</v>
      </c>
      <c r="Q1085" s="321">
        <v>0</v>
      </c>
      <c r="R1085" s="321">
        <v>0</v>
      </c>
      <c r="S1085" s="321">
        <v>0</v>
      </c>
      <c r="T1085" s="321">
        <v>0</v>
      </c>
      <c r="U1085" s="322">
        <v>0</v>
      </c>
      <c r="V1085" s="323">
        <v>0</v>
      </c>
      <c r="W1085" s="303"/>
      <c r="X1085" s="324">
        <v>0</v>
      </c>
      <c r="Y1085" s="325">
        <v>0</v>
      </c>
    </row>
    <row r="1086" spans="1:25" x14ac:dyDescent="0.3">
      <c r="E1086" t="s">
        <v>2060</v>
      </c>
      <c r="F1086" s="317">
        <v>4402507</v>
      </c>
      <c r="G1086" s="318"/>
      <c r="H1086" s="319"/>
      <c r="I1086" s="320"/>
      <c r="J1086" s="337">
        <v>0</v>
      </c>
      <c r="K1086" s="321">
        <v>0</v>
      </c>
      <c r="L1086" s="321">
        <v>0</v>
      </c>
      <c r="M1086" s="321">
        <v>0</v>
      </c>
      <c r="N1086" s="321">
        <v>0</v>
      </c>
      <c r="O1086" s="321">
        <v>0</v>
      </c>
      <c r="P1086" s="321">
        <v>0</v>
      </c>
      <c r="Q1086" s="321">
        <v>0</v>
      </c>
      <c r="R1086" s="321">
        <v>0</v>
      </c>
      <c r="S1086" s="321">
        <v>0</v>
      </c>
      <c r="T1086" s="321">
        <v>0</v>
      </c>
      <c r="U1086" s="322">
        <v>0</v>
      </c>
      <c r="V1086" s="323">
        <v>0</v>
      </c>
      <c r="W1086" s="303"/>
      <c r="X1086" s="324">
        <v>0</v>
      </c>
      <c r="Y1086" s="325">
        <v>0</v>
      </c>
    </row>
    <row r="1087" spans="1:25" x14ac:dyDescent="0.3">
      <c r="E1087" t="s">
        <v>2061</v>
      </c>
      <c r="F1087" s="317">
        <v>4402508</v>
      </c>
      <c r="G1087" s="318"/>
      <c r="H1087" s="319"/>
      <c r="I1087" s="320"/>
      <c r="J1087" s="337">
        <v>0</v>
      </c>
      <c r="K1087" s="321">
        <v>0</v>
      </c>
      <c r="L1087" s="321">
        <v>0</v>
      </c>
      <c r="M1087" s="321">
        <v>0</v>
      </c>
      <c r="N1087" s="321">
        <v>0</v>
      </c>
      <c r="O1087" s="321">
        <v>0</v>
      </c>
      <c r="P1087" s="321">
        <v>0</v>
      </c>
      <c r="Q1087" s="321">
        <v>0</v>
      </c>
      <c r="R1087" s="321">
        <v>0</v>
      </c>
      <c r="S1087" s="321">
        <v>0</v>
      </c>
      <c r="T1087" s="321">
        <v>0</v>
      </c>
      <c r="U1087" s="322">
        <v>0</v>
      </c>
      <c r="V1087" s="323">
        <v>0</v>
      </c>
      <c r="W1087" s="303"/>
      <c r="X1087" s="324">
        <v>0</v>
      </c>
      <c r="Y1087" s="325">
        <v>0</v>
      </c>
    </row>
    <row r="1088" spans="1:25" x14ac:dyDescent="0.3">
      <c r="A1088" s="326"/>
      <c r="B1088" s="326"/>
      <c r="C1088" s="326"/>
      <c r="D1088" s="326"/>
      <c r="E1088" s="326" t="s">
        <v>2062</v>
      </c>
      <c r="F1088" s="336"/>
      <c r="G1088" s="327"/>
      <c r="H1088" s="328"/>
      <c r="I1088" s="329"/>
      <c r="J1088" s="338">
        <v>0</v>
      </c>
      <c r="K1088" s="330">
        <v>0</v>
      </c>
      <c r="L1088" s="330">
        <v>0</v>
      </c>
      <c r="M1088" s="330">
        <v>0</v>
      </c>
      <c r="N1088" s="330">
        <v>0</v>
      </c>
      <c r="O1088" s="330">
        <v>0</v>
      </c>
      <c r="P1088" s="330">
        <v>0</v>
      </c>
      <c r="Q1088" s="330">
        <v>0</v>
      </c>
      <c r="R1088" s="330">
        <v>0</v>
      </c>
      <c r="S1088" s="330">
        <v>0</v>
      </c>
      <c r="T1088" s="330">
        <v>0</v>
      </c>
      <c r="U1088" s="331">
        <v>0</v>
      </c>
      <c r="V1088" s="332">
        <v>0</v>
      </c>
      <c r="W1088" s="333"/>
      <c r="X1088" s="334">
        <v>0</v>
      </c>
      <c r="Y1088" s="335">
        <v>0</v>
      </c>
    </row>
    <row r="1089" spans="1:25" x14ac:dyDescent="0.3">
      <c r="A1089" s="326"/>
      <c r="B1089" s="326"/>
      <c r="C1089" s="326"/>
      <c r="D1089" s="326"/>
      <c r="E1089" s="326" t="s">
        <v>2063</v>
      </c>
      <c r="F1089" s="336"/>
      <c r="G1089" s="327"/>
      <c r="H1089" s="328"/>
      <c r="I1089" s="329"/>
      <c r="J1089" s="338">
        <v>0</v>
      </c>
      <c r="K1089" s="330">
        <v>0</v>
      </c>
      <c r="L1089" s="330">
        <v>0</v>
      </c>
      <c r="M1089" s="330">
        <v>0</v>
      </c>
      <c r="N1089" s="330">
        <v>0</v>
      </c>
      <c r="O1089" s="330">
        <v>0</v>
      </c>
      <c r="P1089" s="330">
        <v>0</v>
      </c>
      <c r="Q1089" s="330">
        <v>0</v>
      </c>
      <c r="R1089" s="330">
        <v>0</v>
      </c>
      <c r="S1089" s="330">
        <v>0</v>
      </c>
      <c r="T1089" s="330">
        <v>0</v>
      </c>
      <c r="U1089" s="331">
        <v>0</v>
      </c>
      <c r="V1089" s="332">
        <v>0</v>
      </c>
      <c r="W1089" s="333"/>
      <c r="X1089" s="334">
        <v>0</v>
      </c>
      <c r="Y1089" s="335">
        <v>0</v>
      </c>
    </row>
    <row r="1090" spans="1:25" x14ac:dyDescent="0.3">
      <c r="A1090" s="326"/>
      <c r="B1090" s="326"/>
      <c r="C1090" s="326"/>
      <c r="D1090" s="326"/>
      <c r="E1090" s="326" t="s">
        <v>2062</v>
      </c>
      <c r="F1090" s="336"/>
      <c r="G1090" s="327"/>
      <c r="H1090" s="328"/>
      <c r="I1090" s="329"/>
      <c r="J1090" s="338">
        <v>0</v>
      </c>
      <c r="K1090" s="330">
        <v>0</v>
      </c>
      <c r="L1090" s="330">
        <v>0</v>
      </c>
      <c r="M1090" s="330">
        <v>0</v>
      </c>
      <c r="N1090" s="330">
        <v>0</v>
      </c>
      <c r="O1090" s="330">
        <v>0</v>
      </c>
      <c r="P1090" s="330">
        <v>0</v>
      </c>
      <c r="Q1090" s="330">
        <v>0</v>
      </c>
      <c r="R1090" s="330">
        <v>0</v>
      </c>
      <c r="S1090" s="330">
        <v>0</v>
      </c>
      <c r="T1090" s="330">
        <v>0</v>
      </c>
      <c r="U1090" s="331">
        <v>0</v>
      </c>
      <c r="V1090" s="332">
        <v>0</v>
      </c>
      <c r="W1090" s="333"/>
      <c r="X1090" s="334">
        <v>0</v>
      </c>
      <c r="Y1090" s="335">
        <v>0</v>
      </c>
    </row>
    <row r="1091" spans="1:25" x14ac:dyDescent="0.3">
      <c r="A1091" s="233"/>
      <c r="B1091" s="234" t="s">
        <v>78</v>
      </c>
      <c r="D1091" s="293" t="s">
        <v>2064</v>
      </c>
      <c r="E1091" s="294"/>
      <c r="F1091" s="295" t="s">
        <v>2065</v>
      </c>
      <c r="G1091" s="296"/>
      <c r="H1091" s="297"/>
      <c r="I1091" s="298"/>
      <c r="J1091" s="299">
        <v>0</v>
      </c>
      <c r="K1091" s="300">
        <v>0</v>
      </c>
      <c r="L1091" s="300">
        <v>0</v>
      </c>
      <c r="M1091" s="300">
        <v>0</v>
      </c>
      <c r="N1091" s="300">
        <v>0</v>
      </c>
      <c r="O1091" s="300">
        <v>0</v>
      </c>
      <c r="P1091" s="300">
        <v>0</v>
      </c>
      <c r="Q1091" s="300">
        <v>0</v>
      </c>
      <c r="R1091" s="300">
        <v>0</v>
      </c>
      <c r="S1091" s="300">
        <v>0</v>
      </c>
      <c r="T1091" s="300">
        <v>0</v>
      </c>
      <c r="U1091" s="301">
        <v>0</v>
      </c>
      <c r="V1091" s="302">
        <v>0</v>
      </c>
      <c r="W1091" s="303"/>
      <c r="X1091" s="304">
        <v>0</v>
      </c>
      <c r="Y1091" s="305">
        <v>0</v>
      </c>
    </row>
    <row r="1092" spans="1:25" x14ac:dyDescent="0.3">
      <c r="E1092" t="s">
        <v>2066</v>
      </c>
      <c r="F1092" s="317">
        <v>4402503</v>
      </c>
      <c r="G1092" s="318"/>
      <c r="H1092" s="319">
        <v>7501110102</v>
      </c>
      <c r="I1092" s="320"/>
      <c r="J1092" s="337">
        <v>0</v>
      </c>
      <c r="K1092" s="321">
        <v>0</v>
      </c>
      <c r="L1092" s="321">
        <v>0</v>
      </c>
      <c r="M1092" s="321">
        <v>0</v>
      </c>
      <c r="N1092" s="321">
        <v>0</v>
      </c>
      <c r="O1092" s="321">
        <v>0</v>
      </c>
      <c r="P1092" s="321">
        <v>0</v>
      </c>
      <c r="Q1092" s="321">
        <v>0</v>
      </c>
      <c r="R1092" s="321">
        <v>0</v>
      </c>
      <c r="S1092" s="321">
        <v>0</v>
      </c>
      <c r="T1092" s="321">
        <v>0</v>
      </c>
      <c r="U1092" s="322">
        <v>0</v>
      </c>
      <c r="V1092" s="323">
        <v>0</v>
      </c>
      <c r="W1092" s="303"/>
      <c r="X1092" s="324">
        <v>0</v>
      </c>
      <c r="Y1092" s="325">
        <v>0</v>
      </c>
    </row>
    <row r="1093" spans="1:25" x14ac:dyDescent="0.3">
      <c r="E1093" s="326" t="s">
        <v>2067</v>
      </c>
      <c r="F1093" s="317"/>
      <c r="G1093" s="318"/>
      <c r="H1093" s="319"/>
      <c r="I1093" s="320"/>
      <c r="J1093" s="337">
        <v>0</v>
      </c>
      <c r="K1093" s="321">
        <v>0</v>
      </c>
      <c r="L1093" s="321">
        <v>0</v>
      </c>
      <c r="M1093" s="321">
        <v>0</v>
      </c>
      <c r="N1093" s="321">
        <v>0</v>
      </c>
      <c r="O1093" s="321">
        <v>0</v>
      </c>
      <c r="P1093" s="321">
        <v>0</v>
      </c>
      <c r="Q1093" s="321">
        <v>0</v>
      </c>
      <c r="R1093" s="321">
        <v>0</v>
      </c>
      <c r="S1093" s="321">
        <v>0</v>
      </c>
      <c r="T1093" s="321">
        <v>0</v>
      </c>
      <c r="U1093" s="322">
        <v>0</v>
      </c>
      <c r="V1093" s="323">
        <v>0</v>
      </c>
      <c r="W1093" s="303"/>
      <c r="X1093" s="324">
        <v>0</v>
      </c>
      <c r="Y1093" s="325">
        <v>0</v>
      </c>
    </row>
    <row r="1094" spans="1:25" x14ac:dyDescent="0.3">
      <c r="E1094" s="326" t="s">
        <v>2068</v>
      </c>
      <c r="F1094" s="317"/>
      <c r="G1094" s="318"/>
      <c r="H1094" s="319"/>
      <c r="I1094" s="320"/>
      <c r="J1094" s="337">
        <v>0</v>
      </c>
      <c r="K1094" s="321">
        <v>0</v>
      </c>
      <c r="L1094" s="321">
        <v>0</v>
      </c>
      <c r="M1094" s="321">
        <v>0</v>
      </c>
      <c r="N1094" s="321">
        <v>0</v>
      </c>
      <c r="O1094" s="321">
        <v>0</v>
      </c>
      <c r="P1094" s="321">
        <v>0</v>
      </c>
      <c r="Q1094" s="321">
        <v>0</v>
      </c>
      <c r="R1094" s="321">
        <v>0</v>
      </c>
      <c r="S1094" s="321">
        <v>0</v>
      </c>
      <c r="T1094" s="321">
        <v>0</v>
      </c>
      <c r="U1094" s="322">
        <v>0</v>
      </c>
      <c r="V1094" s="323">
        <v>0</v>
      </c>
      <c r="W1094" s="303"/>
      <c r="X1094" s="324">
        <v>0</v>
      </c>
      <c r="Y1094" s="325">
        <v>0</v>
      </c>
    </row>
    <row r="1095" spans="1:25" x14ac:dyDescent="0.3">
      <c r="E1095" s="326" t="s">
        <v>2069</v>
      </c>
      <c r="F1095" s="317"/>
      <c r="G1095" s="318"/>
      <c r="H1095" s="319"/>
      <c r="I1095" s="320"/>
      <c r="J1095" s="337">
        <v>0</v>
      </c>
      <c r="K1095" s="321">
        <v>0</v>
      </c>
      <c r="L1095" s="321">
        <v>0</v>
      </c>
      <c r="M1095" s="321">
        <v>0</v>
      </c>
      <c r="N1095" s="321">
        <v>0</v>
      </c>
      <c r="O1095" s="321">
        <v>0</v>
      </c>
      <c r="P1095" s="321">
        <v>0</v>
      </c>
      <c r="Q1095" s="321">
        <v>0</v>
      </c>
      <c r="R1095" s="321">
        <v>0</v>
      </c>
      <c r="S1095" s="321">
        <v>0</v>
      </c>
      <c r="T1095" s="321">
        <v>0</v>
      </c>
      <c r="U1095" s="322">
        <v>0</v>
      </c>
      <c r="V1095" s="323">
        <v>0</v>
      </c>
      <c r="W1095" s="303"/>
      <c r="X1095" s="324">
        <v>0</v>
      </c>
      <c r="Y1095" s="325">
        <v>0</v>
      </c>
    </row>
    <row r="1096" spans="1:25" x14ac:dyDescent="0.3">
      <c r="A1096" s="233"/>
      <c r="B1096" s="234" t="s">
        <v>78</v>
      </c>
      <c r="D1096" s="293" t="s">
        <v>2070</v>
      </c>
      <c r="E1096" s="294"/>
      <c r="F1096" s="295" t="s">
        <v>2071</v>
      </c>
      <c r="G1096" s="296"/>
      <c r="H1096" s="297"/>
      <c r="I1096" s="298"/>
      <c r="J1096" s="299">
        <v>0</v>
      </c>
      <c r="K1096" s="300">
        <v>0</v>
      </c>
      <c r="L1096" s="300">
        <v>0</v>
      </c>
      <c r="M1096" s="300">
        <v>0</v>
      </c>
      <c r="N1096" s="300">
        <v>0</v>
      </c>
      <c r="O1096" s="300">
        <v>0</v>
      </c>
      <c r="P1096" s="300">
        <v>0</v>
      </c>
      <c r="Q1096" s="300">
        <v>0</v>
      </c>
      <c r="R1096" s="300">
        <v>27889.385999999999</v>
      </c>
      <c r="S1096" s="300">
        <v>0</v>
      </c>
      <c r="T1096" s="300">
        <v>0</v>
      </c>
      <c r="U1096" s="301">
        <v>105222.772</v>
      </c>
      <c r="V1096" s="302">
        <v>133112.158</v>
      </c>
      <c r="W1096" s="303"/>
      <c r="X1096" s="304">
        <v>105222.772</v>
      </c>
      <c r="Y1096" s="305">
        <v>133112.158</v>
      </c>
    </row>
    <row r="1097" spans="1:25" x14ac:dyDescent="0.3">
      <c r="E1097" t="s">
        <v>2072</v>
      </c>
      <c r="F1097" s="317">
        <v>4406500</v>
      </c>
      <c r="G1097" s="318"/>
      <c r="H1097" s="319">
        <v>7501250101</v>
      </c>
      <c r="I1097" s="320"/>
      <c r="J1097" s="337">
        <v>0</v>
      </c>
      <c r="K1097" s="321">
        <v>0</v>
      </c>
      <c r="L1097" s="321">
        <v>0</v>
      </c>
      <c r="M1097" s="321">
        <v>0</v>
      </c>
      <c r="N1097" s="321">
        <v>0</v>
      </c>
      <c r="O1097" s="321">
        <v>0</v>
      </c>
      <c r="P1097" s="321">
        <v>0</v>
      </c>
      <c r="Q1097" s="321">
        <v>0</v>
      </c>
      <c r="R1097" s="321">
        <v>27889.385999999999</v>
      </c>
      <c r="S1097" s="321">
        <v>0</v>
      </c>
      <c r="T1097" s="321">
        <v>0</v>
      </c>
      <c r="U1097" s="322">
        <v>105222.772</v>
      </c>
      <c r="V1097" s="323">
        <v>133112.158</v>
      </c>
      <c r="W1097" s="303"/>
      <c r="X1097" s="324">
        <v>105222.772</v>
      </c>
      <c r="Y1097" s="325">
        <v>133112.158</v>
      </c>
    </row>
    <row r="1098" spans="1:25" x14ac:dyDescent="0.3">
      <c r="E1098" s="326" t="s">
        <v>2073</v>
      </c>
      <c r="F1098" s="317"/>
      <c r="G1098" s="318"/>
      <c r="H1098" s="319"/>
      <c r="I1098" s="320"/>
      <c r="J1098" s="337">
        <v>0</v>
      </c>
      <c r="K1098" s="321">
        <v>0</v>
      </c>
      <c r="L1098" s="321">
        <v>0</v>
      </c>
      <c r="M1098" s="321">
        <v>0</v>
      </c>
      <c r="N1098" s="321">
        <v>0</v>
      </c>
      <c r="O1098" s="321">
        <v>0</v>
      </c>
      <c r="P1098" s="321">
        <v>0</v>
      </c>
      <c r="Q1098" s="321">
        <v>0</v>
      </c>
      <c r="R1098" s="321">
        <v>0</v>
      </c>
      <c r="S1098" s="321">
        <v>0</v>
      </c>
      <c r="T1098" s="321">
        <v>0</v>
      </c>
      <c r="U1098" s="322">
        <v>0</v>
      </c>
      <c r="V1098" s="323">
        <v>0</v>
      </c>
      <c r="W1098" s="303"/>
      <c r="X1098" s="324">
        <v>0</v>
      </c>
      <c r="Y1098" s="325">
        <v>0</v>
      </c>
    </row>
    <row r="1099" spans="1:25" x14ac:dyDescent="0.3">
      <c r="E1099" s="326" t="s">
        <v>2074</v>
      </c>
      <c r="F1099" s="317"/>
      <c r="G1099" s="318"/>
      <c r="H1099" s="319"/>
      <c r="I1099" s="320"/>
      <c r="J1099" s="337">
        <v>0</v>
      </c>
      <c r="K1099" s="321">
        <v>0</v>
      </c>
      <c r="L1099" s="321">
        <v>0</v>
      </c>
      <c r="M1099" s="321">
        <v>0</v>
      </c>
      <c r="N1099" s="321">
        <v>0</v>
      </c>
      <c r="O1099" s="321">
        <v>0</v>
      </c>
      <c r="P1099" s="321">
        <v>0</v>
      </c>
      <c r="Q1099" s="321">
        <v>0</v>
      </c>
      <c r="R1099" s="321">
        <v>0</v>
      </c>
      <c r="S1099" s="321">
        <v>0</v>
      </c>
      <c r="T1099" s="321">
        <v>0</v>
      </c>
      <c r="U1099" s="322">
        <v>0</v>
      </c>
      <c r="V1099" s="323">
        <v>0</v>
      </c>
      <c r="W1099" s="303"/>
      <c r="X1099" s="324">
        <v>0</v>
      </c>
      <c r="Y1099" s="325">
        <v>0</v>
      </c>
    </row>
    <row r="1100" spans="1:25" x14ac:dyDescent="0.3">
      <c r="E1100" s="326" t="s">
        <v>2075</v>
      </c>
      <c r="F1100" s="317"/>
      <c r="G1100" s="318"/>
      <c r="H1100" s="319"/>
      <c r="I1100" s="320"/>
      <c r="J1100" s="337">
        <v>0</v>
      </c>
      <c r="K1100" s="321">
        <v>0</v>
      </c>
      <c r="L1100" s="321">
        <v>0</v>
      </c>
      <c r="M1100" s="321">
        <v>0</v>
      </c>
      <c r="N1100" s="321">
        <v>0</v>
      </c>
      <c r="O1100" s="321">
        <v>0</v>
      </c>
      <c r="P1100" s="321">
        <v>0</v>
      </c>
      <c r="Q1100" s="321">
        <v>0</v>
      </c>
      <c r="R1100" s="321">
        <v>0</v>
      </c>
      <c r="S1100" s="321">
        <v>0</v>
      </c>
      <c r="T1100" s="321">
        <v>0</v>
      </c>
      <c r="U1100" s="322">
        <v>0</v>
      </c>
      <c r="V1100" s="323">
        <v>0</v>
      </c>
      <c r="W1100" s="303"/>
      <c r="X1100" s="324">
        <v>0</v>
      </c>
      <c r="Y1100" s="325">
        <v>0</v>
      </c>
    </row>
    <row r="1101" spans="1:25" x14ac:dyDescent="0.3">
      <c r="A1101" s="233"/>
      <c r="B1101" s="234" t="s">
        <v>78</v>
      </c>
      <c r="D1101" s="293" t="s">
        <v>2076</v>
      </c>
      <c r="E1101" s="294"/>
      <c r="F1101" s="295" t="s">
        <v>2077</v>
      </c>
      <c r="G1101" s="296"/>
      <c r="H1101" s="297"/>
      <c r="I1101" s="298"/>
      <c r="J1101" s="299">
        <v>0</v>
      </c>
      <c r="K1101" s="300">
        <v>0</v>
      </c>
      <c r="L1101" s="300">
        <v>0</v>
      </c>
      <c r="M1101" s="300">
        <v>38.33</v>
      </c>
      <c r="N1101" s="300">
        <v>0</v>
      </c>
      <c r="O1101" s="300">
        <v>0</v>
      </c>
      <c r="P1101" s="300">
        <v>0</v>
      </c>
      <c r="Q1101" s="300">
        <v>0</v>
      </c>
      <c r="R1101" s="300">
        <v>0</v>
      </c>
      <c r="S1101" s="300">
        <v>1125.9549999999999</v>
      </c>
      <c r="T1101" s="300">
        <v>0</v>
      </c>
      <c r="U1101" s="301">
        <v>0</v>
      </c>
      <c r="V1101" s="302">
        <v>1164.2849999999999</v>
      </c>
      <c r="W1101" s="303"/>
      <c r="X1101" s="304">
        <v>0</v>
      </c>
      <c r="Y1101" s="305">
        <v>1164.2849999999999</v>
      </c>
    </row>
    <row r="1102" spans="1:25" x14ac:dyDescent="0.3">
      <c r="E1102" t="s">
        <v>2078</v>
      </c>
      <c r="F1102" s="317">
        <v>4406501</v>
      </c>
      <c r="G1102" s="318"/>
      <c r="H1102" s="319">
        <v>7501270101</v>
      </c>
      <c r="I1102" s="320"/>
      <c r="J1102" s="337">
        <v>0</v>
      </c>
      <c r="K1102" s="321">
        <v>0</v>
      </c>
      <c r="L1102" s="321">
        <v>0</v>
      </c>
      <c r="M1102" s="321">
        <v>38.33</v>
      </c>
      <c r="N1102" s="321">
        <v>0</v>
      </c>
      <c r="O1102" s="321">
        <v>0</v>
      </c>
      <c r="P1102" s="321">
        <v>0</v>
      </c>
      <c r="Q1102" s="321">
        <v>0</v>
      </c>
      <c r="R1102" s="321">
        <v>0</v>
      </c>
      <c r="S1102" s="321">
        <v>1125.9549999999999</v>
      </c>
      <c r="T1102" s="321">
        <v>0</v>
      </c>
      <c r="U1102" s="322">
        <v>0</v>
      </c>
      <c r="V1102" s="323">
        <v>1164.2849999999999</v>
      </c>
      <c r="W1102" s="303"/>
      <c r="X1102" s="324">
        <v>0</v>
      </c>
      <c r="Y1102" s="325">
        <v>1164.2849999999999</v>
      </c>
    </row>
    <row r="1103" spans="1:25" x14ac:dyDescent="0.3">
      <c r="E1103" s="326" t="s">
        <v>2079</v>
      </c>
      <c r="F1103" s="317"/>
      <c r="G1103" s="318"/>
      <c r="H1103" s="319"/>
      <c r="I1103" s="320"/>
      <c r="J1103" s="337">
        <v>0</v>
      </c>
      <c r="K1103" s="321">
        <v>0</v>
      </c>
      <c r="L1103" s="321">
        <v>0</v>
      </c>
      <c r="M1103" s="321">
        <v>0</v>
      </c>
      <c r="N1103" s="321">
        <v>0</v>
      </c>
      <c r="O1103" s="321">
        <v>0</v>
      </c>
      <c r="P1103" s="321">
        <v>0</v>
      </c>
      <c r="Q1103" s="321">
        <v>0</v>
      </c>
      <c r="R1103" s="321">
        <v>0</v>
      </c>
      <c r="S1103" s="321">
        <v>0</v>
      </c>
      <c r="T1103" s="321">
        <v>0</v>
      </c>
      <c r="U1103" s="322">
        <v>0</v>
      </c>
      <c r="V1103" s="323">
        <v>0</v>
      </c>
      <c r="W1103" s="303"/>
      <c r="X1103" s="324">
        <v>0</v>
      </c>
      <c r="Y1103" s="325">
        <v>0</v>
      </c>
    </row>
    <row r="1104" spans="1:25" x14ac:dyDescent="0.3">
      <c r="E1104" s="326" t="s">
        <v>2080</v>
      </c>
      <c r="F1104" s="317"/>
      <c r="G1104" s="318"/>
      <c r="H1104" s="319"/>
      <c r="I1104" s="320"/>
      <c r="J1104" s="337">
        <v>0</v>
      </c>
      <c r="K1104" s="321">
        <v>0</v>
      </c>
      <c r="L1104" s="321">
        <v>0</v>
      </c>
      <c r="M1104" s="321">
        <v>0</v>
      </c>
      <c r="N1104" s="321">
        <v>0</v>
      </c>
      <c r="O1104" s="321">
        <v>0</v>
      </c>
      <c r="P1104" s="321">
        <v>0</v>
      </c>
      <c r="Q1104" s="321">
        <v>0</v>
      </c>
      <c r="R1104" s="321">
        <v>0</v>
      </c>
      <c r="S1104" s="321">
        <v>0</v>
      </c>
      <c r="T1104" s="321">
        <v>0</v>
      </c>
      <c r="U1104" s="322">
        <v>0</v>
      </c>
      <c r="V1104" s="323">
        <v>0</v>
      </c>
      <c r="W1104" s="303"/>
      <c r="X1104" s="324">
        <v>0</v>
      </c>
      <c r="Y1104" s="325">
        <v>0</v>
      </c>
    </row>
    <row r="1105" spans="1:25" x14ac:dyDescent="0.3">
      <c r="E1105" s="326" t="s">
        <v>2081</v>
      </c>
      <c r="F1105" s="317"/>
      <c r="G1105" s="318"/>
      <c r="H1105" s="319"/>
      <c r="I1105" s="320"/>
      <c r="J1105" s="337">
        <v>0</v>
      </c>
      <c r="K1105" s="321">
        <v>0</v>
      </c>
      <c r="L1105" s="321">
        <v>0</v>
      </c>
      <c r="M1105" s="321">
        <v>0</v>
      </c>
      <c r="N1105" s="321">
        <v>0</v>
      </c>
      <c r="O1105" s="321">
        <v>0</v>
      </c>
      <c r="P1105" s="321">
        <v>0</v>
      </c>
      <c r="Q1105" s="321">
        <v>0</v>
      </c>
      <c r="R1105" s="321">
        <v>0</v>
      </c>
      <c r="S1105" s="321">
        <v>0</v>
      </c>
      <c r="T1105" s="321">
        <v>0</v>
      </c>
      <c r="U1105" s="322">
        <v>0</v>
      </c>
      <c r="V1105" s="323">
        <v>0</v>
      </c>
      <c r="W1105" s="303"/>
      <c r="X1105" s="324">
        <v>0</v>
      </c>
      <c r="Y1105" s="325">
        <v>0</v>
      </c>
    </row>
    <row r="1106" spans="1:25" x14ac:dyDescent="0.3">
      <c r="A1106" s="233"/>
      <c r="B1106" s="234" t="s">
        <v>78</v>
      </c>
      <c r="D1106" s="293" t="s">
        <v>2082</v>
      </c>
      <c r="E1106" s="294"/>
      <c r="F1106" s="295" t="s">
        <v>2083</v>
      </c>
      <c r="G1106" s="296"/>
      <c r="H1106" s="297"/>
      <c r="I1106" s="298"/>
      <c r="J1106" s="299">
        <v>0</v>
      </c>
      <c r="K1106" s="300">
        <v>0</v>
      </c>
      <c r="L1106" s="300">
        <v>0</v>
      </c>
      <c r="M1106" s="300">
        <v>0</v>
      </c>
      <c r="N1106" s="300">
        <v>0</v>
      </c>
      <c r="O1106" s="300">
        <v>0</v>
      </c>
      <c r="P1106" s="300">
        <v>0</v>
      </c>
      <c r="Q1106" s="300">
        <v>0</v>
      </c>
      <c r="R1106" s="300">
        <v>0</v>
      </c>
      <c r="S1106" s="300">
        <v>0</v>
      </c>
      <c r="T1106" s="300">
        <v>0</v>
      </c>
      <c r="U1106" s="301">
        <v>0</v>
      </c>
      <c r="V1106" s="302">
        <v>0</v>
      </c>
      <c r="W1106" s="303"/>
      <c r="X1106" s="304">
        <v>0</v>
      </c>
      <c r="Y1106" s="305">
        <v>0</v>
      </c>
    </row>
    <row r="1107" spans="1:25" x14ac:dyDescent="0.3">
      <c r="E1107" t="s">
        <v>2084</v>
      </c>
      <c r="F1107" s="317">
        <v>4408500</v>
      </c>
      <c r="G1107" s="318"/>
      <c r="H1107" s="319">
        <v>7501290101</v>
      </c>
      <c r="I1107" s="320"/>
      <c r="J1107" s="337">
        <v>0</v>
      </c>
      <c r="K1107" s="321">
        <v>0</v>
      </c>
      <c r="L1107" s="321">
        <v>0</v>
      </c>
      <c r="M1107" s="321">
        <v>0</v>
      </c>
      <c r="N1107" s="321">
        <v>0</v>
      </c>
      <c r="O1107" s="321">
        <v>0</v>
      </c>
      <c r="P1107" s="321">
        <v>0</v>
      </c>
      <c r="Q1107" s="321">
        <v>0</v>
      </c>
      <c r="R1107" s="321">
        <v>0</v>
      </c>
      <c r="S1107" s="321">
        <v>0</v>
      </c>
      <c r="T1107" s="321">
        <v>0</v>
      </c>
      <c r="U1107" s="322">
        <v>0</v>
      </c>
      <c r="V1107" s="323">
        <v>0</v>
      </c>
      <c r="W1107" s="303"/>
      <c r="X1107" s="324">
        <v>0</v>
      </c>
      <c r="Y1107" s="325">
        <v>0</v>
      </c>
    </row>
    <row r="1108" spans="1:25" x14ac:dyDescent="0.3">
      <c r="E1108" s="326" t="s">
        <v>2085</v>
      </c>
      <c r="F1108" s="317"/>
      <c r="G1108" s="318"/>
      <c r="H1108" s="319"/>
      <c r="I1108" s="320"/>
      <c r="J1108" s="337">
        <v>0</v>
      </c>
      <c r="K1108" s="321">
        <v>0</v>
      </c>
      <c r="L1108" s="321">
        <v>0</v>
      </c>
      <c r="M1108" s="321">
        <v>0</v>
      </c>
      <c r="N1108" s="321">
        <v>0</v>
      </c>
      <c r="O1108" s="321">
        <v>0</v>
      </c>
      <c r="P1108" s="321">
        <v>0</v>
      </c>
      <c r="Q1108" s="321">
        <v>0</v>
      </c>
      <c r="R1108" s="321">
        <v>0</v>
      </c>
      <c r="S1108" s="321">
        <v>0</v>
      </c>
      <c r="T1108" s="321">
        <v>0</v>
      </c>
      <c r="U1108" s="322">
        <v>0</v>
      </c>
      <c r="V1108" s="323">
        <v>0</v>
      </c>
      <c r="W1108" s="303"/>
      <c r="X1108" s="324">
        <v>0</v>
      </c>
      <c r="Y1108" s="325">
        <v>0</v>
      </c>
    </row>
    <row r="1109" spans="1:25" x14ac:dyDescent="0.3">
      <c r="E1109" s="326" t="s">
        <v>2086</v>
      </c>
      <c r="F1109" s="317"/>
      <c r="G1109" s="318"/>
      <c r="H1109" s="319"/>
      <c r="I1109" s="320"/>
      <c r="J1109" s="337">
        <v>0</v>
      </c>
      <c r="K1109" s="321">
        <v>0</v>
      </c>
      <c r="L1109" s="321">
        <v>0</v>
      </c>
      <c r="M1109" s="321">
        <v>0</v>
      </c>
      <c r="N1109" s="321">
        <v>0</v>
      </c>
      <c r="O1109" s="321">
        <v>0</v>
      </c>
      <c r="P1109" s="321">
        <v>0</v>
      </c>
      <c r="Q1109" s="321">
        <v>0</v>
      </c>
      <c r="R1109" s="321">
        <v>0</v>
      </c>
      <c r="S1109" s="321">
        <v>0</v>
      </c>
      <c r="T1109" s="321">
        <v>0</v>
      </c>
      <c r="U1109" s="322">
        <v>0</v>
      </c>
      <c r="V1109" s="323">
        <v>0</v>
      </c>
      <c r="W1109" s="303"/>
      <c r="X1109" s="324">
        <v>0</v>
      </c>
      <c r="Y1109" s="325">
        <v>0</v>
      </c>
    </row>
    <row r="1110" spans="1:25" x14ac:dyDescent="0.3">
      <c r="E1110" s="326" t="s">
        <v>2087</v>
      </c>
      <c r="F1110" s="317"/>
      <c r="G1110" s="318"/>
      <c r="H1110" s="319"/>
      <c r="I1110" s="320"/>
      <c r="J1110" s="337">
        <v>0</v>
      </c>
      <c r="K1110" s="321">
        <v>0</v>
      </c>
      <c r="L1110" s="321">
        <v>0</v>
      </c>
      <c r="M1110" s="321">
        <v>0</v>
      </c>
      <c r="N1110" s="321">
        <v>0</v>
      </c>
      <c r="O1110" s="321">
        <v>0</v>
      </c>
      <c r="P1110" s="321">
        <v>0</v>
      </c>
      <c r="Q1110" s="321">
        <v>0</v>
      </c>
      <c r="R1110" s="321">
        <v>0</v>
      </c>
      <c r="S1110" s="321">
        <v>0</v>
      </c>
      <c r="T1110" s="321">
        <v>0</v>
      </c>
      <c r="U1110" s="322">
        <v>0</v>
      </c>
      <c r="V1110" s="323">
        <v>0</v>
      </c>
      <c r="W1110" s="303"/>
      <c r="X1110" s="324">
        <v>0</v>
      </c>
      <c r="Y1110" s="325">
        <v>0</v>
      </c>
    </row>
    <row r="1111" spans="1:25" x14ac:dyDescent="0.3">
      <c r="A1111" s="233"/>
      <c r="B1111" s="234" t="s">
        <v>78</v>
      </c>
      <c r="D1111" s="293" t="s">
        <v>2088</v>
      </c>
      <c r="E1111" s="294"/>
      <c r="F1111" s="295" t="s">
        <v>2089</v>
      </c>
      <c r="G1111" s="296"/>
      <c r="H1111" s="297"/>
      <c r="I1111" s="298"/>
      <c r="J1111" s="299">
        <v>0</v>
      </c>
      <c r="K1111" s="300">
        <v>0</v>
      </c>
      <c r="L1111" s="300">
        <v>0</v>
      </c>
      <c r="M1111" s="300">
        <v>0</v>
      </c>
      <c r="N1111" s="300">
        <v>0</v>
      </c>
      <c r="O1111" s="300">
        <v>0</v>
      </c>
      <c r="P1111" s="300">
        <v>0</v>
      </c>
      <c r="Q1111" s="300">
        <v>0</v>
      </c>
      <c r="R1111" s="300">
        <v>0</v>
      </c>
      <c r="S1111" s="300">
        <v>0</v>
      </c>
      <c r="T1111" s="300">
        <v>0</v>
      </c>
      <c r="U1111" s="301">
        <v>0</v>
      </c>
      <c r="V1111" s="302">
        <v>0</v>
      </c>
      <c r="W1111" s="303"/>
      <c r="X1111" s="304">
        <v>0</v>
      </c>
      <c r="Y1111" s="305">
        <v>0</v>
      </c>
    </row>
    <row r="1112" spans="1:25" x14ac:dyDescent="0.3">
      <c r="E1112" t="s">
        <v>2090</v>
      </c>
      <c r="F1112" s="317">
        <v>4408600</v>
      </c>
      <c r="G1112" s="318"/>
      <c r="H1112" s="319"/>
      <c r="I1112" s="320"/>
      <c r="J1112" s="337">
        <v>0</v>
      </c>
      <c r="K1112" s="321">
        <v>0</v>
      </c>
      <c r="L1112" s="321">
        <v>0</v>
      </c>
      <c r="M1112" s="321">
        <v>0</v>
      </c>
      <c r="N1112" s="321">
        <v>0</v>
      </c>
      <c r="O1112" s="321">
        <v>0</v>
      </c>
      <c r="P1112" s="321">
        <v>0</v>
      </c>
      <c r="Q1112" s="321">
        <v>0</v>
      </c>
      <c r="R1112" s="321">
        <v>0</v>
      </c>
      <c r="S1112" s="321">
        <v>0</v>
      </c>
      <c r="T1112" s="321">
        <v>0</v>
      </c>
      <c r="U1112" s="322">
        <v>0</v>
      </c>
      <c r="V1112" s="323">
        <v>0</v>
      </c>
      <c r="W1112" s="303"/>
      <c r="X1112" s="324">
        <v>0</v>
      </c>
      <c r="Y1112" s="325">
        <v>0</v>
      </c>
    </row>
    <row r="1113" spans="1:25" x14ac:dyDescent="0.3">
      <c r="A1113" s="326"/>
      <c r="B1113" s="326"/>
      <c r="C1113" s="326"/>
      <c r="D1113" s="326"/>
      <c r="E1113" s="326" t="s">
        <v>2091</v>
      </c>
      <c r="F1113" s="336"/>
      <c r="G1113" s="327"/>
      <c r="H1113" s="328"/>
      <c r="I1113" s="329"/>
      <c r="J1113" s="338">
        <v>0</v>
      </c>
      <c r="K1113" s="330">
        <v>0</v>
      </c>
      <c r="L1113" s="330">
        <v>0</v>
      </c>
      <c r="M1113" s="330">
        <v>0</v>
      </c>
      <c r="N1113" s="330">
        <v>0</v>
      </c>
      <c r="O1113" s="330">
        <v>0</v>
      </c>
      <c r="P1113" s="330">
        <v>0</v>
      </c>
      <c r="Q1113" s="330">
        <v>0</v>
      </c>
      <c r="R1113" s="330">
        <v>0</v>
      </c>
      <c r="S1113" s="330">
        <v>0</v>
      </c>
      <c r="T1113" s="330">
        <v>0</v>
      </c>
      <c r="U1113" s="331">
        <v>0</v>
      </c>
      <c r="V1113" s="332">
        <v>0</v>
      </c>
      <c r="W1113" s="333"/>
      <c r="X1113" s="334">
        <v>0</v>
      </c>
      <c r="Y1113" s="335">
        <v>0</v>
      </c>
    </row>
    <row r="1114" spans="1:25" x14ac:dyDescent="0.3">
      <c r="A1114" s="326"/>
      <c r="B1114" s="326"/>
      <c r="C1114" s="326"/>
      <c r="D1114" s="326"/>
      <c r="E1114" s="326" t="s">
        <v>2092</v>
      </c>
      <c r="F1114" s="336"/>
      <c r="G1114" s="327"/>
      <c r="H1114" s="328"/>
      <c r="I1114" s="329"/>
      <c r="J1114" s="338">
        <v>0</v>
      </c>
      <c r="K1114" s="330">
        <v>0</v>
      </c>
      <c r="L1114" s="330">
        <v>0</v>
      </c>
      <c r="M1114" s="330">
        <v>0</v>
      </c>
      <c r="N1114" s="330">
        <v>0</v>
      </c>
      <c r="O1114" s="330">
        <v>0</v>
      </c>
      <c r="P1114" s="330">
        <v>0</v>
      </c>
      <c r="Q1114" s="330">
        <v>0</v>
      </c>
      <c r="R1114" s="330">
        <v>0</v>
      </c>
      <c r="S1114" s="330">
        <v>0</v>
      </c>
      <c r="T1114" s="330">
        <v>0</v>
      </c>
      <c r="U1114" s="331">
        <v>0</v>
      </c>
      <c r="V1114" s="332">
        <v>0</v>
      </c>
      <c r="W1114" s="333"/>
      <c r="X1114" s="334">
        <v>0</v>
      </c>
      <c r="Y1114" s="335">
        <v>0</v>
      </c>
    </row>
    <row r="1115" spans="1:25" x14ac:dyDescent="0.3">
      <c r="A1115" s="326"/>
      <c r="B1115" s="326"/>
      <c r="C1115" s="326"/>
      <c r="D1115" s="326"/>
      <c r="E1115" s="326" t="s">
        <v>2093</v>
      </c>
      <c r="F1115" s="336"/>
      <c r="G1115" s="327"/>
      <c r="H1115" s="328"/>
      <c r="I1115" s="329"/>
      <c r="J1115" s="338">
        <v>0</v>
      </c>
      <c r="K1115" s="330">
        <v>0</v>
      </c>
      <c r="L1115" s="330">
        <v>0</v>
      </c>
      <c r="M1115" s="330">
        <v>0</v>
      </c>
      <c r="N1115" s="330">
        <v>0</v>
      </c>
      <c r="O1115" s="330">
        <v>0</v>
      </c>
      <c r="P1115" s="330">
        <v>0</v>
      </c>
      <c r="Q1115" s="330">
        <v>0</v>
      </c>
      <c r="R1115" s="330">
        <v>0</v>
      </c>
      <c r="S1115" s="330">
        <v>0</v>
      </c>
      <c r="T1115" s="330">
        <v>0</v>
      </c>
      <c r="U1115" s="331">
        <v>0</v>
      </c>
      <c r="V1115" s="332">
        <v>0</v>
      </c>
      <c r="W1115" s="333"/>
      <c r="X1115" s="334">
        <v>0</v>
      </c>
      <c r="Y1115" s="335">
        <v>0</v>
      </c>
    </row>
    <row r="1116" spans="1:25" x14ac:dyDescent="0.3">
      <c r="A1116" s="233"/>
      <c r="B1116" s="234" t="s">
        <v>78</v>
      </c>
      <c r="D1116" s="293" t="s">
        <v>2094</v>
      </c>
      <c r="E1116" s="294"/>
      <c r="F1116" s="295" t="s">
        <v>2095</v>
      </c>
      <c r="G1116" s="296"/>
      <c r="H1116" s="297"/>
      <c r="I1116" s="298"/>
      <c r="J1116" s="299">
        <v>0</v>
      </c>
      <c r="K1116" s="300">
        <v>0</v>
      </c>
      <c r="L1116" s="300">
        <v>0</v>
      </c>
      <c r="M1116" s="300">
        <v>0</v>
      </c>
      <c r="N1116" s="300">
        <v>0</v>
      </c>
      <c r="O1116" s="300">
        <v>0</v>
      </c>
      <c r="P1116" s="300">
        <v>0</v>
      </c>
      <c r="Q1116" s="300">
        <v>0</v>
      </c>
      <c r="R1116" s="300">
        <v>0</v>
      </c>
      <c r="S1116" s="300">
        <v>0</v>
      </c>
      <c r="T1116" s="300">
        <v>0</v>
      </c>
      <c r="U1116" s="301">
        <v>0</v>
      </c>
      <c r="V1116" s="302">
        <v>0</v>
      </c>
      <c r="W1116" s="303"/>
      <c r="X1116" s="304">
        <v>0</v>
      </c>
      <c r="Y1116" s="305">
        <v>0</v>
      </c>
    </row>
    <row r="1117" spans="1:25" x14ac:dyDescent="0.3">
      <c r="E1117" t="s">
        <v>2096</v>
      </c>
      <c r="F1117" s="317">
        <v>4408601</v>
      </c>
      <c r="G1117" s="318"/>
      <c r="H1117" s="319"/>
      <c r="I1117" s="320"/>
      <c r="J1117" s="337">
        <v>0</v>
      </c>
      <c r="K1117" s="321">
        <v>0</v>
      </c>
      <c r="L1117" s="321">
        <v>0</v>
      </c>
      <c r="M1117" s="321">
        <v>0</v>
      </c>
      <c r="N1117" s="321">
        <v>0</v>
      </c>
      <c r="O1117" s="321">
        <v>0</v>
      </c>
      <c r="P1117" s="321">
        <v>0</v>
      </c>
      <c r="Q1117" s="321">
        <v>0</v>
      </c>
      <c r="R1117" s="321">
        <v>0</v>
      </c>
      <c r="S1117" s="321">
        <v>0</v>
      </c>
      <c r="T1117" s="321">
        <v>0</v>
      </c>
      <c r="U1117" s="322">
        <v>0</v>
      </c>
      <c r="V1117" s="323">
        <v>0</v>
      </c>
      <c r="W1117" s="303"/>
      <c r="X1117" s="324">
        <v>0</v>
      </c>
      <c r="Y1117" s="325">
        <v>0</v>
      </c>
    </row>
    <row r="1118" spans="1:25" x14ac:dyDescent="0.3">
      <c r="E1118" s="326" t="s">
        <v>2067</v>
      </c>
      <c r="F1118" s="317"/>
      <c r="G1118" s="318"/>
      <c r="H1118" s="319"/>
      <c r="I1118" s="320"/>
      <c r="J1118" s="337">
        <v>0</v>
      </c>
      <c r="K1118" s="321">
        <v>0</v>
      </c>
      <c r="L1118" s="321">
        <v>0</v>
      </c>
      <c r="M1118" s="321">
        <v>0</v>
      </c>
      <c r="N1118" s="321">
        <v>0</v>
      </c>
      <c r="O1118" s="321">
        <v>0</v>
      </c>
      <c r="P1118" s="321">
        <v>0</v>
      </c>
      <c r="Q1118" s="321">
        <v>0</v>
      </c>
      <c r="R1118" s="321">
        <v>0</v>
      </c>
      <c r="S1118" s="321">
        <v>0</v>
      </c>
      <c r="T1118" s="321">
        <v>0</v>
      </c>
      <c r="U1118" s="322">
        <v>0</v>
      </c>
      <c r="V1118" s="323">
        <v>0</v>
      </c>
      <c r="W1118" s="303"/>
      <c r="X1118" s="324">
        <v>0</v>
      </c>
      <c r="Y1118" s="325">
        <v>0</v>
      </c>
    </row>
    <row r="1119" spans="1:25" x14ac:dyDescent="0.3">
      <c r="E1119" s="326" t="s">
        <v>2068</v>
      </c>
      <c r="F1119" s="317"/>
      <c r="G1119" s="318"/>
      <c r="H1119" s="319"/>
      <c r="I1119" s="320"/>
      <c r="J1119" s="337">
        <v>0</v>
      </c>
      <c r="K1119" s="321">
        <v>0</v>
      </c>
      <c r="L1119" s="321">
        <v>0</v>
      </c>
      <c r="M1119" s="321">
        <v>0</v>
      </c>
      <c r="N1119" s="321">
        <v>0</v>
      </c>
      <c r="O1119" s="321">
        <v>0</v>
      </c>
      <c r="P1119" s="321">
        <v>0</v>
      </c>
      <c r="Q1119" s="321">
        <v>0</v>
      </c>
      <c r="R1119" s="321">
        <v>0</v>
      </c>
      <c r="S1119" s="321">
        <v>0</v>
      </c>
      <c r="T1119" s="321">
        <v>0</v>
      </c>
      <c r="U1119" s="322">
        <v>0</v>
      </c>
      <c r="V1119" s="323">
        <v>0</v>
      </c>
      <c r="W1119" s="303"/>
      <c r="X1119" s="324">
        <v>0</v>
      </c>
      <c r="Y1119" s="325">
        <v>0</v>
      </c>
    </row>
    <row r="1120" spans="1:25" x14ac:dyDescent="0.3">
      <c r="E1120" s="326" t="s">
        <v>2069</v>
      </c>
      <c r="F1120" s="317"/>
      <c r="G1120" s="318"/>
      <c r="H1120" s="319"/>
      <c r="I1120" s="320"/>
      <c r="J1120" s="337">
        <v>0</v>
      </c>
      <c r="K1120" s="321">
        <v>0</v>
      </c>
      <c r="L1120" s="321">
        <v>0</v>
      </c>
      <c r="M1120" s="321">
        <v>0</v>
      </c>
      <c r="N1120" s="321">
        <v>0</v>
      </c>
      <c r="O1120" s="321">
        <v>0</v>
      </c>
      <c r="P1120" s="321">
        <v>0</v>
      </c>
      <c r="Q1120" s="321">
        <v>0</v>
      </c>
      <c r="R1120" s="321">
        <v>0</v>
      </c>
      <c r="S1120" s="321">
        <v>0</v>
      </c>
      <c r="T1120" s="321">
        <v>0</v>
      </c>
      <c r="U1120" s="322">
        <v>0</v>
      </c>
      <c r="V1120" s="323">
        <v>0</v>
      </c>
      <c r="W1120" s="303"/>
      <c r="X1120" s="324">
        <v>0</v>
      </c>
      <c r="Y1120" s="325">
        <v>0</v>
      </c>
    </row>
    <row r="1121" spans="1:25" x14ac:dyDescent="0.3">
      <c r="D1121" s="293" t="s">
        <v>2097</v>
      </c>
      <c r="E1121" s="294"/>
      <c r="F1121" s="295" t="s">
        <v>2098</v>
      </c>
      <c r="G1121" s="296"/>
      <c r="H1121" s="297"/>
      <c r="I1121" s="298"/>
      <c r="J1121" s="299">
        <v>0</v>
      </c>
      <c r="K1121" s="300">
        <v>0</v>
      </c>
      <c r="L1121" s="300">
        <v>0</v>
      </c>
      <c r="M1121" s="300">
        <v>0</v>
      </c>
      <c r="N1121" s="300">
        <v>0</v>
      </c>
      <c r="O1121" s="300">
        <v>0</v>
      </c>
      <c r="P1121" s="300">
        <v>0</v>
      </c>
      <c r="Q1121" s="300">
        <v>0</v>
      </c>
      <c r="R1121" s="300">
        <v>0</v>
      </c>
      <c r="S1121" s="300">
        <v>0</v>
      </c>
      <c r="T1121" s="300">
        <v>0</v>
      </c>
      <c r="U1121" s="301">
        <v>0</v>
      </c>
      <c r="V1121" s="302">
        <v>0</v>
      </c>
      <c r="W1121" s="303"/>
      <c r="X1121" s="304">
        <v>0</v>
      </c>
      <c r="Y1121" s="305">
        <v>0</v>
      </c>
    </row>
    <row r="1122" spans="1:25" x14ac:dyDescent="0.3">
      <c r="E1122" t="s">
        <v>2099</v>
      </c>
      <c r="F1122" s="317">
        <v>4408602</v>
      </c>
      <c r="G1122" s="318"/>
      <c r="H1122" s="319"/>
      <c r="I1122" s="320"/>
      <c r="J1122" s="337">
        <v>0</v>
      </c>
      <c r="K1122" s="321">
        <v>0</v>
      </c>
      <c r="L1122" s="321">
        <v>0</v>
      </c>
      <c r="M1122" s="321">
        <v>0</v>
      </c>
      <c r="N1122" s="321">
        <v>0</v>
      </c>
      <c r="O1122" s="321">
        <v>0</v>
      </c>
      <c r="P1122" s="321">
        <v>0</v>
      </c>
      <c r="Q1122" s="321">
        <v>0</v>
      </c>
      <c r="R1122" s="321">
        <v>0</v>
      </c>
      <c r="S1122" s="321">
        <v>0</v>
      </c>
      <c r="T1122" s="321">
        <v>0</v>
      </c>
      <c r="U1122" s="322">
        <v>0</v>
      </c>
      <c r="V1122" s="323">
        <v>0</v>
      </c>
      <c r="W1122" s="303"/>
      <c r="X1122" s="324">
        <v>0</v>
      </c>
      <c r="Y1122" s="325">
        <v>0</v>
      </c>
    </row>
    <row r="1123" spans="1:25" x14ac:dyDescent="0.3">
      <c r="E1123" s="326" t="s">
        <v>2100</v>
      </c>
      <c r="F1123" s="317"/>
      <c r="G1123" s="318"/>
      <c r="H1123" s="319"/>
      <c r="I1123" s="320"/>
      <c r="J1123" s="337">
        <v>0</v>
      </c>
      <c r="K1123" s="321">
        <v>0</v>
      </c>
      <c r="L1123" s="321">
        <v>0</v>
      </c>
      <c r="M1123" s="321">
        <v>0</v>
      </c>
      <c r="N1123" s="321">
        <v>0</v>
      </c>
      <c r="O1123" s="321">
        <v>0</v>
      </c>
      <c r="P1123" s="321">
        <v>0</v>
      </c>
      <c r="Q1123" s="321">
        <v>0</v>
      </c>
      <c r="R1123" s="321">
        <v>0</v>
      </c>
      <c r="S1123" s="321">
        <v>0</v>
      </c>
      <c r="T1123" s="321">
        <v>0</v>
      </c>
      <c r="U1123" s="322">
        <v>0</v>
      </c>
      <c r="V1123" s="323">
        <v>0</v>
      </c>
      <c r="W1123" s="303"/>
      <c r="X1123" s="324">
        <v>0</v>
      </c>
      <c r="Y1123" s="325">
        <v>0</v>
      </c>
    </row>
    <row r="1124" spans="1:25" x14ac:dyDescent="0.3">
      <c r="E1124" s="326" t="s">
        <v>2101</v>
      </c>
      <c r="F1124" s="317"/>
      <c r="G1124" s="318"/>
      <c r="H1124" s="319"/>
      <c r="I1124" s="320"/>
      <c r="J1124" s="337">
        <v>0</v>
      </c>
      <c r="K1124" s="321">
        <v>0</v>
      </c>
      <c r="L1124" s="321">
        <v>0</v>
      </c>
      <c r="M1124" s="321">
        <v>0</v>
      </c>
      <c r="N1124" s="321">
        <v>0</v>
      </c>
      <c r="O1124" s="321">
        <v>0</v>
      </c>
      <c r="P1124" s="321">
        <v>0</v>
      </c>
      <c r="Q1124" s="321">
        <v>0</v>
      </c>
      <c r="R1124" s="321">
        <v>0</v>
      </c>
      <c r="S1124" s="321">
        <v>0</v>
      </c>
      <c r="T1124" s="321">
        <v>0</v>
      </c>
      <c r="U1124" s="322">
        <v>0</v>
      </c>
      <c r="V1124" s="323">
        <v>0</v>
      </c>
      <c r="W1124" s="303"/>
      <c r="X1124" s="324">
        <v>0</v>
      </c>
      <c r="Y1124" s="325">
        <v>0</v>
      </c>
    </row>
    <row r="1125" spans="1:25" x14ac:dyDescent="0.3">
      <c r="E1125" s="326" t="s">
        <v>2102</v>
      </c>
      <c r="F1125" s="317"/>
      <c r="G1125" s="318"/>
      <c r="H1125" s="319"/>
      <c r="I1125" s="320"/>
      <c r="J1125" s="337">
        <v>0</v>
      </c>
      <c r="K1125" s="321">
        <v>0</v>
      </c>
      <c r="L1125" s="321">
        <v>0</v>
      </c>
      <c r="M1125" s="321">
        <v>0</v>
      </c>
      <c r="N1125" s="321">
        <v>0</v>
      </c>
      <c r="O1125" s="321">
        <v>0</v>
      </c>
      <c r="P1125" s="321">
        <v>0</v>
      </c>
      <c r="Q1125" s="321">
        <v>0</v>
      </c>
      <c r="R1125" s="321">
        <v>0</v>
      </c>
      <c r="S1125" s="321">
        <v>0</v>
      </c>
      <c r="T1125" s="321">
        <v>0</v>
      </c>
      <c r="U1125" s="322">
        <v>0</v>
      </c>
      <c r="V1125" s="323">
        <v>0</v>
      </c>
      <c r="W1125" s="303"/>
      <c r="X1125" s="324">
        <v>0</v>
      </c>
      <c r="Y1125" s="325">
        <v>0</v>
      </c>
    </row>
    <row r="1126" spans="1:25" x14ac:dyDescent="0.3">
      <c r="D1126" s="293" t="s">
        <v>2103</v>
      </c>
      <c r="E1126" s="294"/>
      <c r="F1126" s="295"/>
      <c r="G1126" s="296"/>
      <c r="H1126" s="297"/>
      <c r="I1126" s="298"/>
      <c r="J1126" s="299">
        <v>0</v>
      </c>
      <c r="K1126" s="300">
        <v>0</v>
      </c>
      <c r="L1126" s="300">
        <v>0</v>
      </c>
      <c r="M1126" s="300">
        <v>0</v>
      </c>
      <c r="N1126" s="300">
        <v>0</v>
      </c>
      <c r="O1126" s="300">
        <v>0</v>
      </c>
      <c r="P1126" s="300">
        <v>0</v>
      </c>
      <c r="Q1126" s="300">
        <v>0</v>
      </c>
      <c r="R1126" s="300">
        <v>0</v>
      </c>
      <c r="S1126" s="300">
        <v>0</v>
      </c>
      <c r="T1126" s="300">
        <v>0</v>
      </c>
      <c r="U1126" s="301">
        <v>0</v>
      </c>
      <c r="V1126" s="302">
        <v>0</v>
      </c>
      <c r="W1126" s="303"/>
      <c r="X1126" s="304">
        <v>0</v>
      </c>
      <c r="Y1126" s="305">
        <v>0</v>
      </c>
    </row>
    <row r="1127" spans="1:25" x14ac:dyDescent="0.3">
      <c r="A1127" s="326"/>
      <c r="B1127" s="326"/>
      <c r="C1127" s="326"/>
      <c r="D1127" s="326"/>
      <c r="E1127" s="326" t="s">
        <v>2104</v>
      </c>
      <c r="F1127" s="336"/>
      <c r="G1127" s="327"/>
      <c r="H1127" s="328"/>
      <c r="I1127" s="329"/>
      <c r="J1127" s="338">
        <v>0</v>
      </c>
      <c r="K1127" s="330">
        <v>0</v>
      </c>
      <c r="L1127" s="330">
        <v>0</v>
      </c>
      <c r="M1127" s="330">
        <v>0</v>
      </c>
      <c r="N1127" s="330">
        <v>0</v>
      </c>
      <c r="O1127" s="330">
        <v>0</v>
      </c>
      <c r="P1127" s="330">
        <v>0</v>
      </c>
      <c r="Q1127" s="330">
        <v>0</v>
      </c>
      <c r="R1127" s="330">
        <v>0</v>
      </c>
      <c r="S1127" s="330">
        <v>0</v>
      </c>
      <c r="T1127" s="330">
        <v>0</v>
      </c>
      <c r="U1127" s="331">
        <v>0</v>
      </c>
      <c r="V1127" s="332">
        <v>0</v>
      </c>
      <c r="W1127" s="333"/>
      <c r="X1127" s="334">
        <v>0</v>
      </c>
      <c r="Y1127" s="335">
        <v>0</v>
      </c>
    </row>
    <row r="1128" spans="1:25" x14ac:dyDescent="0.3">
      <c r="A1128" s="326"/>
      <c r="B1128" s="326"/>
      <c r="C1128" s="326"/>
      <c r="D1128" s="326"/>
      <c r="E1128" s="326" t="s">
        <v>2105</v>
      </c>
      <c r="F1128" s="336"/>
      <c r="G1128" s="327"/>
      <c r="H1128" s="328"/>
      <c r="I1128" s="329"/>
      <c r="J1128" s="338">
        <v>0</v>
      </c>
      <c r="K1128" s="330">
        <v>0</v>
      </c>
      <c r="L1128" s="330">
        <v>0</v>
      </c>
      <c r="M1128" s="330">
        <v>0</v>
      </c>
      <c r="N1128" s="330">
        <v>0</v>
      </c>
      <c r="O1128" s="330">
        <v>0</v>
      </c>
      <c r="P1128" s="330">
        <v>0</v>
      </c>
      <c r="Q1128" s="330">
        <v>0</v>
      </c>
      <c r="R1128" s="330">
        <v>0</v>
      </c>
      <c r="S1128" s="330">
        <v>0</v>
      </c>
      <c r="T1128" s="330">
        <v>0</v>
      </c>
      <c r="U1128" s="331">
        <v>0</v>
      </c>
      <c r="V1128" s="332">
        <v>0</v>
      </c>
      <c r="W1128" s="333"/>
      <c r="X1128" s="334">
        <v>0</v>
      </c>
      <c r="Y1128" s="335">
        <v>0</v>
      </c>
    </row>
    <row r="1129" spans="1:25" x14ac:dyDescent="0.3">
      <c r="A1129" s="326"/>
      <c r="B1129" s="326"/>
      <c r="C1129" s="326"/>
      <c r="D1129" s="326"/>
      <c r="E1129" s="326" t="s">
        <v>2106</v>
      </c>
      <c r="F1129" s="336"/>
      <c r="G1129" s="327"/>
      <c r="H1129" s="328"/>
      <c r="I1129" s="329"/>
      <c r="J1129" s="338">
        <v>0</v>
      </c>
      <c r="K1129" s="330">
        <v>0</v>
      </c>
      <c r="L1129" s="330">
        <v>0</v>
      </c>
      <c r="M1129" s="330">
        <v>0</v>
      </c>
      <c r="N1129" s="330">
        <v>0</v>
      </c>
      <c r="O1129" s="330">
        <v>0</v>
      </c>
      <c r="P1129" s="330">
        <v>0</v>
      </c>
      <c r="Q1129" s="330">
        <v>0</v>
      </c>
      <c r="R1129" s="330">
        <v>0</v>
      </c>
      <c r="S1129" s="330">
        <v>0</v>
      </c>
      <c r="T1129" s="330">
        <v>0</v>
      </c>
      <c r="U1129" s="331">
        <v>0</v>
      </c>
      <c r="V1129" s="332">
        <v>0</v>
      </c>
      <c r="W1129" s="333"/>
      <c r="X1129" s="334">
        <v>0</v>
      </c>
      <c r="Y1129" s="335">
        <v>0</v>
      </c>
    </row>
    <row r="1130" spans="1:25" x14ac:dyDescent="0.3">
      <c r="D1130" s="293" t="s">
        <v>2107</v>
      </c>
      <c r="E1130" s="294"/>
      <c r="F1130" s="295"/>
      <c r="G1130" s="296"/>
      <c r="H1130" s="297"/>
      <c r="I1130" s="298"/>
      <c r="J1130" s="299">
        <v>0</v>
      </c>
      <c r="K1130" s="300">
        <v>0</v>
      </c>
      <c r="L1130" s="300">
        <v>0</v>
      </c>
      <c r="M1130" s="300">
        <v>0</v>
      </c>
      <c r="N1130" s="300">
        <v>0</v>
      </c>
      <c r="O1130" s="300">
        <v>0</v>
      </c>
      <c r="P1130" s="300">
        <v>0</v>
      </c>
      <c r="Q1130" s="300">
        <v>0</v>
      </c>
      <c r="R1130" s="300">
        <v>0</v>
      </c>
      <c r="S1130" s="300">
        <v>0</v>
      </c>
      <c r="T1130" s="300">
        <v>0</v>
      </c>
      <c r="U1130" s="301">
        <v>0</v>
      </c>
      <c r="V1130" s="302">
        <v>0</v>
      </c>
      <c r="W1130" s="303"/>
      <c r="X1130" s="304">
        <v>0</v>
      </c>
      <c r="Y1130" s="305">
        <v>0</v>
      </c>
    </row>
    <row r="1131" spans="1:25" x14ac:dyDescent="0.3">
      <c r="A1131" s="326"/>
      <c r="B1131" s="326"/>
      <c r="C1131" s="326"/>
      <c r="D1131" s="326"/>
      <c r="E1131" s="326" t="s">
        <v>2104</v>
      </c>
      <c r="F1131" s="336"/>
      <c r="G1131" s="327"/>
      <c r="H1131" s="328"/>
      <c r="I1131" s="329"/>
      <c r="J1131" s="338">
        <v>0</v>
      </c>
      <c r="K1131" s="330">
        <v>0</v>
      </c>
      <c r="L1131" s="330">
        <v>0</v>
      </c>
      <c r="M1131" s="330">
        <v>0</v>
      </c>
      <c r="N1131" s="330">
        <v>0</v>
      </c>
      <c r="O1131" s="330">
        <v>0</v>
      </c>
      <c r="P1131" s="330">
        <v>0</v>
      </c>
      <c r="Q1131" s="330">
        <v>0</v>
      </c>
      <c r="R1131" s="330">
        <v>0</v>
      </c>
      <c r="S1131" s="330">
        <v>0</v>
      </c>
      <c r="T1131" s="330">
        <v>0</v>
      </c>
      <c r="U1131" s="331">
        <v>0</v>
      </c>
      <c r="V1131" s="332">
        <v>0</v>
      </c>
      <c r="W1131" s="333"/>
      <c r="X1131" s="334">
        <v>0</v>
      </c>
      <c r="Y1131" s="335">
        <v>0</v>
      </c>
    </row>
    <row r="1132" spans="1:25" x14ac:dyDescent="0.3">
      <c r="A1132" s="326"/>
      <c r="B1132" s="326"/>
      <c r="C1132" s="326"/>
      <c r="D1132" s="326"/>
      <c r="E1132" s="326" t="s">
        <v>2105</v>
      </c>
      <c r="F1132" s="336"/>
      <c r="G1132" s="327"/>
      <c r="H1132" s="328"/>
      <c r="I1132" s="329"/>
      <c r="J1132" s="338">
        <v>0</v>
      </c>
      <c r="K1132" s="330">
        <v>0</v>
      </c>
      <c r="L1132" s="330">
        <v>0</v>
      </c>
      <c r="M1132" s="330">
        <v>0</v>
      </c>
      <c r="N1132" s="330">
        <v>0</v>
      </c>
      <c r="O1132" s="330">
        <v>0</v>
      </c>
      <c r="P1132" s="330">
        <v>0</v>
      </c>
      <c r="Q1132" s="330">
        <v>0</v>
      </c>
      <c r="R1132" s="330">
        <v>0</v>
      </c>
      <c r="S1132" s="330">
        <v>0</v>
      </c>
      <c r="T1132" s="330">
        <v>0</v>
      </c>
      <c r="U1132" s="331">
        <v>0</v>
      </c>
      <c r="V1132" s="332">
        <v>0</v>
      </c>
      <c r="W1132" s="333"/>
      <c r="X1132" s="334">
        <v>0</v>
      </c>
      <c r="Y1132" s="335">
        <v>0</v>
      </c>
    </row>
    <row r="1133" spans="1:25" x14ac:dyDescent="0.3">
      <c r="A1133" s="326"/>
      <c r="B1133" s="326"/>
      <c r="C1133" s="326"/>
      <c r="D1133" s="326"/>
      <c r="E1133" s="326" t="s">
        <v>2106</v>
      </c>
      <c r="F1133" s="336"/>
      <c r="G1133" s="327"/>
      <c r="H1133" s="328"/>
      <c r="I1133" s="329"/>
      <c r="J1133" s="338">
        <v>0</v>
      </c>
      <c r="K1133" s="330">
        <v>0</v>
      </c>
      <c r="L1133" s="330">
        <v>0</v>
      </c>
      <c r="M1133" s="330">
        <v>0</v>
      </c>
      <c r="N1133" s="330">
        <v>0</v>
      </c>
      <c r="O1133" s="330">
        <v>0</v>
      </c>
      <c r="P1133" s="330">
        <v>0</v>
      </c>
      <c r="Q1133" s="330">
        <v>0</v>
      </c>
      <c r="R1133" s="330">
        <v>0</v>
      </c>
      <c r="S1133" s="330">
        <v>0</v>
      </c>
      <c r="T1133" s="330">
        <v>0</v>
      </c>
      <c r="U1133" s="331">
        <v>0</v>
      </c>
      <c r="V1133" s="332">
        <v>0</v>
      </c>
      <c r="W1133" s="333"/>
      <c r="X1133" s="334">
        <v>0</v>
      </c>
      <c r="Y1133" s="335">
        <v>0</v>
      </c>
    </row>
    <row r="1134" spans="1:25" x14ac:dyDescent="0.3">
      <c r="D1134" s="293" t="s">
        <v>2108</v>
      </c>
      <c r="E1134" s="294"/>
      <c r="F1134" s="295"/>
      <c r="G1134" s="296"/>
      <c r="H1134" s="297"/>
      <c r="I1134" s="298"/>
      <c r="J1134" s="299">
        <v>0</v>
      </c>
      <c r="K1134" s="300">
        <v>0</v>
      </c>
      <c r="L1134" s="300">
        <v>0</v>
      </c>
      <c r="M1134" s="300">
        <v>0</v>
      </c>
      <c r="N1134" s="300">
        <v>0</v>
      </c>
      <c r="O1134" s="300">
        <v>0</v>
      </c>
      <c r="P1134" s="300">
        <v>0</v>
      </c>
      <c r="Q1134" s="300">
        <v>0</v>
      </c>
      <c r="R1134" s="300">
        <v>0</v>
      </c>
      <c r="S1134" s="300">
        <v>0</v>
      </c>
      <c r="T1134" s="300">
        <v>0</v>
      </c>
      <c r="U1134" s="301">
        <v>0</v>
      </c>
      <c r="V1134" s="302">
        <v>0</v>
      </c>
      <c r="W1134" s="303"/>
      <c r="X1134" s="304">
        <v>0</v>
      </c>
      <c r="Y1134" s="305">
        <v>0</v>
      </c>
    </row>
    <row r="1135" spans="1:25" x14ac:dyDescent="0.3">
      <c r="A1135" s="326"/>
      <c r="B1135" s="326"/>
      <c r="C1135" s="326"/>
      <c r="D1135" s="326"/>
      <c r="E1135" s="326" t="s">
        <v>2104</v>
      </c>
      <c r="F1135" s="336"/>
      <c r="G1135" s="327"/>
      <c r="H1135" s="328"/>
      <c r="I1135" s="329"/>
      <c r="J1135" s="338">
        <v>0</v>
      </c>
      <c r="K1135" s="330">
        <v>0</v>
      </c>
      <c r="L1135" s="330">
        <v>0</v>
      </c>
      <c r="M1135" s="330">
        <v>0</v>
      </c>
      <c r="N1135" s="330">
        <v>0</v>
      </c>
      <c r="O1135" s="330">
        <v>0</v>
      </c>
      <c r="P1135" s="330">
        <v>0</v>
      </c>
      <c r="Q1135" s="330">
        <v>0</v>
      </c>
      <c r="R1135" s="330">
        <v>0</v>
      </c>
      <c r="S1135" s="330">
        <v>0</v>
      </c>
      <c r="T1135" s="330">
        <v>0</v>
      </c>
      <c r="U1135" s="331">
        <v>0</v>
      </c>
      <c r="V1135" s="332">
        <v>0</v>
      </c>
      <c r="W1135" s="333"/>
      <c r="X1135" s="334">
        <v>0</v>
      </c>
      <c r="Y1135" s="335">
        <v>0</v>
      </c>
    </row>
    <row r="1136" spans="1:25" x14ac:dyDescent="0.3">
      <c r="A1136" s="326"/>
      <c r="B1136" s="326"/>
      <c r="C1136" s="326"/>
      <c r="D1136" s="326"/>
      <c r="E1136" s="326" t="s">
        <v>2105</v>
      </c>
      <c r="F1136" s="336"/>
      <c r="G1136" s="327"/>
      <c r="H1136" s="328"/>
      <c r="I1136" s="329"/>
      <c r="J1136" s="338">
        <v>0</v>
      </c>
      <c r="K1136" s="330">
        <v>0</v>
      </c>
      <c r="L1136" s="330">
        <v>0</v>
      </c>
      <c r="M1136" s="330">
        <v>0</v>
      </c>
      <c r="N1136" s="330">
        <v>0</v>
      </c>
      <c r="O1136" s="330">
        <v>0</v>
      </c>
      <c r="P1136" s="330">
        <v>0</v>
      </c>
      <c r="Q1136" s="330">
        <v>0</v>
      </c>
      <c r="R1136" s="330">
        <v>0</v>
      </c>
      <c r="S1136" s="330">
        <v>0</v>
      </c>
      <c r="T1136" s="330">
        <v>0</v>
      </c>
      <c r="U1136" s="331">
        <v>0</v>
      </c>
      <c r="V1136" s="332">
        <v>0</v>
      </c>
      <c r="W1136" s="333"/>
      <c r="X1136" s="334">
        <v>0</v>
      </c>
      <c r="Y1136" s="335">
        <v>0</v>
      </c>
    </row>
    <row r="1137" spans="1:25" x14ac:dyDescent="0.3">
      <c r="A1137" s="326"/>
      <c r="B1137" s="326"/>
      <c r="C1137" s="326"/>
      <c r="D1137" s="326"/>
      <c r="E1137" s="326" t="s">
        <v>2106</v>
      </c>
      <c r="F1137" s="336"/>
      <c r="G1137" s="327"/>
      <c r="H1137" s="328"/>
      <c r="I1137" s="329"/>
      <c r="J1137" s="338">
        <v>0</v>
      </c>
      <c r="K1137" s="330">
        <v>0</v>
      </c>
      <c r="L1137" s="330">
        <v>0</v>
      </c>
      <c r="M1137" s="330">
        <v>0</v>
      </c>
      <c r="N1137" s="330">
        <v>0</v>
      </c>
      <c r="O1137" s="330">
        <v>0</v>
      </c>
      <c r="P1137" s="330">
        <v>0</v>
      </c>
      <c r="Q1137" s="330">
        <v>0</v>
      </c>
      <c r="R1137" s="330">
        <v>0</v>
      </c>
      <c r="S1137" s="330">
        <v>0</v>
      </c>
      <c r="T1137" s="330">
        <v>0</v>
      </c>
      <c r="U1137" s="331">
        <v>0</v>
      </c>
      <c r="V1137" s="332">
        <v>0</v>
      </c>
      <c r="W1137" s="333"/>
      <c r="X1137" s="334">
        <v>0</v>
      </c>
      <c r="Y1137" s="335">
        <v>0</v>
      </c>
    </row>
    <row r="1138" spans="1:25" ht="33" x14ac:dyDescent="0.3">
      <c r="A1138" s="248" t="s">
        <v>79</v>
      </c>
      <c r="B1138" s="248"/>
      <c r="C1138" s="280" t="s">
        <v>2109</v>
      </c>
      <c r="D1138" s="281"/>
      <c r="E1138" s="282"/>
      <c r="F1138" s="283" t="s">
        <v>2110</v>
      </c>
      <c r="G1138" s="284"/>
      <c r="H1138" s="285"/>
      <c r="I1138" s="286"/>
      <c r="J1138" s="287">
        <v>0</v>
      </c>
      <c r="K1138" s="288">
        <v>0</v>
      </c>
      <c r="L1138" s="288">
        <v>152015.288</v>
      </c>
      <c r="M1138" s="288">
        <v>0</v>
      </c>
      <c r="N1138" s="288">
        <v>0</v>
      </c>
      <c r="O1138" s="288">
        <v>302659.663</v>
      </c>
      <c r="P1138" s="288">
        <v>0</v>
      </c>
      <c r="Q1138" s="288">
        <v>0</v>
      </c>
      <c r="R1138" s="288">
        <v>499.16399999999999</v>
      </c>
      <c r="S1138" s="288">
        <v>0</v>
      </c>
      <c r="T1138" s="288">
        <v>0</v>
      </c>
      <c r="U1138" s="289">
        <v>1463.3910000000001</v>
      </c>
      <c r="V1138" s="290">
        <v>456637.50599999999</v>
      </c>
      <c r="W1138" s="277"/>
      <c r="X1138" s="291">
        <v>1463.3910000000001</v>
      </c>
      <c r="Y1138" s="292">
        <v>456637.50599999999</v>
      </c>
    </row>
    <row r="1139" spans="1:25" x14ac:dyDescent="0.3">
      <c r="A1139" s="233"/>
      <c r="B1139" s="234" t="s">
        <v>80</v>
      </c>
      <c r="D1139" s="293" t="s">
        <v>2111</v>
      </c>
      <c r="E1139" s="294"/>
      <c r="F1139" s="295" t="s">
        <v>2112</v>
      </c>
      <c r="G1139" s="296"/>
      <c r="H1139" s="297"/>
      <c r="I1139" s="298"/>
      <c r="J1139" s="299">
        <v>0</v>
      </c>
      <c r="K1139" s="300">
        <v>0</v>
      </c>
      <c r="L1139" s="300">
        <v>0</v>
      </c>
      <c r="M1139" s="300">
        <v>0</v>
      </c>
      <c r="N1139" s="300">
        <v>0</v>
      </c>
      <c r="O1139" s="300">
        <v>0</v>
      </c>
      <c r="P1139" s="300">
        <v>0</v>
      </c>
      <c r="Q1139" s="300">
        <v>0</v>
      </c>
      <c r="R1139" s="300">
        <v>0</v>
      </c>
      <c r="S1139" s="300">
        <v>0</v>
      </c>
      <c r="T1139" s="300">
        <v>0</v>
      </c>
      <c r="U1139" s="301">
        <v>0</v>
      </c>
      <c r="V1139" s="302">
        <v>0</v>
      </c>
      <c r="W1139" s="303"/>
      <c r="X1139" s="304">
        <v>0</v>
      </c>
      <c r="Y1139" s="305">
        <v>0</v>
      </c>
    </row>
    <row r="1140" spans="1:25" x14ac:dyDescent="0.3">
      <c r="E1140" s="339" t="s">
        <v>2113</v>
      </c>
      <c r="F1140" s="340" t="s">
        <v>2114</v>
      </c>
      <c r="G1140" s="341"/>
      <c r="H1140" s="342"/>
      <c r="I1140" s="343"/>
      <c r="J1140" s="344">
        <v>0</v>
      </c>
      <c r="K1140" s="345">
        <v>0</v>
      </c>
      <c r="L1140" s="345">
        <v>0</v>
      </c>
      <c r="M1140" s="345">
        <v>0</v>
      </c>
      <c r="N1140" s="345">
        <v>0</v>
      </c>
      <c r="O1140" s="345">
        <v>0</v>
      </c>
      <c r="P1140" s="345">
        <v>0</v>
      </c>
      <c r="Q1140" s="345">
        <v>0</v>
      </c>
      <c r="R1140" s="345">
        <v>0</v>
      </c>
      <c r="S1140" s="345">
        <v>0</v>
      </c>
      <c r="T1140" s="345">
        <v>0</v>
      </c>
      <c r="U1140" s="346">
        <v>0</v>
      </c>
      <c r="V1140" s="347">
        <v>0</v>
      </c>
      <c r="W1140" s="303"/>
      <c r="X1140" s="348">
        <v>0</v>
      </c>
      <c r="Y1140" s="349">
        <v>0</v>
      </c>
    </row>
    <row r="1141" spans="1:25" x14ac:dyDescent="0.3">
      <c r="E1141" t="s">
        <v>2115</v>
      </c>
      <c r="F1141" s="317">
        <v>4500101</v>
      </c>
      <c r="G1141" s="318"/>
      <c r="H1141" s="319">
        <v>7701010101</v>
      </c>
      <c r="I1141" s="320"/>
      <c r="J1141" s="337">
        <v>0</v>
      </c>
      <c r="K1141" s="321">
        <v>0</v>
      </c>
      <c r="L1141" s="321">
        <v>0</v>
      </c>
      <c r="M1141" s="321">
        <v>0</v>
      </c>
      <c r="N1141" s="321">
        <v>0</v>
      </c>
      <c r="O1141" s="321">
        <v>0</v>
      </c>
      <c r="P1141" s="321">
        <v>0</v>
      </c>
      <c r="Q1141" s="321">
        <v>0</v>
      </c>
      <c r="R1141" s="321">
        <v>0</v>
      </c>
      <c r="S1141" s="321">
        <v>0</v>
      </c>
      <c r="T1141" s="321">
        <v>0</v>
      </c>
      <c r="U1141" s="322">
        <v>0</v>
      </c>
      <c r="V1141" s="323">
        <v>0</v>
      </c>
      <c r="W1141" s="303"/>
      <c r="X1141" s="324">
        <v>0</v>
      </c>
      <c r="Y1141" s="325">
        <v>0</v>
      </c>
    </row>
    <row r="1142" spans="1:25" x14ac:dyDescent="0.3">
      <c r="E1142" t="s">
        <v>2116</v>
      </c>
      <c r="F1142" s="317">
        <v>4500102</v>
      </c>
      <c r="G1142" s="318"/>
      <c r="H1142" s="319">
        <v>7701010103</v>
      </c>
      <c r="I1142" s="320"/>
      <c r="J1142" s="337">
        <v>0</v>
      </c>
      <c r="K1142" s="321">
        <v>0</v>
      </c>
      <c r="L1142" s="321">
        <v>0</v>
      </c>
      <c r="M1142" s="321">
        <v>0</v>
      </c>
      <c r="N1142" s="321">
        <v>0</v>
      </c>
      <c r="O1142" s="321">
        <v>0</v>
      </c>
      <c r="P1142" s="321">
        <v>0</v>
      </c>
      <c r="Q1142" s="321">
        <v>0</v>
      </c>
      <c r="R1142" s="321">
        <v>0</v>
      </c>
      <c r="S1142" s="321">
        <v>0</v>
      </c>
      <c r="T1142" s="321">
        <v>0</v>
      </c>
      <c r="U1142" s="322">
        <v>0</v>
      </c>
      <c r="V1142" s="323">
        <v>0</v>
      </c>
      <c r="W1142" s="303"/>
      <c r="X1142" s="324">
        <v>0</v>
      </c>
      <c r="Y1142" s="325">
        <v>0</v>
      </c>
    </row>
    <row r="1143" spans="1:25" x14ac:dyDescent="0.3">
      <c r="E1143" t="s">
        <v>2117</v>
      </c>
      <c r="F1143" s="317">
        <v>4500199</v>
      </c>
      <c r="G1143" s="318"/>
      <c r="H1143" s="319">
        <v>7701010199</v>
      </c>
      <c r="I1143" s="320"/>
      <c r="J1143" s="337">
        <v>0</v>
      </c>
      <c r="K1143" s="321">
        <v>0</v>
      </c>
      <c r="L1143" s="321">
        <v>0</v>
      </c>
      <c r="M1143" s="321">
        <v>0</v>
      </c>
      <c r="N1143" s="321">
        <v>0</v>
      </c>
      <c r="O1143" s="321">
        <v>0</v>
      </c>
      <c r="P1143" s="321">
        <v>0</v>
      </c>
      <c r="Q1143" s="321">
        <v>0</v>
      </c>
      <c r="R1143" s="321">
        <v>0</v>
      </c>
      <c r="S1143" s="321">
        <v>0</v>
      </c>
      <c r="T1143" s="321">
        <v>0</v>
      </c>
      <c r="U1143" s="322">
        <v>0</v>
      </c>
      <c r="V1143" s="323">
        <v>0</v>
      </c>
      <c r="W1143" s="303"/>
      <c r="X1143" s="324">
        <v>0</v>
      </c>
      <c r="Y1143" s="325">
        <v>0</v>
      </c>
    </row>
    <row r="1144" spans="1:25" x14ac:dyDescent="0.3">
      <c r="A1144" s="350"/>
      <c r="B1144" s="350"/>
      <c r="C1144" s="350"/>
      <c r="D1144" s="350"/>
      <c r="E1144" s="350" t="s">
        <v>2118</v>
      </c>
      <c r="F1144" s="306"/>
      <c r="G1144" s="307"/>
      <c r="H1144" s="308">
        <v>7701010107</v>
      </c>
      <c r="I1144" s="309"/>
      <c r="J1144" s="310">
        <v>0</v>
      </c>
      <c r="K1144" s="311">
        <v>0</v>
      </c>
      <c r="L1144" s="311">
        <v>0</v>
      </c>
      <c r="M1144" s="311">
        <v>0</v>
      </c>
      <c r="N1144" s="311">
        <v>0</v>
      </c>
      <c r="O1144" s="311">
        <v>0</v>
      </c>
      <c r="P1144" s="311">
        <v>0</v>
      </c>
      <c r="Q1144" s="311">
        <v>0</v>
      </c>
      <c r="R1144" s="311">
        <v>0</v>
      </c>
      <c r="S1144" s="311">
        <v>0</v>
      </c>
      <c r="T1144" s="311">
        <v>0</v>
      </c>
      <c r="U1144" s="312">
        <v>0</v>
      </c>
      <c r="V1144" s="313">
        <v>0</v>
      </c>
      <c r="W1144" s="314"/>
      <c r="X1144" s="315">
        <v>0</v>
      </c>
      <c r="Y1144" s="316">
        <v>0</v>
      </c>
    </row>
    <row r="1145" spans="1:25" x14ac:dyDescent="0.3">
      <c r="A1145" s="326"/>
      <c r="B1145" s="326"/>
      <c r="C1145" s="326"/>
      <c r="D1145" s="326"/>
      <c r="E1145" s="326" t="s">
        <v>2119</v>
      </c>
      <c r="F1145" s="336"/>
      <c r="G1145" s="327"/>
      <c r="H1145" s="328"/>
      <c r="I1145" s="329"/>
      <c r="J1145" s="338">
        <v>0</v>
      </c>
      <c r="K1145" s="330">
        <v>0</v>
      </c>
      <c r="L1145" s="330">
        <v>0</v>
      </c>
      <c r="M1145" s="330">
        <v>0</v>
      </c>
      <c r="N1145" s="330">
        <v>0</v>
      </c>
      <c r="O1145" s="330">
        <v>0</v>
      </c>
      <c r="P1145" s="330">
        <v>0</v>
      </c>
      <c r="Q1145" s="330">
        <v>0</v>
      </c>
      <c r="R1145" s="330">
        <v>0</v>
      </c>
      <c r="S1145" s="330">
        <v>0</v>
      </c>
      <c r="T1145" s="330">
        <v>0</v>
      </c>
      <c r="U1145" s="331">
        <v>0</v>
      </c>
      <c r="V1145" s="332">
        <v>0</v>
      </c>
      <c r="W1145" s="333"/>
      <c r="X1145" s="334">
        <v>0</v>
      </c>
      <c r="Y1145" s="335">
        <v>0</v>
      </c>
    </row>
    <row r="1146" spans="1:25" x14ac:dyDescent="0.3">
      <c r="A1146" s="326"/>
      <c r="B1146" s="326"/>
      <c r="C1146" s="326"/>
      <c r="D1146" s="326"/>
      <c r="E1146" s="326" t="s">
        <v>2120</v>
      </c>
      <c r="F1146" s="336"/>
      <c r="G1146" s="327"/>
      <c r="H1146" s="328"/>
      <c r="I1146" s="329"/>
      <c r="J1146" s="338">
        <v>0</v>
      </c>
      <c r="K1146" s="330">
        <v>0</v>
      </c>
      <c r="L1146" s="330">
        <v>0</v>
      </c>
      <c r="M1146" s="330">
        <v>0</v>
      </c>
      <c r="N1146" s="330">
        <v>0</v>
      </c>
      <c r="O1146" s="330">
        <v>0</v>
      </c>
      <c r="P1146" s="330">
        <v>0</v>
      </c>
      <c r="Q1146" s="330">
        <v>0</v>
      </c>
      <c r="R1146" s="330">
        <v>0</v>
      </c>
      <c r="S1146" s="330">
        <v>0</v>
      </c>
      <c r="T1146" s="330">
        <v>0</v>
      </c>
      <c r="U1146" s="331">
        <v>0</v>
      </c>
      <c r="V1146" s="332">
        <v>0</v>
      </c>
      <c r="W1146" s="333"/>
      <c r="X1146" s="334">
        <v>0</v>
      </c>
      <c r="Y1146" s="335">
        <v>0</v>
      </c>
    </row>
    <row r="1147" spans="1:25" x14ac:dyDescent="0.3">
      <c r="E1147" s="339" t="s">
        <v>2035</v>
      </c>
      <c r="F1147" s="340" t="s">
        <v>2121</v>
      </c>
      <c r="G1147" s="341"/>
      <c r="H1147" s="342"/>
      <c r="I1147" s="343"/>
      <c r="J1147" s="344">
        <v>0</v>
      </c>
      <c r="K1147" s="345">
        <v>0</v>
      </c>
      <c r="L1147" s="345">
        <v>0</v>
      </c>
      <c r="M1147" s="345">
        <v>0</v>
      </c>
      <c r="N1147" s="345">
        <v>0</v>
      </c>
      <c r="O1147" s="345">
        <v>0</v>
      </c>
      <c r="P1147" s="345">
        <v>0</v>
      </c>
      <c r="Q1147" s="345">
        <v>0</v>
      </c>
      <c r="R1147" s="345">
        <v>0</v>
      </c>
      <c r="S1147" s="345">
        <v>0</v>
      </c>
      <c r="T1147" s="345">
        <v>0</v>
      </c>
      <c r="U1147" s="346">
        <v>0</v>
      </c>
      <c r="V1147" s="347">
        <v>0</v>
      </c>
      <c r="W1147" s="303"/>
      <c r="X1147" s="348">
        <v>0</v>
      </c>
      <c r="Y1147" s="349">
        <v>0</v>
      </c>
    </row>
    <row r="1148" spans="1:25" x14ac:dyDescent="0.3">
      <c r="E1148" t="s">
        <v>2122</v>
      </c>
      <c r="F1148" s="317">
        <v>4500104</v>
      </c>
      <c r="G1148" s="318"/>
      <c r="H1148" s="319">
        <v>7701010105</v>
      </c>
      <c r="I1148" s="320"/>
      <c r="J1148" s="337">
        <v>0</v>
      </c>
      <c r="K1148" s="321">
        <v>0</v>
      </c>
      <c r="L1148" s="321">
        <v>0</v>
      </c>
      <c r="M1148" s="321">
        <v>0</v>
      </c>
      <c r="N1148" s="321">
        <v>0</v>
      </c>
      <c r="O1148" s="321">
        <v>0</v>
      </c>
      <c r="P1148" s="321">
        <v>0</v>
      </c>
      <c r="Q1148" s="321">
        <v>0</v>
      </c>
      <c r="R1148" s="321">
        <v>0</v>
      </c>
      <c r="S1148" s="321">
        <v>0</v>
      </c>
      <c r="T1148" s="321">
        <v>0</v>
      </c>
      <c r="U1148" s="322">
        <v>0</v>
      </c>
      <c r="V1148" s="323">
        <v>0</v>
      </c>
      <c r="W1148" s="303"/>
      <c r="X1148" s="324">
        <v>0</v>
      </c>
      <c r="Y1148" s="325">
        <v>0</v>
      </c>
    </row>
    <row r="1149" spans="1:25" x14ac:dyDescent="0.3">
      <c r="E1149" t="s">
        <v>2123</v>
      </c>
      <c r="F1149" s="317">
        <v>4500106</v>
      </c>
      <c r="G1149" s="318"/>
      <c r="H1149" s="319">
        <v>7701010305</v>
      </c>
      <c r="I1149" s="320"/>
      <c r="J1149" s="337">
        <v>0</v>
      </c>
      <c r="K1149" s="321">
        <v>0</v>
      </c>
      <c r="L1149" s="321">
        <v>0</v>
      </c>
      <c r="M1149" s="321">
        <v>0</v>
      </c>
      <c r="N1149" s="321">
        <v>0</v>
      </c>
      <c r="O1149" s="321">
        <v>0</v>
      </c>
      <c r="P1149" s="321">
        <v>0</v>
      </c>
      <c r="Q1149" s="321">
        <v>0</v>
      </c>
      <c r="R1149" s="321">
        <v>0</v>
      </c>
      <c r="S1149" s="321">
        <v>0</v>
      </c>
      <c r="T1149" s="321">
        <v>0</v>
      </c>
      <c r="U1149" s="322">
        <v>0</v>
      </c>
      <c r="V1149" s="323">
        <v>0</v>
      </c>
      <c r="W1149" s="303"/>
      <c r="X1149" s="324">
        <v>0</v>
      </c>
      <c r="Y1149" s="325">
        <v>0</v>
      </c>
    </row>
    <row r="1150" spans="1:25" x14ac:dyDescent="0.3">
      <c r="E1150" t="s">
        <v>2124</v>
      </c>
      <c r="F1150" s="317">
        <v>4500181</v>
      </c>
      <c r="G1150" s="318"/>
      <c r="H1150" s="319">
        <v>7701010301</v>
      </c>
      <c r="I1150" s="320"/>
      <c r="J1150" s="337">
        <v>0</v>
      </c>
      <c r="K1150" s="321">
        <v>0</v>
      </c>
      <c r="L1150" s="321">
        <v>0</v>
      </c>
      <c r="M1150" s="321">
        <v>0</v>
      </c>
      <c r="N1150" s="321">
        <v>0</v>
      </c>
      <c r="O1150" s="321">
        <v>0</v>
      </c>
      <c r="P1150" s="321">
        <v>0</v>
      </c>
      <c r="Q1150" s="321">
        <v>0</v>
      </c>
      <c r="R1150" s="321">
        <v>0</v>
      </c>
      <c r="S1150" s="321">
        <v>0</v>
      </c>
      <c r="T1150" s="321">
        <v>0</v>
      </c>
      <c r="U1150" s="322">
        <v>0</v>
      </c>
      <c r="V1150" s="323">
        <v>0</v>
      </c>
      <c r="W1150" s="303"/>
      <c r="X1150" s="324">
        <v>0</v>
      </c>
      <c r="Y1150" s="325">
        <v>0</v>
      </c>
    </row>
    <row r="1151" spans="1:25" x14ac:dyDescent="0.3">
      <c r="E1151" t="s">
        <v>2125</v>
      </c>
      <c r="F1151" s="317">
        <v>4500182</v>
      </c>
      <c r="G1151" s="318"/>
      <c r="H1151" s="319">
        <v>7701010501</v>
      </c>
      <c r="I1151" s="320"/>
      <c r="J1151" s="337">
        <v>0</v>
      </c>
      <c r="K1151" s="321">
        <v>0</v>
      </c>
      <c r="L1151" s="321">
        <v>0</v>
      </c>
      <c r="M1151" s="321">
        <v>0</v>
      </c>
      <c r="N1151" s="321">
        <v>0</v>
      </c>
      <c r="O1151" s="321">
        <v>0</v>
      </c>
      <c r="P1151" s="321">
        <v>0</v>
      </c>
      <c r="Q1151" s="321">
        <v>0</v>
      </c>
      <c r="R1151" s="321">
        <v>0</v>
      </c>
      <c r="S1151" s="321">
        <v>0</v>
      </c>
      <c r="T1151" s="321">
        <v>0</v>
      </c>
      <c r="U1151" s="322">
        <v>0</v>
      </c>
      <c r="V1151" s="323">
        <v>0</v>
      </c>
      <c r="W1151" s="303"/>
      <c r="X1151" s="324">
        <v>0</v>
      </c>
      <c r="Y1151" s="325">
        <v>0</v>
      </c>
    </row>
    <row r="1152" spans="1:25" x14ac:dyDescent="0.3">
      <c r="E1152" t="s">
        <v>2126</v>
      </c>
      <c r="F1152" s="317">
        <v>4500813</v>
      </c>
      <c r="G1152" s="318"/>
      <c r="H1152" s="319">
        <v>7701010701</v>
      </c>
      <c r="I1152" s="320"/>
      <c r="J1152" s="337">
        <v>0</v>
      </c>
      <c r="K1152" s="321">
        <v>0</v>
      </c>
      <c r="L1152" s="321">
        <v>0</v>
      </c>
      <c r="M1152" s="321">
        <v>0</v>
      </c>
      <c r="N1152" s="321">
        <v>0</v>
      </c>
      <c r="O1152" s="321">
        <v>0</v>
      </c>
      <c r="P1152" s="321">
        <v>0</v>
      </c>
      <c r="Q1152" s="321">
        <v>0</v>
      </c>
      <c r="R1152" s="321">
        <v>0</v>
      </c>
      <c r="S1152" s="321">
        <v>0</v>
      </c>
      <c r="T1152" s="321">
        <v>0</v>
      </c>
      <c r="U1152" s="322">
        <v>0</v>
      </c>
      <c r="V1152" s="323">
        <v>0</v>
      </c>
      <c r="W1152" s="303"/>
      <c r="X1152" s="324">
        <v>0</v>
      </c>
      <c r="Y1152" s="325">
        <v>0</v>
      </c>
    </row>
    <row r="1153" spans="1:25" x14ac:dyDescent="0.3">
      <c r="A1153" s="350"/>
      <c r="B1153" s="350"/>
      <c r="C1153" s="350"/>
      <c r="D1153" s="350"/>
      <c r="E1153" s="350" t="s">
        <v>2127</v>
      </c>
      <c r="F1153" s="306"/>
      <c r="G1153" s="307"/>
      <c r="H1153" s="308"/>
      <c r="I1153" s="309"/>
      <c r="J1153" s="310">
        <v>0</v>
      </c>
      <c r="K1153" s="311">
        <v>0</v>
      </c>
      <c r="L1153" s="311">
        <v>0</v>
      </c>
      <c r="M1153" s="311">
        <v>0</v>
      </c>
      <c r="N1153" s="311">
        <v>0</v>
      </c>
      <c r="O1153" s="311">
        <v>0</v>
      </c>
      <c r="P1153" s="311">
        <v>0</v>
      </c>
      <c r="Q1153" s="311">
        <v>0</v>
      </c>
      <c r="R1153" s="311">
        <v>0</v>
      </c>
      <c r="S1153" s="311">
        <v>0</v>
      </c>
      <c r="T1153" s="311">
        <v>0</v>
      </c>
      <c r="U1153" s="312">
        <v>0</v>
      </c>
      <c r="V1153" s="313">
        <v>0</v>
      </c>
      <c r="W1153" s="314"/>
      <c r="X1153" s="315">
        <v>0</v>
      </c>
      <c r="Y1153" s="316">
        <v>0</v>
      </c>
    </row>
    <row r="1154" spans="1:25" x14ac:dyDescent="0.3">
      <c r="A1154" s="326"/>
      <c r="B1154" s="326"/>
      <c r="C1154" s="326"/>
      <c r="D1154" s="326"/>
      <c r="E1154" s="326" t="s">
        <v>2119</v>
      </c>
      <c r="F1154" s="336"/>
      <c r="G1154" s="327"/>
      <c r="H1154" s="328"/>
      <c r="I1154" s="329"/>
      <c r="J1154" s="338">
        <v>0</v>
      </c>
      <c r="K1154" s="330">
        <v>0</v>
      </c>
      <c r="L1154" s="330">
        <v>0</v>
      </c>
      <c r="M1154" s="330">
        <v>0</v>
      </c>
      <c r="N1154" s="330">
        <v>0</v>
      </c>
      <c r="O1154" s="330">
        <v>0</v>
      </c>
      <c r="P1154" s="330">
        <v>0</v>
      </c>
      <c r="Q1154" s="330">
        <v>0</v>
      </c>
      <c r="R1154" s="330">
        <v>0</v>
      </c>
      <c r="S1154" s="330">
        <v>0</v>
      </c>
      <c r="T1154" s="330">
        <v>0</v>
      </c>
      <c r="U1154" s="331">
        <v>0</v>
      </c>
      <c r="V1154" s="332">
        <v>0</v>
      </c>
      <c r="W1154" s="333"/>
      <c r="X1154" s="334">
        <v>0</v>
      </c>
      <c r="Y1154" s="335">
        <v>0</v>
      </c>
    </row>
    <row r="1155" spans="1:25" x14ac:dyDescent="0.3">
      <c r="A1155" s="326"/>
      <c r="B1155" s="326"/>
      <c r="C1155" s="326"/>
      <c r="D1155" s="326"/>
      <c r="E1155" s="326" t="s">
        <v>2120</v>
      </c>
      <c r="F1155" s="336"/>
      <c r="G1155" s="327"/>
      <c r="H1155" s="328"/>
      <c r="I1155" s="329"/>
      <c r="J1155" s="338">
        <v>0</v>
      </c>
      <c r="K1155" s="330">
        <v>0</v>
      </c>
      <c r="L1155" s="330">
        <v>0</v>
      </c>
      <c r="M1155" s="330">
        <v>0</v>
      </c>
      <c r="N1155" s="330">
        <v>0</v>
      </c>
      <c r="O1155" s="330">
        <v>0</v>
      </c>
      <c r="P1155" s="330">
        <v>0</v>
      </c>
      <c r="Q1155" s="330">
        <v>0</v>
      </c>
      <c r="R1155" s="330">
        <v>0</v>
      </c>
      <c r="S1155" s="330">
        <v>0</v>
      </c>
      <c r="T1155" s="330">
        <v>0</v>
      </c>
      <c r="U1155" s="331">
        <v>0</v>
      </c>
      <c r="V1155" s="332">
        <v>0</v>
      </c>
      <c r="W1155" s="333"/>
      <c r="X1155" s="334">
        <v>0</v>
      </c>
      <c r="Y1155" s="335">
        <v>0</v>
      </c>
    </row>
    <row r="1156" spans="1:25" x14ac:dyDescent="0.3">
      <c r="A1156" s="233"/>
      <c r="B1156" s="234" t="s">
        <v>81</v>
      </c>
      <c r="D1156" s="293" t="s">
        <v>2128</v>
      </c>
      <c r="E1156" s="294"/>
      <c r="F1156" s="295" t="s">
        <v>2129</v>
      </c>
      <c r="G1156" s="296"/>
      <c r="H1156" s="297"/>
      <c r="I1156" s="298"/>
      <c r="J1156" s="299">
        <v>0</v>
      </c>
      <c r="K1156" s="300">
        <v>0</v>
      </c>
      <c r="L1156" s="300">
        <v>0</v>
      </c>
      <c r="M1156" s="300">
        <v>0</v>
      </c>
      <c r="N1156" s="300">
        <v>0</v>
      </c>
      <c r="O1156" s="300">
        <v>0</v>
      </c>
      <c r="P1156" s="300">
        <v>0</v>
      </c>
      <c r="Q1156" s="300">
        <v>0</v>
      </c>
      <c r="R1156" s="300">
        <v>0</v>
      </c>
      <c r="S1156" s="300">
        <v>0</v>
      </c>
      <c r="T1156" s="300">
        <v>0</v>
      </c>
      <c r="U1156" s="301">
        <v>0</v>
      </c>
      <c r="V1156" s="302">
        <v>0</v>
      </c>
      <c r="W1156" s="303"/>
      <c r="X1156" s="304">
        <v>0</v>
      </c>
      <c r="Y1156" s="305">
        <v>0</v>
      </c>
    </row>
    <row r="1157" spans="1:25" x14ac:dyDescent="0.3">
      <c r="E1157" t="s">
        <v>2130</v>
      </c>
      <c r="F1157" s="317">
        <v>4502010</v>
      </c>
      <c r="G1157" s="318"/>
      <c r="H1157" s="319">
        <v>7701300101</v>
      </c>
      <c r="I1157" s="320"/>
      <c r="J1157" s="337">
        <v>0</v>
      </c>
      <c r="K1157" s="321">
        <v>0</v>
      </c>
      <c r="L1157" s="321">
        <v>0</v>
      </c>
      <c r="M1157" s="321">
        <v>0</v>
      </c>
      <c r="N1157" s="321">
        <v>0</v>
      </c>
      <c r="O1157" s="321">
        <v>0</v>
      </c>
      <c r="P1157" s="321">
        <v>0</v>
      </c>
      <c r="Q1157" s="321">
        <v>0</v>
      </c>
      <c r="R1157" s="321">
        <v>0</v>
      </c>
      <c r="S1157" s="321">
        <v>0</v>
      </c>
      <c r="T1157" s="321">
        <v>0</v>
      </c>
      <c r="U1157" s="322">
        <v>0</v>
      </c>
      <c r="V1157" s="323">
        <v>0</v>
      </c>
      <c r="W1157" s="303"/>
      <c r="X1157" s="324">
        <v>0</v>
      </c>
      <c r="Y1157" s="325">
        <v>0</v>
      </c>
    </row>
    <row r="1158" spans="1:25" x14ac:dyDescent="0.3">
      <c r="E1158" t="s">
        <v>2131</v>
      </c>
      <c r="F1158" s="317">
        <v>4502011</v>
      </c>
      <c r="G1158" s="318"/>
      <c r="H1158" s="319">
        <v>7701300102</v>
      </c>
      <c r="I1158" s="320"/>
      <c r="J1158" s="337">
        <v>0</v>
      </c>
      <c r="K1158" s="321">
        <v>0</v>
      </c>
      <c r="L1158" s="321">
        <v>0</v>
      </c>
      <c r="M1158" s="321">
        <v>0</v>
      </c>
      <c r="N1158" s="321">
        <v>0</v>
      </c>
      <c r="O1158" s="321">
        <v>0</v>
      </c>
      <c r="P1158" s="321">
        <v>0</v>
      </c>
      <c r="Q1158" s="321">
        <v>0</v>
      </c>
      <c r="R1158" s="321">
        <v>0</v>
      </c>
      <c r="S1158" s="321">
        <v>0</v>
      </c>
      <c r="T1158" s="321">
        <v>0</v>
      </c>
      <c r="U1158" s="322">
        <v>0</v>
      </c>
      <c r="V1158" s="323">
        <v>0</v>
      </c>
      <c r="W1158" s="303"/>
      <c r="X1158" s="324">
        <v>0</v>
      </c>
      <c r="Y1158" s="325">
        <v>0</v>
      </c>
    </row>
    <row r="1159" spans="1:25" x14ac:dyDescent="0.3">
      <c r="E1159" t="s">
        <v>2132</v>
      </c>
      <c r="F1159" s="317">
        <v>4502012</v>
      </c>
      <c r="G1159" s="318"/>
      <c r="H1159" s="319">
        <v>7701300103</v>
      </c>
      <c r="I1159" s="320"/>
      <c r="J1159" s="337">
        <v>0</v>
      </c>
      <c r="K1159" s="321">
        <v>0</v>
      </c>
      <c r="L1159" s="321">
        <v>0</v>
      </c>
      <c r="M1159" s="321">
        <v>0</v>
      </c>
      <c r="N1159" s="321">
        <v>0</v>
      </c>
      <c r="O1159" s="321">
        <v>0</v>
      </c>
      <c r="P1159" s="321">
        <v>0</v>
      </c>
      <c r="Q1159" s="321">
        <v>0</v>
      </c>
      <c r="R1159" s="321">
        <v>0</v>
      </c>
      <c r="S1159" s="321">
        <v>0</v>
      </c>
      <c r="T1159" s="321">
        <v>0</v>
      </c>
      <c r="U1159" s="322">
        <v>0</v>
      </c>
      <c r="V1159" s="323">
        <v>0</v>
      </c>
      <c r="W1159" s="303"/>
      <c r="X1159" s="324">
        <v>0</v>
      </c>
      <c r="Y1159" s="325">
        <v>0</v>
      </c>
    </row>
    <row r="1160" spans="1:25" x14ac:dyDescent="0.3">
      <c r="E1160" t="s">
        <v>2133</v>
      </c>
      <c r="F1160" s="317">
        <v>4502013</v>
      </c>
      <c r="G1160" s="318"/>
      <c r="H1160" s="319">
        <v>7701030102</v>
      </c>
      <c r="I1160" s="320"/>
      <c r="J1160" s="337">
        <v>0</v>
      </c>
      <c r="K1160" s="321">
        <v>0</v>
      </c>
      <c r="L1160" s="321">
        <v>0</v>
      </c>
      <c r="M1160" s="321">
        <v>0</v>
      </c>
      <c r="N1160" s="321">
        <v>0</v>
      </c>
      <c r="O1160" s="321">
        <v>0</v>
      </c>
      <c r="P1160" s="321">
        <v>0</v>
      </c>
      <c r="Q1160" s="321">
        <v>0</v>
      </c>
      <c r="R1160" s="321">
        <v>0</v>
      </c>
      <c r="S1160" s="321">
        <v>0</v>
      </c>
      <c r="T1160" s="321">
        <v>0</v>
      </c>
      <c r="U1160" s="322">
        <v>0</v>
      </c>
      <c r="V1160" s="323">
        <v>0</v>
      </c>
      <c r="W1160" s="303"/>
      <c r="X1160" s="324">
        <v>0</v>
      </c>
      <c r="Y1160" s="325">
        <v>0</v>
      </c>
    </row>
    <row r="1161" spans="1:25" x14ac:dyDescent="0.3">
      <c r="E1161" t="s">
        <v>2134</v>
      </c>
      <c r="F1161" s="317">
        <v>4502014</v>
      </c>
      <c r="G1161" s="318"/>
      <c r="H1161" s="319"/>
      <c r="I1161" s="320"/>
      <c r="J1161" s="337">
        <v>0</v>
      </c>
      <c r="K1161" s="321">
        <v>0</v>
      </c>
      <c r="L1161" s="321">
        <v>0</v>
      </c>
      <c r="M1161" s="321">
        <v>0</v>
      </c>
      <c r="N1161" s="321">
        <v>0</v>
      </c>
      <c r="O1161" s="321">
        <v>0</v>
      </c>
      <c r="P1161" s="321">
        <v>0</v>
      </c>
      <c r="Q1161" s="321">
        <v>0</v>
      </c>
      <c r="R1161" s="321">
        <v>0</v>
      </c>
      <c r="S1161" s="321">
        <v>0</v>
      </c>
      <c r="T1161" s="321">
        <v>0</v>
      </c>
      <c r="U1161" s="322">
        <v>0</v>
      </c>
      <c r="V1161" s="323">
        <v>0</v>
      </c>
      <c r="W1161" s="303"/>
      <c r="X1161" s="324">
        <v>0</v>
      </c>
      <c r="Y1161" s="325">
        <v>0</v>
      </c>
    </row>
    <row r="1162" spans="1:25" x14ac:dyDescent="0.3">
      <c r="A1162" s="326"/>
      <c r="B1162" s="326"/>
      <c r="C1162" s="326"/>
      <c r="D1162" s="326"/>
      <c r="E1162" s="326" t="s">
        <v>2135</v>
      </c>
      <c r="F1162" s="336"/>
      <c r="G1162" s="327"/>
      <c r="H1162" s="328"/>
      <c r="I1162" s="329"/>
      <c r="J1162" s="338">
        <v>0</v>
      </c>
      <c r="K1162" s="330">
        <v>0</v>
      </c>
      <c r="L1162" s="330">
        <v>0</v>
      </c>
      <c r="M1162" s="330">
        <v>0</v>
      </c>
      <c r="N1162" s="330">
        <v>0</v>
      </c>
      <c r="O1162" s="330">
        <v>0</v>
      </c>
      <c r="P1162" s="330">
        <v>0</v>
      </c>
      <c r="Q1162" s="330">
        <v>0</v>
      </c>
      <c r="R1162" s="330">
        <v>0</v>
      </c>
      <c r="S1162" s="330">
        <v>0</v>
      </c>
      <c r="T1162" s="330">
        <v>0</v>
      </c>
      <c r="U1162" s="331">
        <v>0</v>
      </c>
      <c r="V1162" s="332">
        <v>0</v>
      </c>
      <c r="W1162" s="333"/>
      <c r="X1162" s="334">
        <v>0</v>
      </c>
      <c r="Y1162" s="335">
        <v>0</v>
      </c>
    </row>
    <row r="1163" spans="1:25" x14ac:dyDescent="0.3">
      <c r="A1163" s="326"/>
      <c r="B1163" s="326"/>
      <c r="C1163" s="326"/>
      <c r="D1163" s="326"/>
      <c r="E1163" s="326" t="s">
        <v>2136</v>
      </c>
      <c r="F1163" s="336"/>
      <c r="G1163" s="327"/>
      <c r="H1163" s="328"/>
      <c r="I1163" s="329"/>
      <c r="J1163" s="338">
        <v>0</v>
      </c>
      <c r="K1163" s="330">
        <v>0</v>
      </c>
      <c r="L1163" s="330">
        <v>0</v>
      </c>
      <c r="M1163" s="330">
        <v>0</v>
      </c>
      <c r="N1163" s="330">
        <v>0</v>
      </c>
      <c r="O1163" s="330">
        <v>0</v>
      </c>
      <c r="P1163" s="330">
        <v>0</v>
      </c>
      <c r="Q1163" s="330">
        <v>0</v>
      </c>
      <c r="R1163" s="330">
        <v>0</v>
      </c>
      <c r="S1163" s="330">
        <v>0</v>
      </c>
      <c r="T1163" s="330">
        <v>0</v>
      </c>
      <c r="U1163" s="331">
        <v>0</v>
      </c>
      <c r="V1163" s="332">
        <v>0</v>
      </c>
      <c r="W1163" s="333"/>
      <c r="X1163" s="334">
        <v>0</v>
      </c>
      <c r="Y1163" s="335">
        <v>0</v>
      </c>
    </row>
    <row r="1164" spans="1:25" x14ac:dyDescent="0.3">
      <c r="A1164" s="326"/>
      <c r="B1164" s="326"/>
      <c r="C1164" s="326"/>
      <c r="D1164" s="326"/>
      <c r="E1164" s="326" t="s">
        <v>2137</v>
      </c>
      <c r="F1164" s="336"/>
      <c r="G1164" s="327"/>
      <c r="H1164" s="328"/>
      <c r="I1164" s="329"/>
      <c r="J1164" s="338">
        <v>0</v>
      </c>
      <c r="K1164" s="330">
        <v>0</v>
      </c>
      <c r="L1164" s="330">
        <v>0</v>
      </c>
      <c r="M1164" s="330">
        <v>0</v>
      </c>
      <c r="N1164" s="330">
        <v>0</v>
      </c>
      <c r="O1164" s="330">
        <v>0</v>
      </c>
      <c r="P1164" s="330">
        <v>0</v>
      </c>
      <c r="Q1164" s="330">
        <v>0</v>
      </c>
      <c r="R1164" s="330">
        <v>0</v>
      </c>
      <c r="S1164" s="330">
        <v>0</v>
      </c>
      <c r="T1164" s="330">
        <v>0</v>
      </c>
      <c r="U1164" s="331">
        <v>0</v>
      </c>
      <c r="V1164" s="332">
        <v>0</v>
      </c>
      <c r="W1164" s="333"/>
      <c r="X1164" s="334">
        <v>0</v>
      </c>
      <c r="Y1164" s="335">
        <v>0</v>
      </c>
    </row>
    <row r="1165" spans="1:25" x14ac:dyDescent="0.3">
      <c r="A1165" s="233"/>
      <c r="B1165" s="234" t="s">
        <v>81</v>
      </c>
      <c r="D1165" s="293" t="s">
        <v>2138</v>
      </c>
      <c r="E1165" s="294"/>
      <c r="F1165" s="295" t="s">
        <v>2139</v>
      </c>
      <c r="G1165" s="296"/>
      <c r="H1165" s="297"/>
      <c r="I1165" s="298"/>
      <c r="J1165" s="299">
        <v>0</v>
      </c>
      <c r="K1165" s="300">
        <v>0</v>
      </c>
      <c r="L1165" s="300">
        <v>0</v>
      </c>
      <c r="M1165" s="300">
        <v>0</v>
      </c>
      <c r="N1165" s="300">
        <v>0</v>
      </c>
      <c r="O1165" s="300">
        <v>0</v>
      </c>
      <c r="P1165" s="300">
        <v>0</v>
      </c>
      <c r="Q1165" s="300">
        <v>0</v>
      </c>
      <c r="R1165" s="300">
        <v>0</v>
      </c>
      <c r="S1165" s="300">
        <v>0</v>
      </c>
      <c r="T1165" s="300">
        <v>0</v>
      </c>
      <c r="U1165" s="301">
        <v>0</v>
      </c>
      <c r="V1165" s="302">
        <v>0</v>
      </c>
      <c r="W1165" s="303"/>
      <c r="X1165" s="304">
        <v>0</v>
      </c>
      <c r="Y1165" s="305">
        <v>0</v>
      </c>
    </row>
    <row r="1166" spans="1:25" x14ac:dyDescent="0.3">
      <c r="E1166" t="s">
        <v>2140</v>
      </c>
      <c r="F1166" s="317">
        <v>4502003</v>
      </c>
      <c r="G1166" s="318"/>
      <c r="H1166" s="319"/>
      <c r="I1166" s="320"/>
      <c r="J1166" s="337">
        <v>0</v>
      </c>
      <c r="K1166" s="321">
        <v>0</v>
      </c>
      <c r="L1166" s="321">
        <v>0</v>
      </c>
      <c r="M1166" s="321">
        <v>0</v>
      </c>
      <c r="N1166" s="321">
        <v>0</v>
      </c>
      <c r="O1166" s="321">
        <v>0</v>
      </c>
      <c r="P1166" s="321">
        <v>0</v>
      </c>
      <c r="Q1166" s="321">
        <v>0</v>
      </c>
      <c r="R1166" s="321">
        <v>0</v>
      </c>
      <c r="S1166" s="321">
        <v>0</v>
      </c>
      <c r="T1166" s="321">
        <v>0</v>
      </c>
      <c r="U1166" s="322">
        <v>0</v>
      </c>
      <c r="V1166" s="323">
        <v>0</v>
      </c>
      <c r="W1166" s="303"/>
      <c r="X1166" s="324">
        <v>0</v>
      </c>
      <c r="Y1166" s="325">
        <v>0</v>
      </c>
    </row>
    <row r="1167" spans="1:25" x14ac:dyDescent="0.3">
      <c r="E1167" t="s">
        <v>2141</v>
      </c>
      <c r="F1167" s="317">
        <v>4502007</v>
      </c>
      <c r="G1167" s="318"/>
      <c r="H1167" s="319"/>
      <c r="I1167" s="320"/>
      <c r="J1167" s="337">
        <v>0</v>
      </c>
      <c r="K1167" s="321">
        <v>0</v>
      </c>
      <c r="L1167" s="321">
        <v>0</v>
      </c>
      <c r="M1167" s="321">
        <v>0</v>
      </c>
      <c r="N1167" s="321">
        <v>0</v>
      </c>
      <c r="O1167" s="321">
        <v>0</v>
      </c>
      <c r="P1167" s="321">
        <v>0</v>
      </c>
      <c r="Q1167" s="321">
        <v>0</v>
      </c>
      <c r="R1167" s="321">
        <v>0</v>
      </c>
      <c r="S1167" s="321">
        <v>0</v>
      </c>
      <c r="T1167" s="321">
        <v>0</v>
      </c>
      <c r="U1167" s="322">
        <v>0</v>
      </c>
      <c r="V1167" s="323">
        <v>0</v>
      </c>
      <c r="W1167" s="303"/>
      <c r="X1167" s="324">
        <v>0</v>
      </c>
      <c r="Y1167" s="325">
        <v>0</v>
      </c>
    </row>
    <row r="1168" spans="1:25" x14ac:dyDescent="0.3">
      <c r="E1168" t="s">
        <v>2142</v>
      </c>
      <c r="F1168" s="317">
        <v>4502008</v>
      </c>
      <c r="G1168" s="318"/>
      <c r="H1168" s="319"/>
      <c r="I1168" s="320"/>
      <c r="J1168" s="337">
        <v>0</v>
      </c>
      <c r="K1168" s="321">
        <v>0</v>
      </c>
      <c r="L1168" s="321">
        <v>0</v>
      </c>
      <c r="M1168" s="321">
        <v>0</v>
      </c>
      <c r="N1168" s="321">
        <v>0</v>
      </c>
      <c r="O1168" s="321">
        <v>0</v>
      </c>
      <c r="P1168" s="321">
        <v>0</v>
      </c>
      <c r="Q1168" s="321">
        <v>0</v>
      </c>
      <c r="R1168" s="321">
        <v>0</v>
      </c>
      <c r="S1168" s="321">
        <v>0</v>
      </c>
      <c r="T1168" s="321">
        <v>0</v>
      </c>
      <c r="U1168" s="322">
        <v>0</v>
      </c>
      <c r="V1168" s="323">
        <v>0</v>
      </c>
      <c r="W1168" s="303"/>
      <c r="X1168" s="324">
        <v>0</v>
      </c>
      <c r="Y1168" s="325">
        <v>0</v>
      </c>
    </row>
    <row r="1169" spans="1:25" x14ac:dyDescent="0.3">
      <c r="E1169" t="s">
        <v>2143</v>
      </c>
      <c r="F1169" s="317">
        <v>4502009</v>
      </c>
      <c r="G1169" s="318"/>
      <c r="H1169" s="319"/>
      <c r="I1169" s="320"/>
      <c r="J1169" s="337">
        <v>0</v>
      </c>
      <c r="K1169" s="321">
        <v>0</v>
      </c>
      <c r="L1169" s="321">
        <v>0</v>
      </c>
      <c r="M1169" s="321">
        <v>0</v>
      </c>
      <c r="N1169" s="321">
        <v>0</v>
      </c>
      <c r="O1169" s="321">
        <v>0</v>
      </c>
      <c r="P1169" s="321">
        <v>0</v>
      </c>
      <c r="Q1169" s="321">
        <v>0</v>
      </c>
      <c r="R1169" s="321">
        <v>0</v>
      </c>
      <c r="S1169" s="321">
        <v>0</v>
      </c>
      <c r="T1169" s="321">
        <v>0</v>
      </c>
      <c r="U1169" s="322">
        <v>0</v>
      </c>
      <c r="V1169" s="323">
        <v>0</v>
      </c>
      <c r="W1169" s="303"/>
      <c r="X1169" s="324">
        <v>0</v>
      </c>
      <c r="Y1169" s="325">
        <v>0</v>
      </c>
    </row>
    <row r="1170" spans="1:25" x14ac:dyDescent="0.3">
      <c r="E1170" t="s">
        <v>2144</v>
      </c>
      <c r="F1170" s="317">
        <v>4502015</v>
      </c>
      <c r="G1170" s="318"/>
      <c r="H1170" s="319"/>
      <c r="I1170" s="320"/>
      <c r="J1170" s="337">
        <v>0</v>
      </c>
      <c r="K1170" s="321">
        <v>0</v>
      </c>
      <c r="L1170" s="321">
        <v>0</v>
      </c>
      <c r="M1170" s="321">
        <v>0</v>
      </c>
      <c r="N1170" s="321">
        <v>0</v>
      </c>
      <c r="O1170" s="321">
        <v>0</v>
      </c>
      <c r="P1170" s="321">
        <v>0</v>
      </c>
      <c r="Q1170" s="321">
        <v>0</v>
      </c>
      <c r="R1170" s="321">
        <v>0</v>
      </c>
      <c r="S1170" s="321">
        <v>0</v>
      </c>
      <c r="T1170" s="321">
        <v>0</v>
      </c>
      <c r="U1170" s="322">
        <v>0</v>
      </c>
      <c r="V1170" s="323">
        <v>0</v>
      </c>
      <c r="W1170" s="303"/>
      <c r="X1170" s="324">
        <v>0</v>
      </c>
      <c r="Y1170" s="325">
        <v>0</v>
      </c>
    </row>
    <row r="1171" spans="1:25" x14ac:dyDescent="0.3">
      <c r="E1171" s="326" t="s">
        <v>2145</v>
      </c>
      <c r="F1171" s="317"/>
      <c r="G1171" s="318"/>
      <c r="H1171" s="319"/>
      <c r="I1171" s="320"/>
      <c r="J1171" s="337">
        <v>0</v>
      </c>
      <c r="K1171" s="321">
        <v>0</v>
      </c>
      <c r="L1171" s="321">
        <v>0</v>
      </c>
      <c r="M1171" s="321">
        <v>0</v>
      </c>
      <c r="N1171" s="321">
        <v>0</v>
      </c>
      <c r="O1171" s="321">
        <v>0</v>
      </c>
      <c r="P1171" s="321">
        <v>0</v>
      </c>
      <c r="Q1171" s="321">
        <v>0</v>
      </c>
      <c r="R1171" s="321">
        <v>0</v>
      </c>
      <c r="S1171" s="321">
        <v>0</v>
      </c>
      <c r="T1171" s="321">
        <v>0</v>
      </c>
      <c r="U1171" s="322">
        <v>0</v>
      </c>
      <c r="V1171" s="323">
        <v>0</v>
      </c>
      <c r="W1171" s="303"/>
      <c r="X1171" s="324">
        <v>0</v>
      </c>
      <c r="Y1171" s="325">
        <v>0</v>
      </c>
    </row>
    <row r="1172" spans="1:25" x14ac:dyDescent="0.3">
      <c r="E1172" s="326" t="s">
        <v>2146</v>
      </c>
      <c r="F1172" s="317"/>
      <c r="G1172" s="318"/>
      <c r="H1172" s="319"/>
      <c r="I1172" s="320"/>
      <c r="J1172" s="337">
        <v>0</v>
      </c>
      <c r="K1172" s="321">
        <v>0</v>
      </c>
      <c r="L1172" s="321">
        <v>0</v>
      </c>
      <c r="M1172" s="321">
        <v>0</v>
      </c>
      <c r="N1172" s="321">
        <v>0</v>
      </c>
      <c r="O1172" s="321">
        <v>0</v>
      </c>
      <c r="P1172" s="321">
        <v>0</v>
      </c>
      <c r="Q1172" s="321">
        <v>0</v>
      </c>
      <c r="R1172" s="321">
        <v>0</v>
      </c>
      <c r="S1172" s="321">
        <v>0</v>
      </c>
      <c r="T1172" s="321">
        <v>0</v>
      </c>
      <c r="U1172" s="322">
        <v>0</v>
      </c>
      <c r="V1172" s="323">
        <v>0</v>
      </c>
      <c r="W1172" s="303"/>
      <c r="X1172" s="324">
        <v>0</v>
      </c>
      <c r="Y1172" s="325">
        <v>0</v>
      </c>
    </row>
    <row r="1173" spans="1:25" x14ac:dyDescent="0.3">
      <c r="A1173" s="326"/>
      <c r="B1173" s="326"/>
      <c r="C1173" s="326"/>
      <c r="D1173" s="326"/>
      <c r="E1173" s="326" t="s">
        <v>2147</v>
      </c>
      <c r="F1173" s="336"/>
      <c r="G1173" s="327"/>
      <c r="H1173" s="328"/>
      <c r="I1173" s="329"/>
      <c r="J1173" s="338">
        <v>0</v>
      </c>
      <c r="K1173" s="330">
        <v>0</v>
      </c>
      <c r="L1173" s="330">
        <v>0</v>
      </c>
      <c r="M1173" s="330">
        <v>0</v>
      </c>
      <c r="N1173" s="330">
        <v>0</v>
      </c>
      <c r="O1173" s="330">
        <v>0</v>
      </c>
      <c r="P1173" s="330">
        <v>0</v>
      </c>
      <c r="Q1173" s="330">
        <v>0</v>
      </c>
      <c r="R1173" s="330">
        <v>0</v>
      </c>
      <c r="S1173" s="330">
        <v>0</v>
      </c>
      <c r="T1173" s="330">
        <v>0</v>
      </c>
      <c r="U1173" s="331">
        <v>0</v>
      </c>
      <c r="V1173" s="332">
        <v>0</v>
      </c>
      <c r="W1173" s="333"/>
      <c r="X1173" s="334">
        <v>0</v>
      </c>
      <c r="Y1173" s="335">
        <v>0</v>
      </c>
    </row>
    <row r="1174" spans="1:25" x14ac:dyDescent="0.3">
      <c r="A1174" s="233"/>
      <c r="B1174" s="234" t="s">
        <v>81</v>
      </c>
      <c r="D1174" s="293" t="s">
        <v>2148</v>
      </c>
      <c r="E1174" s="294"/>
      <c r="F1174" s="295" t="s">
        <v>2149</v>
      </c>
      <c r="G1174" s="296"/>
      <c r="H1174" s="297"/>
      <c r="I1174" s="298"/>
      <c r="J1174" s="299">
        <v>0</v>
      </c>
      <c r="K1174" s="300">
        <v>0</v>
      </c>
      <c r="L1174" s="300">
        <v>0</v>
      </c>
      <c r="M1174" s="300">
        <v>0</v>
      </c>
      <c r="N1174" s="300">
        <v>0</v>
      </c>
      <c r="O1174" s="300">
        <v>0</v>
      </c>
      <c r="P1174" s="300">
        <v>0</v>
      </c>
      <c r="Q1174" s="300">
        <v>0</v>
      </c>
      <c r="R1174" s="300">
        <v>0</v>
      </c>
      <c r="S1174" s="300">
        <v>0</v>
      </c>
      <c r="T1174" s="300">
        <v>0</v>
      </c>
      <c r="U1174" s="301">
        <v>0</v>
      </c>
      <c r="V1174" s="302">
        <v>0</v>
      </c>
      <c r="W1174" s="303"/>
      <c r="X1174" s="304">
        <v>0</v>
      </c>
      <c r="Y1174" s="305">
        <v>0</v>
      </c>
    </row>
    <row r="1175" spans="1:25" x14ac:dyDescent="0.3">
      <c r="E1175" t="s">
        <v>2150</v>
      </c>
      <c r="F1175" s="317">
        <v>4502005</v>
      </c>
      <c r="G1175" s="318"/>
      <c r="H1175" s="319">
        <v>7701070000</v>
      </c>
      <c r="I1175" s="320"/>
      <c r="J1175" s="337">
        <v>0</v>
      </c>
      <c r="K1175" s="321">
        <v>0</v>
      </c>
      <c r="L1175" s="321">
        <v>0</v>
      </c>
      <c r="M1175" s="321">
        <v>0</v>
      </c>
      <c r="N1175" s="321">
        <v>0</v>
      </c>
      <c r="O1175" s="321">
        <v>0</v>
      </c>
      <c r="P1175" s="321">
        <v>0</v>
      </c>
      <c r="Q1175" s="321">
        <v>0</v>
      </c>
      <c r="R1175" s="321">
        <v>0</v>
      </c>
      <c r="S1175" s="321">
        <v>0</v>
      </c>
      <c r="T1175" s="321">
        <v>0</v>
      </c>
      <c r="U1175" s="322">
        <v>0</v>
      </c>
      <c r="V1175" s="323">
        <v>0</v>
      </c>
      <c r="W1175" s="303"/>
      <c r="X1175" s="324">
        <v>0</v>
      </c>
      <c r="Y1175" s="325">
        <v>0</v>
      </c>
    </row>
    <row r="1176" spans="1:25" x14ac:dyDescent="0.3">
      <c r="A1176" s="326"/>
      <c r="B1176" s="326"/>
      <c r="C1176" s="326"/>
      <c r="D1176" s="326"/>
      <c r="E1176" s="326" t="s">
        <v>2151</v>
      </c>
      <c r="F1176" s="336"/>
      <c r="G1176" s="327"/>
      <c r="H1176" s="328"/>
      <c r="I1176" s="329"/>
      <c r="J1176" s="338">
        <v>0</v>
      </c>
      <c r="K1176" s="330">
        <v>0</v>
      </c>
      <c r="L1176" s="330">
        <v>0</v>
      </c>
      <c r="M1176" s="330">
        <v>0</v>
      </c>
      <c r="N1176" s="330">
        <v>0</v>
      </c>
      <c r="O1176" s="330">
        <v>0</v>
      </c>
      <c r="P1176" s="330">
        <v>0</v>
      </c>
      <c r="Q1176" s="330">
        <v>0</v>
      </c>
      <c r="R1176" s="330">
        <v>0</v>
      </c>
      <c r="S1176" s="330">
        <v>0</v>
      </c>
      <c r="T1176" s="330">
        <v>0</v>
      </c>
      <c r="U1176" s="331">
        <v>0</v>
      </c>
      <c r="V1176" s="332">
        <v>0</v>
      </c>
      <c r="W1176" s="333"/>
      <c r="X1176" s="334">
        <v>0</v>
      </c>
      <c r="Y1176" s="335">
        <v>0</v>
      </c>
    </row>
    <row r="1177" spans="1:25" x14ac:dyDescent="0.3">
      <c r="A1177" s="326"/>
      <c r="B1177" s="326"/>
      <c r="C1177" s="326"/>
      <c r="D1177" s="326"/>
      <c r="E1177" s="326" t="s">
        <v>2152</v>
      </c>
      <c r="F1177" s="336"/>
      <c r="G1177" s="327"/>
      <c r="H1177" s="328"/>
      <c r="I1177" s="329"/>
      <c r="J1177" s="338">
        <v>0</v>
      </c>
      <c r="K1177" s="330">
        <v>0</v>
      </c>
      <c r="L1177" s="330">
        <v>0</v>
      </c>
      <c r="M1177" s="330">
        <v>0</v>
      </c>
      <c r="N1177" s="330">
        <v>0</v>
      </c>
      <c r="O1177" s="330">
        <v>0</v>
      </c>
      <c r="P1177" s="330">
        <v>0</v>
      </c>
      <c r="Q1177" s="330">
        <v>0</v>
      </c>
      <c r="R1177" s="330">
        <v>0</v>
      </c>
      <c r="S1177" s="330">
        <v>0</v>
      </c>
      <c r="T1177" s="330">
        <v>0</v>
      </c>
      <c r="U1177" s="331">
        <v>0</v>
      </c>
      <c r="V1177" s="332">
        <v>0</v>
      </c>
      <c r="W1177" s="333"/>
      <c r="X1177" s="334">
        <v>0</v>
      </c>
      <c r="Y1177" s="335">
        <v>0</v>
      </c>
    </row>
    <row r="1178" spans="1:25" x14ac:dyDescent="0.3">
      <c r="A1178" s="326"/>
      <c r="B1178" s="326"/>
      <c r="C1178" s="326"/>
      <c r="D1178" s="326"/>
      <c r="E1178" s="326" t="s">
        <v>2153</v>
      </c>
      <c r="F1178" s="336"/>
      <c r="G1178" s="327"/>
      <c r="H1178" s="328"/>
      <c r="I1178" s="329"/>
      <c r="J1178" s="338">
        <v>0</v>
      </c>
      <c r="K1178" s="330">
        <v>0</v>
      </c>
      <c r="L1178" s="330">
        <v>0</v>
      </c>
      <c r="M1178" s="330">
        <v>0</v>
      </c>
      <c r="N1178" s="330">
        <v>0</v>
      </c>
      <c r="O1178" s="330">
        <v>0</v>
      </c>
      <c r="P1178" s="330">
        <v>0</v>
      </c>
      <c r="Q1178" s="330">
        <v>0</v>
      </c>
      <c r="R1178" s="330">
        <v>0</v>
      </c>
      <c r="S1178" s="330">
        <v>0</v>
      </c>
      <c r="T1178" s="330">
        <v>0</v>
      </c>
      <c r="U1178" s="331">
        <v>0</v>
      </c>
      <c r="V1178" s="332">
        <v>0</v>
      </c>
      <c r="W1178" s="333"/>
      <c r="X1178" s="334">
        <v>0</v>
      </c>
      <c r="Y1178" s="335">
        <v>0</v>
      </c>
    </row>
    <row r="1179" spans="1:25" x14ac:dyDescent="0.3">
      <c r="A1179" s="233"/>
      <c r="B1179" s="234" t="s">
        <v>81</v>
      </c>
      <c r="D1179" s="293" t="s">
        <v>2154</v>
      </c>
      <c r="E1179" s="294"/>
      <c r="F1179" s="295" t="s">
        <v>2149</v>
      </c>
      <c r="G1179" s="296"/>
      <c r="H1179" s="297"/>
      <c r="I1179" s="298"/>
      <c r="J1179" s="299">
        <v>0</v>
      </c>
      <c r="K1179" s="300">
        <v>0</v>
      </c>
      <c r="L1179" s="300">
        <v>152015.288</v>
      </c>
      <c r="M1179" s="300">
        <v>0</v>
      </c>
      <c r="N1179" s="300">
        <v>0</v>
      </c>
      <c r="O1179" s="300">
        <v>302206.33199999999</v>
      </c>
      <c r="P1179" s="300">
        <v>0</v>
      </c>
      <c r="Q1179" s="300">
        <v>0</v>
      </c>
      <c r="R1179" s="300">
        <v>499.16399999999999</v>
      </c>
      <c r="S1179" s="300">
        <v>0</v>
      </c>
      <c r="T1179" s="300">
        <v>0</v>
      </c>
      <c r="U1179" s="301">
        <v>1307.183</v>
      </c>
      <c r="V1179" s="302">
        <v>456027.967</v>
      </c>
      <c r="W1179" s="303"/>
      <c r="X1179" s="304">
        <v>1307.183</v>
      </c>
      <c r="Y1179" s="305">
        <v>456027.967</v>
      </c>
    </row>
    <row r="1180" spans="1:25" x14ac:dyDescent="0.3">
      <c r="E1180" t="s">
        <v>2155</v>
      </c>
      <c r="F1180" s="317">
        <v>4506300</v>
      </c>
      <c r="G1180" s="318"/>
      <c r="H1180" s="319">
        <v>7701230101</v>
      </c>
      <c r="I1180" s="320"/>
      <c r="J1180" s="337">
        <v>0</v>
      </c>
      <c r="K1180" s="321">
        <v>0</v>
      </c>
      <c r="L1180" s="321">
        <v>152015.288</v>
      </c>
      <c r="M1180" s="321">
        <v>0</v>
      </c>
      <c r="N1180" s="321">
        <v>0</v>
      </c>
      <c r="O1180" s="321">
        <v>302206.33199999999</v>
      </c>
      <c r="P1180" s="321">
        <v>0</v>
      </c>
      <c r="Q1180" s="321">
        <v>0</v>
      </c>
      <c r="R1180" s="321">
        <v>499.16399999999999</v>
      </c>
      <c r="S1180" s="321">
        <v>0</v>
      </c>
      <c r="T1180" s="321">
        <v>0</v>
      </c>
      <c r="U1180" s="322">
        <v>1307.183</v>
      </c>
      <c r="V1180" s="323">
        <v>456027.967</v>
      </c>
      <c r="W1180" s="303"/>
      <c r="X1180" s="324">
        <v>1307.183</v>
      </c>
      <c r="Y1180" s="325">
        <v>456027.967</v>
      </c>
    </row>
    <row r="1181" spans="1:25" x14ac:dyDescent="0.3">
      <c r="A1181" s="326"/>
      <c r="B1181" s="326"/>
      <c r="C1181" s="326"/>
      <c r="D1181" s="326"/>
      <c r="E1181" s="326" t="s">
        <v>2151</v>
      </c>
      <c r="F1181" s="336"/>
      <c r="G1181" s="327"/>
      <c r="H1181" s="328"/>
      <c r="I1181" s="329"/>
      <c r="J1181" s="338">
        <v>0</v>
      </c>
      <c r="K1181" s="330">
        <v>0</v>
      </c>
      <c r="L1181" s="330">
        <v>0</v>
      </c>
      <c r="M1181" s="330">
        <v>0</v>
      </c>
      <c r="N1181" s="330">
        <v>0</v>
      </c>
      <c r="O1181" s="330">
        <v>0</v>
      </c>
      <c r="P1181" s="330">
        <v>0</v>
      </c>
      <c r="Q1181" s="330">
        <v>0</v>
      </c>
      <c r="R1181" s="330">
        <v>0</v>
      </c>
      <c r="S1181" s="330">
        <v>0</v>
      </c>
      <c r="T1181" s="330">
        <v>0</v>
      </c>
      <c r="U1181" s="331">
        <v>0</v>
      </c>
      <c r="V1181" s="332">
        <v>0</v>
      </c>
      <c r="W1181" s="333"/>
      <c r="X1181" s="334">
        <v>0</v>
      </c>
      <c r="Y1181" s="335">
        <v>0</v>
      </c>
    </row>
    <row r="1182" spans="1:25" x14ac:dyDescent="0.3">
      <c r="A1182" s="326"/>
      <c r="B1182" s="326"/>
      <c r="C1182" s="326"/>
      <c r="D1182" s="326"/>
      <c r="E1182" s="326" t="s">
        <v>2152</v>
      </c>
      <c r="F1182" s="336"/>
      <c r="G1182" s="327"/>
      <c r="H1182" s="328"/>
      <c r="I1182" s="329"/>
      <c r="J1182" s="338">
        <v>0</v>
      </c>
      <c r="K1182" s="330">
        <v>0</v>
      </c>
      <c r="L1182" s="330">
        <v>0</v>
      </c>
      <c r="M1182" s="330">
        <v>0</v>
      </c>
      <c r="N1182" s="330">
        <v>0</v>
      </c>
      <c r="O1182" s="330">
        <v>0</v>
      </c>
      <c r="P1182" s="330">
        <v>0</v>
      </c>
      <c r="Q1182" s="330">
        <v>0</v>
      </c>
      <c r="R1182" s="330">
        <v>0</v>
      </c>
      <c r="S1182" s="330">
        <v>0</v>
      </c>
      <c r="T1182" s="330">
        <v>0</v>
      </c>
      <c r="U1182" s="331">
        <v>0</v>
      </c>
      <c r="V1182" s="332">
        <v>0</v>
      </c>
      <c r="W1182" s="333"/>
      <c r="X1182" s="334">
        <v>0</v>
      </c>
      <c r="Y1182" s="335">
        <v>0</v>
      </c>
    </row>
    <row r="1183" spans="1:25" x14ac:dyDescent="0.3">
      <c r="A1183" s="326"/>
      <c r="B1183" s="326"/>
      <c r="C1183" s="326"/>
      <c r="D1183" s="326"/>
      <c r="E1183" s="326" t="s">
        <v>2153</v>
      </c>
      <c r="F1183" s="336"/>
      <c r="G1183" s="327"/>
      <c r="H1183" s="328"/>
      <c r="I1183" s="329"/>
      <c r="J1183" s="338">
        <v>0</v>
      </c>
      <c r="K1183" s="330">
        <v>0</v>
      </c>
      <c r="L1183" s="330">
        <v>0</v>
      </c>
      <c r="M1183" s="330">
        <v>0</v>
      </c>
      <c r="N1183" s="330">
        <v>0</v>
      </c>
      <c r="O1183" s="330">
        <v>0</v>
      </c>
      <c r="P1183" s="330">
        <v>0</v>
      </c>
      <c r="Q1183" s="330">
        <v>0</v>
      </c>
      <c r="R1183" s="330">
        <v>0</v>
      </c>
      <c r="S1183" s="330">
        <v>0</v>
      </c>
      <c r="T1183" s="330">
        <v>0</v>
      </c>
      <c r="U1183" s="331">
        <v>0</v>
      </c>
      <c r="V1183" s="332">
        <v>0</v>
      </c>
      <c r="W1183" s="333"/>
      <c r="X1183" s="334">
        <v>0</v>
      </c>
      <c r="Y1183" s="335">
        <v>0</v>
      </c>
    </row>
    <row r="1184" spans="1:25" x14ac:dyDescent="0.3">
      <c r="A1184" s="233"/>
      <c r="B1184" s="234" t="s">
        <v>81</v>
      </c>
      <c r="D1184" s="293" t="s">
        <v>2156</v>
      </c>
      <c r="E1184" s="294"/>
      <c r="F1184" s="295" t="s">
        <v>2157</v>
      </c>
      <c r="G1184" s="296"/>
      <c r="H1184" s="297"/>
      <c r="I1184" s="298"/>
      <c r="J1184" s="299">
        <v>0</v>
      </c>
      <c r="K1184" s="300">
        <v>0</v>
      </c>
      <c r="L1184" s="300">
        <v>0</v>
      </c>
      <c r="M1184" s="300">
        <v>0</v>
      </c>
      <c r="N1184" s="300">
        <v>0</v>
      </c>
      <c r="O1184" s="300">
        <v>453.33100000000002</v>
      </c>
      <c r="P1184" s="300">
        <v>0</v>
      </c>
      <c r="Q1184" s="300">
        <v>0</v>
      </c>
      <c r="R1184" s="300">
        <v>0</v>
      </c>
      <c r="S1184" s="300">
        <v>0</v>
      </c>
      <c r="T1184" s="300">
        <v>0</v>
      </c>
      <c r="U1184" s="301">
        <v>156.208</v>
      </c>
      <c r="V1184" s="302">
        <v>609.53899999999999</v>
      </c>
      <c r="W1184" s="303"/>
      <c r="X1184" s="304">
        <v>156.208</v>
      </c>
      <c r="Y1184" s="305">
        <v>609.53899999999999</v>
      </c>
    </row>
    <row r="1185" spans="1:25" x14ac:dyDescent="0.3">
      <c r="E1185" t="s">
        <v>2158</v>
      </c>
      <c r="F1185" s="317">
        <v>4506301</v>
      </c>
      <c r="G1185" s="318"/>
      <c r="H1185" s="319">
        <v>7701250101</v>
      </c>
      <c r="I1185" s="320"/>
      <c r="J1185" s="337">
        <v>0</v>
      </c>
      <c r="K1185" s="321">
        <v>0</v>
      </c>
      <c r="L1185" s="321">
        <v>0</v>
      </c>
      <c r="M1185" s="321">
        <v>0</v>
      </c>
      <c r="N1185" s="321">
        <v>0</v>
      </c>
      <c r="O1185" s="321">
        <v>453.33100000000002</v>
      </c>
      <c r="P1185" s="321">
        <v>0</v>
      </c>
      <c r="Q1185" s="321">
        <v>0</v>
      </c>
      <c r="R1185" s="321">
        <v>0</v>
      </c>
      <c r="S1185" s="321">
        <v>0</v>
      </c>
      <c r="T1185" s="321">
        <v>0</v>
      </c>
      <c r="U1185" s="322">
        <v>156.208</v>
      </c>
      <c r="V1185" s="323">
        <v>609.53899999999999</v>
      </c>
      <c r="W1185" s="303"/>
      <c r="X1185" s="324">
        <v>156.208</v>
      </c>
      <c r="Y1185" s="325">
        <v>609.53899999999999</v>
      </c>
    </row>
    <row r="1186" spans="1:25" x14ac:dyDescent="0.3">
      <c r="A1186" s="326"/>
      <c r="B1186" s="326"/>
      <c r="C1186" s="326"/>
      <c r="D1186" s="326"/>
      <c r="E1186" s="326" t="s">
        <v>2159</v>
      </c>
      <c r="F1186" s="336"/>
      <c r="G1186" s="327"/>
      <c r="H1186" s="328"/>
      <c r="I1186" s="329"/>
      <c r="J1186" s="338">
        <v>0</v>
      </c>
      <c r="K1186" s="330">
        <v>0</v>
      </c>
      <c r="L1186" s="330">
        <v>0</v>
      </c>
      <c r="M1186" s="330">
        <v>0</v>
      </c>
      <c r="N1186" s="330">
        <v>0</v>
      </c>
      <c r="O1186" s="330">
        <v>0</v>
      </c>
      <c r="P1186" s="330">
        <v>0</v>
      </c>
      <c r="Q1186" s="330">
        <v>0</v>
      </c>
      <c r="R1186" s="330">
        <v>0</v>
      </c>
      <c r="S1186" s="330">
        <v>0</v>
      </c>
      <c r="T1186" s="330">
        <v>0</v>
      </c>
      <c r="U1186" s="331">
        <v>0</v>
      </c>
      <c r="V1186" s="332">
        <v>0</v>
      </c>
      <c r="W1186" s="333"/>
      <c r="X1186" s="334">
        <v>0</v>
      </c>
      <c r="Y1186" s="335">
        <v>0</v>
      </c>
    </row>
    <row r="1187" spans="1:25" x14ac:dyDescent="0.3">
      <c r="A1187" s="326"/>
      <c r="B1187" s="326"/>
      <c r="C1187" s="326"/>
      <c r="D1187" s="326"/>
      <c r="E1187" s="326" t="s">
        <v>2160</v>
      </c>
      <c r="F1187" s="336"/>
      <c r="G1187" s="327"/>
      <c r="H1187" s="328"/>
      <c r="I1187" s="329"/>
      <c r="J1187" s="338">
        <v>0</v>
      </c>
      <c r="K1187" s="330">
        <v>0</v>
      </c>
      <c r="L1187" s="330">
        <v>0</v>
      </c>
      <c r="M1187" s="330">
        <v>0</v>
      </c>
      <c r="N1187" s="330">
        <v>0</v>
      </c>
      <c r="O1187" s="330">
        <v>0</v>
      </c>
      <c r="P1187" s="330">
        <v>0</v>
      </c>
      <c r="Q1187" s="330">
        <v>0</v>
      </c>
      <c r="R1187" s="330">
        <v>0</v>
      </c>
      <c r="S1187" s="330">
        <v>0</v>
      </c>
      <c r="T1187" s="330">
        <v>0</v>
      </c>
      <c r="U1187" s="331">
        <v>0</v>
      </c>
      <c r="V1187" s="332">
        <v>0</v>
      </c>
      <c r="W1187" s="333"/>
      <c r="X1187" s="334">
        <v>0</v>
      </c>
      <c r="Y1187" s="335">
        <v>0</v>
      </c>
    </row>
    <row r="1188" spans="1:25" x14ac:dyDescent="0.3">
      <c r="A1188" s="326"/>
      <c r="B1188" s="326"/>
      <c r="C1188" s="326"/>
      <c r="D1188" s="326"/>
      <c r="E1188" s="326" t="s">
        <v>2161</v>
      </c>
      <c r="F1188" s="336"/>
      <c r="G1188" s="327"/>
      <c r="H1188" s="328"/>
      <c r="I1188" s="329"/>
      <c r="J1188" s="338">
        <v>0</v>
      </c>
      <c r="K1188" s="330">
        <v>0</v>
      </c>
      <c r="L1188" s="330">
        <v>0</v>
      </c>
      <c r="M1188" s="330">
        <v>0</v>
      </c>
      <c r="N1188" s="330">
        <v>0</v>
      </c>
      <c r="O1188" s="330">
        <v>0</v>
      </c>
      <c r="P1188" s="330">
        <v>0</v>
      </c>
      <c r="Q1188" s="330">
        <v>0</v>
      </c>
      <c r="R1188" s="330">
        <v>0</v>
      </c>
      <c r="S1188" s="330">
        <v>0</v>
      </c>
      <c r="T1188" s="330">
        <v>0</v>
      </c>
      <c r="U1188" s="331">
        <v>0</v>
      </c>
      <c r="V1188" s="332">
        <v>0</v>
      </c>
      <c r="W1188" s="333"/>
      <c r="X1188" s="334">
        <v>0</v>
      </c>
      <c r="Y1188" s="335">
        <v>0</v>
      </c>
    </row>
    <row r="1189" spans="1:25" x14ac:dyDescent="0.3">
      <c r="A1189" s="233"/>
      <c r="B1189" s="234" t="s">
        <v>81</v>
      </c>
      <c r="D1189" s="293" t="s">
        <v>2162</v>
      </c>
      <c r="E1189" s="294"/>
      <c r="F1189" s="295" t="s">
        <v>2163</v>
      </c>
      <c r="G1189" s="296"/>
      <c r="H1189" s="297"/>
      <c r="I1189" s="298"/>
      <c r="J1189" s="299">
        <v>0</v>
      </c>
      <c r="K1189" s="300">
        <v>0</v>
      </c>
      <c r="L1189" s="300">
        <v>0</v>
      </c>
      <c r="M1189" s="300">
        <v>0</v>
      </c>
      <c r="N1189" s="300">
        <v>0</v>
      </c>
      <c r="O1189" s="300">
        <v>0</v>
      </c>
      <c r="P1189" s="300">
        <v>0</v>
      </c>
      <c r="Q1189" s="300">
        <v>0</v>
      </c>
      <c r="R1189" s="300">
        <v>0</v>
      </c>
      <c r="S1189" s="300">
        <v>0</v>
      </c>
      <c r="T1189" s="300">
        <v>0</v>
      </c>
      <c r="U1189" s="301">
        <v>0</v>
      </c>
      <c r="V1189" s="302">
        <v>0</v>
      </c>
      <c r="W1189" s="303"/>
      <c r="X1189" s="304">
        <v>0</v>
      </c>
      <c r="Y1189" s="305">
        <v>0</v>
      </c>
    </row>
    <row r="1190" spans="1:25" x14ac:dyDescent="0.3">
      <c r="E1190" t="s">
        <v>2164</v>
      </c>
      <c r="F1190" s="317">
        <v>4508500</v>
      </c>
      <c r="G1190" s="318"/>
      <c r="H1190" s="319">
        <v>7701270101</v>
      </c>
      <c r="I1190" s="320"/>
      <c r="J1190" s="337">
        <v>0</v>
      </c>
      <c r="K1190" s="321">
        <v>0</v>
      </c>
      <c r="L1190" s="321">
        <v>0</v>
      </c>
      <c r="M1190" s="321">
        <v>0</v>
      </c>
      <c r="N1190" s="321">
        <v>0</v>
      </c>
      <c r="O1190" s="321">
        <v>0</v>
      </c>
      <c r="P1190" s="321">
        <v>0</v>
      </c>
      <c r="Q1190" s="321">
        <v>0</v>
      </c>
      <c r="R1190" s="321">
        <v>0</v>
      </c>
      <c r="S1190" s="321">
        <v>0</v>
      </c>
      <c r="T1190" s="321">
        <v>0</v>
      </c>
      <c r="U1190" s="322">
        <v>0</v>
      </c>
      <c r="V1190" s="323">
        <v>0</v>
      </c>
      <c r="W1190" s="303"/>
      <c r="X1190" s="324">
        <v>0</v>
      </c>
      <c r="Y1190" s="325">
        <v>0</v>
      </c>
    </row>
    <row r="1191" spans="1:25" x14ac:dyDescent="0.3">
      <c r="A1191" s="326"/>
      <c r="B1191" s="326"/>
      <c r="C1191" s="326"/>
      <c r="D1191" s="326"/>
      <c r="E1191" s="326" t="s">
        <v>2165</v>
      </c>
      <c r="F1191" s="336"/>
      <c r="G1191" s="327"/>
      <c r="H1191" s="328"/>
      <c r="I1191" s="329"/>
      <c r="J1191" s="338">
        <v>0</v>
      </c>
      <c r="K1191" s="330">
        <v>0</v>
      </c>
      <c r="L1191" s="330">
        <v>0</v>
      </c>
      <c r="M1191" s="330">
        <v>0</v>
      </c>
      <c r="N1191" s="330">
        <v>0</v>
      </c>
      <c r="O1191" s="330">
        <v>0</v>
      </c>
      <c r="P1191" s="330">
        <v>0</v>
      </c>
      <c r="Q1191" s="330">
        <v>0</v>
      </c>
      <c r="R1191" s="330">
        <v>0</v>
      </c>
      <c r="S1191" s="330">
        <v>0</v>
      </c>
      <c r="T1191" s="330">
        <v>0</v>
      </c>
      <c r="U1191" s="331">
        <v>0</v>
      </c>
      <c r="V1191" s="332">
        <v>0</v>
      </c>
      <c r="W1191" s="333"/>
      <c r="X1191" s="334">
        <v>0</v>
      </c>
      <c r="Y1191" s="335">
        <v>0</v>
      </c>
    </row>
    <row r="1192" spans="1:25" x14ac:dyDescent="0.3">
      <c r="A1192" s="326"/>
      <c r="B1192" s="326"/>
      <c r="C1192" s="326"/>
      <c r="D1192" s="326"/>
      <c r="E1192" s="326" t="s">
        <v>2166</v>
      </c>
      <c r="F1192" s="336"/>
      <c r="G1192" s="327"/>
      <c r="H1192" s="328"/>
      <c r="I1192" s="329"/>
      <c r="J1192" s="338">
        <v>0</v>
      </c>
      <c r="K1192" s="330">
        <v>0</v>
      </c>
      <c r="L1192" s="330">
        <v>0</v>
      </c>
      <c r="M1192" s="330">
        <v>0</v>
      </c>
      <c r="N1192" s="330">
        <v>0</v>
      </c>
      <c r="O1192" s="330">
        <v>0</v>
      </c>
      <c r="P1192" s="330">
        <v>0</v>
      </c>
      <c r="Q1192" s="330">
        <v>0</v>
      </c>
      <c r="R1192" s="330">
        <v>0</v>
      </c>
      <c r="S1192" s="330">
        <v>0</v>
      </c>
      <c r="T1192" s="330">
        <v>0</v>
      </c>
      <c r="U1192" s="331">
        <v>0</v>
      </c>
      <c r="V1192" s="332">
        <v>0</v>
      </c>
      <c r="W1192" s="333"/>
      <c r="X1192" s="334">
        <v>0</v>
      </c>
      <c r="Y1192" s="335">
        <v>0</v>
      </c>
    </row>
    <row r="1193" spans="1:25" x14ac:dyDescent="0.3">
      <c r="A1193" s="326"/>
      <c r="B1193" s="326"/>
      <c r="C1193" s="326"/>
      <c r="D1193" s="326"/>
      <c r="E1193" s="326" t="s">
        <v>2167</v>
      </c>
      <c r="F1193" s="336"/>
      <c r="G1193" s="327"/>
      <c r="H1193" s="328"/>
      <c r="I1193" s="329"/>
      <c r="J1193" s="338">
        <v>0</v>
      </c>
      <c r="K1193" s="330">
        <v>0</v>
      </c>
      <c r="L1193" s="330">
        <v>0</v>
      </c>
      <c r="M1193" s="330">
        <v>0</v>
      </c>
      <c r="N1193" s="330">
        <v>0</v>
      </c>
      <c r="O1193" s="330">
        <v>0</v>
      </c>
      <c r="P1193" s="330">
        <v>0</v>
      </c>
      <c r="Q1193" s="330">
        <v>0</v>
      </c>
      <c r="R1193" s="330">
        <v>0</v>
      </c>
      <c r="S1193" s="330">
        <v>0</v>
      </c>
      <c r="T1193" s="330">
        <v>0</v>
      </c>
      <c r="U1193" s="331">
        <v>0</v>
      </c>
      <c r="V1193" s="332">
        <v>0</v>
      </c>
      <c r="W1193" s="333"/>
      <c r="X1193" s="334">
        <v>0</v>
      </c>
      <c r="Y1193" s="335">
        <v>0</v>
      </c>
    </row>
    <row r="1194" spans="1:25" x14ac:dyDescent="0.3">
      <c r="A1194" s="233"/>
      <c r="B1194" s="234" t="s">
        <v>81</v>
      </c>
      <c r="D1194" s="293" t="s">
        <v>2168</v>
      </c>
      <c r="E1194" s="294"/>
      <c r="F1194" s="295" t="s">
        <v>2169</v>
      </c>
      <c r="G1194" s="296"/>
      <c r="H1194" s="297"/>
      <c r="I1194" s="298"/>
      <c r="J1194" s="299">
        <v>0</v>
      </c>
      <c r="K1194" s="300">
        <v>0</v>
      </c>
      <c r="L1194" s="300">
        <v>0</v>
      </c>
      <c r="M1194" s="300">
        <v>0</v>
      </c>
      <c r="N1194" s="300">
        <v>0</v>
      </c>
      <c r="O1194" s="300">
        <v>0</v>
      </c>
      <c r="P1194" s="300">
        <v>0</v>
      </c>
      <c r="Q1194" s="300">
        <v>0</v>
      </c>
      <c r="R1194" s="300">
        <v>0</v>
      </c>
      <c r="S1194" s="300">
        <v>0</v>
      </c>
      <c r="T1194" s="300">
        <v>0</v>
      </c>
      <c r="U1194" s="301">
        <v>0</v>
      </c>
      <c r="V1194" s="302">
        <v>0</v>
      </c>
      <c r="W1194" s="303"/>
      <c r="X1194" s="304">
        <v>0</v>
      </c>
      <c r="Y1194" s="305">
        <v>0</v>
      </c>
    </row>
    <row r="1195" spans="1:25" x14ac:dyDescent="0.3">
      <c r="E1195" t="s">
        <v>2170</v>
      </c>
      <c r="F1195" s="317">
        <v>4508600</v>
      </c>
      <c r="G1195" s="318"/>
      <c r="H1195" s="319"/>
      <c r="I1195" s="320"/>
      <c r="J1195" s="337">
        <v>0</v>
      </c>
      <c r="K1195" s="321">
        <v>0</v>
      </c>
      <c r="L1195" s="321">
        <v>0</v>
      </c>
      <c r="M1195" s="321">
        <v>0</v>
      </c>
      <c r="N1195" s="321">
        <v>0</v>
      </c>
      <c r="O1195" s="321">
        <v>0</v>
      </c>
      <c r="P1195" s="321">
        <v>0</v>
      </c>
      <c r="Q1195" s="321">
        <v>0</v>
      </c>
      <c r="R1195" s="321">
        <v>0</v>
      </c>
      <c r="S1195" s="321">
        <v>0</v>
      </c>
      <c r="T1195" s="321">
        <v>0</v>
      </c>
      <c r="U1195" s="322">
        <v>0</v>
      </c>
      <c r="V1195" s="323">
        <v>0</v>
      </c>
      <c r="W1195" s="303"/>
      <c r="X1195" s="324">
        <v>0</v>
      </c>
      <c r="Y1195" s="325">
        <v>0</v>
      </c>
    </row>
    <row r="1196" spans="1:25" x14ac:dyDescent="0.3">
      <c r="A1196" s="326"/>
      <c r="B1196" s="326"/>
      <c r="C1196" s="326"/>
      <c r="D1196" s="326"/>
      <c r="E1196" s="326" t="s">
        <v>2171</v>
      </c>
      <c r="F1196" s="336"/>
      <c r="G1196" s="327"/>
      <c r="H1196" s="328"/>
      <c r="I1196" s="329"/>
      <c r="J1196" s="338">
        <v>0</v>
      </c>
      <c r="K1196" s="330">
        <v>0</v>
      </c>
      <c r="L1196" s="330">
        <v>0</v>
      </c>
      <c r="M1196" s="330">
        <v>0</v>
      </c>
      <c r="N1196" s="330">
        <v>0</v>
      </c>
      <c r="O1196" s="330">
        <v>0</v>
      </c>
      <c r="P1196" s="330">
        <v>0</v>
      </c>
      <c r="Q1196" s="330">
        <v>0</v>
      </c>
      <c r="R1196" s="330">
        <v>0</v>
      </c>
      <c r="S1196" s="330">
        <v>0</v>
      </c>
      <c r="T1196" s="330">
        <v>0</v>
      </c>
      <c r="U1196" s="331">
        <v>0</v>
      </c>
      <c r="V1196" s="332">
        <v>0</v>
      </c>
      <c r="W1196" s="333"/>
      <c r="X1196" s="334">
        <v>0</v>
      </c>
      <c r="Y1196" s="335">
        <v>0</v>
      </c>
    </row>
    <row r="1197" spans="1:25" x14ac:dyDescent="0.3">
      <c r="A1197" s="326"/>
      <c r="B1197" s="326"/>
      <c r="C1197" s="326"/>
      <c r="D1197" s="326"/>
      <c r="E1197" s="326" t="s">
        <v>2172</v>
      </c>
      <c r="F1197" s="336"/>
      <c r="G1197" s="327"/>
      <c r="H1197" s="328"/>
      <c r="I1197" s="329"/>
      <c r="J1197" s="338">
        <v>0</v>
      </c>
      <c r="K1197" s="330">
        <v>0</v>
      </c>
      <c r="L1197" s="330">
        <v>0</v>
      </c>
      <c r="M1197" s="330">
        <v>0</v>
      </c>
      <c r="N1197" s="330">
        <v>0</v>
      </c>
      <c r="O1197" s="330">
        <v>0</v>
      </c>
      <c r="P1197" s="330">
        <v>0</v>
      </c>
      <c r="Q1197" s="330">
        <v>0</v>
      </c>
      <c r="R1197" s="330">
        <v>0</v>
      </c>
      <c r="S1197" s="330">
        <v>0</v>
      </c>
      <c r="T1197" s="330">
        <v>0</v>
      </c>
      <c r="U1197" s="331">
        <v>0</v>
      </c>
      <c r="V1197" s="332">
        <v>0</v>
      </c>
      <c r="W1197" s="333"/>
      <c r="X1197" s="334">
        <v>0</v>
      </c>
      <c r="Y1197" s="335">
        <v>0</v>
      </c>
    </row>
    <row r="1198" spans="1:25" x14ac:dyDescent="0.3">
      <c r="A1198" s="326"/>
      <c r="B1198" s="326"/>
      <c r="C1198" s="326"/>
      <c r="D1198" s="326"/>
      <c r="E1198" s="326" t="s">
        <v>2173</v>
      </c>
      <c r="F1198" s="336"/>
      <c r="G1198" s="327"/>
      <c r="H1198" s="328"/>
      <c r="I1198" s="329"/>
      <c r="J1198" s="338">
        <v>0</v>
      </c>
      <c r="K1198" s="330">
        <v>0</v>
      </c>
      <c r="L1198" s="330">
        <v>0</v>
      </c>
      <c r="M1198" s="330">
        <v>0</v>
      </c>
      <c r="N1198" s="330">
        <v>0</v>
      </c>
      <c r="O1198" s="330">
        <v>0</v>
      </c>
      <c r="P1198" s="330">
        <v>0</v>
      </c>
      <c r="Q1198" s="330">
        <v>0</v>
      </c>
      <c r="R1198" s="330">
        <v>0</v>
      </c>
      <c r="S1198" s="330">
        <v>0</v>
      </c>
      <c r="T1198" s="330">
        <v>0</v>
      </c>
      <c r="U1198" s="331">
        <v>0</v>
      </c>
      <c r="V1198" s="332">
        <v>0</v>
      </c>
      <c r="W1198" s="333"/>
      <c r="X1198" s="334">
        <v>0</v>
      </c>
      <c r="Y1198" s="335">
        <v>0</v>
      </c>
    </row>
    <row r="1199" spans="1:25" x14ac:dyDescent="0.3">
      <c r="A1199" s="233"/>
      <c r="B1199" s="234" t="s">
        <v>80</v>
      </c>
      <c r="D1199" s="293" t="s">
        <v>2174</v>
      </c>
      <c r="E1199" s="294"/>
      <c r="F1199" s="295" t="s">
        <v>2175</v>
      </c>
      <c r="G1199" s="296"/>
      <c r="H1199" s="297"/>
      <c r="I1199" s="298"/>
      <c r="J1199" s="299">
        <v>0</v>
      </c>
      <c r="K1199" s="300">
        <v>0</v>
      </c>
      <c r="L1199" s="300">
        <v>0</v>
      </c>
      <c r="M1199" s="300">
        <v>0</v>
      </c>
      <c r="N1199" s="300">
        <v>0</v>
      </c>
      <c r="O1199" s="300">
        <v>0</v>
      </c>
      <c r="P1199" s="300">
        <v>0</v>
      </c>
      <c r="Q1199" s="300">
        <v>0</v>
      </c>
      <c r="R1199" s="300">
        <v>0</v>
      </c>
      <c r="S1199" s="300">
        <v>0</v>
      </c>
      <c r="T1199" s="300">
        <v>0</v>
      </c>
      <c r="U1199" s="301">
        <v>0</v>
      </c>
      <c r="V1199" s="302">
        <v>0</v>
      </c>
      <c r="W1199" s="303"/>
      <c r="X1199" s="304">
        <v>0</v>
      </c>
      <c r="Y1199" s="305">
        <v>0</v>
      </c>
    </row>
    <row r="1200" spans="1:25" x14ac:dyDescent="0.3">
      <c r="E1200" t="s">
        <v>2176</v>
      </c>
      <c r="F1200" s="317">
        <v>9800030</v>
      </c>
      <c r="G1200" s="318"/>
      <c r="H1200" s="319"/>
      <c r="I1200" s="320"/>
      <c r="J1200" s="337">
        <v>0</v>
      </c>
      <c r="K1200" s="321">
        <v>0</v>
      </c>
      <c r="L1200" s="321">
        <v>0</v>
      </c>
      <c r="M1200" s="321">
        <v>0</v>
      </c>
      <c r="N1200" s="321">
        <v>0</v>
      </c>
      <c r="O1200" s="321">
        <v>0</v>
      </c>
      <c r="P1200" s="321">
        <v>0</v>
      </c>
      <c r="Q1200" s="321">
        <v>0</v>
      </c>
      <c r="R1200" s="321">
        <v>0</v>
      </c>
      <c r="S1200" s="321">
        <v>0</v>
      </c>
      <c r="T1200" s="321">
        <v>0</v>
      </c>
      <c r="U1200" s="322">
        <v>0</v>
      </c>
      <c r="V1200" s="323">
        <v>0</v>
      </c>
      <c r="W1200" s="303"/>
      <c r="X1200" s="324">
        <v>0</v>
      </c>
      <c r="Y1200" s="325">
        <v>0</v>
      </c>
    </row>
    <row r="1201" spans="1:25" x14ac:dyDescent="0.3">
      <c r="E1201" t="s">
        <v>2177</v>
      </c>
      <c r="F1201" s="317">
        <v>8990000</v>
      </c>
      <c r="G1201" s="318"/>
      <c r="H1201" s="319"/>
      <c r="I1201" s="320"/>
      <c r="J1201" s="337">
        <v>0</v>
      </c>
      <c r="K1201" s="321">
        <v>0</v>
      </c>
      <c r="L1201" s="321">
        <v>0</v>
      </c>
      <c r="M1201" s="321">
        <v>0</v>
      </c>
      <c r="N1201" s="321">
        <v>0</v>
      </c>
      <c r="O1201" s="321">
        <v>0</v>
      </c>
      <c r="P1201" s="321">
        <v>0</v>
      </c>
      <c r="Q1201" s="321">
        <v>0</v>
      </c>
      <c r="R1201" s="321">
        <v>0</v>
      </c>
      <c r="S1201" s="321">
        <v>0</v>
      </c>
      <c r="T1201" s="321">
        <v>0</v>
      </c>
      <c r="U1201" s="322">
        <v>0</v>
      </c>
      <c r="V1201" s="323">
        <v>0</v>
      </c>
      <c r="W1201" s="303"/>
      <c r="X1201" s="324">
        <v>0</v>
      </c>
      <c r="Y1201" s="325">
        <v>0</v>
      </c>
    </row>
    <row r="1202" spans="1:25" x14ac:dyDescent="0.3">
      <c r="D1202" s="293" t="s">
        <v>2178</v>
      </c>
      <c r="E1202" s="294"/>
      <c r="F1202" s="295"/>
      <c r="G1202" s="296"/>
      <c r="H1202" s="297"/>
      <c r="I1202" s="298"/>
      <c r="J1202" s="299">
        <v>0</v>
      </c>
      <c r="K1202" s="300">
        <v>0</v>
      </c>
      <c r="L1202" s="300">
        <v>0</v>
      </c>
      <c r="M1202" s="300">
        <v>0</v>
      </c>
      <c r="N1202" s="300">
        <v>0</v>
      </c>
      <c r="O1202" s="300">
        <v>0</v>
      </c>
      <c r="P1202" s="300">
        <v>0</v>
      </c>
      <c r="Q1202" s="300">
        <v>0</v>
      </c>
      <c r="R1202" s="300">
        <v>0</v>
      </c>
      <c r="S1202" s="300">
        <v>0</v>
      </c>
      <c r="T1202" s="300">
        <v>0</v>
      </c>
      <c r="U1202" s="301">
        <v>0</v>
      </c>
      <c r="V1202" s="302">
        <v>0</v>
      </c>
      <c r="W1202" s="303"/>
      <c r="X1202" s="304">
        <v>0</v>
      </c>
      <c r="Y1202" s="305">
        <v>0</v>
      </c>
    </row>
    <row r="1203" spans="1:25" x14ac:dyDescent="0.3">
      <c r="A1203" s="326"/>
      <c r="B1203" s="326"/>
      <c r="C1203" s="326"/>
      <c r="D1203" s="326"/>
      <c r="E1203" s="326" t="s">
        <v>2179</v>
      </c>
      <c r="F1203" s="336"/>
      <c r="G1203" s="327"/>
      <c r="H1203" s="328"/>
      <c r="I1203" s="329"/>
      <c r="J1203" s="338">
        <v>0</v>
      </c>
      <c r="K1203" s="330">
        <v>0</v>
      </c>
      <c r="L1203" s="330">
        <v>0</v>
      </c>
      <c r="M1203" s="330">
        <v>0</v>
      </c>
      <c r="N1203" s="330">
        <v>0</v>
      </c>
      <c r="O1203" s="330">
        <v>0</v>
      </c>
      <c r="P1203" s="330">
        <v>0</v>
      </c>
      <c r="Q1203" s="330">
        <v>0</v>
      </c>
      <c r="R1203" s="330">
        <v>0</v>
      </c>
      <c r="S1203" s="330">
        <v>0</v>
      </c>
      <c r="T1203" s="330">
        <v>0</v>
      </c>
      <c r="U1203" s="331">
        <v>0</v>
      </c>
      <c r="V1203" s="332">
        <v>0</v>
      </c>
      <c r="W1203" s="333"/>
      <c r="X1203" s="334">
        <v>0</v>
      </c>
      <c r="Y1203" s="335">
        <v>0</v>
      </c>
    </row>
    <row r="1204" spans="1:25" x14ac:dyDescent="0.3">
      <c r="A1204" s="326"/>
      <c r="B1204" s="326"/>
      <c r="C1204" s="326"/>
      <c r="D1204" s="326"/>
      <c r="E1204" s="326" t="s">
        <v>2180</v>
      </c>
      <c r="F1204" s="336"/>
      <c r="G1204" s="327"/>
      <c r="H1204" s="328"/>
      <c r="I1204" s="329"/>
      <c r="J1204" s="338">
        <v>0</v>
      </c>
      <c r="K1204" s="330">
        <v>0</v>
      </c>
      <c r="L1204" s="330">
        <v>0</v>
      </c>
      <c r="M1204" s="330">
        <v>0</v>
      </c>
      <c r="N1204" s="330">
        <v>0</v>
      </c>
      <c r="O1204" s="330">
        <v>0</v>
      </c>
      <c r="P1204" s="330">
        <v>0</v>
      </c>
      <c r="Q1204" s="330">
        <v>0</v>
      </c>
      <c r="R1204" s="330">
        <v>0</v>
      </c>
      <c r="S1204" s="330">
        <v>0</v>
      </c>
      <c r="T1204" s="330">
        <v>0</v>
      </c>
      <c r="U1204" s="331">
        <v>0</v>
      </c>
      <c r="V1204" s="332">
        <v>0</v>
      </c>
      <c r="W1204" s="333"/>
      <c r="X1204" s="334">
        <v>0</v>
      </c>
      <c r="Y1204" s="335">
        <v>0</v>
      </c>
    </row>
    <row r="1205" spans="1:25" x14ac:dyDescent="0.3">
      <c r="A1205" s="326"/>
      <c r="B1205" s="326"/>
      <c r="C1205" s="326"/>
      <c r="D1205" s="326"/>
      <c r="E1205" s="326" t="s">
        <v>2181</v>
      </c>
      <c r="F1205" s="336"/>
      <c r="G1205" s="327"/>
      <c r="H1205" s="328"/>
      <c r="I1205" s="329"/>
      <c r="J1205" s="338">
        <v>0</v>
      </c>
      <c r="K1205" s="330">
        <v>0</v>
      </c>
      <c r="L1205" s="330">
        <v>0</v>
      </c>
      <c r="M1205" s="330">
        <v>0</v>
      </c>
      <c r="N1205" s="330">
        <v>0</v>
      </c>
      <c r="O1205" s="330">
        <v>0</v>
      </c>
      <c r="P1205" s="330">
        <v>0</v>
      </c>
      <c r="Q1205" s="330">
        <v>0</v>
      </c>
      <c r="R1205" s="330">
        <v>0</v>
      </c>
      <c r="S1205" s="330">
        <v>0</v>
      </c>
      <c r="T1205" s="330">
        <v>0</v>
      </c>
      <c r="U1205" s="331">
        <v>0</v>
      </c>
      <c r="V1205" s="332">
        <v>0</v>
      </c>
      <c r="W1205" s="333"/>
      <c r="X1205" s="334">
        <v>0</v>
      </c>
      <c r="Y1205" s="335">
        <v>0</v>
      </c>
    </row>
    <row r="1206" spans="1:25" x14ac:dyDescent="0.3">
      <c r="D1206" s="293" t="s">
        <v>2182</v>
      </c>
      <c r="E1206" s="294"/>
      <c r="F1206" s="295"/>
      <c r="G1206" s="296"/>
      <c r="H1206" s="297"/>
      <c r="I1206" s="298"/>
      <c r="J1206" s="299">
        <v>0</v>
      </c>
      <c r="K1206" s="300">
        <v>0</v>
      </c>
      <c r="L1206" s="300">
        <v>0</v>
      </c>
      <c r="M1206" s="300">
        <v>0</v>
      </c>
      <c r="N1206" s="300">
        <v>0</v>
      </c>
      <c r="O1206" s="300">
        <v>0</v>
      </c>
      <c r="P1206" s="300">
        <v>0</v>
      </c>
      <c r="Q1206" s="300">
        <v>0</v>
      </c>
      <c r="R1206" s="300">
        <v>0</v>
      </c>
      <c r="S1206" s="300">
        <v>0</v>
      </c>
      <c r="T1206" s="300">
        <v>0</v>
      </c>
      <c r="U1206" s="301">
        <v>0</v>
      </c>
      <c r="V1206" s="302">
        <v>0</v>
      </c>
      <c r="W1206" s="303"/>
      <c r="X1206" s="304">
        <v>0</v>
      </c>
      <c r="Y1206" s="305">
        <v>0</v>
      </c>
    </row>
    <row r="1207" spans="1:25" x14ac:dyDescent="0.3">
      <c r="A1207" s="326"/>
      <c r="B1207" s="326"/>
      <c r="C1207" s="326"/>
      <c r="D1207" s="326"/>
      <c r="E1207" s="326" t="s">
        <v>2179</v>
      </c>
      <c r="F1207" s="336"/>
      <c r="G1207" s="327"/>
      <c r="H1207" s="328"/>
      <c r="I1207" s="329"/>
      <c r="J1207" s="338">
        <v>0</v>
      </c>
      <c r="K1207" s="330">
        <v>0</v>
      </c>
      <c r="L1207" s="330">
        <v>0</v>
      </c>
      <c r="M1207" s="330">
        <v>0</v>
      </c>
      <c r="N1207" s="330">
        <v>0</v>
      </c>
      <c r="O1207" s="330">
        <v>0</v>
      </c>
      <c r="P1207" s="330">
        <v>0</v>
      </c>
      <c r="Q1207" s="330">
        <v>0</v>
      </c>
      <c r="R1207" s="330">
        <v>0</v>
      </c>
      <c r="S1207" s="330">
        <v>0</v>
      </c>
      <c r="T1207" s="330">
        <v>0</v>
      </c>
      <c r="U1207" s="331">
        <v>0</v>
      </c>
      <c r="V1207" s="332">
        <v>0</v>
      </c>
      <c r="W1207" s="333"/>
      <c r="X1207" s="334">
        <v>0</v>
      </c>
      <c r="Y1207" s="335">
        <v>0</v>
      </c>
    </row>
    <row r="1208" spans="1:25" x14ac:dyDescent="0.3">
      <c r="A1208" s="326"/>
      <c r="B1208" s="326"/>
      <c r="C1208" s="326"/>
      <c r="D1208" s="326"/>
      <c r="E1208" s="326" t="s">
        <v>2180</v>
      </c>
      <c r="F1208" s="336"/>
      <c r="G1208" s="327"/>
      <c r="H1208" s="328"/>
      <c r="I1208" s="329"/>
      <c r="J1208" s="338">
        <v>0</v>
      </c>
      <c r="K1208" s="330">
        <v>0</v>
      </c>
      <c r="L1208" s="330">
        <v>0</v>
      </c>
      <c r="M1208" s="330">
        <v>0</v>
      </c>
      <c r="N1208" s="330">
        <v>0</v>
      </c>
      <c r="O1208" s="330">
        <v>0</v>
      </c>
      <c r="P1208" s="330">
        <v>0</v>
      </c>
      <c r="Q1208" s="330">
        <v>0</v>
      </c>
      <c r="R1208" s="330">
        <v>0</v>
      </c>
      <c r="S1208" s="330">
        <v>0</v>
      </c>
      <c r="T1208" s="330">
        <v>0</v>
      </c>
      <c r="U1208" s="331">
        <v>0</v>
      </c>
      <c r="V1208" s="332">
        <v>0</v>
      </c>
      <c r="W1208" s="333"/>
      <c r="X1208" s="334">
        <v>0</v>
      </c>
      <c r="Y1208" s="335">
        <v>0</v>
      </c>
    </row>
    <row r="1209" spans="1:25" x14ac:dyDescent="0.3">
      <c r="A1209" s="326"/>
      <c r="B1209" s="326"/>
      <c r="C1209" s="326"/>
      <c r="D1209" s="326"/>
      <c r="E1209" s="326" t="s">
        <v>2181</v>
      </c>
      <c r="F1209" s="336"/>
      <c r="G1209" s="327"/>
      <c r="H1209" s="328"/>
      <c r="I1209" s="329"/>
      <c r="J1209" s="338">
        <v>0</v>
      </c>
      <c r="K1209" s="330">
        <v>0</v>
      </c>
      <c r="L1209" s="330">
        <v>0</v>
      </c>
      <c r="M1209" s="330">
        <v>0</v>
      </c>
      <c r="N1209" s="330">
        <v>0</v>
      </c>
      <c r="O1209" s="330">
        <v>0</v>
      </c>
      <c r="P1209" s="330">
        <v>0</v>
      </c>
      <c r="Q1209" s="330">
        <v>0</v>
      </c>
      <c r="R1209" s="330">
        <v>0</v>
      </c>
      <c r="S1209" s="330">
        <v>0</v>
      </c>
      <c r="T1209" s="330">
        <v>0</v>
      </c>
      <c r="U1209" s="331">
        <v>0</v>
      </c>
      <c r="V1209" s="332">
        <v>0</v>
      </c>
      <c r="W1209" s="333"/>
      <c r="X1209" s="334">
        <v>0</v>
      </c>
      <c r="Y1209" s="335">
        <v>0</v>
      </c>
    </row>
    <row r="1210" spans="1:25" x14ac:dyDescent="0.3">
      <c r="D1210" s="293" t="s">
        <v>2183</v>
      </c>
      <c r="E1210" s="294"/>
      <c r="F1210" s="295"/>
      <c r="G1210" s="296"/>
      <c r="H1210" s="297"/>
      <c r="I1210" s="298"/>
      <c r="J1210" s="299">
        <v>0</v>
      </c>
      <c r="K1210" s="300">
        <v>0</v>
      </c>
      <c r="L1210" s="300">
        <v>0</v>
      </c>
      <c r="M1210" s="300">
        <v>0</v>
      </c>
      <c r="N1210" s="300">
        <v>0</v>
      </c>
      <c r="O1210" s="300">
        <v>0</v>
      </c>
      <c r="P1210" s="300">
        <v>0</v>
      </c>
      <c r="Q1210" s="300">
        <v>0</v>
      </c>
      <c r="R1210" s="300">
        <v>0</v>
      </c>
      <c r="S1210" s="300">
        <v>0</v>
      </c>
      <c r="T1210" s="300">
        <v>0</v>
      </c>
      <c r="U1210" s="301">
        <v>0</v>
      </c>
      <c r="V1210" s="302">
        <v>0</v>
      </c>
      <c r="W1210" s="303"/>
      <c r="X1210" s="304">
        <v>0</v>
      </c>
      <c r="Y1210" s="305">
        <v>0</v>
      </c>
    </row>
    <row r="1211" spans="1:25" x14ac:dyDescent="0.3">
      <c r="A1211" s="326"/>
      <c r="B1211" s="326"/>
      <c r="C1211" s="326"/>
      <c r="D1211" s="326"/>
      <c r="E1211" s="326" t="s">
        <v>2179</v>
      </c>
      <c r="F1211" s="336"/>
      <c r="G1211" s="327"/>
      <c r="H1211" s="328"/>
      <c r="I1211" s="329"/>
      <c r="J1211" s="338">
        <v>0</v>
      </c>
      <c r="K1211" s="330">
        <v>0</v>
      </c>
      <c r="L1211" s="330">
        <v>0</v>
      </c>
      <c r="M1211" s="330">
        <v>0</v>
      </c>
      <c r="N1211" s="330">
        <v>0</v>
      </c>
      <c r="O1211" s="330">
        <v>0</v>
      </c>
      <c r="P1211" s="330">
        <v>0</v>
      </c>
      <c r="Q1211" s="330">
        <v>0</v>
      </c>
      <c r="R1211" s="330">
        <v>0</v>
      </c>
      <c r="S1211" s="330">
        <v>0</v>
      </c>
      <c r="T1211" s="330">
        <v>0</v>
      </c>
      <c r="U1211" s="331">
        <v>0</v>
      </c>
      <c r="V1211" s="332">
        <v>0</v>
      </c>
      <c r="W1211" s="333"/>
      <c r="X1211" s="334">
        <v>0</v>
      </c>
      <c r="Y1211" s="335">
        <v>0</v>
      </c>
    </row>
    <row r="1212" spans="1:25" x14ac:dyDescent="0.3">
      <c r="A1212" s="326"/>
      <c r="B1212" s="326"/>
      <c r="C1212" s="326"/>
      <c r="D1212" s="326"/>
      <c r="E1212" s="326" t="s">
        <v>2180</v>
      </c>
      <c r="F1212" s="336"/>
      <c r="G1212" s="327"/>
      <c r="H1212" s="328"/>
      <c r="I1212" s="329"/>
      <c r="J1212" s="338">
        <v>0</v>
      </c>
      <c r="K1212" s="330">
        <v>0</v>
      </c>
      <c r="L1212" s="330">
        <v>0</v>
      </c>
      <c r="M1212" s="330">
        <v>0</v>
      </c>
      <c r="N1212" s="330">
        <v>0</v>
      </c>
      <c r="O1212" s="330">
        <v>0</v>
      </c>
      <c r="P1212" s="330">
        <v>0</v>
      </c>
      <c r="Q1212" s="330">
        <v>0</v>
      </c>
      <c r="R1212" s="330">
        <v>0</v>
      </c>
      <c r="S1212" s="330">
        <v>0</v>
      </c>
      <c r="T1212" s="330">
        <v>0</v>
      </c>
      <c r="U1212" s="331">
        <v>0</v>
      </c>
      <c r="V1212" s="332">
        <v>0</v>
      </c>
      <c r="W1212" s="333"/>
      <c r="X1212" s="334">
        <v>0</v>
      </c>
      <c r="Y1212" s="335">
        <v>0</v>
      </c>
    </row>
    <row r="1213" spans="1:25" x14ac:dyDescent="0.3">
      <c r="A1213" s="326"/>
      <c r="B1213" s="326"/>
      <c r="C1213" s="326"/>
      <c r="D1213" s="326"/>
      <c r="E1213" s="326" t="s">
        <v>2181</v>
      </c>
      <c r="F1213" s="336"/>
      <c r="G1213" s="327"/>
      <c r="H1213" s="328"/>
      <c r="I1213" s="329"/>
      <c r="J1213" s="338">
        <v>0</v>
      </c>
      <c r="K1213" s="330">
        <v>0</v>
      </c>
      <c r="L1213" s="330">
        <v>0</v>
      </c>
      <c r="M1213" s="330">
        <v>0</v>
      </c>
      <c r="N1213" s="330">
        <v>0</v>
      </c>
      <c r="O1213" s="330">
        <v>0</v>
      </c>
      <c r="P1213" s="330">
        <v>0</v>
      </c>
      <c r="Q1213" s="330">
        <v>0</v>
      </c>
      <c r="R1213" s="330">
        <v>0</v>
      </c>
      <c r="S1213" s="330">
        <v>0</v>
      </c>
      <c r="T1213" s="330">
        <v>0</v>
      </c>
      <c r="U1213" s="331">
        <v>0</v>
      </c>
      <c r="V1213" s="332">
        <v>0</v>
      </c>
      <c r="W1213" s="333"/>
      <c r="X1213" s="334">
        <v>0</v>
      </c>
      <c r="Y1213" s="335">
        <v>0</v>
      </c>
    </row>
    <row r="1214" spans="1:25" ht="49.5" x14ac:dyDescent="0.3">
      <c r="A1214" s="248" t="s">
        <v>82</v>
      </c>
      <c r="B1214" s="248"/>
      <c r="C1214" s="280" t="s">
        <v>2184</v>
      </c>
      <c r="D1214" s="281"/>
      <c r="E1214" s="282"/>
      <c r="F1214" s="283" t="s">
        <v>2185</v>
      </c>
      <c r="G1214" s="284"/>
      <c r="H1214" s="285"/>
      <c r="I1214" s="286"/>
      <c r="J1214" s="287">
        <v>0</v>
      </c>
      <c r="K1214" s="288">
        <v>0</v>
      </c>
      <c r="L1214" s="288">
        <v>0</v>
      </c>
      <c r="M1214" s="288">
        <v>0</v>
      </c>
      <c r="N1214" s="288">
        <v>0</v>
      </c>
      <c r="O1214" s="288">
        <v>0</v>
      </c>
      <c r="P1214" s="288">
        <v>0</v>
      </c>
      <c r="Q1214" s="288">
        <v>0</v>
      </c>
      <c r="R1214" s="288">
        <v>0</v>
      </c>
      <c r="S1214" s="288">
        <v>0</v>
      </c>
      <c r="T1214" s="288">
        <v>0</v>
      </c>
      <c r="U1214" s="289">
        <v>0</v>
      </c>
      <c r="V1214" s="290">
        <v>0</v>
      </c>
      <c r="W1214" s="277"/>
      <c r="X1214" s="291">
        <v>0</v>
      </c>
      <c r="Y1214" s="292">
        <v>0</v>
      </c>
    </row>
    <row r="1215" spans="1:25" x14ac:dyDescent="0.3">
      <c r="A1215" s="233"/>
      <c r="B1215" s="234" t="s">
        <v>83</v>
      </c>
      <c r="D1215" s="293" t="s">
        <v>2186</v>
      </c>
      <c r="E1215" s="294"/>
      <c r="F1215" s="295" t="s">
        <v>2187</v>
      </c>
      <c r="G1215" s="296"/>
      <c r="H1215" s="297"/>
      <c r="I1215" s="298"/>
      <c r="J1215" s="299">
        <v>0</v>
      </c>
      <c r="K1215" s="300">
        <v>0</v>
      </c>
      <c r="L1215" s="300">
        <v>0</v>
      </c>
      <c r="M1215" s="300">
        <v>0</v>
      </c>
      <c r="N1215" s="300">
        <v>0</v>
      </c>
      <c r="O1215" s="300">
        <v>0</v>
      </c>
      <c r="P1215" s="300">
        <v>0</v>
      </c>
      <c r="Q1215" s="300">
        <v>0</v>
      </c>
      <c r="R1215" s="300">
        <v>0</v>
      </c>
      <c r="S1215" s="300">
        <v>0</v>
      </c>
      <c r="T1215" s="300">
        <v>0</v>
      </c>
      <c r="U1215" s="301">
        <v>0</v>
      </c>
      <c r="V1215" s="302">
        <v>0</v>
      </c>
      <c r="W1215" s="303"/>
      <c r="X1215" s="304">
        <v>0</v>
      </c>
      <c r="Y1215" s="305">
        <v>0</v>
      </c>
    </row>
    <row r="1216" spans="1:25" x14ac:dyDescent="0.3">
      <c r="E1216" t="s">
        <v>494</v>
      </c>
      <c r="F1216" s="317">
        <v>4402000</v>
      </c>
      <c r="G1216" s="318"/>
      <c r="H1216" s="319">
        <v>7901010101</v>
      </c>
      <c r="I1216" s="320"/>
      <c r="J1216" s="337">
        <v>0</v>
      </c>
      <c r="K1216" s="321">
        <v>0</v>
      </c>
      <c r="L1216" s="321">
        <v>0</v>
      </c>
      <c r="M1216" s="321">
        <v>0</v>
      </c>
      <c r="N1216" s="321">
        <v>0</v>
      </c>
      <c r="O1216" s="321">
        <v>0</v>
      </c>
      <c r="P1216" s="321">
        <v>0</v>
      </c>
      <c r="Q1216" s="321">
        <v>0</v>
      </c>
      <c r="R1216" s="321">
        <v>0</v>
      </c>
      <c r="S1216" s="321">
        <v>0</v>
      </c>
      <c r="T1216" s="321">
        <v>0</v>
      </c>
      <c r="U1216" s="322">
        <v>0</v>
      </c>
      <c r="V1216" s="323">
        <v>0</v>
      </c>
      <c r="W1216" s="303"/>
      <c r="X1216" s="324">
        <v>0</v>
      </c>
      <c r="Y1216" s="325">
        <v>0</v>
      </c>
    </row>
    <row r="1217" spans="1:25" x14ac:dyDescent="0.3">
      <c r="A1217" s="326"/>
      <c r="B1217" s="326"/>
      <c r="C1217" s="326"/>
      <c r="D1217" s="326"/>
      <c r="E1217" s="326" t="s">
        <v>2188</v>
      </c>
      <c r="F1217" s="336"/>
      <c r="G1217" s="327"/>
      <c r="H1217" s="328"/>
      <c r="I1217" s="329"/>
      <c r="J1217" s="338">
        <v>0</v>
      </c>
      <c r="K1217" s="330">
        <v>0</v>
      </c>
      <c r="L1217" s="330">
        <v>0</v>
      </c>
      <c r="M1217" s="330">
        <v>0</v>
      </c>
      <c r="N1217" s="330">
        <v>0</v>
      </c>
      <c r="O1217" s="330">
        <v>0</v>
      </c>
      <c r="P1217" s="330">
        <v>0</v>
      </c>
      <c r="Q1217" s="330">
        <v>0</v>
      </c>
      <c r="R1217" s="330">
        <v>0</v>
      </c>
      <c r="S1217" s="330">
        <v>0</v>
      </c>
      <c r="T1217" s="330">
        <v>0</v>
      </c>
      <c r="U1217" s="331">
        <v>0</v>
      </c>
      <c r="V1217" s="332">
        <v>0</v>
      </c>
      <c r="W1217" s="333"/>
      <c r="X1217" s="334">
        <v>0</v>
      </c>
      <c r="Y1217" s="335">
        <v>0</v>
      </c>
    </row>
    <row r="1218" spans="1:25" x14ac:dyDescent="0.3">
      <c r="A1218" s="326"/>
      <c r="B1218" s="326"/>
      <c r="C1218" s="326"/>
      <c r="D1218" s="326"/>
      <c r="E1218" s="326" t="s">
        <v>2189</v>
      </c>
      <c r="F1218" s="336"/>
      <c r="G1218" s="327"/>
      <c r="H1218" s="328"/>
      <c r="I1218" s="329"/>
      <c r="J1218" s="338">
        <v>0</v>
      </c>
      <c r="K1218" s="330">
        <v>0</v>
      </c>
      <c r="L1218" s="330">
        <v>0</v>
      </c>
      <c r="M1218" s="330">
        <v>0</v>
      </c>
      <c r="N1218" s="330">
        <v>0</v>
      </c>
      <c r="O1218" s="330">
        <v>0</v>
      </c>
      <c r="P1218" s="330">
        <v>0</v>
      </c>
      <c r="Q1218" s="330">
        <v>0</v>
      </c>
      <c r="R1218" s="330">
        <v>0</v>
      </c>
      <c r="S1218" s="330">
        <v>0</v>
      </c>
      <c r="T1218" s="330">
        <v>0</v>
      </c>
      <c r="U1218" s="331">
        <v>0</v>
      </c>
      <c r="V1218" s="332">
        <v>0</v>
      </c>
      <c r="W1218" s="333"/>
      <c r="X1218" s="334">
        <v>0</v>
      </c>
      <c r="Y1218" s="335">
        <v>0</v>
      </c>
    </row>
    <row r="1219" spans="1:25" x14ac:dyDescent="0.3">
      <c r="A1219" s="326"/>
      <c r="B1219" s="326"/>
      <c r="C1219" s="326"/>
      <c r="D1219" s="326"/>
      <c r="E1219" s="326" t="s">
        <v>2190</v>
      </c>
      <c r="F1219" s="336"/>
      <c r="G1219" s="327"/>
      <c r="H1219" s="328"/>
      <c r="I1219" s="329"/>
      <c r="J1219" s="338">
        <v>0</v>
      </c>
      <c r="K1219" s="330">
        <v>0</v>
      </c>
      <c r="L1219" s="330">
        <v>0</v>
      </c>
      <c r="M1219" s="330">
        <v>0</v>
      </c>
      <c r="N1219" s="330">
        <v>0</v>
      </c>
      <c r="O1219" s="330">
        <v>0</v>
      </c>
      <c r="P1219" s="330">
        <v>0</v>
      </c>
      <c r="Q1219" s="330">
        <v>0</v>
      </c>
      <c r="R1219" s="330">
        <v>0</v>
      </c>
      <c r="S1219" s="330">
        <v>0</v>
      </c>
      <c r="T1219" s="330">
        <v>0</v>
      </c>
      <c r="U1219" s="331">
        <v>0</v>
      </c>
      <c r="V1219" s="332">
        <v>0</v>
      </c>
      <c r="W1219" s="333"/>
      <c r="X1219" s="334">
        <v>0</v>
      </c>
      <c r="Y1219" s="335">
        <v>0</v>
      </c>
    </row>
    <row r="1220" spans="1:25" x14ac:dyDescent="0.3">
      <c r="A1220" s="233"/>
      <c r="B1220" s="234" t="s">
        <v>84</v>
      </c>
      <c r="D1220" s="293" t="s">
        <v>2191</v>
      </c>
      <c r="E1220" s="294"/>
      <c r="F1220" s="295" t="s">
        <v>2192</v>
      </c>
      <c r="G1220" s="296"/>
      <c r="H1220" s="297"/>
      <c r="I1220" s="298"/>
      <c r="J1220" s="299">
        <v>0</v>
      </c>
      <c r="K1220" s="300">
        <v>0</v>
      </c>
      <c r="L1220" s="300">
        <v>0</v>
      </c>
      <c r="M1220" s="300">
        <v>0</v>
      </c>
      <c r="N1220" s="300">
        <v>0</v>
      </c>
      <c r="O1220" s="300">
        <v>0</v>
      </c>
      <c r="P1220" s="300">
        <v>0</v>
      </c>
      <c r="Q1220" s="300">
        <v>0</v>
      </c>
      <c r="R1220" s="300">
        <v>0</v>
      </c>
      <c r="S1220" s="300">
        <v>0</v>
      </c>
      <c r="T1220" s="300">
        <v>0</v>
      </c>
      <c r="U1220" s="301">
        <v>0</v>
      </c>
      <c r="V1220" s="302">
        <v>0</v>
      </c>
      <c r="W1220" s="303"/>
      <c r="X1220" s="304">
        <v>0</v>
      </c>
      <c r="Y1220" s="305">
        <v>0</v>
      </c>
    </row>
    <row r="1221" spans="1:25" x14ac:dyDescent="0.3">
      <c r="E1221" t="s">
        <v>491</v>
      </c>
      <c r="F1221" s="317">
        <v>4501500</v>
      </c>
      <c r="G1221" s="318"/>
      <c r="H1221" s="319">
        <v>7901030101</v>
      </c>
      <c r="I1221" s="320"/>
      <c r="J1221" s="337">
        <v>0</v>
      </c>
      <c r="K1221" s="321">
        <v>0</v>
      </c>
      <c r="L1221" s="321">
        <v>0</v>
      </c>
      <c r="M1221" s="321">
        <v>0</v>
      </c>
      <c r="N1221" s="321">
        <v>0</v>
      </c>
      <c r="O1221" s="321">
        <v>0</v>
      </c>
      <c r="P1221" s="321">
        <v>0</v>
      </c>
      <c r="Q1221" s="321">
        <v>0</v>
      </c>
      <c r="R1221" s="321">
        <v>0</v>
      </c>
      <c r="S1221" s="321">
        <v>0</v>
      </c>
      <c r="T1221" s="321">
        <v>0</v>
      </c>
      <c r="U1221" s="322">
        <v>0</v>
      </c>
      <c r="V1221" s="323">
        <v>0</v>
      </c>
      <c r="W1221" s="303"/>
      <c r="X1221" s="324">
        <v>0</v>
      </c>
      <c r="Y1221" s="325">
        <v>0</v>
      </c>
    </row>
    <row r="1222" spans="1:25" x14ac:dyDescent="0.3">
      <c r="A1222" s="326"/>
      <c r="B1222" s="326"/>
      <c r="C1222" s="326"/>
      <c r="D1222" s="326"/>
      <c r="E1222" s="326" t="s">
        <v>2193</v>
      </c>
      <c r="F1222" s="336"/>
      <c r="G1222" s="327"/>
      <c r="H1222" s="328"/>
      <c r="I1222" s="329"/>
      <c r="J1222" s="338">
        <v>0</v>
      </c>
      <c r="K1222" s="330">
        <v>0</v>
      </c>
      <c r="L1222" s="330">
        <v>0</v>
      </c>
      <c r="M1222" s="330">
        <v>0</v>
      </c>
      <c r="N1222" s="330">
        <v>0</v>
      </c>
      <c r="O1222" s="330">
        <v>0</v>
      </c>
      <c r="P1222" s="330">
        <v>0</v>
      </c>
      <c r="Q1222" s="330">
        <v>0</v>
      </c>
      <c r="R1222" s="330">
        <v>0</v>
      </c>
      <c r="S1222" s="330">
        <v>0</v>
      </c>
      <c r="T1222" s="330">
        <v>0</v>
      </c>
      <c r="U1222" s="331">
        <v>0</v>
      </c>
      <c r="V1222" s="332">
        <v>0</v>
      </c>
      <c r="W1222" s="333"/>
      <c r="X1222" s="334">
        <v>0</v>
      </c>
      <c r="Y1222" s="335">
        <v>0</v>
      </c>
    </row>
    <row r="1223" spans="1:25" x14ac:dyDescent="0.3">
      <c r="A1223" s="326"/>
      <c r="B1223" s="326"/>
      <c r="C1223" s="326"/>
      <c r="D1223" s="326"/>
      <c r="E1223" s="326" t="s">
        <v>2194</v>
      </c>
      <c r="F1223" s="336"/>
      <c r="G1223" s="327"/>
      <c r="H1223" s="328"/>
      <c r="I1223" s="329"/>
      <c r="J1223" s="338">
        <v>0</v>
      </c>
      <c r="K1223" s="330">
        <v>0</v>
      </c>
      <c r="L1223" s="330">
        <v>0</v>
      </c>
      <c r="M1223" s="330">
        <v>0</v>
      </c>
      <c r="N1223" s="330">
        <v>0</v>
      </c>
      <c r="O1223" s="330">
        <v>0</v>
      </c>
      <c r="P1223" s="330">
        <v>0</v>
      </c>
      <c r="Q1223" s="330">
        <v>0</v>
      </c>
      <c r="R1223" s="330">
        <v>0</v>
      </c>
      <c r="S1223" s="330">
        <v>0</v>
      </c>
      <c r="T1223" s="330">
        <v>0</v>
      </c>
      <c r="U1223" s="331">
        <v>0</v>
      </c>
      <c r="V1223" s="332">
        <v>0</v>
      </c>
      <c r="W1223" s="333"/>
      <c r="X1223" s="334">
        <v>0</v>
      </c>
      <c r="Y1223" s="335">
        <v>0</v>
      </c>
    </row>
    <row r="1224" spans="1:25" x14ac:dyDescent="0.3">
      <c r="A1224" s="326"/>
      <c r="B1224" s="326"/>
      <c r="C1224" s="326"/>
      <c r="D1224" s="326"/>
      <c r="E1224" s="326" t="s">
        <v>2195</v>
      </c>
      <c r="F1224" s="336"/>
      <c r="G1224" s="327"/>
      <c r="H1224" s="328"/>
      <c r="I1224" s="329"/>
      <c r="J1224" s="338">
        <v>0</v>
      </c>
      <c r="K1224" s="330">
        <v>0</v>
      </c>
      <c r="L1224" s="330">
        <v>0</v>
      </c>
      <c r="M1224" s="330">
        <v>0</v>
      </c>
      <c r="N1224" s="330">
        <v>0</v>
      </c>
      <c r="O1224" s="330">
        <v>0</v>
      </c>
      <c r="P1224" s="330">
        <v>0</v>
      </c>
      <c r="Q1224" s="330">
        <v>0</v>
      </c>
      <c r="R1224" s="330">
        <v>0</v>
      </c>
      <c r="S1224" s="330">
        <v>0</v>
      </c>
      <c r="T1224" s="330">
        <v>0</v>
      </c>
      <c r="U1224" s="331">
        <v>0</v>
      </c>
      <c r="V1224" s="332">
        <v>0</v>
      </c>
      <c r="W1224" s="333"/>
      <c r="X1224" s="334">
        <v>0</v>
      </c>
      <c r="Y1224" s="335">
        <v>0</v>
      </c>
    </row>
    <row r="1225" spans="1:25" ht="66" x14ac:dyDescent="0.3">
      <c r="A1225" s="248" t="s">
        <v>57</v>
      </c>
      <c r="B1225" s="248"/>
      <c r="C1225" s="267" t="s">
        <v>2196</v>
      </c>
      <c r="D1225" s="267"/>
      <c r="E1225" s="268"/>
      <c r="F1225" s="269" t="s">
        <v>2197</v>
      </c>
      <c r="G1225" s="270"/>
      <c r="H1225" s="271"/>
      <c r="I1225" s="272"/>
      <c r="J1225" s="273">
        <v>-35098.505000000005</v>
      </c>
      <c r="K1225" s="274">
        <v>-11542.917000000001</v>
      </c>
      <c r="L1225" s="274">
        <v>-142191.39600000001</v>
      </c>
      <c r="M1225" s="274">
        <v>-37231.593000000001</v>
      </c>
      <c r="N1225" s="274">
        <v>-37200.755000000005</v>
      </c>
      <c r="O1225" s="274">
        <v>-276917.70899999997</v>
      </c>
      <c r="P1225" s="274">
        <v>-35043.262000000002</v>
      </c>
      <c r="Q1225" s="274">
        <v>-34347.262999999999</v>
      </c>
      <c r="R1225" s="274">
        <v>66012.208999999988</v>
      </c>
      <c r="S1225" s="274">
        <v>-21662.387999999999</v>
      </c>
      <c r="T1225" s="274">
        <v>-23101.406000000003</v>
      </c>
      <c r="U1225" s="275">
        <v>150088.05800000002</v>
      </c>
      <c r="V1225" s="276">
        <v>-438236.92700000008</v>
      </c>
      <c r="W1225" s="277"/>
      <c r="X1225" s="278">
        <v>150088.05800000002</v>
      </c>
      <c r="Y1225" s="279">
        <v>-438236.92700000008</v>
      </c>
    </row>
    <row r="1226" spans="1:25" x14ac:dyDescent="0.3">
      <c r="B1226" s="233" t="s">
        <v>85</v>
      </c>
      <c r="C1226" s="280" t="s">
        <v>2198</v>
      </c>
      <c r="D1226" s="281"/>
      <c r="E1226" s="282"/>
      <c r="F1226" s="283" t="s">
        <v>2199</v>
      </c>
      <c r="G1226" s="284"/>
      <c r="H1226" s="285"/>
      <c r="I1226" s="286"/>
      <c r="J1226" s="287">
        <v>0</v>
      </c>
      <c r="K1226" s="288">
        <v>0</v>
      </c>
      <c r="L1226" s="288">
        <v>0</v>
      </c>
      <c r="M1226" s="288">
        <v>0</v>
      </c>
      <c r="N1226" s="288">
        <v>0</v>
      </c>
      <c r="O1226" s="288">
        <v>0</v>
      </c>
      <c r="P1226" s="288">
        <v>0</v>
      </c>
      <c r="Q1226" s="288">
        <v>0</v>
      </c>
      <c r="R1226" s="288">
        <v>0</v>
      </c>
      <c r="S1226" s="288">
        <v>0</v>
      </c>
      <c r="T1226" s="288">
        <v>0</v>
      </c>
      <c r="U1226" s="289">
        <v>0</v>
      </c>
      <c r="V1226" s="290">
        <v>0</v>
      </c>
      <c r="W1226" s="277"/>
      <c r="X1226" s="291">
        <v>0</v>
      </c>
      <c r="Y1226" s="292">
        <v>0</v>
      </c>
    </row>
    <row r="1227" spans="1:25" x14ac:dyDescent="0.3">
      <c r="D1227" s="293" t="s">
        <v>2200</v>
      </c>
      <c r="E1227" s="294"/>
      <c r="F1227" s="295" t="s">
        <v>2201</v>
      </c>
      <c r="G1227" s="296"/>
      <c r="H1227" s="297"/>
      <c r="I1227" s="298"/>
      <c r="J1227" s="299">
        <v>0</v>
      </c>
      <c r="K1227" s="300">
        <v>0</v>
      </c>
      <c r="L1227" s="300">
        <v>0</v>
      </c>
      <c r="M1227" s="300">
        <v>0</v>
      </c>
      <c r="N1227" s="300">
        <v>0</v>
      </c>
      <c r="O1227" s="300">
        <v>0</v>
      </c>
      <c r="P1227" s="300">
        <v>0</v>
      </c>
      <c r="Q1227" s="300">
        <v>0</v>
      </c>
      <c r="R1227" s="300">
        <v>0</v>
      </c>
      <c r="S1227" s="300">
        <v>0</v>
      </c>
      <c r="T1227" s="300">
        <v>0</v>
      </c>
      <c r="U1227" s="301">
        <v>0</v>
      </c>
      <c r="V1227" s="302">
        <v>0</v>
      </c>
      <c r="W1227" s="303"/>
      <c r="X1227" s="304">
        <v>0</v>
      </c>
      <c r="Y1227" s="305">
        <v>0</v>
      </c>
    </row>
    <row r="1228" spans="1:25" x14ac:dyDescent="0.3">
      <c r="E1228" t="s">
        <v>322</v>
      </c>
      <c r="F1228" s="317">
        <v>4800100</v>
      </c>
      <c r="G1228" s="318"/>
      <c r="H1228" s="319">
        <v>8101010101</v>
      </c>
      <c r="I1228" s="320"/>
      <c r="J1228" s="337">
        <v>0</v>
      </c>
      <c r="K1228" s="321">
        <v>0</v>
      </c>
      <c r="L1228" s="321">
        <v>0</v>
      </c>
      <c r="M1228" s="321">
        <v>0</v>
      </c>
      <c r="N1228" s="321">
        <v>0</v>
      </c>
      <c r="O1228" s="321">
        <v>0</v>
      </c>
      <c r="P1228" s="321">
        <v>0</v>
      </c>
      <c r="Q1228" s="321">
        <v>0</v>
      </c>
      <c r="R1228" s="321">
        <v>0</v>
      </c>
      <c r="S1228" s="321">
        <v>0</v>
      </c>
      <c r="T1228" s="321">
        <v>0</v>
      </c>
      <c r="U1228" s="322">
        <v>0</v>
      </c>
      <c r="V1228" s="323">
        <v>0</v>
      </c>
      <c r="W1228" s="303"/>
      <c r="X1228" s="324">
        <v>0</v>
      </c>
      <c r="Y1228" s="325">
        <v>0</v>
      </c>
    </row>
    <row r="1229" spans="1:25" x14ac:dyDescent="0.3">
      <c r="D1229" s="293" t="s">
        <v>2202</v>
      </c>
      <c r="E1229" s="294"/>
      <c r="F1229" s="295" t="s">
        <v>2203</v>
      </c>
      <c r="G1229" s="296"/>
      <c r="H1229" s="297"/>
      <c r="I1229" s="298"/>
      <c r="J1229" s="299">
        <v>0</v>
      </c>
      <c r="K1229" s="300">
        <v>0</v>
      </c>
      <c r="L1229" s="300">
        <v>0</v>
      </c>
      <c r="M1229" s="300">
        <v>0</v>
      </c>
      <c r="N1229" s="300">
        <v>0</v>
      </c>
      <c r="O1229" s="300">
        <v>0</v>
      </c>
      <c r="P1229" s="300">
        <v>0</v>
      </c>
      <c r="Q1229" s="300">
        <v>0</v>
      </c>
      <c r="R1229" s="300">
        <v>0</v>
      </c>
      <c r="S1229" s="300">
        <v>0</v>
      </c>
      <c r="T1229" s="300">
        <v>0</v>
      </c>
      <c r="U1229" s="301">
        <v>0</v>
      </c>
      <c r="V1229" s="302">
        <v>0</v>
      </c>
      <c r="W1229" s="303"/>
      <c r="X1229" s="304">
        <v>0</v>
      </c>
      <c r="Y1229" s="305">
        <v>0</v>
      </c>
    </row>
    <row r="1230" spans="1:25" x14ac:dyDescent="0.3">
      <c r="E1230" t="s">
        <v>2204</v>
      </c>
      <c r="F1230" s="317">
        <v>4800200</v>
      </c>
      <c r="G1230" s="318"/>
      <c r="H1230" s="319"/>
      <c r="I1230" s="320"/>
      <c r="J1230" s="337">
        <v>0</v>
      </c>
      <c r="K1230" s="321">
        <v>0</v>
      </c>
      <c r="L1230" s="321">
        <v>0</v>
      </c>
      <c r="M1230" s="321">
        <v>0</v>
      </c>
      <c r="N1230" s="321">
        <v>0</v>
      </c>
      <c r="O1230" s="321">
        <v>0</v>
      </c>
      <c r="P1230" s="321">
        <v>0</v>
      </c>
      <c r="Q1230" s="321">
        <v>0</v>
      </c>
      <c r="R1230" s="321">
        <v>0</v>
      </c>
      <c r="S1230" s="321">
        <v>0</v>
      </c>
      <c r="T1230" s="321">
        <v>0</v>
      </c>
      <c r="U1230" s="322">
        <v>0</v>
      </c>
      <c r="V1230" s="323">
        <v>0</v>
      </c>
      <c r="W1230" s="303"/>
      <c r="X1230" s="324">
        <v>0</v>
      </c>
      <c r="Y1230" s="325">
        <v>0</v>
      </c>
    </row>
    <row r="1231" spans="1:25" x14ac:dyDescent="0.3">
      <c r="D1231" s="293" t="s">
        <v>2205</v>
      </c>
      <c r="E1231" s="294"/>
      <c r="F1231" s="295" t="s">
        <v>2206</v>
      </c>
      <c r="G1231" s="296"/>
      <c r="H1231" s="297"/>
      <c r="I1231" s="298"/>
      <c r="J1231" s="299">
        <v>0</v>
      </c>
      <c r="K1231" s="300">
        <v>0</v>
      </c>
      <c r="L1231" s="300">
        <v>0</v>
      </c>
      <c r="M1231" s="300">
        <v>0</v>
      </c>
      <c r="N1231" s="300">
        <v>0</v>
      </c>
      <c r="O1231" s="300">
        <v>0</v>
      </c>
      <c r="P1231" s="300">
        <v>0</v>
      </c>
      <c r="Q1231" s="300">
        <v>0</v>
      </c>
      <c r="R1231" s="300">
        <v>0</v>
      </c>
      <c r="S1231" s="300">
        <v>0</v>
      </c>
      <c r="T1231" s="300">
        <v>0</v>
      </c>
      <c r="U1231" s="301">
        <v>0</v>
      </c>
      <c r="V1231" s="302">
        <v>0</v>
      </c>
      <c r="W1231" s="303"/>
      <c r="X1231" s="304">
        <v>0</v>
      </c>
      <c r="Y1231" s="305">
        <v>0</v>
      </c>
    </row>
    <row r="1232" spans="1:25" x14ac:dyDescent="0.3">
      <c r="E1232" t="s">
        <v>2207</v>
      </c>
      <c r="F1232" s="317">
        <v>4506500</v>
      </c>
      <c r="G1232" s="318"/>
      <c r="H1232" s="319"/>
      <c r="I1232" s="320"/>
      <c r="J1232" s="337">
        <v>0</v>
      </c>
      <c r="K1232" s="321">
        <v>0</v>
      </c>
      <c r="L1232" s="321">
        <v>0</v>
      </c>
      <c r="M1232" s="321">
        <v>0</v>
      </c>
      <c r="N1232" s="321">
        <v>0</v>
      </c>
      <c r="O1232" s="321">
        <v>0</v>
      </c>
      <c r="P1232" s="321">
        <v>0</v>
      </c>
      <c r="Q1232" s="321">
        <v>0</v>
      </c>
      <c r="R1232" s="321">
        <v>0</v>
      </c>
      <c r="S1232" s="321">
        <v>0</v>
      </c>
      <c r="T1232" s="321">
        <v>0</v>
      </c>
      <c r="U1232" s="322">
        <v>0</v>
      </c>
      <c r="V1232" s="323">
        <v>0</v>
      </c>
      <c r="W1232" s="303"/>
      <c r="X1232" s="324">
        <v>0</v>
      </c>
      <c r="Y1232" s="325">
        <v>0</v>
      </c>
    </row>
    <row r="1233" spans="1:25" x14ac:dyDescent="0.3">
      <c r="D1233" s="293" t="s">
        <v>2208</v>
      </c>
      <c r="E1233" s="294"/>
      <c r="F1233" s="295" t="s">
        <v>2209</v>
      </c>
      <c r="G1233" s="296"/>
      <c r="H1233" s="297"/>
      <c r="I1233" s="298"/>
      <c r="J1233" s="299">
        <v>0</v>
      </c>
      <c r="K1233" s="300">
        <v>0</v>
      </c>
      <c r="L1233" s="300">
        <v>0</v>
      </c>
      <c r="M1233" s="300">
        <v>0</v>
      </c>
      <c r="N1233" s="300">
        <v>0</v>
      </c>
      <c r="O1233" s="300">
        <v>0</v>
      </c>
      <c r="P1233" s="300">
        <v>0</v>
      </c>
      <c r="Q1233" s="300">
        <v>0</v>
      </c>
      <c r="R1233" s="300">
        <v>0</v>
      </c>
      <c r="S1233" s="300">
        <v>0</v>
      </c>
      <c r="T1233" s="300">
        <v>0</v>
      </c>
      <c r="U1233" s="301">
        <v>0</v>
      </c>
      <c r="V1233" s="302">
        <v>0</v>
      </c>
      <c r="W1233" s="303"/>
      <c r="X1233" s="304">
        <v>0</v>
      </c>
      <c r="Y1233" s="305">
        <v>0</v>
      </c>
    </row>
    <row r="1234" spans="1:25" x14ac:dyDescent="0.3">
      <c r="E1234" t="s">
        <v>2210</v>
      </c>
      <c r="F1234" s="317">
        <v>4407000</v>
      </c>
      <c r="G1234" s="318"/>
      <c r="H1234" s="319"/>
      <c r="I1234" s="320"/>
      <c r="J1234" s="337">
        <v>0</v>
      </c>
      <c r="K1234" s="321">
        <v>0</v>
      </c>
      <c r="L1234" s="321">
        <v>0</v>
      </c>
      <c r="M1234" s="321">
        <v>0</v>
      </c>
      <c r="N1234" s="321">
        <v>0</v>
      </c>
      <c r="O1234" s="321">
        <v>0</v>
      </c>
      <c r="P1234" s="321">
        <v>0</v>
      </c>
      <c r="Q1234" s="321">
        <v>0</v>
      </c>
      <c r="R1234" s="321">
        <v>0</v>
      </c>
      <c r="S1234" s="321">
        <v>0</v>
      </c>
      <c r="T1234" s="321">
        <v>0</v>
      </c>
      <c r="U1234" s="322">
        <v>0</v>
      </c>
      <c r="V1234" s="323">
        <v>0</v>
      </c>
      <c r="W1234" s="303"/>
      <c r="X1234" s="324">
        <v>0</v>
      </c>
      <c r="Y1234" s="325">
        <v>0</v>
      </c>
    </row>
    <row r="1235" spans="1:25" x14ac:dyDescent="0.3">
      <c r="B1235" s="233" t="s">
        <v>418</v>
      </c>
      <c r="C1235" s="280" t="s">
        <v>2211</v>
      </c>
      <c r="D1235" s="281"/>
      <c r="E1235" s="282"/>
      <c r="F1235" s="283" t="s">
        <v>2212</v>
      </c>
      <c r="G1235" s="284"/>
      <c r="H1235" s="285"/>
      <c r="I1235" s="286"/>
      <c r="J1235" s="287">
        <v>-35098.505000000005</v>
      </c>
      <c r="K1235" s="288">
        <v>-11542.917000000001</v>
      </c>
      <c r="L1235" s="288">
        <v>-142191.39600000001</v>
      </c>
      <c r="M1235" s="288">
        <v>-37231.593000000001</v>
      </c>
      <c r="N1235" s="288">
        <v>-37200.755000000005</v>
      </c>
      <c r="O1235" s="288">
        <v>-276917.70899999997</v>
      </c>
      <c r="P1235" s="288">
        <v>-35043.262000000002</v>
      </c>
      <c r="Q1235" s="288">
        <v>-34347.262999999999</v>
      </c>
      <c r="R1235" s="288">
        <v>66012.208999999988</v>
      </c>
      <c r="S1235" s="288">
        <v>-21662.387999999999</v>
      </c>
      <c r="T1235" s="288">
        <v>-23101.406000000003</v>
      </c>
      <c r="U1235" s="289">
        <v>150088.05800000002</v>
      </c>
      <c r="V1235" s="290">
        <v>-438236.92700000008</v>
      </c>
      <c r="W1235" s="277"/>
      <c r="X1235" s="291">
        <v>150088.05800000002</v>
      </c>
      <c r="Y1235" s="292">
        <v>-438236.92700000008</v>
      </c>
    </row>
    <row r="1236" spans="1:25" x14ac:dyDescent="0.3">
      <c r="B1236" s="233" t="s">
        <v>419</v>
      </c>
      <c r="C1236" s="280" t="s">
        <v>2213</v>
      </c>
      <c r="D1236" s="281"/>
      <c r="E1236" s="282"/>
      <c r="F1236" s="283" t="s">
        <v>2214</v>
      </c>
      <c r="G1236" s="284"/>
      <c r="H1236" s="285"/>
      <c r="I1236" s="286"/>
      <c r="J1236" s="287">
        <v>0</v>
      </c>
      <c r="K1236" s="288">
        <v>0</v>
      </c>
      <c r="L1236" s="288">
        <v>0</v>
      </c>
      <c r="M1236" s="288">
        <v>0</v>
      </c>
      <c r="N1236" s="288">
        <v>0</v>
      </c>
      <c r="O1236" s="288">
        <v>0</v>
      </c>
      <c r="P1236" s="288">
        <v>0</v>
      </c>
      <c r="Q1236" s="288">
        <v>0</v>
      </c>
      <c r="R1236" s="288">
        <v>0</v>
      </c>
      <c r="S1236" s="288">
        <v>0</v>
      </c>
      <c r="T1236" s="288">
        <v>0</v>
      </c>
      <c r="U1236" s="289">
        <v>0</v>
      </c>
      <c r="V1236" s="290">
        <v>0</v>
      </c>
      <c r="W1236" s="277"/>
      <c r="X1236" s="291">
        <v>0</v>
      </c>
      <c r="Y1236" s="292">
        <v>0</v>
      </c>
    </row>
    <row r="1237" spans="1:25" x14ac:dyDescent="0.3">
      <c r="D1237" s="293" t="s">
        <v>2215</v>
      </c>
      <c r="E1237" s="294"/>
      <c r="F1237" s="295" t="s">
        <v>2216</v>
      </c>
      <c r="G1237" s="296"/>
      <c r="H1237" s="297"/>
      <c r="I1237" s="298"/>
      <c r="J1237" s="299">
        <v>0</v>
      </c>
      <c r="K1237" s="300">
        <v>0</v>
      </c>
      <c r="L1237" s="300">
        <v>0</v>
      </c>
      <c r="M1237" s="300">
        <v>0</v>
      </c>
      <c r="N1237" s="300">
        <v>0</v>
      </c>
      <c r="O1237" s="300">
        <v>0</v>
      </c>
      <c r="P1237" s="300">
        <v>0</v>
      </c>
      <c r="Q1237" s="300">
        <v>0</v>
      </c>
      <c r="R1237" s="300">
        <v>0</v>
      </c>
      <c r="S1237" s="300">
        <v>0</v>
      </c>
      <c r="T1237" s="300">
        <v>0</v>
      </c>
      <c r="U1237" s="301">
        <v>0</v>
      </c>
      <c r="V1237" s="302">
        <v>0</v>
      </c>
      <c r="W1237" s="303"/>
      <c r="X1237" s="304">
        <v>0</v>
      </c>
      <c r="Y1237" s="305">
        <v>0</v>
      </c>
    </row>
    <row r="1238" spans="1:25" x14ac:dyDescent="0.3">
      <c r="E1238" t="s">
        <v>2217</v>
      </c>
      <c r="F1238" s="317">
        <v>4408900</v>
      </c>
      <c r="G1238" s="318"/>
      <c r="H1238" s="319">
        <v>8501010101</v>
      </c>
      <c r="I1238" s="320"/>
      <c r="J1238" s="337">
        <v>0</v>
      </c>
      <c r="K1238" s="321">
        <v>0</v>
      </c>
      <c r="L1238" s="321">
        <v>0</v>
      </c>
      <c r="M1238" s="321">
        <v>0</v>
      </c>
      <c r="N1238" s="321">
        <v>0</v>
      </c>
      <c r="O1238" s="321">
        <v>0</v>
      </c>
      <c r="P1238" s="321">
        <v>0</v>
      </c>
      <c r="Q1238" s="321">
        <v>0</v>
      </c>
      <c r="R1238" s="321">
        <v>0</v>
      </c>
      <c r="S1238" s="321">
        <v>0</v>
      </c>
      <c r="T1238" s="321">
        <v>0</v>
      </c>
      <c r="U1238" s="322">
        <v>0</v>
      </c>
      <c r="V1238" s="323">
        <v>0</v>
      </c>
      <c r="W1238" s="303"/>
      <c r="X1238" s="324">
        <v>0</v>
      </c>
      <c r="Y1238" s="325">
        <v>0</v>
      </c>
    </row>
    <row r="1239" spans="1:25" ht="33" x14ac:dyDescent="0.3">
      <c r="A1239" s="248" t="s">
        <v>211</v>
      </c>
      <c r="B1239" s="248"/>
      <c r="C1239" s="398" t="s">
        <v>2218</v>
      </c>
      <c r="D1239" s="398"/>
      <c r="E1239" s="399"/>
      <c r="F1239" s="400" t="s">
        <v>2219</v>
      </c>
      <c r="G1239" s="401"/>
      <c r="H1239" s="402"/>
      <c r="I1239" s="403"/>
      <c r="J1239" s="404">
        <v>-35098.505000000005</v>
      </c>
      <c r="K1239" s="405">
        <v>-11542.917000000001</v>
      </c>
      <c r="L1239" s="405">
        <v>-142191.39600000001</v>
      </c>
      <c r="M1239" s="405">
        <v>-37231.593000000001</v>
      </c>
      <c r="N1239" s="405">
        <v>-37200.755000000005</v>
      </c>
      <c r="O1239" s="405">
        <v>-276917.70899999997</v>
      </c>
      <c r="P1239" s="405">
        <v>-35043.262000000002</v>
      </c>
      <c r="Q1239" s="405">
        <v>-34347.262999999999</v>
      </c>
      <c r="R1239" s="405">
        <v>66012.208999999988</v>
      </c>
      <c r="S1239" s="405">
        <v>-21662.387999999999</v>
      </c>
      <c r="T1239" s="405">
        <v>-23101.406000000003</v>
      </c>
      <c r="U1239" s="406">
        <v>150088.05800000002</v>
      </c>
      <c r="V1239" s="407">
        <v>-438236.92700000008</v>
      </c>
      <c r="W1239" s="277"/>
      <c r="X1239" s="408">
        <v>150088.05800000002</v>
      </c>
      <c r="Y1239" s="409">
        <v>-438236.92700000008</v>
      </c>
    </row>
    <row r="1240" spans="1:25" x14ac:dyDescent="0.3">
      <c r="B1240" s="249"/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8E16-973C-4157-B6C0-FD031264B393}">
  <sheetPr>
    <tabColor theme="0" tint="-0.499984740745262"/>
  </sheetPr>
  <dimension ref="A1:Y1240"/>
  <sheetViews>
    <sheetView topLeftCell="A182" zoomScale="55" zoomScaleNormal="55" workbookViewId="0">
      <selection activeCell="V219" sqref="V219"/>
    </sheetView>
  </sheetViews>
  <sheetFormatPr defaultRowHeight="16.5" x14ac:dyDescent="0.3"/>
  <cols>
    <col min="1" max="1" width="6.625" customWidth="1"/>
    <col min="2" max="2" width="20" bestFit="1" customWidth="1"/>
    <col min="5" max="5" width="27.125" customWidth="1"/>
    <col min="10" max="22" width="15.5" customWidth="1"/>
    <col min="23" max="23" width="2.25" customWidth="1"/>
    <col min="24" max="24" width="12.75" bestFit="1" customWidth="1"/>
    <col min="25" max="25" width="14" bestFit="1" customWidth="1"/>
  </cols>
  <sheetData>
    <row r="1" spans="1:25" x14ac:dyDescent="0.3">
      <c r="C1" s="249"/>
      <c r="D1" s="249"/>
      <c r="E1" s="250"/>
    </row>
    <row r="2" spans="1:25" ht="26.25" x14ac:dyDescent="0.3">
      <c r="B2" s="249"/>
      <c r="C2" s="251" t="s">
        <v>8975</v>
      </c>
      <c r="D2" s="252"/>
      <c r="E2" s="253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</row>
    <row r="3" spans="1:25" ht="26.25" x14ac:dyDescent="0.3">
      <c r="B3" s="249"/>
      <c r="C3" s="251"/>
      <c r="D3" s="252"/>
      <c r="E3" s="253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</row>
    <row r="4" spans="1:25" x14ac:dyDescent="0.3">
      <c r="B4" t="s">
        <v>894</v>
      </c>
      <c r="E4" s="254"/>
      <c r="Q4" s="303"/>
      <c r="S4" s="303"/>
      <c r="V4" s="255" t="s">
        <v>896</v>
      </c>
    </row>
    <row r="5" spans="1:25" x14ac:dyDescent="0.3">
      <c r="A5" s="249"/>
      <c r="B5" s="249"/>
      <c r="C5" s="256" t="s">
        <v>8976</v>
      </c>
      <c r="D5" s="256"/>
      <c r="E5" s="257"/>
      <c r="F5" s="258" t="s">
        <v>898</v>
      </c>
      <c r="G5" s="259" t="s">
        <v>899</v>
      </c>
      <c r="H5" s="260" t="s">
        <v>900</v>
      </c>
      <c r="I5" s="261" t="s">
        <v>901</v>
      </c>
      <c r="J5" s="262">
        <v>1</v>
      </c>
      <c r="K5" s="263">
        <v>2</v>
      </c>
      <c r="L5" s="263">
        <v>3</v>
      </c>
      <c r="M5" s="263">
        <v>4</v>
      </c>
      <c r="N5" s="263">
        <v>5</v>
      </c>
      <c r="O5" s="263">
        <v>6</v>
      </c>
      <c r="P5" s="263">
        <v>7</v>
      </c>
      <c r="Q5" s="263">
        <v>8</v>
      </c>
      <c r="R5" s="263">
        <v>9</v>
      </c>
      <c r="S5" s="263">
        <v>10</v>
      </c>
      <c r="T5" s="263">
        <v>11</v>
      </c>
      <c r="U5" s="264">
        <v>12</v>
      </c>
      <c r="V5" s="265" t="s">
        <v>902</v>
      </c>
      <c r="W5" s="249"/>
      <c r="X5" s="266" t="s">
        <v>903</v>
      </c>
      <c r="Y5" s="260" t="s">
        <v>904</v>
      </c>
    </row>
    <row r="6" spans="1:25" x14ac:dyDescent="0.3">
      <c r="C6" s="267" t="s">
        <v>905</v>
      </c>
      <c r="D6" s="267"/>
      <c r="E6" s="268"/>
      <c r="F6" s="269"/>
      <c r="G6" s="270"/>
      <c r="H6" s="271"/>
      <c r="I6" s="272"/>
      <c r="J6" s="273">
        <v>756217.02099999995</v>
      </c>
      <c r="K6" s="274">
        <v>2360739.5640000002</v>
      </c>
      <c r="L6" s="274">
        <v>1901029.02</v>
      </c>
      <c r="M6" s="274">
        <v>645728.70500000007</v>
      </c>
      <c r="N6" s="274">
        <v>-191939.83100000001</v>
      </c>
      <c r="O6" s="274">
        <v>167372.33100000001</v>
      </c>
      <c r="P6" s="274">
        <v>1111644.19</v>
      </c>
      <c r="Q6" s="274">
        <v>809644.01600000006</v>
      </c>
      <c r="R6" s="274">
        <v>-7153243.4640000006</v>
      </c>
      <c r="S6" s="274">
        <v>20031.726999999999</v>
      </c>
      <c r="T6" s="274">
        <v>0</v>
      </c>
      <c r="U6" s="275">
        <v>-41136.561000000002</v>
      </c>
      <c r="V6" s="276">
        <v>386086.71799999924</v>
      </c>
      <c r="W6" s="277"/>
      <c r="X6" s="278">
        <v>-41136.561000000002</v>
      </c>
      <c r="Y6" s="279">
        <v>386086.71799999924</v>
      </c>
    </row>
    <row r="7" spans="1:25" ht="33" x14ac:dyDescent="0.3">
      <c r="A7" s="248" t="s">
        <v>58</v>
      </c>
      <c r="B7" s="248"/>
      <c r="C7" s="280" t="s">
        <v>906</v>
      </c>
      <c r="D7" s="281"/>
      <c r="E7" s="282"/>
      <c r="F7" s="283" t="s">
        <v>907</v>
      </c>
      <c r="G7" s="284"/>
      <c r="H7" s="285"/>
      <c r="I7" s="286"/>
      <c r="J7" s="287">
        <v>756217.02099999995</v>
      </c>
      <c r="K7" s="288">
        <v>2360739.5640000002</v>
      </c>
      <c r="L7" s="288">
        <v>1901029.02</v>
      </c>
      <c r="M7" s="288">
        <v>645728.70500000007</v>
      </c>
      <c r="N7" s="288">
        <v>-191939.83100000001</v>
      </c>
      <c r="O7" s="288">
        <v>167372.33100000001</v>
      </c>
      <c r="P7" s="288">
        <v>1111644.19</v>
      </c>
      <c r="Q7" s="288">
        <v>809644.01600000006</v>
      </c>
      <c r="R7" s="288">
        <v>-7153243.4640000006</v>
      </c>
      <c r="S7" s="288">
        <v>20031.726999999999</v>
      </c>
      <c r="T7" s="288">
        <v>0</v>
      </c>
      <c r="U7" s="289">
        <v>-41136.561000000002</v>
      </c>
      <c r="V7" s="290">
        <v>386086.71799999865</v>
      </c>
      <c r="W7" s="277"/>
      <c r="X7" s="291">
        <v>-41136.561000000002</v>
      </c>
      <c r="Y7" s="292">
        <v>386086.71799999865</v>
      </c>
    </row>
    <row r="8" spans="1:25" x14ac:dyDescent="0.3">
      <c r="A8" s="233"/>
      <c r="B8" s="234" t="s">
        <v>0</v>
      </c>
      <c r="D8" s="293" t="s">
        <v>908</v>
      </c>
      <c r="E8" s="294"/>
      <c r="F8" s="295" t="s">
        <v>909</v>
      </c>
      <c r="G8" s="296"/>
      <c r="H8" s="297"/>
      <c r="I8" s="298"/>
      <c r="J8" s="299">
        <v>0</v>
      </c>
      <c r="K8" s="300">
        <v>0</v>
      </c>
      <c r="L8" s="300">
        <v>0</v>
      </c>
      <c r="M8" s="300">
        <v>0</v>
      </c>
      <c r="N8" s="300">
        <v>0</v>
      </c>
      <c r="O8" s="300">
        <v>0</v>
      </c>
      <c r="P8" s="300">
        <v>0</v>
      </c>
      <c r="Q8" s="300">
        <v>0</v>
      </c>
      <c r="R8" s="300">
        <v>0</v>
      </c>
      <c r="S8" s="300">
        <v>0</v>
      </c>
      <c r="T8" s="300">
        <v>0</v>
      </c>
      <c r="U8" s="301">
        <v>0</v>
      </c>
      <c r="V8" s="302">
        <v>0</v>
      </c>
      <c r="W8" s="303"/>
      <c r="X8" s="304">
        <v>0</v>
      </c>
      <c r="Y8" s="305">
        <v>0</v>
      </c>
    </row>
    <row r="9" spans="1:25" x14ac:dyDescent="0.3">
      <c r="E9" s="250" t="s">
        <v>910</v>
      </c>
      <c r="F9" s="306">
        <v>4100101</v>
      </c>
      <c r="G9" s="307"/>
      <c r="H9" s="308">
        <v>4100010103</v>
      </c>
      <c r="I9" s="309"/>
      <c r="J9" s="310">
        <v>0</v>
      </c>
      <c r="K9" s="311">
        <v>0</v>
      </c>
      <c r="L9" s="311">
        <v>0</v>
      </c>
      <c r="M9" s="311">
        <v>0</v>
      </c>
      <c r="N9" s="311">
        <v>0</v>
      </c>
      <c r="O9" s="311">
        <v>0</v>
      </c>
      <c r="P9" s="311">
        <v>0</v>
      </c>
      <c r="Q9" s="311">
        <v>0</v>
      </c>
      <c r="R9" s="311">
        <v>0</v>
      </c>
      <c r="S9" s="311">
        <v>0</v>
      </c>
      <c r="T9" s="311">
        <v>0</v>
      </c>
      <c r="U9" s="312">
        <v>0</v>
      </c>
      <c r="V9" s="313">
        <v>0</v>
      </c>
      <c r="W9" s="314"/>
      <c r="X9" s="315">
        <v>0</v>
      </c>
      <c r="Y9" s="316">
        <v>0</v>
      </c>
    </row>
    <row r="10" spans="1:25" x14ac:dyDescent="0.3">
      <c r="E10" s="250" t="s">
        <v>911</v>
      </c>
      <c r="F10" s="317">
        <v>4100102</v>
      </c>
      <c r="G10" s="318"/>
      <c r="H10" s="319">
        <v>4100010101</v>
      </c>
      <c r="I10" s="320"/>
      <c r="J10" s="310">
        <v>0</v>
      </c>
      <c r="K10" s="321">
        <v>0</v>
      </c>
      <c r="L10" s="321">
        <v>0</v>
      </c>
      <c r="M10" s="321">
        <v>0</v>
      </c>
      <c r="N10" s="321">
        <v>0</v>
      </c>
      <c r="O10" s="321">
        <v>0</v>
      </c>
      <c r="P10" s="321">
        <v>0</v>
      </c>
      <c r="Q10" s="321">
        <v>0</v>
      </c>
      <c r="R10" s="321">
        <v>0</v>
      </c>
      <c r="S10" s="321">
        <v>0</v>
      </c>
      <c r="T10" s="321">
        <v>0</v>
      </c>
      <c r="U10" s="322">
        <v>0</v>
      </c>
      <c r="V10" s="323">
        <v>0</v>
      </c>
      <c r="W10" s="303"/>
      <c r="X10" s="324">
        <v>0</v>
      </c>
      <c r="Y10" s="325">
        <v>0</v>
      </c>
    </row>
    <row r="11" spans="1:25" x14ac:dyDescent="0.3">
      <c r="E11" s="250" t="s">
        <v>912</v>
      </c>
      <c r="F11" s="317">
        <v>4100103</v>
      </c>
      <c r="G11" s="318"/>
      <c r="H11" s="319">
        <v>4100010105</v>
      </c>
      <c r="I11" s="320"/>
      <c r="J11" s="310">
        <v>0</v>
      </c>
      <c r="K11" s="321">
        <v>0</v>
      </c>
      <c r="L11" s="321">
        <v>0</v>
      </c>
      <c r="M11" s="321">
        <v>0</v>
      </c>
      <c r="N11" s="321">
        <v>0</v>
      </c>
      <c r="O11" s="321">
        <v>0</v>
      </c>
      <c r="P11" s="321">
        <v>0</v>
      </c>
      <c r="Q11" s="321">
        <v>0</v>
      </c>
      <c r="R11" s="321">
        <v>0</v>
      </c>
      <c r="S11" s="321">
        <v>0</v>
      </c>
      <c r="T11" s="321">
        <v>0</v>
      </c>
      <c r="U11" s="322">
        <v>0</v>
      </c>
      <c r="V11" s="323">
        <v>0</v>
      </c>
      <c r="W11" s="303"/>
      <c r="X11" s="324">
        <v>0</v>
      </c>
      <c r="Y11" s="325">
        <v>0</v>
      </c>
    </row>
    <row r="12" spans="1:25" x14ac:dyDescent="0.3">
      <c r="E12" s="250" t="s">
        <v>913</v>
      </c>
      <c r="F12" s="317">
        <v>4100104</v>
      </c>
      <c r="G12" s="318"/>
      <c r="H12" s="319"/>
      <c r="I12" s="320"/>
      <c r="J12" s="310">
        <v>0</v>
      </c>
      <c r="K12" s="321">
        <v>0</v>
      </c>
      <c r="L12" s="321">
        <v>0</v>
      </c>
      <c r="M12" s="321">
        <v>0</v>
      </c>
      <c r="N12" s="321">
        <v>0</v>
      </c>
      <c r="O12" s="321">
        <v>0</v>
      </c>
      <c r="P12" s="321">
        <v>0</v>
      </c>
      <c r="Q12" s="321">
        <v>0</v>
      </c>
      <c r="R12" s="321">
        <v>0</v>
      </c>
      <c r="S12" s="321">
        <v>0</v>
      </c>
      <c r="T12" s="321">
        <v>0</v>
      </c>
      <c r="U12" s="322">
        <v>0</v>
      </c>
      <c r="V12" s="323">
        <v>0</v>
      </c>
      <c r="W12" s="303"/>
      <c r="X12" s="324">
        <v>0</v>
      </c>
      <c r="Y12" s="325">
        <v>0</v>
      </c>
    </row>
    <row r="13" spans="1:25" x14ac:dyDescent="0.3">
      <c r="E13" s="250" t="s">
        <v>914</v>
      </c>
      <c r="F13" s="317">
        <v>4100190</v>
      </c>
      <c r="G13" s="318"/>
      <c r="H13" s="319"/>
      <c r="I13" s="320"/>
      <c r="J13" s="310">
        <v>0</v>
      </c>
      <c r="K13" s="321">
        <v>0</v>
      </c>
      <c r="L13" s="321">
        <v>0</v>
      </c>
      <c r="M13" s="321">
        <v>0</v>
      </c>
      <c r="N13" s="321">
        <v>0</v>
      </c>
      <c r="O13" s="321">
        <v>0</v>
      </c>
      <c r="P13" s="321">
        <v>0</v>
      </c>
      <c r="Q13" s="321">
        <v>0</v>
      </c>
      <c r="R13" s="321">
        <v>0</v>
      </c>
      <c r="S13" s="321">
        <v>0</v>
      </c>
      <c r="T13" s="321">
        <v>0</v>
      </c>
      <c r="U13" s="322">
        <v>0</v>
      </c>
      <c r="V13" s="323">
        <v>0</v>
      </c>
      <c r="W13" s="303"/>
      <c r="X13" s="324">
        <v>0</v>
      </c>
      <c r="Y13" s="325">
        <v>0</v>
      </c>
    </row>
    <row r="14" spans="1:25" x14ac:dyDescent="0.3">
      <c r="A14" s="326"/>
      <c r="B14" s="326"/>
      <c r="C14" s="326"/>
      <c r="D14" s="326"/>
      <c r="E14" s="250" t="s">
        <v>915</v>
      </c>
      <c r="F14" s="317">
        <v>4100191</v>
      </c>
      <c r="G14" s="327"/>
      <c r="H14" s="328">
        <v>4100010107</v>
      </c>
      <c r="I14" s="329"/>
      <c r="J14" s="310">
        <v>0</v>
      </c>
      <c r="K14" s="330">
        <v>0</v>
      </c>
      <c r="L14" s="330">
        <v>0</v>
      </c>
      <c r="M14" s="330">
        <v>0</v>
      </c>
      <c r="N14" s="330">
        <v>0</v>
      </c>
      <c r="O14" s="330">
        <v>0</v>
      </c>
      <c r="P14" s="330">
        <v>0</v>
      </c>
      <c r="Q14" s="330">
        <v>0</v>
      </c>
      <c r="R14" s="330">
        <v>0</v>
      </c>
      <c r="S14" s="330">
        <v>0</v>
      </c>
      <c r="T14" s="330">
        <v>0</v>
      </c>
      <c r="U14" s="331">
        <v>0</v>
      </c>
      <c r="V14" s="332">
        <v>0</v>
      </c>
      <c r="W14" s="333"/>
      <c r="X14" s="334">
        <v>0</v>
      </c>
      <c r="Y14" s="335">
        <v>0</v>
      </c>
    </row>
    <row r="15" spans="1:25" x14ac:dyDescent="0.3">
      <c r="A15" s="326"/>
      <c r="B15" s="326"/>
      <c r="C15" s="326"/>
      <c r="D15" s="326"/>
      <c r="E15" s="326" t="s">
        <v>916</v>
      </c>
      <c r="F15" s="336"/>
      <c r="G15" s="327"/>
      <c r="H15" s="328"/>
      <c r="I15" s="329"/>
      <c r="J15" s="310">
        <v>0</v>
      </c>
      <c r="K15" s="330">
        <v>0</v>
      </c>
      <c r="L15" s="330">
        <v>0</v>
      </c>
      <c r="M15" s="330">
        <v>0</v>
      </c>
      <c r="N15" s="330">
        <v>0</v>
      </c>
      <c r="O15" s="330">
        <v>0</v>
      </c>
      <c r="P15" s="330">
        <v>0</v>
      </c>
      <c r="Q15" s="330">
        <v>0</v>
      </c>
      <c r="R15" s="330">
        <v>0</v>
      </c>
      <c r="S15" s="330">
        <v>0</v>
      </c>
      <c r="T15" s="330">
        <v>0</v>
      </c>
      <c r="U15" s="331">
        <v>0</v>
      </c>
      <c r="V15" s="332">
        <v>0</v>
      </c>
      <c r="W15" s="333"/>
      <c r="X15" s="334">
        <v>0</v>
      </c>
      <c r="Y15" s="335">
        <v>0</v>
      </c>
    </row>
    <row r="16" spans="1:25" x14ac:dyDescent="0.3">
      <c r="A16" s="326"/>
      <c r="B16" s="326"/>
      <c r="C16" s="326"/>
      <c r="D16" s="326"/>
      <c r="E16" s="326" t="s">
        <v>917</v>
      </c>
      <c r="F16" s="336"/>
      <c r="G16" s="327"/>
      <c r="H16" s="328"/>
      <c r="I16" s="329"/>
      <c r="J16" s="310">
        <v>0</v>
      </c>
      <c r="K16" s="330">
        <v>0</v>
      </c>
      <c r="L16" s="330">
        <v>0</v>
      </c>
      <c r="M16" s="330">
        <v>0</v>
      </c>
      <c r="N16" s="330">
        <v>0</v>
      </c>
      <c r="O16" s="330">
        <v>0</v>
      </c>
      <c r="P16" s="330">
        <v>0</v>
      </c>
      <c r="Q16" s="330">
        <v>0</v>
      </c>
      <c r="R16" s="330">
        <v>0</v>
      </c>
      <c r="S16" s="330">
        <v>0</v>
      </c>
      <c r="T16" s="330">
        <v>0</v>
      </c>
      <c r="U16" s="331">
        <v>0</v>
      </c>
      <c r="V16" s="332">
        <v>0</v>
      </c>
      <c r="W16" s="333"/>
      <c r="X16" s="334">
        <v>0</v>
      </c>
      <c r="Y16" s="335">
        <v>0</v>
      </c>
    </row>
    <row r="17" spans="1:25" x14ac:dyDescent="0.3">
      <c r="A17" s="326"/>
      <c r="B17" s="326"/>
      <c r="C17" s="326"/>
      <c r="D17" s="326"/>
      <c r="E17" s="326" t="s">
        <v>918</v>
      </c>
      <c r="F17" s="336"/>
      <c r="G17" s="327"/>
      <c r="H17" s="328"/>
      <c r="I17" s="329"/>
      <c r="J17" s="310">
        <v>0</v>
      </c>
      <c r="K17" s="330">
        <v>0</v>
      </c>
      <c r="L17" s="330">
        <v>0</v>
      </c>
      <c r="M17" s="330">
        <v>0</v>
      </c>
      <c r="N17" s="330">
        <v>0</v>
      </c>
      <c r="O17" s="330">
        <v>0</v>
      </c>
      <c r="P17" s="330">
        <v>0</v>
      </c>
      <c r="Q17" s="330">
        <v>0</v>
      </c>
      <c r="R17" s="330">
        <v>0</v>
      </c>
      <c r="S17" s="330">
        <v>0</v>
      </c>
      <c r="T17" s="330">
        <v>0</v>
      </c>
      <c r="U17" s="331">
        <v>0</v>
      </c>
      <c r="V17" s="332">
        <v>0</v>
      </c>
      <c r="W17" s="333"/>
      <c r="X17" s="334">
        <v>0</v>
      </c>
      <c r="Y17" s="335">
        <v>0</v>
      </c>
    </row>
    <row r="18" spans="1:25" x14ac:dyDescent="0.3">
      <c r="A18" s="233"/>
      <c r="B18" s="234" t="s">
        <v>1</v>
      </c>
      <c r="D18" s="293" t="s">
        <v>919</v>
      </c>
      <c r="E18" s="294"/>
      <c r="F18" s="295" t="s">
        <v>920</v>
      </c>
      <c r="G18" s="296"/>
      <c r="H18" s="297"/>
      <c r="I18" s="298"/>
      <c r="J18" s="299">
        <v>0</v>
      </c>
      <c r="K18" s="300">
        <v>0</v>
      </c>
      <c r="L18" s="300">
        <v>0</v>
      </c>
      <c r="M18" s="300">
        <v>0</v>
      </c>
      <c r="N18" s="300">
        <v>0</v>
      </c>
      <c r="O18" s="300">
        <v>0</v>
      </c>
      <c r="P18" s="300">
        <v>0</v>
      </c>
      <c r="Q18" s="300">
        <v>0</v>
      </c>
      <c r="R18" s="300">
        <v>0</v>
      </c>
      <c r="S18" s="300">
        <v>0</v>
      </c>
      <c r="T18" s="300">
        <v>0</v>
      </c>
      <c r="U18" s="301">
        <v>0</v>
      </c>
      <c r="V18" s="302">
        <v>0</v>
      </c>
      <c r="W18" s="303"/>
      <c r="X18" s="304">
        <v>0</v>
      </c>
      <c r="Y18" s="305">
        <v>0</v>
      </c>
    </row>
    <row r="19" spans="1:25" x14ac:dyDescent="0.3">
      <c r="E19" s="250" t="s">
        <v>921</v>
      </c>
      <c r="F19" s="317">
        <v>4100200</v>
      </c>
      <c r="G19" s="318"/>
      <c r="H19" s="319">
        <v>4100010109</v>
      </c>
      <c r="I19" s="320"/>
      <c r="J19" s="337">
        <v>0</v>
      </c>
      <c r="K19" s="321">
        <v>0</v>
      </c>
      <c r="L19" s="321">
        <v>0</v>
      </c>
      <c r="M19" s="321">
        <v>0</v>
      </c>
      <c r="N19" s="321">
        <v>0</v>
      </c>
      <c r="O19" s="321">
        <v>0</v>
      </c>
      <c r="P19" s="321">
        <v>0</v>
      </c>
      <c r="Q19" s="321">
        <v>0</v>
      </c>
      <c r="R19" s="321">
        <v>0</v>
      </c>
      <c r="S19" s="321">
        <v>0</v>
      </c>
      <c r="T19" s="321">
        <v>0</v>
      </c>
      <c r="U19" s="322">
        <v>0</v>
      </c>
      <c r="V19" s="323">
        <v>0</v>
      </c>
      <c r="W19" s="303"/>
      <c r="X19" s="324">
        <v>0</v>
      </c>
      <c r="Y19" s="325">
        <v>0</v>
      </c>
    </row>
    <row r="20" spans="1:25" x14ac:dyDescent="0.3">
      <c r="A20" s="326"/>
      <c r="B20" s="326"/>
      <c r="C20" s="326"/>
      <c r="D20" s="326"/>
      <c r="E20" s="326" t="s">
        <v>922</v>
      </c>
      <c r="F20" s="336"/>
      <c r="G20" s="327"/>
      <c r="H20" s="328"/>
      <c r="I20" s="329"/>
      <c r="J20" s="338">
        <v>0</v>
      </c>
      <c r="K20" s="330">
        <v>0</v>
      </c>
      <c r="L20" s="330">
        <v>0</v>
      </c>
      <c r="M20" s="330">
        <v>0</v>
      </c>
      <c r="N20" s="330">
        <v>0</v>
      </c>
      <c r="O20" s="330">
        <v>0</v>
      </c>
      <c r="P20" s="330">
        <v>0</v>
      </c>
      <c r="Q20" s="330">
        <v>0</v>
      </c>
      <c r="R20" s="330">
        <v>0</v>
      </c>
      <c r="S20" s="330">
        <v>0</v>
      </c>
      <c r="T20" s="330">
        <v>0</v>
      </c>
      <c r="U20" s="331">
        <v>0</v>
      </c>
      <c r="V20" s="332">
        <v>0</v>
      </c>
      <c r="W20" s="333"/>
      <c r="X20" s="334">
        <v>0</v>
      </c>
      <c r="Y20" s="335">
        <v>0</v>
      </c>
    </row>
    <row r="21" spans="1:25" x14ac:dyDescent="0.3">
      <c r="A21" s="326"/>
      <c r="B21" s="326"/>
      <c r="C21" s="326"/>
      <c r="D21" s="326"/>
      <c r="E21" s="326" t="s">
        <v>923</v>
      </c>
      <c r="F21" s="336"/>
      <c r="G21" s="327"/>
      <c r="H21" s="328"/>
      <c r="I21" s="329"/>
      <c r="J21" s="338">
        <v>0</v>
      </c>
      <c r="K21" s="330">
        <v>0</v>
      </c>
      <c r="L21" s="330">
        <v>0</v>
      </c>
      <c r="M21" s="330">
        <v>0</v>
      </c>
      <c r="N21" s="330">
        <v>0</v>
      </c>
      <c r="O21" s="330">
        <v>0</v>
      </c>
      <c r="P21" s="330">
        <v>0</v>
      </c>
      <c r="Q21" s="330">
        <v>0</v>
      </c>
      <c r="R21" s="330">
        <v>0</v>
      </c>
      <c r="S21" s="330">
        <v>0</v>
      </c>
      <c r="T21" s="330">
        <v>0</v>
      </c>
      <c r="U21" s="331">
        <v>0</v>
      </c>
      <c r="V21" s="332">
        <v>0</v>
      </c>
      <c r="W21" s="333"/>
      <c r="X21" s="334">
        <v>0</v>
      </c>
      <c r="Y21" s="335">
        <v>0</v>
      </c>
    </row>
    <row r="22" spans="1:25" x14ac:dyDescent="0.3">
      <c r="A22" s="326"/>
      <c r="B22" s="326"/>
      <c r="C22" s="326"/>
      <c r="D22" s="326"/>
      <c r="E22" s="326" t="s">
        <v>924</v>
      </c>
      <c r="F22" s="336"/>
      <c r="G22" s="327"/>
      <c r="H22" s="328"/>
      <c r="I22" s="329"/>
      <c r="J22" s="338">
        <v>0</v>
      </c>
      <c r="K22" s="330">
        <v>0</v>
      </c>
      <c r="L22" s="330">
        <v>0</v>
      </c>
      <c r="M22" s="330">
        <v>0</v>
      </c>
      <c r="N22" s="330">
        <v>0</v>
      </c>
      <c r="O22" s="330">
        <v>0</v>
      </c>
      <c r="P22" s="330">
        <v>0</v>
      </c>
      <c r="Q22" s="330">
        <v>0</v>
      </c>
      <c r="R22" s="330">
        <v>0</v>
      </c>
      <c r="S22" s="330">
        <v>0</v>
      </c>
      <c r="T22" s="330">
        <v>0</v>
      </c>
      <c r="U22" s="331">
        <v>0</v>
      </c>
      <c r="V22" s="332">
        <v>0</v>
      </c>
      <c r="W22" s="333"/>
      <c r="X22" s="334">
        <v>0</v>
      </c>
      <c r="Y22" s="335">
        <v>0</v>
      </c>
    </row>
    <row r="23" spans="1:25" x14ac:dyDescent="0.3">
      <c r="A23" s="233"/>
      <c r="B23" s="234" t="s">
        <v>59</v>
      </c>
      <c r="D23" s="293" t="s">
        <v>925</v>
      </c>
      <c r="E23" s="294"/>
      <c r="F23" s="295" t="s">
        <v>926</v>
      </c>
      <c r="G23" s="296"/>
      <c r="H23" s="297"/>
      <c r="I23" s="298"/>
      <c r="J23" s="299">
        <v>-45230.349000000002</v>
      </c>
      <c r="K23" s="300">
        <v>-62747.913999999997</v>
      </c>
      <c r="L23" s="300">
        <v>-247369.06200000001</v>
      </c>
      <c r="M23" s="300">
        <v>-244626.97399999999</v>
      </c>
      <c r="N23" s="300">
        <v>-33396.672999999995</v>
      </c>
      <c r="O23" s="300">
        <v>-30259.078000000001</v>
      </c>
      <c r="P23" s="300">
        <v>-31394.5</v>
      </c>
      <c r="Q23" s="300">
        <v>-28536.661</v>
      </c>
      <c r="R23" s="300">
        <v>708881.99300000002</v>
      </c>
      <c r="S23" s="300">
        <v>0</v>
      </c>
      <c r="T23" s="300">
        <v>0</v>
      </c>
      <c r="U23" s="301">
        <v>0</v>
      </c>
      <c r="V23" s="302">
        <v>-14679.217999999999</v>
      </c>
      <c r="W23" s="303"/>
      <c r="X23" s="304">
        <v>0</v>
      </c>
      <c r="Y23" s="305">
        <v>-14679.217999999999</v>
      </c>
    </row>
    <row r="24" spans="1:25" x14ac:dyDescent="0.3">
      <c r="E24" s="339" t="s">
        <v>927</v>
      </c>
      <c r="F24" s="340" t="s">
        <v>928</v>
      </c>
      <c r="G24" s="341"/>
      <c r="H24" s="342"/>
      <c r="I24" s="343"/>
      <c r="J24" s="344">
        <v>-45230.349000000002</v>
      </c>
      <c r="K24" s="345">
        <v>-62747.913999999997</v>
      </c>
      <c r="L24" s="345">
        <v>0</v>
      </c>
      <c r="M24" s="345">
        <v>270</v>
      </c>
      <c r="N24" s="345">
        <v>-4124.5</v>
      </c>
      <c r="O24" s="345">
        <v>-4305.5</v>
      </c>
      <c r="P24" s="345">
        <v>0</v>
      </c>
      <c r="Q24" s="345">
        <v>0</v>
      </c>
      <c r="R24" s="345">
        <v>101459.045</v>
      </c>
      <c r="S24" s="345">
        <v>0</v>
      </c>
      <c r="T24" s="345">
        <v>0</v>
      </c>
      <c r="U24" s="346">
        <v>0</v>
      </c>
      <c r="V24" s="347">
        <v>-14679.217999999999</v>
      </c>
      <c r="W24" s="303"/>
      <c r="X24" s="348">
        <v>0</v>
      </c>
      <c r="Y24" s="349">
        <v>-14679.217999999999</v>
      </c>
    </row>
    <row r="25" spans="1:25" x14ac:dyDescent="0.3">
      <c r="E25" s="250" t="s">
        <v>929</v>
      </c>
      <c r="F25" s="317">
        <v>4100408</v>
      </c>
      <c r="G25" s="318"/>
      <c r="H25" s="319"/>
      <c r="I25" s="320"/>
      <c r="J25" s="337">
        <v>40.1</v>
      </c>
      <c r="K25" s="321">
        <v>0</v>
      </c>
      <c r="L25" s="321">
        <v>0</v>
      </c>
      <c r="M25" s="321">
        <v>0</v>
      </c>
      <c r="N25" s="321">
        <v>0</v>
      </c>
      <c r="O25" s="321">
        <v>0</v>
      </c>
      <c r="P25" s="321">
        <v>0</v>
      </c>
      <c r="Q25" s="321">
        <v>0</v>
      </c>
      <c r="R25" s="321">
        <v>0</v>
      </c>
      <c r="S25" s="321">
        <v>0</v>
      </c>
      <c r="T25" s="321">
        <v>0</v>
      </c>
      <c r="U25" s="322">
        <v>0</v>
      </c>
      <c r="V25" s="323">
        <v>40.1</v>
      </c>
      <c r="W25" s="303"/>
      <c r="X25" s="324">
        <v>0</v>
      </c>
      <c r="Y25" s="325">
        <v>40.1</v>
      </c>
    </row>
    <row r="26" spans="1:25" x14ac:dyDescent="0.3">
      <c r="E26" s="250" t="s">
        <v>930</v>
      </c>
      <c r="F26" s="317">
        <v>4303206</v>
      </c>
      <c r="G26" s="318"/>
      <c r="H26" s="319"/>
      <c r="I26" s="320"/>
      <c r="J26" s="337">
        <v>0</v>
      </c>
      <c r="K26" s="321">
        <v>0</v>
      </c>
      <c r="L26" s="321">
        <v>0</v>
      </c>
      <c r="M26" s="321">
        <v>0</v>
      </c>
      <c r="N26" s="321">
        <v>0</v>
      </c>
      <c r="O26" s="321">
        <v>0</v>
      </c>
      <c r="P26" s="321">
        <v>0</v>
      </c>
      <c r="Q26" s="321">
        <v>0</v>
      </c>
      <c r="R26" s="321">
        <v>0</v>
      </c>
      <c r="S26" s="321">
        <v>0</v>
      </c>
      <c r="T26" s="321">
        <v>0</v>
      </c>
      <c r="U26" s="322">
        <v>0</v>
      </c>
      <c r="V26" s="323">
        <v>0</v>
      </c>
      <c r="W26" s="303"/>
      <c r="X26" s="324">
        <v>0</v>
      </c>
      <c r="Y26" s="325">
        <v>0</v>
      </c>
    </row>
    <row r="27" spans="1:25" x14ac:dyDescent="0.3">
      <c r="E27" s="250" t="s">
        <v>931</v>
      </c>
      <c r="F27" s="317">
        <v>4303207</v>
      </c>
      <c r="G27" s="318"/>
      <c r="H27" s="319"/>
      <c r="I27" s="320"/>
      <c r="J27" s="337">
        <v>-45270.449000000001</v>
      </c>
      <c r="K27" s="321">
        <v>-62747.913999999997</v>
      </c>
      <c r="L27" s="321">
        <v>0</v>
      </c>
      <c r="M27" s="321">
        <v>0</v>
      </c>
      <c r="N27" s="321">
        <v>0</v>
      </c>
      <c r="O27" s="321">
        <v>0</v>
      </c>
      <c r="P27" s="321">
        <v>0</v>
      </c>
      <c r="Q27" s="321">
        <v>0</v>
      </c>
      <c r="R27" s="321">
        <v>93029.044999999998</v>
      </c>
      <c r="S27" s="321">
        <v>0</v>
      </c>
      <c r="T27" s="321">
        <v>0</v>
      </c>
      <c r="U27" s="322">
        <v>0</v>
      </c>
      <c r="V27" s="323">
        <v>-14989.317999999999</v>
      </c>
      <c r="W27" s="303"/>
      <c r="X27" s="324">
        <v>0</v>
      </c>
      <c r="Y27" s="325">
        <v>-14989.317999999999</v>
      </c>
    </row>
    <row r="28" spans="1:25" x14ac:dyDescent="0.3">
      <c r="E28" s="250" t="s">
        <v>932</v>
      </c>
      <c r="F28" s="317">
        <v>4100182</v>
      </c>
      <c r="G28" s="318"/>
      <c r="H28" s="319">
        <v>4100010111</v>
      </c>
      <c r="I28" s="320"/>
      <c r="J28" s="337">
        <v>0</v>
      </c>
      <c r="K28" s="321">
        <v>0</v>
      </c>
      <c r="L28" s="321">
        <v>0</v>
      </c>
      <c r="M28" s="321">
        <v>0</v>
      </c>
      <c r="N28" s="321">
        <v>0</v>
      </c>
      <c r="O28" s="321">
        <v>0</v>
      </c>
      <c r="P28" s="321">
        <v>0</v>
      </c>
      <c r="Q28" s="321">
        <v>0</v>
      </c>
      <c r="R28" s="321">
        <v>0</v>
      </c>
      <c r="S28" s="321">
        <v>0</v>
      </c>
      <c r="T28" s="321">
        <v>0</v>
      </c>
      <c r="U28" s="322">
        <v>0</v>
      </c>
      <c r="V28" s="323">
        <v>0</v>
      </c>
      <c r="W28" s="303"/>
      <c r="X28" s="324">
        <v>0</v>
      </c>
      <c r="Y28" s="325">
        <v>0</v>
      </c>
    </row>
    <row r="29" spans="1:25" x14ac:dyDescent="0.3">
      <c r="A29" s="350"/>
      <c r="B29" s="350"/>
      <c r="C29" s="350"/>
      <c r="D29" s="350"/>
      <c r="E29" s="350" t="s">
        <v>933</v>
      </c>
      <c r="F29" s="306">
        <v>4303301</v>
      </c>
      <c r="G29" s="307"/>
      <c r="H29" s="308"/>
      <c r="I29" s="309"/>
      <c r="J29" s="310">
        <v>0</v>
      </c>
      <c r="K29" s="311">
        <v>0</v>
      </c>
      <c r="L29" s="311">
        <v>0</v>
      </c>
      <c r="M29" s="311">
        <v>0</v>
      </c>
      <c r="N29" s="311">
        <v>-4124.5</v>
      </c>
      <c r="O29" s="311">
        <v>-4305.5</v>
      </c>
      <c r="P29" s="311">
        <v>0</v>
      </c>
      <c r="Q29" s="311">
        <v>0</v>
      </c>
      <c r="R29" s="311">
        <v>8430</v>
      </c>
      <c r="S29" s="311">
        <v>0</v>
      </c>
      <c r="T29" s="311">
        <v>0</v>
      </c>
      <c r="U29" s="312">
        <v>0</v>
      </c>
      <c r="V29" s="313">
        <v>0</v>
      </c>
      <c r="W29" s="314"/>
      <c r="X29" s="315">
        <v>0</v>
      </c>
      <c r="Y29" s="316">
        <v>0</v>
      </c>
    </row>
    <row r="30" spans="1:25" x14ac:dyDescent="0.3">
      <c r="A30" s="350"/>
      <c r="B30" s="350"/>
      <c r="C30" s="350"/>
      <c r="D30" s="350"/>
      <c r="E30" s="350" t="s">
        <v>934</v>
      </c>
      <c r="F30" s="306">
        <v>4303302</v>
      </c>
      <c r="G30" s="307">
        <v>4303303</v>
      </c>
      <c r="H30" s="308"/>
      <c r="I30" s="309"/>
      <c r="J30" s="310">
        <v>0</v>
      </c>
      <c r="K30" s="311">
        <v>0</v>
      </c>
      <c r="L30" s="311">
        <v>0</v>
      </c>
      <c r="M30" s="311">
        <v>270</v>
      </c>
      <c r="N30" s="311">
        <v>0</v>
      </c>
      <c r="O30" s="311">
        <v>0</v>
      </c>
      <c r="P30" s="311">
        <v>0</v>
      </c>
      <c r="Q30" s="311">
        <v>0</v>
      </c>
      <c r="R30" s="311">
        <v>0</v>
      </c>
      <c r="S30" s="311">
        <v>0</v>
      </c>
      <c r="T30" s="311">
        <v>0</v>
      </c>
      <c r="U30" s="312">
        <v>0</v>
      </c>
      <c r="V30" s="313">
        <v>270</v>
      </c>
      <c r="W30" s="314"/>
      <c r="X30" s="315">
        <v>0</v>
      </c>
      <c r="Y30" s="316">
        <v>270</v>
      </c>
    </row>
    <row r="31" spans="1:25" x14ac:dyDescent="0.3">
      <c r="A31" s="326"/>
      <c r="B31" s="326"/>
      <c r="C31" s="326"/>
      <c r="D31" s="326"/>
      <c r="E31" s="326" t="s">
        <v>935</v>
      </c>
      <c r="F31" s="336"/>
      <c r="G31" s="327"/>
      <c r="H31" s="328"/>
      <c r="I31" s="329"/>
      <c r="J31" s="337">
        <v>0</v>
      </c>
      <c r="K31" s="330">
        <v>0</v>
      </c>
      <c r="L31" s="330">
        <v>0</v>
      </c>
      <c r="M31" s="330">
        <v>0</v>
      </c>
      <c r="N31" s="330">
        <v>0</v>
      </c>
      <c r="O31" s="330">
        <v>0</v>
      </c>
      <c r="P31" s="330">
        <v>0</v>
      </c>
      <c r="Q31" s="330">
        <v>0</v>
      </c>
      <c r="R31" s="330">
        <v>0</v>
      </c>
      <c r="S31" s="330">
        <v>0</v>
      </c>
      <c r="T31" s="330">
        <v>0</v>
      </c>
      <c r="U31" s="331">
        <v>0</v>
      </c>
      <c r="V31" s="332">
        <v>0</v>
      </c>
      <c r="W31" s="333"/>
      <c r="X31" s="334">
        <v>0</v>
      </c>
      <c r="Y31" s="335">
        <v>0</v>
      </c>
    </row>
    <row r="32" spans="1:25" x14ac:dyDescent="0.3">
      <c r="E32" s="339" t="s">
        <v>936</v>
      </c>
      <c r="F32" s="340" t="s">
        <v>937</v>
      </c>
      <c r="G32" s="341"/>
      <c r="H32" s="342"/>
      <c r="I32" s="343"/>
      <c r="J32" s="344">
        <v>0</v>
      </c>
      <c r="K32" s="345">
        <v>0</v>
      </c>
      <c r="L32" s="345">
        <v>0</v>
      </c>
      <c r="M32" s="345">
        <v>0</v>
      </c>
      <c r="N32" s="345">
        <v>0</v>
      </c>
      <c r="O32" s="345">
        <v>0</v>
      </c>
      <c r="P32" s="345">
        <v>0</v>
      </c>
      <c r="Q32" s="345">
        <v>0</v>
      </c>
      <c r="R32" s="345">
        <v>0</v>
      </c>
      <c r="S32" s="345">
        <v>0</v>
      </c>
      <c r="T32" s="345">
        <v>0</v>
      </c>
      <c r="U32" s="346">
        <v>0</v>
      </c>
      <c r="V32" s="347">
        <v>0</v>
      </c>
      <c r="W32" s="303"/>
      <c r="X32" s="348">
        <v>0</v>
      </c>
      <c r="Y32" s="349">
        <v>0</v>
      </c>
    </row>
    <row r="33" spans="1:25" x14ac:dyDescent="0.3">
      <c r="A33" s="350"/>
      <c r="B33" s="350"/>
      <c r="C33" s="350"/>
      <c r="D33" s="350"/>
      <c r="E33" s="350" t="s">
        <v>938</v>
      </c>
      <c r="F33" s="306">
        <v>4303211</v>
      </c>
      <c r="G33" s="307"/>
      <c r="H33" s="308"/>
      <c r="I33" s="309"/>
      <c r="J33" s="310">
        <v>0</v>
      </c>
      <c r="K33" s="311">
        <v>0</v>
      </c>
      <c r="L33" s="311">
        <v>0</v>
      </c>
      <c r="M33" s="311">
        <v>0</v>
      </c>
      <c r="N33" s="311">
        <v>0</v>
      </c>
      <c r="O33" s="311">
        <v>0</v>
      </c>
      <c r="P33" s="311">
        <v>0</v>
      </c>
      <c r="Q33" s="311">
        <v>0</v>
      </c>
      <c r="R33" s="311">
        <v>0</v>
      </c>
      <c r="S33" s="311">
        <v>0</v>
      </c>
      <c r="T33" s="311">
        <v>0</v>
      </c>
      <c r="U33" s="312">
        <v>0</v>
      </c>
      <c r="V33" s="313">
        <v>0</v>
      </c>
      <c r="W33" s="314"/>
      <c r="X33" s="315">
        <v>0</v>
      </c>
      <c r="Y33" s="316">
        <v>0</v>
      </c>
    </row>
    <row r="34" spans="1:25" x14ac:dyDescent="0.3">
      <c r="E34" s="350" t="s">
        <v>939</v>
      </c>
      <c r="F34" s="317">
        <v>4303212</v>
      </c>
      <c r="G34" s="318"/>
      <c r="H34" s="319"/>
      <c r="I34" s="320"/>
      <c r="J34" s="310">
        <v>0</v>
      </c>
      <c r="K34" s="321">
        <v>0</v>
      </c>
      <c r="L34" s="321">
        <v>0</v>
      </c>
      <c r="M34" s="321">
        <v>0</v>
      </c>
      <c r="N34" s="321">
        <v>0</v>
      </c>
      <c r="O34" s="321">
        <v>0</v>
      </c>
      <c r="P34" s="321">
        <v>0</v>
      </c>
      <c r="Q34" s="321">
        <v>0</v>
      </c>
      <c r="R34" s="321">
        <v>0</v>
      </c>
      <c r="S34" s="321">
        <v>0</v>
      </c>
      <c r="T34" s="321">
        <v>0</v>
      </c>
      <c r="U34" s="322">
        <v>0</v>
      </c>
      <c r="V34" s="323">
        <v>0</v>
      </c>
      <c r="W34" s="303"/>
      <c r="X34" s="324">
        <v>0</v>
      </c>
      <c r="Y34" s="325">
        <v>0</v>
      </c>
    </row>
    <row r="35" spans="1:25" x14ac:dyDescent="0.3">
      <c r="E35" s="350" t="s">
        <v>940</v>
      </c>
      <c r="F35" s="317">
        <v>4303219</v>
      </c>
      <c r="G35" s="318"/>
      <c r="H35" s="319"/>
      <c r="I35" s="320"/>
      <c r="J35" s="310">
        <v>0</v>
      </c>
      <c r="K35" s="321">
        <v>0</v>
      </c>
      <c r="L35" s="321">
        <v>0</v>
      </c>
      <c r="M35" s="321">
        <v>0</v>
      </c>
      <c r="N35" s="321">
        <v>0</v>
      </c>
      <c r="O35" s="321">
        <v>0</v>
      </c>
      <c r="P35" s="321">
        <v>0</v>
      </c>
      <c r="Q35" s="321">
        <v>0</v>
      </c>
      <c r="R35" s="321">
        <v>0</v>
      </c>
      <c r="S35" s="321">
        <v>0</v>
      </c>
      <c r="T35" s="321">
        <v>0</v>
      </c>
      <c r="U35" s="322">
        <v>0</v>
      </c>
      <c r="V35" s="323">
        <v>0</v>
      </c>
      <c r="W35" s="303"/>
      <c r="X35" s="324">
        <v>0</v>
      </c>
      <c r="Y35" s="325">
        <v>0</v>
      </c>
    </row>
    <row r="36" spans="1:25" x14ac:dyDescent="0.3">
      <c r="A36" s="361"/>
      <c r="B36" s="361"/>
      <c r="C36" s="361"/>
      <c r="D36" s="361"/>
      <c r="E36" s="326" t="s">
        <v>941</v>
      </c>
      <c r="F36" s="351"/>
      <c r="G36" s="352"/>
      <c r="H36" s="353"/>
      <c r="I36" s="354"/>
      <c r="J36" s="310">
        <v>0</v>
      </c>
      <c r="K36" s="355">
        <v>0</v>
      </c>
      <c r="L36" s="355">
        <v>0</v>
      </c>
      <c r="M36" s="355">
        <v>0</v>
      </c>
      <c r="N36" s="355">
        <v>0</v>
      </c>
      <c r="O36" s="355">
        <v>0</v>
      </c>
      <c r="P36" s="355">
        <v>0</v>
      </c>
      <c r="Q36" s="355">
        <v>0</v>
      </c>
      <c r="R36" s="355">
        <v>0</v>
      </c>
      <c r="S36" s="355">
        <v>0</v>
      </c>
      <c r="T36" s="355">
        <v>0</v>
      </c>
      <c r="U36" s="356">
        <v>0</v>
      </c>
      <c r="V36" s="357">
        <v>0</v>
      </c>
      <c r="W36" s="358"/>
      <c r="X36" s="359">
        <v>0</v>
      </c>
      <c r="Y36" s="360">
        <v>0</v>
      </c>
    </row>
    <row r="37" spans="1:25" x14ac:dyDescent="0.3">
      <c r="A37" s="361"/>
      <c r="B37" s="361"/>
      <c r="C37" s="361"/>
      <c r="D37" s="361"/>
      <c r="E37" s="326" t="s">
        <v>942</v>
      </c>
      <c r="F37" s="351"/>
      <c r="G37" s="352"/>
      <c r="H37" s="353"/>
      <c r="I37" s="354"/>
      <c r="J37" s="310">
        <v>0</v>
      </c>
      <c r="K37" s="355">
        <v>0</v>
      </c>
      <c r="L37" s="355">
        <v>0</v>
      </c>
      <c r="M37" s="355">
        <v>0</v>
      </c>
      <c r="N37" s="355">
        <v>0</v>
      </c>
      <c r="O37" s="355">
        <v>0</v>
      </c>
      <c r="P37" s="355">
        <v>0</v>
      </c>
      <c r="Q37" s="355">
        <v>0</v>
      </c>
      <c r="R37" s="355">
        <v>0</v>
      </c>
      <c r="S37" s="355">
        <v>0</v>
      </c>
      <c r="T37" s="355">
        <v>0</v>
      </c>
      <c r="U37" s="356">
        <v>0</v>
      </c>
      <c r="V37" s="357">
        <v>0</v>
      </c>
      <c r="W37" s="358"/>
      <c r="X37" s="359">
        <v>0</v>
      </c>
      <c r="Y37" s="360">
        <v>0</v>
      </c>
    </row>
    <row r="38" spans="1:25" x14ac:dyDescent="0.3">
      <c r="A38" s="361"/>
      <c r="B38" s="361"/>
      <c r="C38" s="361"/>
      <c r="D38" s="361"/>
      <c r="E38" s="326" t="s">
        <v>943</v>
      </c>
      <c r="F38" s="351"/>
      <c r="G38" s="352"/>
      <c r="H38" s="353"/>
      <c r="I38" s="354"/>
      <c r="J38" s="310">
        <v>0</v>
      </c>
      <c r="K38" s="355">
        <v>0</v>
      </c>
      <c r="L38" s="355">
        <v>0</v>
      </c>
      <c r="M38" s="355">
        <v>0</v>
      </c>
      <c r="N38" s="355">
        <v>0</v>
      </c>
      <c r="O38" s="355">
        <v>0</v>
      </c>
      <c r="P38" s="355">
        <v>0</v>
      </c>
      <c r="Q38" s="355">
        <v>0</v>
      </c>
      <c r="R38" s="355">
        <v>0</v>
      </c>
      <c r="S38" s="355">
        <v>0</v>
      </c>
      <c r="T38" s="355">
        <v>0</v>
      </c>
      <c r="U38" s="356">
        <v>0</v>
      </c>
      <c r="V38" s="357">
        <v>0</v>
      </c>
      <c r="W38" s="358"/>
      <c r="X38" s="359">
        <v>0</v>
      </c>
      <c r="Y38" s="360">
        <v>0</v>
      </c>
    </row>
    <row r="39" spans="1:25" x14ac:dyDescent="0.3">
      <c r="E39" s="339" t="s">
        <v>944</v>
      </c>
      <c r="F39" s="340" t="s">
        <v>945</v>
      </c>
      <c r="G39" s="341"/>
      <c r="H39" s="342"/>
      <c r="I39" s="343"/>
      <c r="J39" s="344">
        <v>0</v>
      </c>
      <c r="K39" s="345">
        <v>0</v>
      </c>
      <c r="L39" s="345">
        <v>-247369.06200000001</v>
      </c>
      <c r="M39" s="345">
        <v>-244896.97399999999</v>
      </c>
      <c r="N39" s="345">
        <v>-29272.172999999999</v>
      </c>
      <c r="O39" s="345">
        <v>-25953.578000000001</v>
      </c>
      <c r="P39" s="345">
        <v>-31394.5</v>
      </c>
      <c r="Q39" s="345">
        <v>-28536.661</v>
      </c>
      <c r="R39" s="345">
        <v>607422.94799999997</v>
      </c>
      <c r="S39" s="345">
        <v>0</v>
      </c>
      <c r="T39" s="345">
        <v>0</v>
      </c>
      <c r="U39" s="346">
        <v>0</v>
      </c>
      <c r="V39" s="347">
        <v>0</v>
      </c>
      <c r="W39" s="303"/>
      <c r="X39" s="348">
        <v>0</v>
      </c>
      <c r="Y39" s="349">
        <v>0</v>
      </c>
    </row>
    <row r="40" spans="1:25" x14ac:dyDescent="0.3">
      <c r="E40" s="250" t="s">
        <v>946</v>
      </c>
      <c r="F40" s="317">
        <v>4100400</v>
      </c>
      <c r="G40" s="318"/>
      <c r="H40" s="319">
        <v>4100010115</v>
      </c>
      <c r="I40" s="320"/>
      <c r="J40" s="337">
        <v>0</v>
      </c>
      <c r="K40" s="321">
        <v>0</v>
      </c>
      <c r="L40" s="321">
        <v>0</v>
      </c>
      <c r="M40" s="321">
        <v>0</v>
      </c>
      <c r="N40" s="321">
        <v>0</v>
      </c>
      <c r="O40" s="321">
        <v>0</v>
      </c>
      <c r="P40" s="321">
        <v>0</v>
      </c>
      <c r="Q40" s="321">
        <v>0</v>
      </c>
      <c r="R40" s="321">
        <v>0</v>
      </c>
      <c r="S40" s="321">
        <v>0</v>
      </c>
      <c r="T40" s="321">
        <v>0</v>
      </c>
      <c r="U40" s="322">
        <v>0</v>
      </c>
      <c r="V40" s="323">
        <v>0</v>
      </c>
      <c r="W40" s="303"/>
      <c r="X40" s="324">
        <v>0</v>
      </c>
      <c r="Y40" s="325">
        <v>0</v>
      </c>
    </row>
    <row r="41" spans="1:25" x14ac:dyDescent="0.3">
      <c r="E41" s="250" t="s">
        <v>947</v>
      </c>
      <c r="F41" s="317">
        <v>4100401</v>
      </c>
      <c r="G41" s="318"/>
      <c r="H41" s="319"/>
      <c r="I41" s="320"/>
      <c r="J41" s="337">
        <v>0</v>
      </c>
      <c r="K41" s="321">
        <v>0</v>
      </c>
      <c r="L41" s="321">
        <v>0</v>
      </c>
      <c r="M41" s="321">
        <v>0</v>
      </c>
      <c r="N41" s="321">
        <v>0</v>
      </c>
      <c r="O41" s="321">
        <v>0</v>
      </c>
      <c r="P41" s="321">
        <v>0</v>
      </c>
      <c r="Q41" s="321">
        <v>0</v>
      </c>
      <c r="R41" s="321">
        <v>0</v>
      </c>
      <c r="S41" s="321">
        <v>0</v>
      </c>
      <c r="T41" s="321">
        <v>0</v>
      </c>
      <c r="U41" s="322">
        <v>0</v>
      </c>
      <c r="V41" s="323">
        <v>0</v>
      </c>
      <c r="W41" s="303"/>
      <c r="X41" s="324">
        <v>0</v>
      </c>
      <c r="Y41" s="325">
        <v>0</v>
      </c>
    </row>
    <row r="42" spans="1:25" x14ac:dyDescent="0.3">
      <c r="E42" s="250" t="s">
        <v>948</v>
      </c>
      <c r="F42" s="317">
        <v>4100402</v>
      </c>
      <c r="G42" s="318"/>
      <c r="H42" s="319"/>
      <c r="I42" s="320"/>
      <c r="J42" s="337">
        <v>0</v>
      </c>
      <c r="K42" s="321">
        <v>0</v>
      </c>
      <c r="L42" s="321">
        <v>0</v>
      </c>
      <c r="M42" s="321">
        <v>0</v>
      </c>
      <c r="N42" s="321">
        <v>0</v>
      </c>
      <c r="O42" s="321">
        <v>0</v>
      </c>
      <c r="P42" s="321">
        <v>0</v>
      </c>
      <c r="Q42" s="321">
        <v>0</v>
      </c>
      <c r="R42" s="321">
        <v>0</v>
      </c>
      <c r="S42" s="321">
        <v>0</v>
      </c>
      <c r="T42" s="321">
        <v>0</v>
      </c>
      <c r="U42" s="322">
        <v>0</v>
      </c>
      <c r="V42" s="323">
        <v>0</v>
      </c>
      <c r="W42" s="303"/>
      <c r="X42" s="324">
        <v>0</v>
      </c>
      <c r="Y42" s="325">
        <v>0</v>
      </c>
    </row>
    <row r="43" spans="1:25" x14ac:dyDescent="0.3">
      <c r="E43" s="250" t="s">
        <v>949</v>
      </c>
      <c r="F43" s="317">
        <v>4100404</v>
      </c>
      <c r="G43" s="318"/>
      <c r="H43" s="319"/>
      <c r="I43" s="320"/>
      <c r="J43" s="337">
        <v>0</v>
      </c>
      <c r="K43" s="321">
        <v>0</v>
      </c>
      <c r="L43" s="321">
        <v>0</v>
      </c>
      <c r="M43" s="321">
        <v>0</v>
      </c>
      <c r="N43" s="321">
        <v>0</v>
      </c>
      <c r="O43" s="321">
        <v>0</v>
      </c>
      <c r="P43" s="321">
        <v>0</v>
      </c>
      <c r="Q43" s="321">
        <v>0</v>
      </c>
      <c r="R43" s="321">
        <v>0</v>
      </c>
      <c r="S43" s="321">
        <v>0</v>
      </c>
      <c r="T43" s="321">
        <v>0</v>
      </c>
      <c r="U43" s="322">
        <v>0</v>
      </c>
      <c r="V43" s="323">
        <v>0</v>
      </c>
      <c r="W43" s="303"/>
      <c r="X43" s="324">
        <v>0</v>
      </c>
      <c r="Y43" s="325">
        <v>0</v>
      </c>
    </row>
    <row r="44" spans="1:25" x14ac:dyDescent="0.3">
      <c r="E44" s="250" t="s">
        <v>950</v>
      </c>
      <c r="F44" s="317">
        <v>4100405</v>
      </c>
      <c r="G44" s="318"/>
      <c r="H44" s="319"/>
      <c r="I44" s="320"/>
      <c r="J44" s="337">
        <v>0</v>
      </c>
      <c r="K44" s="321">
        <v>0</v>
      </c>
      <c r="L44" s="321">
        <v>0</v>
      </c>
      <c r="M44" s="321">
        <v>0</v>
      </c>
      <c r="N44" s="321">
        <v>0</v>
      </c>
      <c r="O44" s="321">
        <v>0</v>
      </c>
      <c r="P44" s="321">
        <v>0</v>
      </c>
      <c r="Q44" s="321">
        <v>0</v>
      </c>
      <c r="R44" s="321">
        <v>0</v>
      </c>
      <c r="S44" s="321">
        <v>0</v>
      </c>
      <c r="T44" s="321">
        <v>0</v>
      </c>
      <c r="U44" s="322">
        <v>0</v>
      </c>
      <c r="V44" s="323">
        <v>0</v>
      </c>
      <c r="W44" s="303"/>
      <c r="X44" s="324">
        <v>0</v>
      </c>
      <c r="Y44" s="325">
        <v>0</v>
      </c>
    </row>
    <row r="45" spans="1:25" x14ac:dyDescent="0.3">
      <c r="E45" s="250" t="s">
        <v>951</v>
      </c>
      <c r="F45" s="317">
        <v>4100407</v>
      </c>
      <c r="G45" s="318"/>
      <c r="H45" s="319"/>
      <c r="I45" s="320"/>
      <c r="J45" s="337">
        <v>0</v>
      </c>
      <c r="K45" s="321">
        <v>0</v>
      </c>
      <c r="L45" s="321">
        <v>-247369.06200000001</v>
      </c>
      <c r="M45" s="321">
        <v>-244896.97399999999</v>
      </c>
      <c r="N45" s="321">
        <v>-29272.172999999999</v>
      </c>
      <c r="O45" s="321">
        <v>-25953.578000000001</v>
      </c>
      <c r="P45" s="321">
        <v>-31394.5</v>
      </c>
      <c r="Q45" s="321">
        <v>-28536.661</v>
      </c>
      <c r="R45" s="321">
        <v>607422.94799999997</v>
      </c>
      <c r="S45" s="321">
        <v>0</v>
      </c>
      <c r="T45" s="321">
        <v>0</v>
      </c>
      <c r="U45" s="322">
        <v>0</v>
      </c>
      <c r="V45" s="323">
        <v>0</v>
      </c>
      <c r="W45" s="303"/>
      <c r="X45" s="324">
        <v>0</v>
      </c>
      <c r="Y45" s="325">
        <v>0</v>
      </c>
    </row>
    <row r="46" spans="1:25" x14ac:dyDescent="0.3">
      <c r="E46" s="250" t="s">
        <v>952</v>
      </c>
      <c r="F46" s="317">
        <v>4100409</v>
      </c>
      <c r="G46" s="318"/>
      <c r="H46" s="319"/>
      <c r="I46" s="320"/>
      <c r="J46" s="337">
        <v>0</v>
      </c>
      <c r="K46" s="321">
        <v>0</v>
      </c>
      <c r="L46" s="321">
        <v>0</v>
      </c>
      <c r="M46" s="321">
        <v>0</v>
      </c>
      <c r="N46" s="321">
        <v>0</v>
      </c>
      <c r="O46" s="321">
        <v>0</v>
      </c>
      <c r="P46" s="321">
        <v>0</v>
      </c>
      <c r="Q46" s="321">
        <v>0</v>
      </c>
      <c r="R46" s="321">
        <v>0</v>
      </c>
      <c r="S46" s="321">
        <v>0</v>
      </c>
      <c r="T46" s="321">
        <v>0</v>
      </c>
      <c r="U46" s="322">
        <v>0</v>
      </c>
      <c r="V46" s="323">
        <v>0</v>
      </c>
      <c r="W46" s="303"/>
      <c r="X46" s="324">
        <v>0</v>
      </c>
      <c r="Y46" s="325">
        <v>0</v>
      </c>
    </row>
    <row r="47" spans="1:25" x14ac:dyDescent="0.3">
      <c r="E47" s="250" t="s">
        <v>953</v>
      </c>
      <c r="F47" s="317">
        <v>4100410</v>
      </c>
      <c r="G47" s="318"/>
      <c r="H47" s="319"/>
      <c r="I47" s="320"/>
      <c r="J47" s="337">
        <v>0</v>
      </c>
      <c r="K47" s="321">
        <v>0</v>
      </c>
      <c r="L47" s="321">
        <v>0</v>
      </c>
      <c r="M47" s="321">
        <v>0</v>
      </c>
      <c r="N47" s="321">
        <v>0</v>
      </c>
      <c r="O47" s="321">
        <v>0</v>
      </c>
      <c r="P47" s="321">
        <v>0</v>
      </c>
      <c r="Q47" s="321">
        <v>0</v>
      </c>
      <c r="R47" s="321">
        <v>0</v>
      </c>
      <c r="S47" s="321">
        <v>0</v>
      </c>
      <c r="T47" s="321">
        <v>0</v>
      </c>
      <c r="U47" s="322">
        <v>0</v>
      </c>
      <c r="V47" s="323">
        <v>0</v>
      </c>
      <c r="W47" s="303"/>
      <c r="X47" s="324">
        <v>0</v>
      </c>
      <c r="Y47" s="325">
        <v>0</v>
      </c>
    </row>
    <row r="48" spans="1:25" x14ac:dyDescent="0.3">
      <c r="A48" s="361"/>
      <c r="B48" s="361"/>
      <c r="C48" s="361"/>
      <c r="D48" s="361"/>
      <c r="E48" s="350" t="s">
        <v>954</v>
      </c>
      <c r="F48" s="306">
        <v>4100411</v>
      </c>
      <c r="G48" s="307"/>
      <c r="H48" s="308"/>
      <c r="I48" s="309"/>
      <c r="J48" s="310">
        <v>0</v>
      </c>
      <c r="K48" s="311">
        <v>0</v>
      </c>
      <c r="L48" s="311">
        <v>0</v>
      </c>
      <c r="M48" s="311">
        <v>0</v>
      </c>
      <c r="N48" s="311">
        <v>0</v>
      </c>
      <c r="O48" s="311">
        <v>0</v>
      </c>
      <c r="P48" s="311">
        <v>0</v>
      </c>
      <c r="Q48" s="311">
        <v>0</v>
      </c>
      <c r="R48" s="311">
        <v>0</v>
      </c>
      <c r="S48" s="311">
        <v>0</v>
      </c>
      <c r="T48" s="311">
        <v>0</v>
      </c>
      <c r="U48" s="312">
        <v>0</v>
      </c>
      <c r="V48" s="313">
        <v>0</v>
      </c>
      <c r="W48" s="314"/>
      <c r="X48" s="315">
        <v>0</v>
      </c>
      <c r="Y48" s="316">
        <v>0</v>
      </c>
    </row>
    <row r="49" spans="1:25" x14ac:dyDescent="0.3">
      <c r="A49" s="350"/>
      <c r="B49" s="350"/>
      <c r="C49" s="350"/>
      <c r="D49" s="350"/>
      <c r="E49" s="350" t="s">
        <v>955</v>
      </c>
      <c r="F49" s="306">
        <v>4100412</v>
      </c>
      <c r="G49" s="307"/>
      <c r="H49" s="308"/>
      <c r="I49" s="309"/>
      <c r="J49" s="310">
        <v>0</v>
      </c>
      <c r="K49" s="311">
        <v>0</v>
      </c>
      <c r="L49" s="311">
        <v>0</v>
      </c>
      <c r="M49" s="311">
        <v>0</v>
      </c>
      <c r="N49" s="311">
        <v>0</v>
      </c>
      <c r="O49" s="311">
        <v>0</v>
      </c>
      <c r="P49" s="311">
        <v>0</v>
      </c>
      <c r="Q49" s="311">
        <v>0</v>
      </c>
      <c r="R49" s="311">
        <v>0</v>
      </c>
      <c r="S49" s="311">
        <v>0</v>
      </c>
      <c r="T49" s="311">
        <v>0</v>
      </c>
      <c r="U49" s="312">
        <v>0</v>
      </c>
      <c r="V49" s="313">
        <v>0</v>
      </c>
      <c r="W49" s="314"/>
      <c r="X49" s="315">
        <v>0</v>
      </c>
      <c r="Y49" s="316">
        <v>0</v>
      </c>
    </row>
    <row r="50" spans="1:25" x14ac:dyDescent="0.3">
      <c r="A50" s="350"/>
      <c r="B50" s="350"/>
      <c r="C50" s="361"/>
      <c r="D50" s="361"/>
      <c r="E50" s="326" t="s">
        <v>935</v>
      </c>
      <c r="F50" s="351"/>
      <c r="G50" s="352"/>
      <c r="H50" s="353"/>
      <c r="I50" s="354"/>
      <c r="J50" s="337">
        <v>0</v>
      </c>
      <c r="K50" s="355">
        <v>0</v>
      </c>
      <c r="L50" s="355">
        <v>0</v>
      </c>
      <c r="M50" s="355">
        <v>0</v>
      </c>
      <c r="N50" s="355">
        <v>0</v>
      </c>
      <c r="O50" s="355">
        <v>0</v>
      </c>
      <c r="P50" s="355">
        <v>0</v>
      </c>
      <c r="Q50" s="355">
        <v>0</v>
      </c>
      <c r="R50" s="355">
        <v>0</v>
      </c>
      <c r="S50" s="355">
        <v>0</v>
      </c>
      <c r="T50" s="355">
        <v>0</v>
      </c>
      <c r="U50" s="356">
        <v>0</v>
      </c>
      <c r="V50" s="357">
        <v>0</v>
      </c>
      <c r="W50" s="358"/>
      <c r="X50" s="359">
        <v>0</v>
      </c>
      <c r="Y50" s="360">
        <v>0</v>
      </c>
    </row>
    <row r="51" spans="1:25" x14ac:dyDescent="0.3">
      <c r="A51" s="233"/>
      <c r="B51" s="234" t="s">
        <v>3</v>
      </c>
      <c r="D51" s="293" t="s">
        <v>956</v>
      </c>
      <c r="E51" s="294"/>
      <c r="F51" s="295" t="s">
        <v>957</v>
      </c>
      <c r="G51" s="296"/>
      <c r="H51" s="297"/>
      <c r="I51" s="298"/>
      <c r="J51" s="299">
        <v>0</v>
      </c>
      <c r="K51" s="300">
        <v>0</v>
      </c>
      <c r="L51" s="300">
        <v>0</v>
      </c>
      <c r="M51" s="300">
        <v>0</v>
      </c>
      <c r="N51" s="300">
        <v>0</v>
      </c>
      <c r="O51" s="300">
        <v>0</v>
      </c>
      <c r="P51" s="300">
        <v>0</v>
      </c>
      <c r="Q51" s="300">
        <v>0</v>
      </c>
      <c r="R51" s="300">
        <v>0</v>
      </c>
      <c r="S51" s="300">
        <v>0</v>
      </c>
      <c r="T51" s="300">
        <v>0</v>
      </c>
      <c r="U51" s="301">
        <v>0</v>
      </c>
      <c r="V51" s="302">
        <v>0</v>
      </c>
      <c r="W51" s="303"/>
      <c r="X51" s="304">
        <v>0</v>
      </c>
      <c r="Y51" s="305">
        <v>0</v>
      </c>
    </row>
    <row r="52" spans="1:25" x14ac:dyDescent="0.3">
      <c r="E52" s="250" t="s">
        <v>958</v>
      </c>
      <c r="F52" s="317">
        <v>4100501</v>
      </c>
      <c r="G52" s="318"/>
      <c r="H52" s="319">
        <v>4100030101</v>
      </c>
      <c r="I52" s="320"/>
      <c r="J52" s="337">
        <v>0</v>
      </c>
      <c r="K52" s="321">
        <v>0</v>
      </c>
      <c r="L52" s="321">
        <v>0</v>
      </c>
      <c r="M52" s="321">
        <v>0</v>
      </c>
      <c r="N52" s="321">
        <v>0</v>
      </c>
      <c r="O52" s="321">
        <v>0</v>
      </c>
      <c r="P52" s="321">
        <v>0</v>
      </c>
      <c r="Q52" s="321">
        <v>0</v>
      </c>
      <c r="R52" s="321">
        <v>0</v>
      </c>
      <c r="S52" s="321">
        <v>0</v>
      </c>
      <c r="T52" s="321">
        <v>0</v>
      </c>
      <c r="U52" s="322">
        <v>0</v>
      </c>
      <c r="V52" s="323">
        <v>0</v>
      </c>
      <c r="W52" s="303"/>
      <c r="X52" s="324">
        <v>0</v>
      </c>
      <c r="Y52" s="325">
        <v>0</v>
      </c>
    </row>
    <row r="53" spans="1:25" x14ac:dyDescent="0.3">
      <c r="E53" s="250" t="s">
        <v>959</v>
      </c>
      <c r="F53" s="317">
        <v>4100502</v>
      </c>
      <c r="G53" s="318"/>
      <c r="H53" s="319">
        <v>4100030103</v>
      </c>
      <c r="I53" s="320"/>
      <c r="J53" s="337">
        <v>0</v>
      </c>
      <c r="K53" s="321">
        <v>0</v>
      </c>
      <c r="L53" s="321">
        <v>0</v>
      </c>
      <c r="M53" s="321">
        <v>0</v>
      </c>
      <c r="N53" s="321">
        <v>0</v>
      </c>
      <c r="O53" s="321">
        <v>0</v>
      </c>
      <c r="P53" s="321">
        <v>0</v>
      </c>
      <c r="Q53" s="321">
        <v>0</v>
      </c>
      <c r="R53" s="321">
        <v>0</v>
      </c>
      <c r="S53" s="321">
        <v>0</v>
      </c>
      <c r="T53" s="321">
        <v>0</v>
      </c>
      <c r="U53" s="322">
        <v>0</v>
      </c>
      <c r="V53" s="323">
        <v>0</v>
      </c>
      <c r="W53" s="303"/>
      <c r="X53" s="324">
        <v>0</v>
      </c>
      <c r="Y53" s="325">
        <v>0</v>
      </c>
    </row>
    <row r="54" spans="1:25" x14ac:dyDescent="0.3">
      <c r="E54" s="250" t="s">
        <v>960</v>
      </c>
      <c r="F54" s="317">
        <v>4100510</v>
      </c>
      <c r="G54" s="318"/>
      <c r="H54" s="319">
        <v>4100030107</v>
      </c>
      <c r="I54" s="320"/>
      <c r="J54" s="337">
        <v>0</v>
      </c>
      <c r="K54" s="321">
        <v>0</v>
      </c>
      <c r="L54" s="321">
        <v>0</v>
      </c>
      <c r="M54" s="321">
        <v>0</v>
      </c>
      <c r="N54" s="321">
        <v>0</v>
      </c>
      <c r="O54" s="321">
        <v>0</v>
      </c>
      <c r="P54" s="321">
        <v>0</v>
      </c>
      <c r="Q54" s="321">
        <v>0</v>
      </c>
      <c r="R54" s="321">
        <v>0</v>
      </c>
      <c r="S54" s="321">
        <v>0</v>
      </c>
      <c r="T54" s="321">
        <v>0</v>
      </c>
      <c r="U54" s="322">
        <v>0</v>
      </c>
      <c r="V54" s="323">
        <v>0</v>
      </c>
      <c r="W54" s="303"/>
      <c r="X54" s="324">
        <v>0</v>
      </c>
      <c r="Y54" s="325">
        <v>0</v>
      </c>
    </row>
    <row r="55" spans="1:25" x14ac:dyDescent="0.3">
      <c r="E55" s="250" t="s">
        <v>961</v>
      </c>
      <c r="F55" s="317">
        <v>4100511</v>
      </c>
      <c r="G55" s="318"/>
      <c r="H55" s="319">
        <v>4100030109</v>
      </c>
      <c r="I55" s="320"/>
      <c r="J55" s="337">
        <v>0</v>
      </c>
      <c r="K55" s="321">
        <v>0</v>
      </c>
      <c r="L55" s="321">
        <v>0</v>
      </c>
      <c r="M55" s="321">
        <v>0</v>
      </c>
      <c r="N55" s="321">
        <v>0</v>
      </c>
      <c r="O55" s="321">
        <v>0</v>
      </c>
      <c r="P55" s="321">
        <v>0</v>
      </c>
      <c r="Q55" s="321">
        <v>0</v>
      </c>
      <c r="R55" s="321">
        <v>0</v>
      </c>
      <c r="S55" s="321">
        <v>0</v>
      </c>
      <c r="T55" s="321">
        <v>0</v>
      </c>
      <c r="U55" s="322">
        <v>0</v>
      </c>
      <c r="V55" s="323">
        <v>0</v>
      </c>
      <c r="W55" s="303"/>
      <c r="X55" s="324">
        <v>0</v>
      </c>
      <c r="Y55" s="325">
        <v>0</v>
      </c>
    </row>
    <row r="56" spans="1:25" x14ac:dyDescent="0.3">
      <c r="E56" s="250" t="s">
        <v>962</v>
      </c>
      <c r="F56" s="317">
        <v>4302608</v>
      </c>
      <c r="G56" s="318"/>
      <c r="H56" s="319"/>
      <c r="I56" s="320"/>
      <c r="J56" s="337">
        <v>0</v>
      </c>
      <c r="K56" s="321">
        <v>0</v>
      </c>
      <c r="L56" s="321">
        <v>0</v>
      </c>
      <c r="M56" s="321">
        <v>0</v>
      </c>
      <c r="N56" s="321">
        <v>0</v>
      </c>
      <c r="O56" s="321">
        <v>0</v>
      </c>
      <c r="P56" s="321">
        <v>0</v>
      </c>
      <c r="Q56" s="321">
        <v>0</v>
      </c>
      <c r="R56" s="321">
        <v>0</v>
      </c>
      <c r="S56" s="321">
        <v>0</v>
      </c>
      <c r="T56" s="321">
        <v>0</v>
      </c>
      <c r="U56" s="322">
        <v>0</v>
      </c>
      <c r="V56" s="323">
        <v>0</v>
      </c>
      <c r="W56" s="303"/>
      <c r="X56" s="324">
        <v>0</v>
      </c>
      <c r="Y56" s="325">
        <v>0</v>
      </c>
    </row>
    <row r="57" spans="1:25" x14ac:dyDescent="0.3">
      <c r="A57" s="326"/>
      <c r="B57" s="326"/>
      <c r="C57" s="326"/>
      <c r="D57" s="326"/>
      <c r="E57" s="326" t="s">
        <v>963</v>
      </c>
      <c r="F57" s="336"/>
      <c r="G57" s="327"/>
      <c r="H57" s="328"/>
      <c r="I57" s="329"/>
      <c r="J57" s="337">
        <v>0</v>
      </c>
      <c r="K57" s="330">
        <v>0</v>
      </c>
      <c r="L57" s="330">
        <v>0</v>
      </c>
      <c r="M57" s="330">
        <v>0</v>
      </c>
      <c r="N57" s="330">
        <v>0</v>
      </c>
      <c r="O57" s="330">
        <v>0</v>
      </c>
      <c r="P57" s="330">
        <v>0</v>
      </c>
      <c r="Q57" s="330">
        <v>0</v>
      </c>
      <c r="R57" s="330">
        <v>0</v>
      </c>
      <c r="S57" s="330">
        <v>0</v>
      </c>
      <c r="T57" s="330">
        <v>0</v>
      </c>
      <c r="U57" s="331">
        <v>0</v>
      </c>
      <c r="V57" s="332">
        <v>0</v>
      </c>
      <c r="W57" s="333"/>
      <c r="X57" s="334">
        <v>0</v>
      </c>
      <c r="Y57" s="335">
        <v>0</v>
      </c>
    </row>
    <row r="58" spans="1:25" x14ac:dyDescent="0.3">
      <c r="A58" s="326"/>
      <c r="B58" s="326"/>
      <c r="C58" s="326"/>
      <c r="D58" s="326"/>
      <c r="E58" s="326" t="s">
        <v>964</v>
      </c>
      <c r="F58" s="336"/>
      <c r="G58" s="327"/>
      <c r="H58" s="328"/>
      <c r="I58" s="329"/>
      <c r="J58" s="337">
        <v>0</v>
      </c>
      <c r="K58" s="330">
        <v>0</v>
      </c>
      <c r="L58" s="330">
        <v>0</v>
      </c>
      <c r="M58" s="330">
        <v>0</v>
      </c>
      <c r="N58" s="330">
        <v>0</v>
      </c>
      <c r="O58" s="330">
        <v>0</v>
      </c>
      <c r="P58" s="330">
        <v>0</v>
      </c>
      <c r="Q58" s="330">
        <v>0</v>
      </c>
      <c r="R58" s="330">
        <v>0</v>
      </c>
      <c r="S58" s="330">
        <v>0</v>
      </c>
      <c r="T58" s="330">
        <v>0</v>
      </c>
      <c r="U58" s="331">
        <v>0</v>
      </c>
      <c r="V58" s="332">
        <v>0</v>
      </c>
      <c r="W58" s="333"/>
      <c r="X58" s="334">
        <v>0</v>
      </c>
      <c r="Y58" s="335">
        <v>0</v>
      </c>
    </row>
    <row r="59" spans="1:25" x14ac:dyDescent="0.3">
      <c r="A59" s="326"/>
      <c r="B59" s="326"/>
      <c r="C59" s="326"/>
      <c r="D59" s="326"/>
      <c r="E59" s="326" t="s">
        <v>965</v>
      </c>
      <c r="F59" s="336"/>
      <c r="G59" s="327"/>
      <c r="H59" s="328"/>
      <c r="I59" s="329"/>
      <c r="J59" s="337">
        <v>0</v>
      </c>
      <c r="K59" s="330">
        <v>0</v>
      </c>
      <c r="L59" s="330">
        <v>0</v>
      </c>
      <c r="M59" s="330">
        <v>0</v>
      </c>
      <c r="N59" s="330">
        <v>0</v>
      </c>
      <c r="O59" s="330">
        <v>0</v>
      </c>
      <c r="P59" s="330">
        <v>0</v>
      </c>
      <c r="Q59" s="330">
        <v>0</v>
      </c>
      <c r="R59" s="330">
        <v>0</v>
      </c>
      <c r="S59" s="330">
        <v>0</v>
      </c>
      <c r="T59" s="330">
        <v>0</v>
      </c>
      <c r="U59" s="331">
        <v>0</v>
      </c>
      <c r="V59" s="332">
        <v>0</v>
      </c>
      <c r="W59" s="333"/>
      <c r="X59" s="334">
        <v>0</v>
      </c>
      <c r="Y59" s="335">
        <v>0</v>
      </c>
    </row>
    <row r="60" spans="1:25" x14ac:dyDescent="0.3">
      <c r="A60" s="233"/>
      <c r="B60" s="234" t="s">
        <v>3</v>
      </c>
      <c r="D60" s="293" t="s">
        <v>966</v>
      </c>
      <c r="E60" s="294"/>
      <c r="F60" s="295" t="s">
        <v>967</v>
      </c>
      <c r="G60" s="296"/>
      <c r="H60" s="297"/>
      <c r="I60" s="298"/>
      <c r="J60" s="299">
        <v>0</v>
      </c>
      <c r="K60" s="300">
        <v>0</v>
      </c>
      <c r="L60" s="300">
        <v>0</v>
      </c>
      <c r="M60" s="300">
        <v>0</v>
      </c>
      <c r="N60" s="300">
        <v>0</v>
      </c>
      <c r="O60" s="300">
        <v>0</v>
      </c>
      <c r="P60" s="300">
        <v>0</v>
      </c>
      <c r="Q60" s="300">
        <v>0</v>
      </c>
      <c r="R60" s="300">
        <v>0</v>
      </c>
      <c r="S60" s="300">
        <v>0</v>
      </c>
      <c r="T60" s="300">
        <v>0</v>
      </c>
      <c r="U60" s="301">
        <v>0</v>
      </c>
      <c r="V60" s="302">
        <v>0</v>
      </c>
      <c r="W60" s="303"/>
      <c r="X60" s="304">
        <v>0</v>
      </c>
      <c r="Y60" s="305">
        <v>0</v>
      </c>
    </row>
    <row r="61" spans="1:25" x14ac:dyDescent="0.3">
      <c r="E61" s="339" t="s">
        <v>968</v>
      </c>
      <c r="F61" s="340" t="s">
        <v>969</v>
      </c>
      <c r="G61" s="341"/>
      <c r="H61" s="342"/>
      <c r="I61" s="343"/>
      <c r="J61" s="344">
        <v>0</v>
      </c>
      <c r="K61" s="345">
        <v>0</v>
      </c>
      <c r="L61" s="345">
        <v>0</v>
      </c>
      <c r="M61" s="345">
        <v>0</v>
      </c>
      <c r="N61" s="345">
        <v>0</v>
      </c>
      <c r="O61" s="345">
        <v>0</v>
      </c>
      <c r="P61" s="345">
        <v>0</v>
      </c>
      <c r="Q61" s="345">
        <v>0</v>
      </c>
      <c r="R61" s="345">
        <v>0</v>
      </c>
      <c r="S61" s="345">
        <v>0</v>
      </c>
      <c r="T61" s="345">
        <v>0</v>
      </c>
      <c r="U61" s="346">
        <v>0</v>
      </c>
      <c r="V61" s="347">
        <v>0</v>
      </c>
      <c r="W61" s="303"/>
      <c r="X61" s="348">
        <v>0</v>
      </c>
      <c r="Y61" s="349">
        <v>0</v>
      </c>
    </row>
    <row r="62" spans="1:25" x14ac:dyDescent="0.3">
      <c r="E62" s="250" t="s">
        <v>970</v>
      </c>
      <c r="F62" s="317">
        <v>4100581</v>
      </c>
      <c r="G62" s="318"/>
      <c r="H62" s="319">
        <v>4100030111</v>
      </c>
      <c r="I62" s="320"/>
      <c r="J62" s="337">
        <v>0</v>
      </c>
      <c r="K62" s="321">
        <v>0</v>
      </c>
      <c r="L62" s="321">
        <v>0</v>
      </c>
      <c r="M62" s="321">
        <v>0</v>
      </c>
      <c r="N62" s="321">
        <v>0</v>
      </c>
      <c r="O62" s="321">
        <v>0</v>
      </c>
      <c r="P62" s="321">
        <v>0</v>
      </c>
      <c r="Q62" s="321">
        <v>0</v>
      </c>
      <c r="R62" s="321">
        <v>0</v>
      </c>
      <c r="S62" s="321">
        <v>0</v>
      </c>
      <c r="T62" s="321">
        <v>0</v>
      </c>
      <c r="U62" s="322">
        <v>0</v>
      </c>
      <c r="V62" s="323">
        <v>0</v>
      </c>
      <c r="W62" s="303"/>
      <c r="X62" s="324">
        <v>0</v>
      </c>
      <c r="Y62" s="325">
        <v>0</v>
      </c>
    </row>
    <row r="63" spans="1:25" x14ac:dyDescent="0.3">
      <c r="A63" s="326"/>
      <c r="B63" s="326"/>
      <c r="C63" s="326"/>
      <c r="D63" s="326"/>
      <c r="E63" s="326" t="s">
        <v>963</v>
      </c>
      <c r="F63" s="336"/>
      <c r="G63" s="327"/>
      <c r="H63" s="328"/>
      <c r="I63" s="329"/>
      <c r="J63" s="337">
        <v>0</v>
      </c>
      <c r="K63" s="330">
        <v>0</v>
      </c>
      <c r="L63" s="330">
        <v>0</v>
      </c>
      <c r="M63" s="330">
        <v>0</v>
      </c>
      <c r="N63" s="330">
        <v>0</v>
      </c>
      <c r="O63" s="330">
        <v>0</v>
      </c>
      <c r="P63" s="330">
        <v>0</v>
      </c>
      <c r="Q63" s="330">
        <v>0</v>
      </c>
      <c r="R63" s="330">
        <v>0</v>
      </c>
      <c r="S63" s="330">
        <v>0</v>
      </c>
      <c r="T63" s="330">
        <v>0</v>
      </c>
      <c r="U63" s="331">
        <v>0</v>
      </c>
      <c r="V63" s="332">
        <v>0</v>
      </c>
      <c r="W63" s="333"/>
      <c r="X63" s="334">
        <v>0</v>
      </c>
      <c r="Y63" s="335">
        <v>0</v>
      </c>
    </row>
    <row r="64" spans="1:25" x14ac:dyDescent="0.3">
      <c r="A64" s="326"/>
      <c r="B64" s="326"/>
      <c r="C64" s="326"/>
      <c r="D64" s="326"/>
      <c r="E64" s="326" t="s">
        <v>964</v>
      </c>
      <c r="F64" s="336"/>
      <c r="G64" s="327"/>
      <c r="H64" s="328"/>
      <c r="I64" s="329"/>
      <c r="J64" s="337">
        <v>0</v>
      </c>
      <c r="K64" s="330">
        <v>0</v>
      </c>
      <c r="L64" s="330">
        <v>0</v>
      </c>
      <c r="M64" s="330">
        <v>0</v>
      </c>
      <c r="N64" s="330">
        <v>0</v>
      </c>
      <c r="O64" s="330">
        <v>0</v>
      </c>
      <c r="P64" s="330">
        <v>0</v>
      </c>
      <c r="Q64" s="330">
        <v>0</v>
      </c>
      <c r="R64" s="330">
        <v>0</v>
      </c>
      <c r="S64" s="330">
        <v>0</v>
      </c>
      <c r="T64" s="330">
        <v>0</v>
      </c>
      <c r="U64" s="331">
        <v>0</v>
      </c>
      <c r="V64" s="332">
        <v>0</v>
      </c>
      <c r="W64" s="333"/>
      <c r="X64" s="334">
        <v>0</v>
      </c>
      <c r="Y64" s="335">
        <v>0</v>
      </c>
    </row>
    <row r="65" spans="1:25" x14ac:dyDescent="0.3">
      <c r="A65" s="326"/>
      <c r="B65" s="326"/>
      <c r="C65" s="326"/>
      <c r="D65" s="326"/>
      <c r="E65" s="326" t="s">
        <v>965</v>
      </c>
      <c r="F65" s="336"/>
      <c r="G65" s="327"/>
      <c r="H65" s="328"/>
      <c r="I65" s="329"/>
      <c r="J65" s="337">
        <v>0</v>
      </c>
      <c r="K65" s="330">
        <v>0</v>
      </c>
      <c r="L65" s="330">
        <v>0</v>
      </c>
      <c r="M65" s="330">
        <v>0</v>
      </c>
      <c r="N65" s="330">
        <v>0</v>
      </c>
      <c r="O65" s="330">
        <v>0</v>
      </c>
      <c r="P65" s="330">
        <v>0</v>
      </c>
      <c r="Q65" s="330">
        <v>0</v>
      </c>
      <c r="R65" s="330">
        <v>0</v>
      </c>
      <c r="S65" s="330">
        <v>0</v>
      </c>
      <c r="T65" s="330">
        <v>0</v>
      </c>
      <c r="U65" s="331">
        <v>0</v>
      </c>
      <c r="V65" s="332">
        <v>0</v>
      </c>
      <c r="W65" s="333"/>
      <c r="X65" s="334">
        <v>0</v>
      </c>
      <c r="Y65" s="335">
        <v>0</v>
      </c>
    </row>
    <row r="66" spans="1:25" x14ac:dyDescent="0.3">
      <c r="E66" s="339" t="s">
        <v>971</v>
      </c>
      <c r="F66" s="340" t="s">
        <v>972</v>
      </c>
      <c r="G66" s="341"/>
      <c r="H66" s="342"/>
      <c r="I66" s="343"/>
      <c r="J66" s="344">
        <v>0</v>
      </c>
      <c r="K66" s="345">
        <v>0</v>
      </c>
      <c r="L66" s="345">
        <v>0</v>
      </c>
      <c r="M66" s="345">
        <v>0</v>
      </c>
      <c r="N66" s="345">
        <v>0</v>
      </c>
      <c r="O66" s="345">
        <v>0</v>
      </c>
      <c r="P66" s="345">
        <v>0</v>
      </c>
      <c r="Q66" s="345">
        <v>0</v>
      </c>
      <c r="R66" s="345">
        <v>0</v>
      </c>
      <c r="S66" s="345">
        <v>0</v>
      </c>
      <c r="T66" s="345">
        <v>0</v>
      </c>
      <c r="U66" s="346">
        <v>0</v>
      </c>
      <c r="V66" s="347">
        <v>0</v>
      </c>
      <c r="W66" s="303"/>
      <c r="X66" s="348">
        <v>0</v>
      </c>
      <c r="Y66" s="349">
        <v>0</v>
      </c>
    </row>
    <row r="67" spans="1:25" x14ac:dyDescent="0.3">
      <c r="E67" s="250" t="s">
        <v>973</v>
      </c>
      <c r="F67" s="317">
        <v>4100591</v>
      </c>
      <c r="G67" s="318"/>
      <c r="H67" s="319"/>
      <c r="I67" s="320"/>
      <c r="J67" s="337">
        <v>0</v>
      </c>
      <c r="K67" s="321">
        <v>0</v>
      </c>
      <c r="L67" s="321">
        <v>0</v>
      </c>
      <c r="M67" s="321">
        <v>0</v>
      </c>
      <c r="N67" s="321">
        <v>0</v>
      </c>
      <c r="O67" s="321">
        <v>0</v>
      </c>
      <c r="P67" s="321">
        <v>0</v>
      </c>
      <c r="Q67" s="321">
        <v>0</v>
      </c>
      <c r="R67" s="321">
        <v>0</v>
      </c>
      <c r="S67" s="321">
        <v>0</v>
      </c>
      <c r="T67" s="321">
        <v>0</v>
      </c>
      <c r="U67" s="322">
        <v>0</v>
      </c>
      <c r="V67" s="323">
        <v>0</v>
      </c>
      <c r="W67" s="303"/>
      <c r="X67" s="324">
        <v>0</v>
      </c>
      <c r="Y67" s="325">
        <v>0</v>
      </c>
    </row>
    <row r="68" spans="1:25" x14ac:dyDescent="0.3">
      <c r="E68" s="250" t="s">
        <v>974</v>
      </c>
      <c r="F68" s="317">
        <v>4100592</v>
      </c>
      <c r="G68" s="318"/>
      <c r="H68" s="319"/>
      <c r="I68" s="320"/>
      <c r="J68" s="337">
        <v>0</v>
      </c>
      <c r="K68" s="321">
        <v>0</v>
      </c>
      <c r="L68" s="321">
        <v>0</v>
      </c>
      <c r="M68" s="321">
        <v>0</v>
      </c>
      <c r="N68" s="321">
        <v>0</v>
      </c>
      <c r="O68" s="321">
        <v>0</v>
      </c>
      <c r="P68" s="321">
        <v>0</v>
      </c>
      <c r="Q68" s="321">
        <v>0</v>
      </c>
      <c r="R68" s="321">
        <v>0</v>
      </c>
      <c r="S68" s="321">
        <v>0</v>
      </c>
      <c r="T68" s="321">
        <v>0</v>
      </c>
      <c r="U68" s="322">
        <v>0</v>
      </c>
      <c r="V68" s="323">
        <v>0</v>
      </c>
      <c r="W68" s="303"/>
      <c r="X68" s="324">
        <v>0</v>
      </c>
      <c r="Y68" s="325">
        <v>0</v>
      </c>
    </row>
    <row r="69" spans="1:25" x14ac:dyDescent="0.3">
      <c r="E69" s="250" t="s">
        <v>975</v>
      </c>
      <c r="F69" s="317">
        <v>4100593</v>
      </c>
      <c r="G69" s="318"/>
      <c r="H69" s="319"/>
      <c r="I69" s="320"/>
      <c r="J69" s="337">
        <v>0</v>
      </c>
      <c r="K69" s="321">
        <v>0</v>
      </c>
      <c r="L69" s="321">
        <v>0</v>
      </c>
      <c r="M69" s="321">
        <v>0</v>
      </c>
      <c r="N69" s="321">
        <v>0</v>
      </c>
      <c r="O69" s="321">
        <v>0</v>
      </c>
      <c r="P69" s="321">
        <v>0</v>
      </c>
      <c r="Q69" s="321">
        <v>0</v>
      </c>
      <c r="R69" s="321">
        <v>0</v>
      </c>
      <c r="S69" s="321">
        <v>0</v>
      </c>
      <c r="T69" s="321">
        <v>0</v>
      </c>
      <c r="U69" s="322">
        <v>0</v>
      </c>
      <c r="V69" s="323">
        <v>0</v>
      </c>
      <c r="W69" s="303"/>
      <c r="X69" s="324">
        <v>0</v>
      </c>
      <c r="Y69" s="325">
        <v>0</v>
      </c>
    </row>
    <row r="70" spans="1:25" x14ac:dyDescent="0.3">
      <c r="E70" s="250" t="s">
        <v>976</v>
      </c>
      <c r="F70" s="317">
        <v>4100594</v>
      </c>
      <c r="G70" s="318"/>
      <c r="H70" s="319"/>
      <c r="I70" s="320"/>
      <c r="J70" s="337">
        <v>0</v>
      </c>
      <c r="K70" s="321">
        <v>0</v>
      </c>
      <c r="L70" s="321">
        <v>0</v>
      </c>
      <c r="M70" s="321">
        <v>0</v>
      </c>
      <c r="N70" s="321">
        <v>0</v>
      </c>
      <c r="O70" s="321">
        <v>0</v>
      </c>
      <c r="P70" s="321">
        <v>0</v>
      </c>
      <c r="Q70" s="321">
        <v>0</v>
      </c>
      <c r="R70" s="321">
        <v>0</v>
      </c>
      <c r="S70" s="321">
        <v>0</v>
      </c>
      <c r="T70" s="321">
        <v>0</v>
      </c>
      <c r="U70" s="322">
        <v>0</v>
      </c>
      <c r="V70" s="323">
        <v>0</v>
      </c>
      <c r="W70" s="303"/>
      <c r="X70" s="324">
        <v>0</v>
      </c>
      <c r="Y70" s="325">
        <v>0</v>
      </c>
    </row>
    <row r="71" spans="1:25" x14ac:dyDescent="0.3">
      <c r="E71" s="250" t="s">
        <v>977</v>
      </c>
      <c r="F71" s="317">
        <v>4100595</v>
      </c>
      <c r="G71" s="318"/>
      <c r="H71" s="319"/>
      <c r="I71" s="320"/>
      <c r="J71" s="337">
        <v>0</v>
      </c>
      <c r="K71" s="321">
        <v>0</v>
      </c>
      <c r="L71" s="321">
        <v>0</v>
      </c>
      <c r="M71" s="321">
        <v>0</v>
      </c>
      <c r="N71" s="321">
        <v>0</v>
      </c>
      <c r="O71" s="321">
        <v>0</v>
      </c>
      <c r="P71" s="321">
        <v>0</v>
      </c>
      <c r="Q71" s="321">
        <v>0</v>
      </c>
      <c r="R71" s="321">
        <v>0</v>
      </c>
      <c r="S71" s="321">
        <v>0</v>
      </c>
      <c r="T71" s="321">
        <v>0</v>
      </c>
      <c r="U71" s="322">
        <v>0</v>
      </c>
      <c r="V71" s="323">
        <v>0</v>
      </c>
      <c r="W71" s="303"/>
      <c r="X71" s="324">
        <v>0</v>
      </c>
      <c r="Y71" s="325">
        <v>0</v>
      </c>
    </row>
    <row r="72" spans="1:25" x14ac:dyDescent="0.3">
      <c r="E72" s="250" t="s">
        <v>978</v>
      </c>
      <c r="F72" s="317">
        <v>4100406</v>
      </c>
      <c r="G72" s="318"/>
      <c r="H72" s="319">
        <v>4100030113</v>
      </c>
      <c r="I72" s="320"/>
      <c r="J72" s="337">
        <v>0</v>
      </c>
      <c r="K72" s="321">
        <v>0</v>
      </c>
      <c r="L72" s="321">
        <v>0</v>
      </c>
      <c r="M72" s="321">
        <v>0</v>
      </c>
      <c r="N72" s="321">
        <v>0</v>
      </c>
      <c r="O72" s="321">
        <v>0</v>
      </c>
      <c r="P72" s="321">
        <v>0</v>
      </c>
      <c r="Q72" s="321">
        <v>0</v>
      </c>
      <c r="R72" s="321">
        <v>0</v>
      </c>
      <c r="S72" s="321">
        <v>0</v>
      </c>
      <c r="T72" s="321">
        <v>0</v>
      </c>
      <c r="U72" s="322">
        <v>0</v>
      </c>
      <c r="V72" s="323">
        <v>0</v>
      </c>
      <c r="W72" s="303"/>
      <c r="X72" s="324">
        <v>0</v>
      </c>
      <c r="Y72" s="325">
        <v>0</v>
      </c>
    </row>
    <row r="73" spans="1:25" x14ac:dyDescent="0.3">
      <c r="A73" s="326"/>
      <c r="B73" s="326"/>
      <c r="C73" s="326"/>
      <c r="D73" s="326"/>
      <c r="E73" s="250" t="s">
        <v>979</v>
      </c>
      <c r="F73" s="306">
        <v>4100596</v>
      </c>
      <c r="G73" s="307"/>
      <c r="H73" s="308"/>
      <c r="I73" s="309"/>
      <c r="J73" s="310">
        <v>0</v>
      </c>
      <c r="K73" s="311">
        <v>0</v>
      </c>
      <c r="L73" s="311">
        <v>0</v>
      </c>
      <c r="M73" s="311">
        <v>0</v>
      </c>
      <c r="N73" s="311">
        <v>0</v>
      </c>
      <c r="O73" s="311">
        <v>0</v>
      </c>
      <c r="P73" s="311">
        <v>0</v>
      </c>
      <c r="Q73" s="311">
        <v>0</v>
      </c>
      <c r="R73" s="311">
        <v>0</v>
      </c>
      <c r="S73" s="311">
        <v>0</v>
      </c>
      <c r="T73" s="311">
        <v>0</v>
      </c>
      <c r="U73" s="312">
        <v>0</v>
      </c>
      <c r="V73" s="313">
        <v>0</v>
      </c>
      <c r="W73" s="314"/>
      <c r="X73" s="315">
        <v>0</v>
      </c>
      <c r="Y73" s="316">
        <v>0</v>
      </c>
    </row>
    <row r="74" spans="1:25" x14ac:dyDescent="0.3">
      <c r="A74" s="350"/>
      <c r="B74" s="350"/>
      <c r="C74" s="350"/>
      <c r="D74" s="350"/>
      <c r="E74" s="350" t="s">
        <v>980</v>
      </c>
      <c r="F74" s="306">
        <v>4100597</v>
      </c>
      <c r="G74" s="307"/>
      <c r="H74" s="308"/>
      <c r="I74" s="309"/>
      <c r="J74" s="310">
        <v>0</v>
      </c>
      <c r="K74" s="311">
        <v>0</v>
      </c>
      <c r="L74" s="311">
        <v>0</v>
      </c>
      <c r="M74" s="311">
        <v>0</v>
      </c>
      <c r="N74" s="311">
        <v>0</v>
      </c>
      <c r="O74" s="311">
        <v>0</v>
      </c>
      <c r="P74" s="311">
        <v>0</v>
      </c>
      <c r="Q74" s="311">
        <v>0</v>
      </c>
      <c r="R74" s="311">
        <v>0</v>
      </c>
      <c r="S74" s="311">
        <v>0</v>
      </c>
      <c r="T74" s="311">
        <v>0</v>
      </c>
      <c r="U74" s="312">
        <v>0</v>
      </c>
      <c r="V74" s="313">
        <v>0</v>
      </c>
      <c r="W74" s="314"/>
      <c r="X74" s="315">
        <v>0</v>
      </c>
      <c r="Y74" s="316">
        <v>0</v>
      </c>
    </row>
    <row r="75" spans="1:25" x14ac:dyDescent="0.3">
      <c r="A75" s="350"/>
      <c r="B75" s="350"/>
      <c r="C75" s="350"/>
      <c r="D75" s="350"/>
      <c r="E75" s="350" t="s">
        <v>981</v>
      </c>
      <c r="F75" s="306">
        <v>4100598</v>
      </c>
      <c r="G75" s="307"/>
      <c r="H75" s="308"/>
      <c r="I75" s="309"/>
      <c r="J75" s="310">
        <v>0</v>
      </c>
      <c r="K75" s="311">
        <v>0</v>
      </c>
      <c r="L75" s="311">
        <v>0</v>
      </c>
      <c r="M75" s="311">
        <v>0</v>
      </c>
      <c r="N75" s="311">
        <v>0</v>
      </c>
      <c r="O75" s="311">
        <v>0</v>
      </c>
      <c r="P75" s="311">
        <v>0</v>
      </c>
      <c r="Q75" s="311">
        <v>0</v>
      </c>
      <c r="R75" s="311">
        <v>0</v>
      </c>
      <c r="S75" s="311">
        <v>0</v>
      </c>
      <c r="T75" s="311">
        <v>0</v>
      </c>
      <c r="U75" s="312">
        <v>0</v>
      </c>
      <c r="V75" s="313">
        <v>0</v>
      </c>
      <c r="W75" s="314"/>
      <c r="X75" s="315">
        <v>0</v>
      </c>
      <c r="Y75" s="316">
        <v>0</v>
      </c>
    </row>
    <row r="76" spans="1:25" x14ac:dyDescent="0.3">
      <c r="A76" s="233"/>
      <c r="B76" s="234" t="s">
        <v>5</v>
      </c>
      <c r="D76" s="294" t="s">
        <v>982</v>
      </c>
      <c r="E76" s="294"/>
      <c r="F76" s="295" t="s">
        <v>983</v>
      </c>
      <c r="G76" s="296"/>
      <c r="H76" s="297"/>
      <c r="I76" s="298"/>
      <c r="J76" s="299">
        <v>0</v>
      </c>
      <c r="K76" s="300">
        <v>0</v>
      </c>
      <c r="L76" s="300">
        <v>0</v>
      </c>
      <c r="M76" s="300">
        <v>0</v>
      </c>
      <c r="N76" s="300">
        <v>0</v>
      </c>
      <c r="O76" s="300">
        <v>0</v>
      </c>
      <c r="P76" s="300">
        <v>0</v>
      </c>
      <c r="Q76" s="300">
        <v>0</v>
      </c>
      <c r="R76" s="300">
        <v>0</v>
      </c>
      <c r="S76" s="300">
        <v>0</v>
      </c>
      <c r="T76" s="300">
        <v>0</v>
      </c>
      <c r="U76" s="301">
        <v>0</v>
      </c>
      <c r="V76" s="302">
        <v>0</v>
      </c>
      <c r="W76" s="303"/>
      <c r="X76" s="304">
        <v>0</v>
      </c>
      <c r="Y76" s="305">
        <v>0</v>
      </c>
    </row>
    <row r="77" spans="1:25" x14ac:dyDescent="0.3">
      <c r="E77" s="250" t="s">
        <v>984</v>
      </c>
      <c r="F77" s="317">
        <v>4100701</v>
      </c>
      <c r="G77" s="318"/>
      <c r="H77" s="319">
        <v>4100130101</v>
      </c>
      <c r="I77" s="320"/>
      <c r="J77" s="337">
        <v>0</v>
      </c>
      <c r="K77" s="321">
        <v>0</v>
      </c>
      <c r="L77" s="321">
        <v>0</v>
      </c>
      <c r="M77" s="321">
        <v>0</v>
      </c>
      <c r="N77" s="321">
        <v>0</v>
      </c>
      <c r="O77" s="321">
        <v>0</v>
      </c>
      <c r="P77" s="321">
        <v>0</v>
      </c>
      <c r="Q77" s="321">
        <v>0</v>
      </c>
      <c r="R77" s="321">
        <v>0</v>
      </c>
      <c r="S77" s="321">
        <v>0</v>
      </c>
      <c r="T77" s="321">
        <v>0</v>
      </c>
      <c r="U77" s="322">
        <v>0</v>
      </c>
      <c r="V77" s="323">
        <v>0</v>
      </c>
      <c r="W77" s="303"/>
      <c r="X77" s="324">
        <v>0</v>
      </c>
      <c r="Y77" s="325">
        <v>0</v>
      </c>
    </row>
    <row r="78" spans="1:25" x14ac:dyDescent="0.3">
      <c r="E78" s="250" t="s">
        <v>985</v>
      </c>
      <c r="F78" s="317">
        <v>4100702</v>
      </c>
      <c r="G78" s="318"/>
      <c r="H78" s="319"/>
      <c r="I78" s="320"/>
      <c r="J78" s="337">
        <v>0</v>
      </c>
      <c r="K78" s="321">
        <v>0</v>
      </c>
      <c r="L78" s="321">
        <v>0</v>
      </c>
      <c r="M78" s="321">
        <v>0</v>
      </c>
      <c r="N78" s="321">
        <v>0</v>
      </c>
      <c r="O78" s="321">
        <v>0</v>
      </c>
      <c r="P78" s="321">
        <v>0</v>
      </c>
      <c r="Q78" s="321">
        <v>0</v>
      </c>
      <c r="R78" s="321">
        <v>0</v>
      </c>
      <c r="S78" s="321">
        <v>0</v>
      </c>
      <c r="T78" s="321">
        <v>0</v>
      </c>
      <c r="U78" s="322">
        <v>0</v>
      </c>
      <c r="V78" s="323">
        <v>0</v>
      </c>
      <c r="W78" s="303"/>
      <c r="X78" s="324">
        <v>0</v>
      </c>
      <c r="Y78" s="325">
        <v>0</v>
      </c>
    </row>
    <row r="79" spans="1:25" x14ac:dyDescent="0.3">
      <c r="E79" s="250" t="s">
        <v>986</v>
      </c>
      <c r="F79" s="317">
        <v>4100703</v>
      </c>
      <c r="G79" s="318"/>
      <c r="H79" s="319"/>
      <c r="I79" s="320"/>
      <c r="J79" s="337">
        <v>0</v>
      </c>
      <c r="K79" s="321">
        <v>0</v>
      </c>
      <c r="L79" s="321">
        <v>0</v>
      </c>
      <c r="M79" s="321">
        <v>0</v>
      </c>
      <c r="N79" s="321">
        <v>0</v>
      </c>
      <c r="O79" s="321">
        <v>0</v>
      </c>
      <c r="P79" s="321">
        <v>0</v>
      </c>
      <c r="Q79" s="321">
        <v>0</v>
      </c>
      <c r="R79" s="321">
        <v>0</v>
      </c>
      <c r="S79" s="321">
        <v>0</v>
      </c>
      <c r="T79" s="321">
        <v>0</v>
      </c>
      <c r="U79" s="322">
        <v>0</v>
      </c>
      <c r="V79" s="323">
        <v>0</v>
      </c>
      <c r="W79" s="303"/>
      <c r="X79" s="324">
        <v>0</v>
      </c>
      <c r="Y79" s="325">
        <v>0</v>
      </c>
    </row>
    <row r="80" spans="1:25" x14ac:dyDescent="0.3">
      <c r="E80" s="250" t="s">
        <v>987</v>
      </c>
      <c r="F80" s="317">
        <v>4100704</v>
      </c>
      <c r="G80" s="318"/>
      <c r="H80" s="319"/>
      <c r="I80" s="320"/>
      <c r="J80" s="337">
        <v>0</v>
      </c>
      <c r="K80" s="321">
        <v>0</v>
      </c>
      <c r="L80" s="321">
        <v>0</v>
      </c>
      <c r="M80" s="321">
        <v>0</v>
      </c>
      <c r="N80" s="321">
        <v>0</v>
      </c>
      <c r="O80" s="321">
        <v>0</v>
      </c>
      <c r="P80" s="321">
        <v>0</v>
      </c>
      <c r="Q80" s="321">
        <v>0</v>
      </c>
      <c r="R80" s="321">
        <v>0</v>
      </c>
      <c r="S80" s="321">
        <v>0</v>
      </c>
      <c r="T80" s="321">
        <v>0</v>
      </c>
      <c r="U80" s="322">
        <v>0</v>
      </c>
      <c r="V80" s="323">
        <v>0</v>
      </c>
      <c r="W80" s="303"/>
      <c r="X80" s="324">
        <v>0</v>
      </c>
      <c r="Y80" s="325">
        <v>0</v>
      </c>
    </row>
    <row r="81" spans="1:25" x14ac:dyDescent="0.3">
      <c r="E81" s="250" t="s">
        <v>988</v>
      </c>
      <c r="F81" s="317">
        <v>4100705</v>
      </c>
      <c r="G81" s="318"/>
      <c r="H81" s="319"/>
      <c r="I81" s="320"/>
      <c r="J81" s="337">
        <v>0</v>
      </c>
      <c r="K81" s="321">
        <v>0</v>
      </c>
      <c r="L81" s="321">
        <v>0</v>
      </c>
      <c r="M81" s="321">
        <v>0</v>
      </c>
      <c r="N81" s="321">
        <v>0</v>
      </c>
      <c r="O81" s="321">
        <v>0</v>
      </c>
      <c r="P81" s="321">
        <v>0</v>
      </c>
      <c r="Q81" s="321">
        <v>0</v>
      </c>
      <c r="R81" s="321">
        <v>0</v>
      </c>
      <c r="S81" s="321">
        <v>0</v>
      </c>
      <c r="T81" s="321">
        <v>0</v>
      </c>
      <c r="U81" s="322">
        <v>0</v>
      </c>
      <c r="V81" s="323">
        <v>0</v>
      </c>
      <c r="W81" s="303"/>
      <c r="X81" s="324">
        <v>0</v>
      </c>
      <c r="Y81" s="325">
        <v>0</v>
      </c>
    </row>
    <row r="82" spans="1:25" x14ac:dyDescent="0.3">
      <c r="E82" s="250" t="s">
        <v>989</v>
      </c>
      <c r="F82" s="317">
        <v>4100706</v>
      </c>
      <c r="G82" s="318"/>
      <c r="H82" s="319"/>
      <c r="I82" s="320"/>
      <c r="J82" s="337">
        <v>0</v>
      </c>
      <c r="K82" s="321">
        <v>0</v>
      </c>
      <c r="L82" s="321">
        <v>0</v>
      </c>
      <c r="M82" s="321">
        <v>0</v>
      </c>
      <c r="N82" s="321">
        <v>0</v>
      </c>
      <c r="O82" s="321">
        <v>0</v>
      </c>
      <c r="P82" s="321">
        <v>0</v>
      </c>
      <c r="Q82" s="321">
        <v>0</v>
      </c>
      <c r="R82" s="321">
        <v>0</v>
      </c>
      <c r="S82" s="321">
        <v>0</v>
      </c>
      <c r="T82" s="321">
        <v>0</v>
      </c>
      <c r="U82" s="322">
        <v>0</v>
      </c>
      <c r="V82" s="323">
        <v>0</v>
      </c>
      <c r="W82" s="303"/>
      <c r="X82" s="324">
        <v>0</v>
      </c>
      <c r="Y82" s="325">
        <v>0</v>
      </c>
    </row>
    <row r="83" spans="1:25" x14ac:dyDescent="0.3">
      <c r="E83" s="250" t="s">
        <v>990</v>
      </c>
      <c r="F83" s="317">
        <v>4100707</v>
      </c>
      <c r="G83" s="318"/>
      <c r="H83" s="319"/>
      <c r="I83" s="320"/>
      <c r="J83" s="337">
        <v>0</v>
      </c>
      <c r="K83" s="321">
        <v>0</v>
      </c>
      <c r="L83" s="321">
        <v>0</v>
      </c>
      <c r="M83" s="321">
        <v>0</v>
      </c>
      <c r="N83" s="321">
        <v>0</v>
      </c>
      <c r="O83" s="321">
        <v>0</v>
      </c>
      <c r="P83" s="321">
        <v>0</v>
      </c>
      <c r="Q83" s="321">
        <v>0</v>
      </c>
      <c r="R83" s="321">
        <v>0</v>
      </c>
      <c r="S83" s="321">
        <v>0</v>
      </c>
      <c r="T83" s="321">
        <v>0</v>
      </c>
      <c r="U83" s="322">
        <v>0</v>
      </c>
      <c r="V83" s="323">
        <v>0</v>
      </c>
      <c r="W83" s="303"/>
      <c r="X83" s="324">
        <v>0</v>
      </c>
      <c r="Y83" s="325">
        <v>0</v>
      </c>
    </row>
    <row r="84" spans="1:25" x14ac:dyDescent="0.3">
      <c r="E84" s="250" t="s">
        <v>991</v>
      </c>
      <c r="F84" s="317">
        <v>4100709</v>
      </c>
      <c r="G84" s="318"/>
      <c r="H84" s="319"/>
      <c r="I84" s="320"/>
      <c r="J84" s="337">
        <v>0</v>
      </c>
      <c r="K84" s="321">
        <v>0</v>
      </c>
      <c r="L84" s="321">
        <v>0</v>
      </c>
      <c r="M84" s="321">
        <v>0</v>
      </c>
      <c r="N84" s="321">
        <v>0</v>
      </c>
      <c r="O84" s="321">
        <v>0</v>
      </c>
      <c r="P84" s="321">
        <v>0</v>
      </c>
      <c r="Q84" s="321">
        <v>0</v>
      </c>
      <c r="R84" s="321">
        <v>0</v>
      </c>
      <c r="S84" s="321">
        <v>0</v>
      </c>
      <c r="T84" s="321">
        <v>0</v>
      </c>
      <c r="U84" s="322">
        <v>0</v>
      </c>
      <c r="V84" s="323">
        <v>0</v>
      </c>
      <c r="W84" s="303"/>
      <c r="X84" s="324">
        <v>0</v>
      </c>
      <c r="Y84" s="325">
        <v>0</v>
      </c>
    </row>
    <row r="85" spans="1:25" x14ac:dyDescent="0.3">
      <c r="E85" s="250" t="s">
        <v>992</v>
      </c>
      <c r="F85" s="317">
        <v>4100793</v>
      </c>
      <c r="G85" s="318"/>
      <c r="H85" s="319"/>
      <c r="I85" s="320"/>
      <c r="J85" s="337">
        <v>0</v>
      </c>
      <c r="K85" s="321">
        <v>0</v>
      </c>
      <c r="L85" s="321">
        <v>0</v>
      </c>
      <c r="M85" s="321">
        <v>0</v>
      </c>
      <c r="N85" s="321">
        <v>0</v>
      </c>
      <c r="O85" s="321">
        <v>0</v>
      </c>
      <c r="P85" s="321">
        <v>0</v>
      </c>
      <c r="Q85" s="321">
        <v>0</v>
      </c>
      <c r="R85" s="321">
        <v>0</v>
      </c>
      <c r="S85" s="321">
        <v>0</v>
      </c>
      <c r="T85" s="321">
        <v>0</v>
      </c>
      <c r="U85" s="322">
        <v>0</v>
      </c>
      <c r="V85" s="323">
        <v>0</v>
      </c>
      <c r="W85" s="303"/>
      <c r="X85" s="324">
        <v>0</v>
      </c>
      <c r="Y85" s="325">
        <v>0</v>
      </c>
    </row>
    <row r="86" spans="1:25" x14ac:dyDescent="0.3">
      <c r="E86" s="250" t="s">
        <v>993</v>
      </c>
      <c r="F86" s="317">
        <v>4100799</v>
      </c>
      <c r="G86" s="318"/>
      <c r="H86" s="319"/>
      <c r="I86" s="320"/>
      <c r="J86" s="337">
        <v>0</v>
      </c>
      <c r="K86" s="321">
        <v>0</v>
      </c>
      <c r="L86" s="321">
        <v>0</v>
      </c>
      <c r="M86" s="321">
        <v>0</v>
      </c>
      <c r="N86" s="321">
        <v>0</v>
      </c>
      <c r="O86" s="321">
        <v>0</v>
      </c>
      <c r="P86" s="321">
        <v>0</v>
      </c>
      <c r="Q86" s="321">
        <v>0</v>
      </c>
      <c r="R86" s="321">
        <v>0</v>
      </c>
      <c r="S86" s="321">
        <v>0</v>
      </c>
      <c r="T86" s="321">
        <v>0</v>
      </c>
      <c r="U86" s="322">
        <v>0</v>
      </c>
      <c r="V86" s="323">
        <v>0</v>
      </c>
      <c r="W86" s="303"/>
      <c r="X86" s="324">
        <v>0</v>
      </c>
      <c r="Y86" s="325">
        <v>0</v>
      </c>
    </row>
    <row r="87" spans="1:25" x14ac:dyDescent="0.3">
      <c r="A87" s="361"/>
      <c r="B87" s="361"/>
      <c r="C87" s="361"/>
      <c r="D87" s="361"/>
      <c r="E87" s="326" t="s">
        <v>994</v>
      </c>
      <c r="F87" s="351"/>
      <c r="G87" s="352"/>
      <c r="H87" s="353"/>
      <c r="I87" s="354"/>
      <c r="J87" s="337">
        <v>0</v>
      </c>
      <c r="K87" s="355">
        <v>0</v>
      </c>
      <c r="L87" s="355">
        <v>0</v>
      </c>
      <c r="M87" s="355">
        <v>0</v>
      </c>
      <c r="N87" s="355">
        <v>0</v>
      </c>
      <c r="O87" s="355">
        <v>0</v>
      </c>
      <c r="P87" s="355">
        <v>0</v>
      </c>
      <c r="Q87" s="355">
        <v>0</v>
      </c>
      <c r="R87" s="355">
        <v>0</v>
      </c>
      <c r="S87" s="355">
        <v>0</v>
      </c>
      <c r="T87" s="355">
        <v>0</v>
      </c>
      <c r="U87" s="356">
        <v>0</v>
      </c>
      <c r="V87" s="357">
        <v>0</v>
      </c>
      <c r="W87" s="358"/>
      <c r="X87" s="359">
        <v>0</v>
      </c>
      <c r="Y87" s="360">
        <v>0</v>
      </c>
    </row>
    <row r="88" spans="1:25" x14ac:dyDescent="0.3">
      <c r="A88" s="361"/>
      <c r="B88" s="361"/>
      <c r="C88" s="361"/>
      <c r="D88" s="361"/>
      <c r="E88" s="326" t="s">
        <v>995</v>
      </c>
      <c r="F88" s="351"/>
      <c r="G88" s="352"/>
      <c r="H88" s="353"/>
      <c r="I88" s="354"/>
      <c r="J88" s="337">
        <v>0</v>
      </c>
      <c r="K88" s="355">
        <v>0</v>
      </c>
      <c r="L88" s="355">
        <v>0</v>
      </c>
      <c r="M88" s="355">
        <v>0</v>
      </c>
      <c r="N88" s="355">
        <v>0</v>
      </c>
      <c r="O88" s="355">
        <v>0</v>
      </c>
      <c r="P88" s="355">
        <v>0</v>
      </c>
      <c r="Q88" s="355">
        <v>0</v>
      </c>
      <c r="R88" s="355">
        <v>0</v>
      </c>
      <c r="S88" s="355">
        <v>0</v>
      </c>
      <c r="T88" s="355">
        <v>0</v>
      </c>
      <c r="U88" s="356">
        <v>0</v>
      </c>
      <c r="V88" s="357">
        <v>0</v>
      </c>
      <c r="W88" s="358"/>
      <c r="X88" s="359">
        <v>0</v>
      </c>
      <c r="Y88" s="360">
        <v>0</v>
      </c>
    </row>
    <row r="89" spans="1:25" x14ac:dyDescent="0.3">
      <c r="A89" s="361"/>
      <c r="B89" s="361"/>
      <c r="C89" s="361"/>
      <c r="D89" s="361"/>
      <c r="E89" s="326" t="s">
        <v>996</v>
      </c>
      <c r="F89" s="351"/>
      <c r="G89" s="352"/>
      <c r="H89" s="353"/>
      <c r="I89" s="354"/>
      <c r="J89" s="337">
        <v>0</v>
      </c>
      <c r="K89" s="355">
        <v>0</v>
      </c>
      <c r="L89" s="355">
        <v>0</v>
      </c>
      <c r="M89" s="355">
        <v>0</v>
      </c>
      <c r="N89" s="355">
        <v>0</v>
      </c>
      <c r="O89" s="355">
        <v>0</v>
      </c>
      <c r="P89" s="355">
        <v>0</v>
      </c>
      <c r="Q89" s="355">
        <v>0</v>
      </c>
      <c r="R89" s="355">
        <v>0</v>
      </c>
      <c r="S89" s="355">
        <v>0</v>
      </c>
      <c r="T89" s="355">
        <v>0</v>
      </c>
      <c r="U89" s="356">
        <v>0</v>
      </c>
      <c r="V89" s="357">
        <v>0</v>
      </c>
      <c r="W89" s="358"/>
      <c r="X89" s="359">
        <v>0</v>
      </c>
      <c r="Y89" s="360">
        <v>0</v>
      </c>
    </row>
    <row r="90" spans="1:25" x14ac:dyDescent="0.3">
      <c r="A90" s="233"/>
      <c r="B90" s="234" t="s">
        <v>5</v>
      </c>
      <c r="D90" s="293" t="s">
        <v>997</v>
      </c>
      <c r="E90" s="294"/>
      <c r="F90" s="295" t="s">
        <v>998</v>
      </c>
      <c r="G90" s="296"/>
      <c r="H90" s="297"/>
      <c r="I90" s="298"/>
      <c r="J90" s="299">
        <v>0</v>
      </c>
      <c r="K90" s="300">
        <v>0</v>
      </c>
      <c r="L90" s="300">
        <v>0</v>
      </c>
      <c r="M90" s="300">
        <v>0</v>
      </c>
      <c r="N90" s="300">
        <v>0</v>
      </c>
      <c r="O90" s="300">
        <v>0</v>
      </c>
      <c r="P90" s="300">
        <v>0</v>
      </c>
      <c r="Q90" s="300">
        <v>0</v>
      </c>
      <c r="R90" s="300">
        <v>0</v>
      </c>
      <c r="S90" s="300">
        <v>0</v>
      </c>
      <c r="T90" s="300">
        <v>0</v>
      </c>
      <c r="U90" s="301">
        <v>0</v>
      </c>
      <c r="V90" s="302">
        <v>0</v>
      </c>
      <c r="W90" s="303"/>
      <c r="X90" s="304">
        <v>0</v>
      </c>
      <c r="Y90" s="305">
        <v>0</v>
      </c>
    </row>
    <row r="91" spans="1:25" x14ac:dyDescent="0.3">
      <c r="E91" s="250" t="s">
        <v>999</v>
      </c>
      <c r="F91" s="317">
        <v>4100798</v>
      </c>
      <c r="G91" s="318"/>
      <c r="H91" s="319"/>
      <c r="I91" s="320"/>
      <c r="J91" s="337">
        <v>0</v>
      </c>
      <c r="K91" s="321">
        <v>0</v>
      </c>
      <c r="L91" s="321">
        <v>0</v>
      </c>
      <c r="M91" s="321">
        <v>0</v>
      </c>
      <c r="N91" s="321">
        <v>0</v>
      </c>
      <c r="O91" s="321">
        <v>0</v>
      </c>
      <c r="P91" s="321">
        <v>0</v>
      </c>
      <c r="Q91" s="321">
        <v>0</v>
      </c>
      <c r="R91" s="321">
        <v>0</v>
      </c>
      <c r="S91" s="321">
        <v>0</v>
      </c>
      <c r="T91" s="321">
        <v>0</v>
      </c>
      <c r="U91" s="322">
        <v>0</v>
      </c>
      <c r="V91" s="323">
        <v>0</v>
      </c>
      <c r="W91" s="303"/>
      <c r="X91" s="324">
        <v>0</v>
      </c>
      <c r="Y91" s="325">
        <v>0</v>
      </c>
    </row>
    <row r="92" spans="1:25" x14ac:dyDescent="0.3">
      <c r="E92" s="250" t="s">
        <v>1000</v>
      </c>
      <c r="F92" s="317">
        <v>4100796</v>
      </c>
      <c r="G92" s="318"/>
      <c r="H92" s="319"/>
      <c r="I92" s="320"/>
      <c r="J92" s="337">
        <v>0</v>
      </c>
      <c r="K92" s="321">
        <v>0</v>
      </c>
      <c r="L92" s="321">
        <v>0</v>
      </c>
      <c r="M92" s="321">
        <v>0</v>
      </c>
      <c r="N92" s="321">
        <v>0</v>
      </c>
      <c r="O92" s="321">
        <v>0</v>
      </c>
      <c r="P92" s="321">
        <v>0</v>
      </c>
      <c r="Q92" s="321">
        <v>0</v>
      </c>
      <c r="R92" s="321">
        <v>0</v>
      </c>
      <c r="S92" s="321">
        <v>0</v>
      </c>
      <c r="T92" s="321">
        <v>0</v>
      </c>
      <c r="U92" s="322">
        <v>0</v>
      </c>
      <c r="V92" s="323">
        <v>0</v>
      </c>
      <c r="W92" s="303"/>
      <c r="X92" s="324">
        <v>0</v>
      </c>
      <c r="Y92" s="325">
        <v>0</v>
      </c>
    </row>
    <row r="93" spans="1:25" x14ac:dyDescent="0.3">
      <c r="E93" s="250" t="s">
        <v>1001</v>
      </c>
      <c r="F93" s="317">
        <v>4100795</v>
      </c>
      <c r="G93" s="318"/>
      <c r="H93" s="319"/>
      <c r="I93" s="320"/>
      <c r="J93" s="337">
        <v>0</v>
      </c>
      <c r="K93" s="321">
        <v>0</v>
      </c>
      <c r="L93" s="321">
        <v>0</v>
      </c>
      <c r="M93" s="321">
        <v>0</v>
      </c>
      <c r="N93" s="321">
        <v>0</v>
      </c>
      <c r="O93" s="321">
        <v>0</v>
      </c>
      <c r="P93" s="321">
        <v>0</v>
      </c>
      <c r="Q93" s="321">
        <v>0</v>
      </c>
      <c r="R93" s="321">
        <v>0</v>
      </c>
      <c r="S93" s="321">
        <v>0</v>
      </c>
      <c r="T93" s="321">
        <v>0</v>
      </c>
      <c r="U93" s="322">
        <v>0</v>
      </c>
      <c r="V93" s="323">
        <v>0</v>
      </c>
      <c r="W93" s="303"/>
      <c r="X93" s="324">
        <v>0</v>
      </c>
      <c r="Y93" s="325">
        <v>0</v>
      </c>
    </row>
    <row r="94" spans="1:25" x14ac:dyDescent="0.3">
      <c r="E94" s="250" t="s">
        <v>1002</v>
      </c>
      <c r="F94" s="317">
        <v>4100794</v>
      </c>
      <c r="G94" s="318"/>
      <c r="H94" s="319"/>
      <c r="I94" s="320"/>
      <c r="J94" s="337">
        <v>0</v>
      </c>
      <c r="K94" s="321">
        <v>0</v>
      </c>
      <c r="L94" s="321">
        <v>0</v>
      </c>
      <c r="M94" s="321">
        <v>0</v>
      </c>
      <c r="N94" s="321">
        <v>0</v>
      </c>
      <c r="O94" s="321">
        <v>0</v>
      </c>
      <c r="P94" s="321">
        <v>0</v>
      </c>
      <c r="Q94" s="321">
        <v>0</v>
      </c>
      <c r="R94" s="321">
        <v>0</v>
      </c>
      <c r="S94" s="321">
        <v>0</v>
      </c>
      <c r="T94" s="321">
        <v>0</v>
      </c>
      <c r="U94" s="322">
        <v>0</v>
      </c>
      <c r="V94" s="323">
        <v>0</v>
      </c>
      <c r="W94" s="303"/>
      <c r="X94" s="324">
        <v>0</v>
      </c>
      <c r="Y94" s="325">
        <v>0</v>
      </c>
    </row>
    <row r="95" spans="1:25" x14ac:dyDescent="0.3">
      <c r="E95" s="250" t="s">
        <v>1003</v>
      </c>
      <c r="F95" s="317">
        <v>4100797</v>
      </c>
      <c r="G95" s="318"/>
      <c r="H95" s="319"/>
      <c r="I95" s="320"/>
      <c r="J95" s="337">
        <v>0</v>
      </c>
      <c r="K95" s="321">
        <v>0</v>
      </c>
      <c r="L95" s="321">
        <v>0</v>
      </c>
      <c r="M95" s="321">
        <v>0</v>
      </c>
      <c r="N95" s="321">
        <v>0</v>
      </c>
      <c r="O95" s="321">
        <v>0</v>
      </c>
      <c r="P95" s="321">
        <v>0</v>
      </c>
      <c r="Q95" s="321">
        <v>0</v>
      </c>
      <c r="R95" s="321">
        <v>0</v>
      </c>
      <c r="S95" s="321">
        <v>0</v>
      </c>
      <c r="T95" s="321">
        <v>0</v>
      </c>
      <c r="U95" s="322">
        <v>0</v>
      </c>
      <c r="V95" s="323">
        <v>0</v>
      </c>
      <c r="W95" s="303"/>
      <c r="X95" s="324">
        <v>0</v>
      </c>
      <c r="Y95" s="325">
        <v>0</v>
      </c>
    </row>
    <row r="96" spans="1:25" x14ac:dyDescent="0.3">
      <c r="A96" s="361"/>
      <c r="B96" s="361"/>
      <c r="C96" s="361"/>
      <c r="D96" s="361"/>
      <c r="E96" s="350" t="s">
        <v>1004</v>
      </c>
      <c r="F96" s="306">
        <v>4100792</v>
      </c>
      <c r="G96" s="307"/>
      <c r="H96" s="308"/>
      <c r="I96" s="309"/>
      <c r="J96" s="310">
        <v>0</v>
      </c>
      <c r="K96" s="311">
        <v>0</v>
      </c>
      <c r="L96" s="311">
        <v>0</v>
      </c>
      <c r="M96" s="311">
        <v>0</v>
      </c>
      <c r="N96" s="311">
        <v>0</v>
      </c>
      <c r="O96" s="311">
        <v>0</v>
      </c>
      <c r="P96" s="311">
        <v>0</v>
      </c>
      <c r="Q96" s="311">
        <v>0</v>
      </c>
      <c r="R96" s="311">
        <v>0</v>
      </c>
      <c r="S96" s="311">
        <v>0</v>
      </c>
      <c r="T96" s="311">
        <v>0</v>
      </c>
      <c r="U96" s="312">
        <v>0</v>
      </c>
      <c r="V96" s="313">
        <v>0</v>
      </c>
      <c r="W96" s="314"/>
      <c r="X96" s="315">
        <v>0</v>
      </c>
      <c r="Y96" s="316">
        <v>0</v>
      </c>
    </row>
    <row r="97" spans="1:25" x14ac:dyDescent="0.3">
      <c r="A97" s="350"/>
      <c r="B97" s="350"/>
      <c r="C97" s="350"/>
      <c r="D97" s="350"/>
      <c r="E97" s="350" t="s">
        <v>1005</v>
      </c>
      <c r="F97" s="306">
        <v>4100791</v>
      </c>
      <c r="G97" s="307"/>
      <c r="H97" s="308"/>
      <c r="I97" s="309"/>
      <c r="J97" s="310">
        <v>0</v>
      </c>
      <c r="K97" s="311">
        <v>0</v>
      </c>
      <c r="L97" s="311">
        <v>0</v>
      </c>
      <c r="M97" s="311">
        <v>0</v>
      </c>
      <c r="N97" s="311">
        <v>0</v>
      </c>
      <c r="O97" s="311">
        <v>0</v>
      </c>
      <c r="P97" s="311">
        <v>0</v>
      </c>
      <c r="Q97" s="311">
        <v>0</v>
      </c>
      <c r="R97" s="311">
        <v>0</v>
      </c>
      <c r="S97" s="311">
        <v>0</v>
      </c>
      <c r="T97" s="311">
        <v>0</v>
      </c>
      <c r="U97" s="312">
        <v>0</v>
      </c>
      <c r="V97" s="313">
        <v>0</v>
      </c>
      <c r="W97" s="314"/>
      <c r="X97" s="315">
        <v>0</v>
      </c>
      <c r="Y97" s="316">
        <v>0</v>
      </c>
    </row>
    <row r="98" spans="1:25" x14ac:dyDescent="0.3">
      <c r="A98" s="350"/>
      <c r="B98" s="350"/>
      <c r="C98" s="350"/>
      <c r="D98" s="350"/>
      <c r="E98" s="350" t="s">
        <v>1006</v>
      </c>
      <c r="F98" s="306">
        <v>4100781</v>
      </c>
      <c r="G98" s="307">
        <v>4100783</v>
      </c>
      <c r="H98" s="308"/>
      <c r="I98" s="309"/>
      <c r="J98" s="310">
        <v>0</v>
      </c>
      <c r="K98" s="311">
        <v>0</v>
      </c>
      <c r="L98" s="311">
        <v>0</v>
      </c>
      <c r="M98" s="311">
        <v>0</v>
      </c>
      <c r="N98" s="311">
        <v>0</v>
      </c>
      <c r="O98" s="311">
        <v>0</v>
      </c>
      <c r="P98" s="311">
        <v>0</v>
      </c>
      <c r="Q98" s="311">
        <v>0</v>
      </c>
      <c r="R98" s="311">
        <v>0</v>
      </c>
      <c r="S98" s="311">
        <v>0</v>
      </c>
      <c r="T98" s="311">
        <v>0</v>
      </c>
      <c r="U98" s="312">
        <v>0</v>
      </c>
      <c r="V98" s="313">
        <v>0</v>
      </c>
      <c r="W98" s="314"/>
      <c r="X98" s="315">
        <v>0</v>
      </c>
      <c r="Y98" s="316">
        <v>0</v>
      </c>
    </row>
    <row r="99" spans="1:25" x14ac:dyDescent="0.3">
      <c r="A99" s="233"/>
      <c r="B99" s="234" t="s">
        <v>61</v>
      </c>
      <c r="D99" s="293" t="s">
        <v>1007</v>
      </c>
      <c r="E99" s="294"/>
      <c r="F99" s="295" t="s">
        <v>1008</v>
      </c>
      <c r="G99" s="296"/>
      <c r="H99" s="297"/>
      <c r="I99" s="298"/>
      <c r="J99" s="299">
        <v>0</v>
      </c>
      <c r="K99" s="300">
        <v>0</v>
      </c>
      <c r="L99" s="300">
        <v>0</v>
      </c>
      <c r="M99" s="300">
        <v>0</v>
      </c>
      <c r="N99" s="300">
        <v>0</v>
      </c>
      <c r="O99" s="300">
        <v>0</v>
      </c>
      <c r="P99" s="300">
        <v>0</v>
      </c>
      <c r="Q99" s="300">
        <v>0</v>
      </c>
      <c r="R99" s="300">
        <v>0</v>
      </c>
      <c r="S99" s="300">
        <v>0</v>
      </c>
      <c r="T99" s="300">
        <v>0</v>
      </c>
      <c r="U99" s="301">
        <v>0</v>
      </c>
      <c r="V99" s="302">
        <v>0</v>
      </c>
      <c r="W99" s="303"/>
      <c r="X99" s="304">
        <v>0</v>
      </c>
      <c r="Y99" s="305">
        <v>0</v>
      </c>
    </row>
    <row r="100" spans="1:25" x14ac:dyDescent="0.3">
      <c r="E100" s="250" t="s">
        <v>1009</v>
      </c>
      <c r="F100" s="317">
        <v>4100801</v>
      </c>
      <c r="G100" s="318"/>
      <c r="H100" s="319">
        <v>4100070101</v>
      </c>
      <c r="I100" s="320"/>
      <c r="J100" s="337">
        <v>0</v>
      </c>
      <c r="K100" s="321">
        <v>0</v>
      </c>
      <c r="L100" s="321">
        <v>0</v>
      </c>
      <c r="M100" s="321">
        <v>0</v>
      </c>
      <c r="N100" s="321">
        <v>0</v>
      </c>
      <c r="O100" s="321">
        <v>0</v>
      </c>
      <c r="P100" s="321">
        <v>0</v>
      </c>
      <c r="Q100" s="321">
        <v>0</v>
      </c>
      <c r="R100" s="321">
        <v>0</v>
      </c>
      <c r="S100" s="321">
        <v>0</v>
      </c>
      <c r="T100" s="321">
        <v>0</v>
      </c>
      <c r="U100" s="322">
        <v>0</v>
      </c>
      <c r="V100" s="323">
        <v>0</v>
      </c>
      <c r="W100" s="303"/>
      <c r="X100" s="324">
        <v>0</v>
      </c>
      <c r="Y100" s="325">
        <v>0</v>
      </c>
    </row>
    <row r="101" spans="1:25" x14ac:dyDescent="0.3">
      <c r="A101" s="326"/>
      <c r="B101" s="326"/>
      <c r="C101" s="326"/>
      <c r="D101" s="326"/>
      <c r="E101" s="326" t="s">
        <v>1010</v>
      </c>
      <c r="F101" s="336"/>
      <c r="G101" s="327"/>
      <c r="H101" s="328"/>
      <c r="I101" s="329"/>
      <c r="J101" s="337">
        <v>0</v>
      </c>
      <c r="K101" s="330">
        <v>0</v>
      </c>
      <c r="L101" s="330">
        <v>0</v>
      </c>
      <c r="M101" s="330">
        <v>0</v>
      </c>
      <c r="N101" s="330">
        <v>0</v>
      </c>
      <c r="O101" s="330">
        <v>0</v>
      </c>
      <c r="P101" s="330">
        <v>0</v>
      </c>
      <c r="Q101" s="330">
        <v>0</v>
      </c>
      <c r="R101" s="330">
        <v>0</v>
      </c>
      <c r="S101" s="330">
        <v>0</v>
      </c>
      <c r="T101" s="330">
        <v>0</v>
      </c>
      <c r="U101" s="331">
        <v>0</v>
      </c>
      <c r="V101" s="332">
        <v>0</v>
      </c>
      <c r="W101" s="333"/>
      <c r="X101" s="334">
        <v>0</v>
      </c>
      <c r="Y101" s="335">
        <v>0</v>
      </c>
    </row>
    <row r="102" spans="1:25" x14ac:dyDescent="0.3">
      <c r="A102" s="326"/>
      <c r="B102" s="326"/>
      <c r="C102" s="326"/>
      <c r="D102" s="326"/>
      <c r="E102" s="326" t="s">
        <v>1011</v>
      </c>
      <c r="F102" s="336"/>
      <c r="G102" s="327"/>
      <c r="H102" s="328"/>
      <c r="I102" s="329"/>
      <c r="J102" s="337">
        <v>0</v>
      </c>
      <c r="K102" s="330">
        <v>0</v>
      </c>
      <c r="L102" s="330">
        <v>0</v>
      </c>
      <c r="M102" s="330">
        <v>0</v>
      </c>
      <c r="N102" s="330">
        <v>0</v>
      </c>
      <c r="O102" s="330">
        <v>0</v>
      </c>
      <c r="P102" s="330">
        <v>0</v>
      </c>
      <c r="Q102" s="330">
        <v>0</v>
      </c>
      <c r="R102" s="330">
        <v>0</v>
      </c>
      <c r="S102" s="330">
        <v>0</v>
      </c>
      <c r="T102" s="330">
        <v>0</v>
      </c>
      <c r="U102" s="331">
        <v>0</v>
      </c>
      <c r="V102" s="332">
        <v>0</v>
      </c>
      <c r="W102" s="333"/>
      <c r="X102" s="334">
        <v>0</v>
      </c>
      <c r="Y102" s="335">
        <v>0</v>
      </c>
    </row>
    <row r="103" spans="1:25" x14ac:dyDescent="0.3">
      <c r="A103" s="326"/>
      <c r="B103" s="326"/>
      <c r="C103" s="326"/>
      <c r="D103" s="326"/>
      <c r="E103" s="326" t="s">
        <v>1012</v>
      </c>
      <c r="F103" s="336"/>
      <c r="G103" s="327"/>
      <c r="H103" s="328"/>
      <c r="I103" s="329"/>
      <c r="J103" s="337">
        <v>0</v>
      </c>
      <c r="K103" s="330">
        <v>0</v>
      </c>
      <c r="L103" s="330">
        <v>0</v>
      </c>
      <c r="M103" s="330">
        <v>0</v>
      </c>
      <c r="N103" s="330">
        <v>0</v>
      </c>
      <c r="O103" s="330">
        <v>0</v>
      </c>
      <c r="P103" s="330">
        <v>0</v>
      </c>
      <c r="Q103" s="330">
        <v>0</v>
      </c>
      <c r="R103" s="330">
        <v>0</v>
      </c>
      <c r="S103" s="330">
        <v>0</v>
      </c>
      <c r="T103" s="330">
        <v>0</v>
      </c>
      <c r="U103" s="331">
        <v>0</v>
      </c>
      <c r="V103" s="332">
        <v>0</v>
      </c>
      <c r="W103" s="333"/>
      <c r="X103" s="334">
        <v>0</v>
      </c>
      <c r="Y103" s="335">
        <v>0</v>
      </c>
    </row>
    <row r="104" spans="1:25" x14ac:dyDescent="0.3">
      <c r="A104" s="233"/>
      <c r="B104" s="234" t="s">
        <v>4</v>
      </c>
      <c r="D104" s="294" t="s">
        <v>1013</v>
      </c>
      <c r="E104" s="294"/>
      <c r="F104" s="295" t="s">
        <v>1014</v>
      </c>
      <c r="G104" s="296"/>
      <c r="H104" s="297"/>
      <c r="I104" s="298"/>
      <c r="J104" s="299">
        <v>0</v>
      </c>
      <c r="K104" s="300">
        <v>0</v>
      </c>
      <c r="L104" s="300">
        <v>0</v>
      </c>
      <c r="M104" s="300">
        <v>0</v>
      </c>
      <c r="N104" s="300">
        <v>0</v>
      </c>
      <c r="O104" s="300">
        <v>0</v>
      </c>
      <c r="P104" s="300">
        <v>0</v>
      </c>
      <c r="Q104" s="300">
        <v>0</v>
      </c>
      <c r="R104" s="300">
        <v>0</v>
      </c>
      <c r="S104" s="300">
        <v>0</v>
      </c>
      <c r="T104" s="300">
        <v>0</v>
      </c>
      <c r="U104" s="301">
        <v>0</v>
      </c>
      <c r="V104" s="302">
        <v>0</v>
      </c>
      <c r="W104" s="303"/>
      <c r="X104" s="304">
        <v>0</v>
      </c>
      <c r="Y104" s="305">
        <v>0</v>
      </c>
    </row>
    <row r="105" spans="1:25" x14ac:dyDescent="0.3">
      <c r="E105" s="250" t="s">
        <v>1015</v>
      </c>
      <c r="F105" s="317">
        <v>4101001</v>
      </c>
      <c r="G105" s="318"/>
      <c r="H105" s="319">
        <v>4100050101</v>
      </c>
      <c r="I105" s="320"/>
      <c r="J105" s="337">
        <v>0</v>
      </c>
      <c r="K105" s="321">
        <v>0</v>
      </c>
      <c r="L105" s="321">
        <v>0</v>
      </c>
      <c r="M105" s="321">
        <v>0</v>
      </c>
      <c r="N105" s="321">
        <v>0</v>
      </c>
      <c r="O105" s="321">
        <v>0</v>
      </c>
      <c r="P105" s="321">
        <v>0</v>
      </c>
      <c r="Q105" s="321">
        <v>0</v>
      </c>
      <c r="R105" s="321">
        <v>0</v>
      </c>
      <c r="S105" s="321">
        <v>0</v>
      </c>
      <c r="T105" s="321">
        <v>0</v>
      </c>
      <c r="U105" s="322">
        <v>0</v>
      </c>
      <c r="V105" s="323">
        <v>0</v>
      </c>
      <c r="W105" s="303"/>
      <c r="X105" s="324">
        <v>0</v>
      </c>
      <c r="Y105" s="325">
        <v>0</v>
      </c>
    </row>
    <row r="106" spans="1:25" x14ac:dyDescent="0.3">
      <c r="E106" s="250" t="s">
        <v>1016</v>
      </c>
      <c r="F106" s="317">
        <v>4101002</v>
      </c>
      <c r="G106" s="318"/>
      <c r="H106" s="319"/>
      <c r="I106" s="320"/>
      <c r="J106" s="337">
        <v>0</v>
      </c>
      <c r="K106" s="321">
        <v>0</v>
      </c>
      <c r="L106" s="321">
        <v>0</v>
      </c>
      <c r="M106" s="321">
        <v>0</v>
      </c>
      <c r="N106" s="321">
        <v>0</v>
      </c>
      <c r="O106" s="321">
        <v>0</v>
      </c>
      <c r="P106" s="321">
        <v>0</v>
      </c>
      <c r="Q106" s="321">
        <v>0</v>
      </c>
      <c r="R106" s="321">
        <v>0</v>
      </c>
      <c r="S106" s="321">
        <v>0</v>
      </c>
      <c r="T106" s="321">
        <v>0</v>
      </c>
      <c r="U106" s="322">
        <v>0</v>
      </c>
      <c r="V106" s="323">
        <v>0</v>
      </c>
      <c r="W106" s="303"/>
      <c r="X106" s="324">
        <v>0</v>
      </c>
      <c r="Y106" s="325">
        <v>0</v>
      </c>
    </row>
    <row r="107" spans="1:25" x14ac:dyDescent="0.3">
      <c r="E107" s="250" t="s">
        <v>1017</v>
      </c>
      <c r="F107" s="317">
        <v>4101003</v>
      </c>
      <c r="G107" s="318"/>
      <c r="H107" s="319">
        <v>4100050103</v>
      </c>
      <c r="I107" s="320"/>
      <c r="J107" s="337">
        <v>0</v>
      </c>
      <c r="K107" s="321">
        <v>0</v>
      </c>
      <c r="L107" s="321">
        <v>0</v>
      </c>
      <c r="M107" s="321">
        <v>0</v>
      </c>
      <c r="N107" s="321">
        <v>0</v>
      </c>
      <c r="O107" s="321">
        <v>0</v>
      </c>
      <c r="P107" s="321">
        <v>0</v>
      </c>
      <c r="Q107" s="321">
        <v>0</v>
      </c>
      <c r="R107" s="321">
        <v>0</v>
      </c>
      <c r="S107" s="321">
        <v>0</v>
      </c>
      <c r="T107" s="321">
        <v>0</v>
      </c>
      <c r="U107" s="322">
        <v>0</v>
      </c>
      <c r="V107" s="323">
        <v>0</v>
      </c>
      <c r="W107" s="303"/>
      <c r="X107" s="324">
        <v>0</v>
      </c>
      <c r="Y107" s="325">
        <v>0</v>
      </c>
    </row>
    <row r="108" spans="1:25" x14ac:dyDescent="0.3">
      <c r="E108" s="250" t="s">
        <v>1018</v>
      </c>
      <c r="F108" s="317">
        <v>4101099</v>
      </c>
      <c r="G108" s="318"/>
      <c r="H108" s="319">
        <v>4100050105</v>
      </c>
      <c r="I108" s="320"/>
      <c r="J108" s="337">
        <v>0</v>
      </c>
      <c r="K108" s="321">
        <v>0</v>
      </c>
      <c r="L108" s="321">
        <v>0</v>
      </c>
      <c r="M108" s="321">
        <v>0</v>
      </c>
      <c r="N108" s="321">
        <v>0</v>
      </c>
      <c r="O108" s="321">
        <v>0</v>
      </c>
      <c r="P108" s="321">
        <v>0</v>
      </c>
      <c r="Q108" s="321">
        <v>0</v>
      </c>
      <c r="R108" s="321">
        <v>0</v>
      </c>
      <c r="S108" s="321">
        <v>0</v>
      </c>
      <c r="T108" s="321">
        <v>0</v>
      </c>
      <c r="U108" s="322">
        <v>0</v>
      </c>
      <c r="V108" s="323">
        <v>0</v>
      </c>
      <c r="W108" s="303"/>
      <c r="X108" s="324">
        <v>0</v>
      </c>
      <c r="Y108" s="325">
        <v>0</v>
      </c>
    </row>
    <row r="109" spans="1:25" x14ac:dyDescent="0.3">
      <c r="A109" s="361"/>
      <c r="B109" s="361"/>
      <c r="C109" s="361"/>
      <c r="D109" s="361"/>
      <c r="E109" s="326" t="s">
        <v>1019</v>
      </c>
      <c r="F109" s="351"/>
      <c r="G109" s="352"/>
      <c r="H109" s="353"/>
      <c r="I109" s="354"/>
      <c r="J109" s="337">
        <v>0</v>
      </c>
      <c r="K109" s="355">
        <v>0</v>
      </c>
      <c r="L109" s="355">
        <v>0</v>
      </c>
      <c r="M109" s="355">
        <v>0</v>
      </c>
      <c r="N109" s="355">
        <v>0</v>
      </c>
      <c r="O109" s="355">
        <v>0</v>
      </c>
      <c r="P109" s="355">
        <v>0</v>
      </c>
      <c r="Q109" s="355">
        <v>0</v>
      </c>
      <c r="R109" s="355">
        <v>0</v>
      </c>
      <c r="S109" s="355">
        <v>0</v>
      </c>
      <c r="T109" s="355">
        <v>0</v>
      </c>
      <c r="U109" s="356">
        <v>0</v>
      </c>
      <c r="V109" s="357">
        <v>0</v>
      </c>
      <c r="W109" s="358"/>
      <c r="X109" s="359">
        <v>0</v>
      </c>
      <c r="Y109" s="360">
        <v>0</v>
      </c>
    </row>
    <row r="110" spans="1:25" x14ac:dyDescent="0.3">
      <c r="A110" s="361"/>
      <c r="B110" s="361"/>
      <c r="C110" s="361"/>
      <c r="D110" s="361"/>
      <c r="E110" s="326" t="s">
        <v>1020</v>
      </c>
      <c r="F110" s="351"/>
      <c r="G110" s="352"/>
      <c r="H110" s="353"/>
      <c r="I110" s="354"/>
      <c r="J110" s="337">
        <v>0</v>
      </c>
      <c r="K110" s="355">
        <v>0</v>
      </c>
      <c r="L110" s="355">
        <v>0</v>
      </c>
      <c r="M110" s="355">
        <v>0</v>
      </c>
      <c r="N110" s="355">
        <v>0</v>
      </c>
      <c r="O110" s="355">
        <v>0</v>
      </c>
      <c r="P110" s="355">
        <v>0</v>
      </c>
      <c r="Q110" s="355">
        <v>0</v>
      </c>
      <c r="R110" s="355">
        <v>0</v>
      </c>
      <c r="S110" s="355">
        <v>0</v>
      </c>
      <c r="T110" s="355">
        <v>0</v>
      </c>
      <c r="U110" s="356">
        <v>0</v>
      </c>
      <c r="V110" s="357">
        <v>0</v>
      </c>
      <c r="W110" s="358"/>
      <c r="X110" s="359">
        <v>0</v>
      </c>
      <c r="Y110" s="360">
        <v>0</v>
      </c>
    </row>
    <row r="111" spans="1:25" x14ac:dyDescent="0.3">
      <c r="A111" s="361"/>
      <c r="B111" s="361"/>
      <c r="C111" s="361"/>
      <c r="D111" s="361"/>
      <c r="E111" s="326" t="s">
        <v>1021</v>
      </c>
      <c r="F111" s="351"/>
      <c r="G111" s="352"/>
      <c r="H111" s="353"/>
      <c r="I111" s="354"/>
      <c r="J111" s="337">
        <v>0</v>
      </c>
      <c r="K111" s="355">
        <v>0</v>
      </c>
      <c r="L111" s="355">
        <v>0</v>
      </c>
      <c r="M111" s="355">
        <v>0</v>
      </c>
      <c r="N111" s="355">
        <v>0</v>
      </c>
      <c r="O111" s="355">
        <v>0</v>
      </c>
      <c r="P111" s="355">
        <v>0</v>
      </c>
      <c r="Q111" s="355">
        <v>0</v>
      </c>
      <c r="R111" s="355">
        <v>0</v>
      </c>
      <c r="S111" s="355">
        <v>0</v>
      </c>
      <c r="T111" s="355">
        <v>0</v>
      </c>
      <c r="U111" s="356">
        <v>0</v>
      </c>
      <c r="V111" s="357">
        <v>0</v>
      </c>
      <c r="W111" s="358"/>
      <c r="X111" s="359">
        <v>0</v>
      </c>
      <c r="Y111" s="360">
        <v>0</v>
      </c>
    </row>
    <row r="112" spans="1:25" x14ac:dyDescent="0.3">
      <c r="A112" s="361"/>
      <c r="B112" s="361"/>
      <c r="C112" s="361"/>
      <c r="D112" s="361"/>
      <c r="E112" s="326" t="s">
        <v>1022</v>
      </c>
      <c r="F112" s="351"/>
      <c r="G112" s="352"/>
      <c r="H112" s="353"/>
      <c r="I112" s="354"/>
      <c r="J112" s="337">
        <v>0</v>
      </c>
      <c r="K112" s="355">
        <v>0</v>
      </c>
      <c r="L112" s="355">
        <v>0</v>
      </c>
      <c r="M112" s="355">
        <v>0</v>
      </c>
      <c r="N112" s="355">
        <v>0</v>
      </c>
      <c r="O112" s="355">
        <v>0</v>
      </c>
      <c r="P112" s="355">
        <v>0</v>
      </c>
      <c r="Q112" s="355">
        <v>0</v>
      </c>
      <c r="R112" s="355">
        <v>0</v>
      </c>
      <c r="S112" s="355">
        <v>0</v>
      </c>
      <c r="T112" s="355">
        <v>0</v>
      </c>
      <c r="U112" s="356">
        <v>0</v>
      </c>
      <c r="V112" s="357">
        <v>0</v>
      </c>
      <c r="W112" s="358"/>
      <c r="X112" s="359">
        <v>0</v>
      </c>
      <c r="Y112" s="360">
        <v>0</v>
      </c>
    </row>
    <row r="113" spans="1:25" x14ac:dyDescent="0.3">
      <c r="A113" s="361"/>
      <c r="B113" s="361"/>
      <c r="C113" s="361"/>
      <c r="D113" s="361"/>
      <c r="E113" s="326" t="s">
        <v>1023</v>
      </c>
      <c r="F113" s="351"/>
      <c r="G113" s="352"/>
      <c r="H113" s="353"/>
      <c r="I113" s="354"/>
      <c r="J113" s="337">
        <v>0</v>
      </c>
      <c r="K113" s="355">
        <v>0</v>
      </c>
      <c r="L113" s="355">
        <v>0</v>
      </c>
      <c r="M113" s="355">
        <v>0</v>
      </c>
      <c r="N113" s="355">
        <v>0</v>
      </c>
      <c r="O113" s="355">
        <v>0</v>
      </c>
      <c r="P113" s="355">
        <v>0</v>
      </c>
      <c r="Q113" s="355">
        <v>0</v>
      </c>
      <c r="R113" s="355">
        <v>0</v>
      </c>
      <c r="S113" s="355">
        <v>0</v>
      </c>
      <c r="T113" s="355">
        <v>0</v>
      </c>
      <c r="U113" s="356">
        <v>0</v>
      </c>
      <c r="V113" s="357">
        <v>0</v>
      </c>
      <c r="W113" s="358"/>
      <c r="X113" s="359">
        <v>0</v>
      </c>
      <c r="Y113" s="360">
        <v>0</v>
      </c>
    </row>
    <row r="114" spans="1:25" x14ac:dyDescent="0.3">
      <c r="A114" s="233"/>
      <c r="B114" s="234" t="s">
        <v>4</v>
      </c>
      <c r="D114" s="293" t="s">
        <v>1024</v>
      </c>
      <c r="E114" s="294"/>
      <c r="F114" s="295" t="s">
        <v>1025</v>
      </c>
      <c r="G114" s="296"/>
      <c r="H114" s="297"/>
      <c r="I114" s="298"/>
      <c r="J114" s="299">
        <v>0</v>
      </c>
      <c r="K114" s="300">
        <v>0</v>
      </c>
      <c r="L114" s="300">
        <v>0</v>
      </c>
      <c r="M114" s="300">
        <v>0</v>
      </c>
      <c r="N114" s="300">
        <v>0</v>
      </c>
      <c r="O114" s="300">
        <v>0</v>
      </c>
      <c r="P114" s="300">
        <v>0</v>
      </c>
      <c r="Q114" s="300">
        <v>0</v>
      </c>
      <c r="R114" s="300">
        <v>0</v>
      </c>
      <c r="S114" s="300">
        <v>0</v>
      </c>
      <c r="T114" s="300">
        <v>0</v>
      </c>
      <c r="U114" s="301">
        <v>0</v>
      </c>
      <c r="V114" s="302">
        <v>0</v>
      </c>
      <c r="W114" s="303"/>
      <c r="X114" s="304">
        <v>0</v>
      </c>
      <c r="Y114" s="305">
        <v>0</v>
      </c>
    </row>
    <row r="115" spans="1:25" x14ac:dyDescent="0.3">
      <c r="E115" s="250" t="s">
        <v>1026</v>
      </c>
      <c r="F115" s="317">
        <v>4409882</v>
      </c>
      <c r="G115" s="318"/>
      <c r="H115" s="319">
        <v>4100050107</v>
      </c>
      <c r="I115" s="320"/>
      <c r="J115" s="337">
        <v>0</v>
      </c>
      <c r="K115" s="321">
        <v>0</v>
      </c>
      <c r="L115" s="321">
        <v>0</v>
      </c>
      <c r="M115" s="321">
        <v>0</v>
      </c>
      <c r="N115" s="321">
        <v>0</v>
      </c>
      <c r="O115" s="321">
        <v>0</v>
      </c>
      <c r="P115" s="321">
        <v>0</v>
      </c>
      <c r="Q115" s="321">
        <v>0</v>
      </c>
      <c r="R115" s="321">
        <v>0</v>
      </c>
      <c r="S115" s="321">
        <v>0</v>
      </c>
      <c r="T115" s="321">
        <v>0</v>
      </c>
      <c r="U115" s="322">
        <v>0</v>
      </c>
      <c r="V115" s="323">
        <v>0</v>
      </c>
      <c r="W115" s="303"/>
      <c r="X115" s="324">
        <v>0</v>
      </c>
      <c r="Y115" s="325">
        <v>0</v>
      </c>
    </row>
    <row r="116" spans="1:25" x14ac:dyDescent="0.3">
      <c r="A116" s="326"/>
      <c r="B116" s="326"/>
      <c r="C116" s="326"/>
      <c r="D116" s="326"/>
      <c r="E116" s="326" t="s">
        <v>1027</v>
      </c>
      <c r="F116" s="336"/>
      <c r="G116" s="327"/>
      <c r="H116" s="328"/>
      <c r="I116" s="329"/>
      <c r="J116" s="337">
        <v>0</v>
      </c>
      <c r="K116" s="330">
        <v>0</v>
      </c>
      <c r="L116" s="330">
        <v>0</v>
      </c>
      <c r="M116" s="330">
        <v>0</v>
      </c>
      <c r="N116" s="330">
        <v>0</v>
      </c>
      <c r="O116" s="330">
        <v>0</v>
      </c>
      <c r="P116" s="330">
        <v>0</v>
      </c>
      <c r="Q116" s="330">
        <v>0</v>
      </c>
      <c r="R116" s="330">
        <v>0</v>
      </c>
      <c r="S116" s="330">
        <v>0</v>
      </c>
      <c r="T116" s="330">
        <v>0</v>
      </c>
      <c r="U116" s="331">
        <v>0</v>
      </c>
      <c r="V116" s="332">
        <v>0</v>
      </c>
      <c r="W116" s="333"/>
      <c r="X116" s="334">
        <v>0</v>
      </c>
      <c r="Y116" s="335">
        <v>0</v>
      </c>
    </row>
    <row r="117" spans="1:25" x14ac:dyDescent="0.3">
      <c r="A117" s="326"/>
      <c r="B117" s="326"/>
      <c r="C117" s="326"/>
      <c r="D117" s="326"/>
      <c r="E117" s="326" t="s">
        <v>1028</v>
      </c>
      <c r="F117" s="336"/>
      <c r="G117" s="327"/>
      <c r="H117" s="328"/>
      <c r="I117" s="329"/>
      <c r="J117" s="337">
        <v>0</v>
      </c>
      <c r="K117" s="330">
        <v>0</v>
      </c>
      <c r="L117" s="330">
        <v>0</v>
      </c>
      <c r="M117" s="330">
        <v>0</v>
      </c>
      <c r="N117" s="330">
        <v>0</v>
      </c>
      <c r="O117" s="330">
        <v>0</v>
      </c>
      <c r="P117" s="330">
        <v>0</v>
      </c>
      <c r="Q117" s="330">
        <v>0</v>
      </c>
      <c r="R117" s="330">
        <v>0</v>
      </c>
      <c r="S117" s="330">
        <v>0</v>
      </c>
      <c r="T117" s="330">
        <v>0</v>
      </c>
      <c r="U117" s="331">
        <v>0</v>
      </c>
      <c r="V117" s="332">
        <v>0</v>
      </c>
      <c r="W117" s="333"/>
      <c r="X117" s="334">
        <v>0</v>
      </c>
      <c r="Y117" s="335">
        <v>0</v>
      </c>
    </row>
    <row r="118" spans="1:25" x14ac:dyDescent="0.3">
      <c r="A118" s="326"/>
      <c r="B118" s="326"/>
      <c r="C118" s="326"/>
      <c r="D118" s="326"/>
      <c r="E118" s="326" t="s">
        <v>1029</v>
      </c>
      <c r="F118" s="336"/>
      <c r="G118" s="327"/>
      <c r="H118" s="328"/>
      <c r="I118" s="329"/>
      <c r="J118" s="337">
        <v>0</v>
      </c>
      <c r="K118" s="330">
        <v>0</v>
      </c>
      <c r="L118" s="330">
        <v>0</v>
      </c>
      <c r="M118" s="330">
        <v>0</v>
      </c>
      <c r="N118" s="330">
        <v>0</v>
      </c>
      <c r="O118" s="330">
        <v>0</v>
      </c>
      <c r="P118" s="330">
        <v>0</v>
      </c>
      <c r="Q118" s="330">
        <v>0</v>
      </c>
      <c r="R118" s="330">
        <v>0</v>
      </c>
      <c r="S118" s="330">
        <v>0</v>
      </c>
      <c r="T118" s="330">
        <v>0</v>
      </c>
      <c r="U118" s="331">
        <v>0</v>
      </c>
      <c r="V118" s="332">
        <v>0</v>
      </c>
      <c r="W118" s="333"/>
      <c r="X118" s="334">
        <v>0</v>
      </c>
      <c r="Y118" s="335">
        <v>0</v>
      </c>
    </row>
    <row r="119" spans="1:25" x14ac:dyDescent="0.3">
      <c r="A119" s="233"/>
      <c r="B119" s="234" t="s">
        <v>5</v>
      </c>
      <c r="D119" s="294" t="s">
        <v>1030</v>
      </c>
      <c r="E119" s="294"/>
      <c r="F119" s="295" t="s">
        <v>1031</v>
      </c>
      <c r="G119" s="296"/>
      <c r="H119" s="297"/>
      <c r="I119" s="298"/>
      <c r="J119" s="299">
        <v>801447.37</v>
      </c>
      <c r="K119" s="300">
        <v>2423487.4780000001</v>
      </c>
      <c r="L119" s="300">
        <v>2148398.0819999999</v>
      </c>
      <c r="M119" s="300">
        <v>890355.679</v>
      </c>
      <c r="N119" s="300">
        <v>-158543.158</v>
      </c>
      <c r="O119" s="300">
        <v>197631.40900000001</v>
      </c>
      <c r="P119" s="300">
        <v>1143038.69</v>
      </c>
      <c r="Q119" s="300">
        <v>838180.67700000003</v>
      </c>
      <c r="R119" s="300">
        <v>-7862125.4570000004</v>
      </c>
      <c r="S119" s="300">
        <v>20031.726999999999</v>
      </c>
      <c r="T119" s="300">
        <v>0</v>
      </c>
      <c r="U119" s="301">
        <v>-41136.561000000002</v>
      </c>
      <c r="V119" s="302">
        <v>400765.93599999865</v>
      </c>
      <c r="W119" s="303"/>
      <c r="X119" s="304">
        <v>-41136.561000000002</v>
      </c>
      <c r="Y119" s="305">
        <v>400765.93599999865</v>
      </c>
    </row>
    <row r="120" spans="1:25" x14ac:dyDescent="0.3">
      <c r="E120" s="250" t="s">
        <v>1032</v>
      </c>
      <c r="F120" s="317">
        <v>4109001</v>
      </c>
      <c r="G120" s="318"/>
      <c r="H120" s="319">
        <v>4100990109</v>
      </c>
      <c r="I120" s="320"/>
      <c r="J120" s="337">
        <v>0</v>
      </c>
      <c r="K120" s="321">
        <v>0</v>
      </c>
      <c r="L120" s="321">
        <v>0</v>
      </c>
      <c r="M120" s="321">
        <v>0</v>
      </c>
      <c r="N120" s="321">
        <v>0</v>
      </c>
      <c r="O120" s="321">
        <v>0</v>
      </c>
      <c r="P120" s="321">
        <v>0</v>
      </c>
      <c r="Q120" s="321">
        <v>0</v>
      </c>
      <c r="R120" s="321">
        <v>0</v>
      </c>
      <c r="S120" s="321">
        <v>0</v>
      </c>
      <c r="T120" s="321">
        <v>0</v>
      </c>
      <c r="U120" s="322">
        <v>0</v>
      </c>
      <c r="V120" s="323">
        <v>0</v>
      </c>
      <c r="W120" s="303"/>
      <c r="X120" s="324">
        <v>0</v>
      </c>
      <c r="Y120" s="325">
        <v>0</v>
      </c>
    </row>
    <row r="121" spans="1:25" x14ac:dyDescent="0.3">
      <c r="E121" s="250" t="s">
        <v>1033</v>
      </c>
      <c r="F121" s="317">
        <v>4109002</v>
      </c>
      <c r="G121" s="318">
        <v>4109022</v>
      </c>
      <c r="H121" s="319"/>
      <c r="I121" s="320"/>
      <c r="J121" s="337">
        <v>0</v>
      </c>
      <c r="K121" s="321">
        <v>0</v>
      </c>
      <c r="L121" s="321">
        <v>0</v>
      </c>
      <c r="M121" s="321">
        <v>0</v>
      </c>
      <c r="N121" s="321">
        <v>0</v>
      </c>
      <c r="O121" s="321">
        <v>0</v>
      </c>
      <c r="P121" s="321">
        <v>0</v>
      </c>
      <c r="Q121" s="321">
        <v>0</v>
      </c>
      <c r="R121" s="321">
        <v>0</v>
      </c>
      <c r="S121" s="321">
        <v>0</v>
      </c>
      <c r="T121" s="321">
        <v>0</v>
      </c>
      <c r="U121" s="322">
        <v>0</v>
      </c>
      <c r="V121" s="323">
        <v>0</v>
      </c>
      <c r="W121" s="303"/>
      <c r="X121" s="324">
        <v>0</v>
      </c>
      <c r="Y121" s="325">
        <v>0</v>
      </c>
    </row>
    <row r="122" spans="1:25" x14ac:dyDescent="0.3">
      <c r="E122" s="250" t="s">
        <v>1034</v>
      </c>
      <c r="F122" s="317">
        <v>4109003</v>
      </c>
      <c r="G122" s="318"/>
      <c r="H122" s="319">
        <v>4100990101</v>
      </c>
      <c r="I122" s="320"/>
      <c r="J122" s="337">
        <v>0</v>
      </c>
      <c r="K122" s="321">
        <v>0</v>
      </c>
      <c r="L122" s="321">
        <v>0</v>
      </c>
      <c r="M122" s="321">
        <v>0</v>
      </c>
      <c r="N122" s="321">
        <v>0</v>
      </c>
      <c r="O122" s="321">
        <v>0</v>
      </c>
      <c r="P122" s="321">
        <v>0</v>
      </c>
      <c r="Q122" s="321">
        <v>0</v>
      </c>
      <c r="R122" s="321">
        <v>0</v>
      </c>
      <c r="S122" s="321">
        <v>0</v>
      </c>
      <c r="T122" s="321">
        <v>0</v>
      </c>
      <c r="U122" s="322">
        <v>0</v>
      </c>
      <c r="V122" s="323">
        <v>0</v>
      </c>
      <c r="W122" s="303"/>
      <c r="X122" s="324">
        <v>0</v>
      </c>
      <c r="Y122" s="325">
        <v>0</v>
      </c>
    </row>
    <row r="123" spans="1:25" x14ac:dyDescent="0.3">
      <c r="E123" s="250" t="s">
        <v>1035</v>
      </c>
      <c r="F123" s="317">
        <v>4109004</v>
      </c>
      <c r="G123" s="318"/>
      <c r="H123" s="319"/>
      <c r="I123" s="320"/>
      <c r="J123" s="337">
        <v>0</v>
      </c>
      <c r="K123" s="321">
        <v>0</v>
      </c>
      <c r="L123" s="321">
        <v>0</v>
      </c>
      <c r="M123" s="321">
        <v>0</v>
      </c>
      <c r="N123" s="321">
        <v>0</v>
      </c>
      <c r="O123" s="321">
        <v>0</v>
      </c>
      <c r="P123" s="321">
        <v>0</v>
      </c>
      <c r="Q123" s="321">
        <v>0</v>
      </c>
      <c r="R123" s="321">
        <v>0</v>
      </c>
      <c r="S123" s="321">
        <v>0</v>
      </c>
      <c r="T123" s="321">
        <v>0</v>
      </c>
      <c r="U123" s="322">
        <v>0</v>
      </c>
      <c r="V123" s="323">
        <v>0</v>
      </c>
      <c r="W123" s="303"/>
      <c r="X123" s="324">
        <v>0</v>
      </c>
      <c r="Y123" s="325">
        <v>0</v>
      </c>
    </row>
    <row r="124" spans="1:25" x14ac:dyDescent="0.3">
      <c r="E124" s="250" t="s">
        <v>1036</v>
      </c>
      <c r="F124" s="317">
        <v>4109005</v>
      </c>
      <c r="G124" s="318"/>
      <c r="H124" s="319"/>
      <c r="I124" s="320"/>
      <c r="J124" s="337">
        <v>0</v>
      </c>
      <c r="K124" s="321">
        <v>0</v>
      </c>
      <c r="L124" s="321">
        <v>0</v>
      </c>
      <c r="M124" s="321">
        <v>0</v>
      </c>
      <c r="N124" s="321">
        <v>0</v>
      </c>
      <c r="O124" s="321">
        <v>0</v>
      </c>
      <c r="P124" s="321">
        <v>0</v>
      </c>
      <c r="Q124" s="321">
        <v>0</v>
      </c>
      <c r="R124" s="321">
        <v>0</v>
      </c>
      <c r="S124" s="321">
        <v>0</v>
      </c>
      <c r="T124" s="321">
        <v>0</v>
      </c>
      <c r="U124" s="322">
        <v>0</v>
      </c>
      <c r="V124" s="323">
        <v>0</v>
      </c>
      <c r="W124" s="303"/>
      <c r="X124" s="324">
        <v>0</v>
      </c>
      <c r="Y124" s="325">
        <v>0</v>
      </c>
    </row>
    <row r="125" spans="1:25" x14ac:dyDescent="0.3">
      <c r="E125" s="250" t="s">
        <v>1037</v>
      </c>
      <c r="F125" s="317">
        <v>4109006</v>
      </c>
      <c r="G125" s="318"/>
      <c r="H125" s="319"/>
      <c r="I125" s="320"/>
      <c r="J125" s="337">
        <v>0</v>
      </c>
      <c r="K125" s="321">
        <v>0</v>
      </c>
      <c r="L125" s="321">
        <v>0</v>
      </c>
      <c r="M125" s="321">
        <v>0</v>
      </c>
      <c r="N125" s="321">
        <v>0</v>
      </c>
      <c r="O125" s="321">
        <v>0</v>
      </c>
      <c r="P125" s="321">
        <v>0</v>
      </c>
      <c r="Q125" s="321">
        <v>0</v>
      </c>
      <c r="R125" s="321">
        <v>0</v>
      </c>
      <c r="S125" s="321">
        <v>0</v>
      </c>
      <c r="T125" s="321">
        <v>0</v>
      </c>
      <c r="U125" s="322">
        <v>0</v>
      </c>
      <c r="V125" s="323">
        <v>0</v>
      </c>
      <c r="W125" s="303"/>
      <c r="X125" s="324">
        <v>0</v>
      </c>
      <c r="Y125" s="325">
        <v>0</v>
      </c>
    </row>
    <row r="126" spans="1:25" x14ac:dyDescent="0.3">
      <c r="E126" s="250" t="s">
        <v>1038</v>
      </c>
      <c r="F126" s="317">
        <v>4109008</v>
      </c>
      <c r="G126" s="318"/>
      <c r="H126" s="319"/>
      <c r="I126" s="320"/>
      <c r="J126" s="337">
        <v>0</v>
      </c>
      <c r="K126" s="321">
        <v>0</v>
      </c>
      <c r="L126" s="321">
        <v>0</v>
      </c>
      <c r="M126" s="321">
        <v>0</v>
      </c>
      <c r="N126" s="321">
        <v>0</v>
      </c>
      <c r="O126" s="321">
        <v>0</v>
      </c>
      <c r="P126" s="321">
        <v>0</v>
      </c>
      <c r="Q126" s="321">
        <v>0</v>
      </c>
      <c r="R126" s="321">
        <v>0</v>
      </c>
      <c r="S126" s="321">
        <v>0</v>
      </c>
      <c r="T126" s="321">
        <v>0</v>
      </c>
      <c r="U126" s="322">
        <v>0</v>
      </c>
      <c r="V126" s="323">
        <v>0</v>
      </c>
      <c r="W126" s="303"/>
      <c r="X126" s="324">
        <v>0</v>
      </c>
      <c r="Y126" s="325">
        <v>0</v>
      </c>
    </row>
    <row r="127" spans="1:25" x14ac:dyDescent="0.3">
      <c r="E127" s="250" t="s">
        <v>1039</v>
      </c>
      <c r="F127" s="317">
        <v>4109010</v>
      </c>
      <c r="G127" s="318"/>
      <c r="H127" s="319"/>
      <c r="I127" s="320"/>
      <c r="J127" s="337">
        <v>0</v>
      </c>
      <c r="K127" s="321">
        <v>0</v>
      </c>
      <c r="L127" s="321">
        <v>0</v>
      </c>
      <c r="M127" s="321">
        <v>0</v>
      </c>
      <c r="N127" s="321">
        <v>0</v>
      </c>
      <c r="O127" s="321">
        <v>0</v>
      </c>
      <c r="P127" s="321">
        <v>0</v>
      </c>
      <c r="Q127" s="321">
        <v>0</v>
      </c>
      <c r="R127" s="321">
        <v>0</v>
      </c>
      <c r="S127" s="321">
        <v>0</v>
      </c>
      <c r="T127" s="321">
        <v>0</v>
      </c>
      <c r="U127" s="322">
        <v>0</v>
      </c>
      <c r="V127" s="323">
        <v>0</v>
      </c>
      <c r="W127" s="303"/>
      <c r="X127" s="324">
        <v>0</v>
      </c>
      <c r="Y127" s="325">
        <v>0</v>
      </c>
    </row>
    <row r="128" spans="1:25" x14ac:dyDescent="0.3">
      <c r="E128" s="250" t="s">
        <v>1040</v>
      </c>
      <c r="F128" s="317">
        <v>4109011</v>
      </c>
      <c r="G128" s="318"/>
      <c r="H128" s="319"/>
      <c r="I128" s="320"/>
      <c r="J128" s="337">
        <v>0</v>
      </c>
      <c r="K128" s="321">
        <v>0</v>
      </c>
      <c r="L128" s="321">
        <v>0</v>
      </c>
      <c r="M128" s="321">
        <v>0</v>
      </c>
      <c r="N128" s="321">
        <v>0</v>
      </c>
      <c r="O128" s="321">
        <v>0</v>
      </c>
      <c r="P128" s="321">
        <v>0</v>
      </c>
      <c r="Q128" s="321">
        <v>0</v>
      </c>
      <c r="R128" s="321">
        <v>0</v>
      </c>
      <c r="S128" s="321">
        <v>0</v>
      </c>
      <c r="T128" s="321">
        <v>0</v>
      </c>
      <c r="U128" s="322">
        <v>0</v>
      </c>
      <c r="V128" s="323">
        <v>0</v>
      </c>
      <c r="W128" s="303"/>
      <c r="X128" s="324">
        <v>0</v>
      </c>
      <c r="Y128" s="325">
        <v>0</v>
      </c>
    </row>
    <row r="129" spans="1:25" x14ac:dyDescent="0.3">
      <c r="E129" s="250" t="s">
        <v>1041</v>
      </c>
      <c r="F129" s="317">
        <v>4109012</v>
      </c>
      <c r="G129" s="318"/>
      <c r="H129" s="319"/>
      <c r="I129" s="320"/>
      <c r="J129" s="337">
        <v>0</v>
      </c>
      <c r="K129" s="321">
        <v>0</v>
      </c>
      <c r="L129" s="321">
        <v>0</v>
      </c>
      <c r="M129" s="321">
        <v>0</v>
      </c>
      <c r="N129" s="321">
        <v>0</v>
      </c>
      <c r="O129" s="321">
        <v>0</v>
      </c>
      <c r="P129" s="321">
        <v>0</v>
      </c>
      <c r="Q129" s="321">
        <v>0</v>
      </c>
      <c r="R129" s="321">
        <v>0</v>
      </c>
      <c r="S129" s="321">
        <v>0</v>
      </c>
      <c r="T129" s="321">
        <v>0</v>
      </c>
      <c r="U129" s="322">
        <v>0</v>
      </c>
      <c r="V129" s="323">
        <v>0</v>
      </c>
      <c r="W129" s="303"/>
      <c r="X129" s="324">
        <v>0</v>
      </c>
      <c r="Y129" s="325">
        <v>0</v>
      </c>
    </row>
    <row r="130" spans="1:25" x14ac:dyDescent="0.3">
      <c r="E130" s="250" t="s">
        <v>1042</v>
      </c>
      <c r="F130" s="317">
        <v>4109013</v>
      </c>
      <c r="G130" s="318"/>
      <c r="H130" s="319">
        <v>4100990105</v>
      </c>
      <c r="I130" s="320"/>
      <c r="J130" s="337">
        <v>0</v>
      </c>
      <c r="K130" s="321">
        <v>0</v>
      </c>
      <c r="L130" s="321">
        <v>0</v>
      </c>
      <c r="M130" s="321">
        <v>0</v>
      </c>
      <c r="N130" s="321">
        <v>0</v>
      </c>
      <c r="O130" s="321">
        <v>0</v>
      </c>
      <c r="P130" s="321">
        <v>0</v>
      </c>
      <c r="Q130" s="321">
        <v>0</v>
      </c>
      <c r="R130" s="321">
        <v>0</v>
      </c>
      <c r="S130" s="321">
        <v>0</v>
      </c>
      <c r="T130" s="321">
        <v>0</v>
      </c>
      <c r="U130" s="322">
        <v>0</v>
      </c>
      <c r="V130" s="323">
        <v>0</v>
      </c>
      <c r="W130" s="303"/>
      <c r="X130" s="324">
        <v>0</v>
      </c>
      <c r="Y130" s="325">
        <v>0</v>
      </c>
    </row>
    <row r="131" spans="1:25" x14ac:dyDescent="0.3">
      <c r="E131" s="250" t="s">
        <v>1043</v>
      </c>
      <c r="F131" s="317">
        <v>4109014</v>
      </c>
      <c r="G131" s="318"/>
      <c r="H131" s="319"/>
      <c r="I131" s="320"/>
      <c r="J131" s="337">
        <v>0</v>
      </c>
      <c r="K131" s="321">
        <v>0</v>
      </c>
      <c r="L131" s="321">
        <v>0</v>
      </c>
      <c r="M131" s="321">
        <v>0</v>
      </c>
      <c r="N131" s="321">
        <v>0</v>
      </c>
      <c r="O131" s="321">
        <v>0</v>
      </c>
      <c r="P131" s="321">
        <v>0</v>
      </c>
      <c r="Q131" s="321">
        <v>0</v>
      </c>
      <c r="R131" s="321">
        <v>0</v>
      </c>
      <c r="S131" s="321">
        <v>0</v>
      </c>
      <c r="T131" s="321">
        <v>0</v>
      </c>
      <c r="U131" s="322">
        <v>0</v>
      </c>
      <c r="V131" s="323">
        <v>0</v>
      </c>
      <c r="W131" s="303"/>
      <c r="X131" s="324">
        <v>0</v>
      </c>
      <c r="Y131" s="325">
        <v>0</v>
      </c>
    </row>
    <row r="132" spans="1:25" x14ac:dyDescent="0.3">
      <c r="E132" s="250" t="s">
        <v>1044</v>
      </c>
      <c r="F132" s="317">
        <v>4109016</v>
      </c>
      <c r="G132" s="318"/>
      <c r="H132" s="319">
        <v>4100990107</v>
      </c>
      <c r="I132" s="320"/>
      <c r="J132" s="337">
        <v>0</v>
      </c>
      <c r="K132" s="321">
        <v>0</v>
      </c>
      <c r="L132" s="321">
        <v>0</v>
      </c>
      <c r="M132" s="321">
        <v>0</v>
      </c>
      <c r="N132" s="321">
        <v>0</v>
      </c>
      <c r="O132" s="321">
        <v>0</v>
      </c>
      <c r="P132" s="321">
        <v>0</v>
      </c>
      <c r="Q132" s="321">
        <v>0</v>
      </c>
      <c r="R132" s="321">
        <v>0</v>
      </c>
      <c r="S132" s="321">
        <v>0</v>
      </c>
      <c r="T132" s="321">
        <v>0</v>
      </c>
      <c r="U132" s="322">
        <v>0</v>
      </c>
      <c r="V132" s="323">
        <v>0</v>
      </c>
      <c r="W132" s="303"/>
      <c r="X132" s="324">
        <v>0</v>
      </c>
      <c r="Y132" s="325">
        <v>0</v>
      </c>
    </row>
    <row r="133" spans="1:25" x14ac:dyDescent="0.3">
      <c r="E133" s="250" t="s">
        <v>1045</v>
      </c>
      <c r="F133" s="317">
        <v>4109017</v>
      </c>
      <c r="G133" s="318"/>
      <c r="H133" s="319"/>
      <c r="I133" s="320"/>
      <c r="J133" s="337">
        <v>0</v>
      </c>
      <c r="K133" s="321">
        <v>0</v>
      </c>
      <c r="L133" s="321">
        <v>0</v>
      </c>
      <c r="M133" s="321">
        <v>0</v>
      </c>
      <c r="N133" s="321">
        <v>0</v>
      </c>
      <c r="O133" s="321">
        <v>0</v>
      </c>
      <c r="P133" s="321">
        <v>0</v>
      </c>
      <c r="Q133" s="321">
        <v>0</v>
      </c>
      <c r="R133" s="321">
        <v>0</v>
      </c>
      <c r="S133" s="321">
        <v>0</v>
      </c>
      <c r="T133" s="321">
        <v>0</v>
      </c>
      <c r="U133" s="322">
        <v>0</v>
      </c>
      <c r="V133" s="323">
        <v>0</v>
      </c>
      <c r="W133" s="303"/>
      <c r="X133" s="324">
        <v>0</v>
      </c>
      <c r="Y133" s="325">
        <v>0</v>
      </c>
    </row>
    <row r="134" spans="1:25" x14ac:dyDescent="0.3">
      <c r="E134" s="250" t="s">
        <v>1046</v>
      </c>
      <c r="F134" s="317">
        <v>4109019</v>
      </c>
      <c r="G134" s="318"/>
      <c r="H134" s="319"/>
      <c r="I134" s="320"/>
      <c r="J134" s="337">
        <v>0</v>
      </c>
      <c r="K134" s="321">
        <v>0</v>
      </c>
      <c r="L134" s="321">
        <v>0</v>
      </c>
      <c r="M134" s="321">
        <v>0</v>
      </c>
      <c r="N134" s="321">
        <v>0</v>
      </c>
      <c r="O134" s="321">
        <v>0</v>
      </c>
      <c r="P134" s="321">
        <v>0</v>
      </c>
      <c r="Q134" s="321">
        <v>0</v>
      </c>
      <c r="R134" s="321">
        <v>0</v>
      </c>
      <c r="S134" s="321">
        <v>0</v>
      </c>
      <c r="T134" s="321">
        <v>0</v>
      </c>
      <c r="U134" s="322">
        <v>0</v>
      </c>
      <c r="V134" s="323">
        <v>0</v>
      </c>
      <c r="W134" s="303"/>
      <c r="X134" s="324">
        <v>0</v>
      </c>
      <c r="Y134" s="325">
        <v>0</v>
      </c>
    </row>
    <row r="135" spans="1:25" x14ac:dyDescent="0.3">
      <c r="E135" s="250" t="s">
        <v>1047</v>
      </c>
      <c r="F135" s="317">
        <v>4109021</v>
      </c>
      <c r="G135" s="318"/>
      <c r="H135" s="319"/>
      <c r="I135" s="320"/>
      <c r="J135" s="337">
        <v>0</v>
      </c>
      <c r="K135" s="321">
        <v>0</v>
      </c>
      <c r="L135" s="321">
        <v>0</v>
      </c>
      <c r="M135" s="321">
        <v>0</v>
      </c>
      <c r="N135" s="321">
        <v>0</v>
      </c>
      <c r="O135" s="321">
        <v>0</v>
      </c>
      <c r="P135" s="321">
        <v>0</v>
      </c>
      <c r="Q135" s="321">
        <v>0</v>
      </c>
      <c r="R135" s="321">
        <v>0</v>
      </c>
      <c r="S135" s="321">
        <v>0</v>
      </c>
      <c r="T135" s="321">
        <v>0</v>
      </c>
      <c r="U135" s="322">
        <v>0</v>
      </c>
      <c r="V135" s="323">
        <v>0</v>
      </c>
      <c r="W135" s="303"/>
      <c r="X135" s="324">
        <v>0</v>
      </c>
      <c r="Y135" s="325">
        <v>0</v>
      </c>
    </row>
    <row r="136" spans="1:25" x14ac:dyDescent="0.3">
      <c r="E136" s="250" t="s">
        <v>1048</v>
      </c>
      <c r="F136" s="317">
        <v>4109080</v>
      </c>
      <c r="G136" s="318"/>
      <c r="H136" s="319">
        <v>4100990111</v>
      </c>
      <c r="I136" s="320"/>
      <c r="J136" s="337">
        <v>0</v>
      </c>
      <c r="K136" s="321">
        <v>0</v>
      </c>
      <c r="L136" s="321">
        <v>0</v>
      </c>
      <c r="M136" s="321">
        <v>0</v>
      </c>
      <c r="N136" s="321">
        <v>0</v>
      </c>
      <c r="O136" s="321">
        <v>0</v>
      </c>
      <c r="P136" s="321">
        <v>0</v>
      </c>
      <c r="Q136" s="321">
        <v>0</v>
      </c>
      <c r="R136" s="321">
        <v>0</v>
      </c>
      <c r="S136" s="321">
        <v>0</v>
      </c>
      <c r="T136" s="321">
        <v>0</v>
      </c>
      <c r="U136" s="322">
        <v>0</v>
      </c>
      <c r="V136" s="323">
        <v>0</v>
      </c>
      <c r="W136" s="303"/>
      <c r="X136" s="324">
        <v>0</v>
      </c>
      <c r="Y136" s="325">
        <v>0</v>
      </c>
    </row>
    <row r="137" spans="1:25" x14ac:dyDescent="0.3">
      <c r="E137" s="250" t="s">
        <v>1049</v>
      </c>
      <c r="F137" s="317">
        <v>4109099</v>
      </c>
      <c r="G137" s="318"/>
      <c r="H137" s="319"/>
      <c r="I137" s="320"/>
      <c r="J137" s="337">
        <v>801447.37</v>
      </c>
      <c r="K137" s="321">
        <v>2423487.4780000001</v>
      </c>
      <c r="L137" s="321">
        <v>2148398.0819999999</v>
      </c>
      <c r="M137" s="321">
        <v>890355.679</v>
      </c>
      <c r="N137" s="321">
        <v>-158543.158</v>
      </c>
      <c r="O137" s="321">
        <v>197631.40900000001</v>
      </c>
      <c r="P137" s="321">
        <v>1143038.69</v>
      </c>
      <c r="Q137" s="321">
        <v>838180.67700000003</v>
      </c>
      <c r="R137" s="321">
        <v>-7862125.4570000004</v>
      </c>
      <c r="S137" s="321">
        <v>20031.726999999999</v>
      </c>
      <c r="T137" s="321">
        <v>0</v>
      </c>
      <c r="U137" s="322">
        <v>-41136.561000000002</v>
      </c>
      <c r="V137" s="323">
        <v>400765.93599999865</v>
      </c>
      <c r="W137" s="303"/>
      <c r="X137" s="324">
        <v>-41136.561000000002</v>
      </c>
      <c r="Y137" s="325">
        <v>400765.93599999865</v>
      </c>
    </row>
    <row r="138" spans="1:25" x14ac:dyDescent="0.3">
      <c r="E138" s="250" t="s">
        <v>1050</v>
      </c>
      <c r="F138" s="317">
        <v>4409883</v>
      </c>
      <c r="G138" s="318"/>
      <c r="H138" s="319">
        <v>4100990113</v>
      </c>
      <c r="I138" s="320"/>
      <c r="J138" s="337">
        <v>0</v>
      </c>
      <c r="K138" s="321">
        <v>0</v>
      </c>
      <c r="L138" s="321">
        <v>0</v>
      </c>
      <c r="M138" s="321">
        <v>0</v>
      </c>
      <c r="N138" s="321">
        <v>0</v>
      </c>
      <c r="O138" s="321">
        <v>0</v>
      </c>
      <c r="P138" s="321">
        <v>0</v>
      </c>
      <c r="Q138" s="321">
        <v>0</v>
      </c>
      <c r="R138" s="321">
        <v>0</v>
      </c>
      <c r="S138" s="321">
        <v>0</v>
      </c>
      <c r="T138" s="321">
        <v>0</v>
      </c>
      <c r="U138" s="322">
        <v>0</v>
      </c>
      <c r="V138" s="323">
        <v>0</v>
      </c>
      <c r="W138" s="303"/>
      <c r="X138" s="324">
        <v>0</v>
      </c>
      <c r="Y138" s="325">
        <v>0</v>
      </c>
    </row>
    <row r="139" spans="1:25" x14ac:dyDescent="0.3">
      <c r="A139" s="361"/>
      <c r="B139" s="361"/>
      <c r="C139" s="361"/>
      <c r="D139" s="361"/>
      <c r="E139" s="350" t="s">
        <v>1051</v>
      </c>
      <c r="F139" s="306"/>
      <c r="G139" s="307"/>
      <c r="H139" s="308">
        <v>4100110100</v>
      </c>
      <c r="I139" s="309"/>
      <c r="J139" s="310">
        <v>0</v>
      </c>
      <c r="K139" s="311">
        <v>0</v>
      </c>
      <c r="L139" s="311">
        <v>0</v>
      </c>
      <c r="M139" s="311">
        <v>0</v>
      </c>
      <c r="N139" s="311">
        <v>0</v>
      </c>
      <c r="O139" s="311">
        <v>0</v>
      </c>
      <c r="P139" s="311">
        <v>0</v>
      </c>
      <c r="Q139" s="311">
        <v>0</v>
      </c>
      <c r="R139" s="311">
        <v>0</v>
      </c>
      <c r="S139" s="311">
        <v>0</v>
      </c>
      <c r="T139" s="311">
        <v>0</v>
      </c>
      <c r="U139" s="312">
        <v>0</v>
      </c>
      <c r="V139" s="313">
        <v>0</v>
      </c>
      <c r="W139" s="314"/>
      <c r="X139" s="315">
        <v>0</v>
      </c>
      <c r="Y139" s="316">
        <v>0</v>
      </c>
    </row>
    <row r="140" spans="1:25" x14ac:dyDescent="0.3">
      <c r="A140" s="361"/>
      <c r="B140" s="361"/>
      <c r="C140" s="361"/>
      <c r="D140" s="361"/>
      <c r="E140" s="350" t="s">
        <v>1052</v>
      </c>
      <c r="F140" s="306"/>
      <c r="G140" s="307"/>
      <c r="H140" s="308">
        <v>4100090101</v>
      </c>
      <c r="I140" s="309"/>
      <c r="J140" s="310">
        <v>0</v>
      </c>
      <c r="K140" s="311">
        <v>0</v>
      </c>
      <c r="L140" s="311">
        <v>0</v>
      </c>
      <c r="M140" s="311">
        <v>0</v>
      </c>
      <c r="N140" s="311">
        <v>0</v>
      </c>
      <c r="O140" s="311">
        <v>0</v>
      </c>
      <c r="P140" s="311">
        <v>0</v>
      </c>
      <c r="Q140" s="311">
        <v>0</v>
      </c>
      <c r="R140" s="311">
        <v>0</v>
      </c>
      <c r="S140" s="311">
        <v>0</v>
      </c>
      <c r="T140" s="311">
        <v>0</v>
      </c>
      <c r="U140" s="312">
        <v>0</v>
      </c>
      <c r="V140" s="313">
        <v>0</v>
      </c>
      <c r="W140" s="314"/>
      <c r="X140" s="315">
        <v>0</v>
      </c>
      <c r="Y140" s="316">
        <v>0</v>
      </c>
    </row>
    <row r="141" spans="1:25" x14ac:dyDescent="0.3">
      <c r="A141" s="361"/>
      <c r="B141" s="361"/>
      <c r="C141" s="361"/>
      <c r="D141" s="361"/>
      <c r="E141" s="326" t="s">
        <v>1053</v>
      </c>
      <c r="F141" s="351"/>
      <c r="G141" s="352"/>
      <c r="H141" s="353"/>
      <c r="I141" s="354"/>
      <c r="J141" s="337">
        <v>0</v>
      </c>
      <c r="K141" s="355">
        <v>0</v>
      </c>
      <c r="L141" s="355">
        <v>0</v>
      </c>
      <c r="M141" s="355">
        <v>0</v>
      </c>
      <c r="N141" s="355">
        <v>0</v>
      </c>
      <c r="O141" s="355">
        <v>0</v>
      </c>
      <c r="P141" s="355">
        <v>0</v>
      </c>
      <c r="Q141" s="355">
        <v>0</v>
      </c>
      <c r="R141" s="355">
        <v>0</v>
      </c>
      <c r="S141" s="355">
        <v>0</v>
      </c>
      <c r="T141" s="355">
        <v>0</v>
      </c>
      <c r="U141" s="356">
        <v>0</v>
      </c>
      <c r="V141" s="357">
        <v>0</v>
      </c>
      <c r="W141" s="358"/>
      <c r="X141" s="359">
        <v>0</v>
      </c>
      <c r="Y141" s="360">
        <v>0</v>
      </c>
    </row>
    <row r="142" spans="1:25" x14ac:dyDescent="0.3">
      <c r="A142" s="233"/>
      <c r="B142" s="234" t="s">
        <v>5</v>
      </c>
      <c r="D142" s="293" t="s">
        <v>1054</v>
      </c>
      <c r="E142" s="294"/>
      <c r="F142" s="295" t="s">
        <v>1055</v>
      </c>
      <c r="G142" s="296"/>
      <c r="H142" s="297"/>
      <c r="I142" s="298"/>
      <c r="J142" s="299">
        <v>0</v>
      </c>
      <c r="K142" s="300">
        <v>0</v>
      </c>
      <c r="L142" s="300">
        <v>0</v>
      </c>
      <c r="M142" s="300">
        <v>0</v>
      </c>
      <c r="N142" s="300">
        <v>0</v>
      </c>
      <c r="O142" s="300">
        <v>0</v>
      </c>
      <c r="P142" s="300">
        <v>0</v>
      </c>
      <c r="Q142" s="300">
        <v>0</v>
      </c>
      <c r="R142" s="300">
        <v>0</v>
      </c>
      <c r="S142" s="300">
        <v>0</v>
      </c>
      <c r="T142" s="300">
        <v>0</v>
      </c>
      <c r="U142" s="301">
        <v>0</v>
      </c>
      <c r="V142" s="302">
        <v>0</v>
      </c>
      <c r="W142" s="303"/>
      <c r="X142" s="304">
        <v>0</v>
      </c>
      <c r="Y142" s="305">
        <v>0</v>
      </c>
    </row>
    <row r="143" spans="1:25" x14ac:dyDescent="0.3">
      <c r="E143" s="250" t="s">
        <v>1056</v>
      </c>
      <c r="F143" s="317">
        <v>4109098</v>
      </c>
      <c r="G143" s="318"/>
      <c r="H143" s="319">
        <v>4100990115</v>
      </c>
      <c r="I143" s="320"/>
      <c r="J143" s="337">
        <v>0</v>
      </c>
      <c r="K143" s="321">
        <v>0</v>
      </c>
      <c r="L143" s="321">
        <v>0</v>
      </c>
      <c r="M143" s="321">
        <v>0</v>
      </c>
      <c r="N143" s="321">
        <v>0</v>
      </c>
      <c r="O143" s="321">
        <v>0</v>
      </c>
      <c r="P143" s="321">
        <v>0</v>
      </c>
      <c r="Q143" s="321">
        <v>0</v>
      </c>
      <c r="R143" s="321">
        <v>0</v>
      </c>
      <c r="S143" s="321">
        <v>0</v>
      </c>
      <c r="T143" s="321">
        <v>0</v>
      </c>
      <c r="U143" s="322">
        <v>0</v>
      </c>
      <c r="V143" s="323">
        <v>0</v>
      </c>
      <c r="W143" s="303"/>
      <c r="X143" s="324">
        <v>0</v>
      </c>
      <c r="Y143" s="325">
        <v>0</v>
      </c>
    </row>
    <row r="144" spans="1:25" x14ac:dyDescent="0.3">
      <c r="A144" s="326"/>
      <c r="B144" s="326"/>
      <c r="C144" s="326"/>
      <c r="D144" s="326"/>
      <c r="E144" s="326" t="s">
        <v>1057</v>
      </c>
      <c r="F144" s="336"/>
      <c r="G144" s="327"/>
      <c r="H144" s="328"/>
      <c r="I144" s="329"/>
      <c r="J144" s="338">
        <v>0</v>
      </c>
      <c r="K144" s="330">
        <v>0</v>
      </c>
      <c r="L144" s="330">
        <v>0</v>
      </c>
      <c r="M144" s="330">
        <v>0</v>
      </c>
      <c r="N144" s="330">
        <v>0</v>
      </c>
      <c r="O144" s="330">
        <v>0</v>
      </c>
      <c r="P144" s="330">
        <v>0</v>
      </c>
      <c r="Q144" s="330">
        <v>0</v>
      </c>
      <c r="R144" s="330">
        <v>0</v>
      </c>
      <c r="S144" s="330">
        <v>0</v>
      </c>
      <c r="T144" s="330">
        <v>0</v>
      </c>
      <c r="U144" s="331">
        <v>0</v>
      </c>
      <c r="V144" s="332">
        <v>0</v>
      </c>
      <c r="W144" s="333"/>
      <c r="X144" s="334">
        <v>0</v>
      </c>
      <c r="Y144" s="335">
        <v>0</v>
      </c>
    </row>
    <row r="145" spans="1:25" x14ac:dyDescent="0.3">
      <c r="A145" s="326"/>
      <c r="B145" s="326"/>
      <c r="C145" s="326"/>
      <c r="D145" s="326"/>
      <c r="E145" s="326" t="s">
        <v>1058</v>
      </c>
      <c r="F145" s="336"/>
      <c r="G145" s="327"/>
      <c r="H145" s="328"/>
      <c r="I145" s="329"/>
      <c r="J145" s="338">
        <v>0</v>
      </c>
      <c r="K145" s="330">
        <v>0</v>
      </c>
      <c r="L145" s="330">
        <v>0</v>
      </c>
      <c r="M145" s="330">
        <v>0</v>
      </c>
      <c r="N145" s="330">
        <v>0</v>
      </c>
      <c r="O145" s="330">
        <v>0</v>
      </c>
      <c r="P145" s="330">
        <v>0</v>
      </c>
      <c r="Q145" s="330">
        <v>0</v>
      </c>
      <c r="R145" s="330">
        <v>0</v>
      </c>
      <c r="S145" s="330">
        <v>0</v>
      </c>
      <c r="T145" s="330">
        <v>0</v>
      </c>
      <c r="U145" s="331">
        <v>0</v>
      </c>
      <c r="V145" s="332">
        <v>0</v>
      </c>
      <c r="W145" s="333"/>
      <c r="X145" s="334">
        <v>0</v>
      </c>
      <c r="Y145" s="335">
        <v>0</v>
      </c>
    </row>
    <row r="146" spans="1:25" x14ac:dyDescent="0.3">
      <c r="A146" s="326"/>
      <c r="B146" s="326"/>
      <c r="C146" s="326"/>
      <c r="D146" s="326"/>
      <c r="E146" s="326" t="s">
        <v>1059</v>
      </c>
      <c r="F146" s="336"/>
      <c r="G146" s="327"/>
      <c r="H146" s="328"/>
      <c r="I146" s="329"/>
      <c r="J146" s="338">
        <v>0</v>
      </c>
      <c r="K146" s="330">
        <v>0</v>
      </c>
      <c r="L146" s="330">
        <v>0</v>
      </c>
      <c r="M146" s="330">
        <v>0</v>
      </c>
      <c r="N146" s="330">
        <v>0</v>
      </c>
      <c r="O146" s="330">
        <v>0</v>
      </c>
      <c r="P146" s="330">
        <v>0</v>
      </c>
      <c r="Q146" s="330">
        <v>0</v>
      </c>
      <c r="R146" s="330">
        <v>0</v>
      </c>
      <c r="S146" s="330">
        <v>0</v>
      </c>
      <c r="T146" s="330">
        <v>0</v>
      </c>
      <c r="U146" s="331">
        <v>0</v>
      </c>
      <c r="V146" s="332">
        <v>0</v>
      </c>
      <c r="W146" s="333"/>
      <c r="X146" s="334">
        <v>0</v>
      </c>
      <c r="Y146" s="335">
        <v>0</v>
      </c>
    </row>
    <row r="147" spans="1:25" x14ac:dyDescent="0.3">
      <c r="A147" s="326"/>
      <c r="B147" s="326"/>
      <c r="C147" s="326"/>
      <c r="D147" s="326"/>
      <c r="E147" s="326" t="s">
        <v>1060</v>
      </c>
      <c r="F147" s="336"/>
      <c r="G147" s="327"/>
      <c r="H147" s="328"/>
      <c r="I147" s="329"/>
      <c r="J147" s="338">
        <v>0</v>
      </c>
      <c r="K147" s="330">
        <v>0</v>
      </c>
      <c r="L147" s="330">
        <v>0</v>
      </c>
      <c r="M147" s="330">
        <v>0</v>
      </c>
      <c r="N147" s="330">
        <v>0</v>
      </c>
      <c r="O147" s="330">
        <v>0</v>
      </c>
      <c r="P147" s="330">
        <v>0</v>
      </c>
      <c r="Q147" s="330">
        <v>0</v>
      </c>
      <c r="R147" s="330">
        <v>0</v>
      </c>
      <c r="S147" s="330">
        <v>0</v>
      </c>
      <c r="T147" s="330">
        <v>0</v>
      </c>
      <c r="U147" s="331">
        <v>0</v>
      </c>
      <c r="V147" s="332">
        <v>0</v>
      </c>
      <c r="W147" s="333"/>
      <c r="X147" s="334">
        <v>0</v>
      </c>
      <c r="Y147" s="335">
        <v>0</v>
      </c>
    </row>
    <row r="148" spans="1:25" x14ac:dyDescent="0.3">
      <c r="A148" s="326"/>
      <c r="B148" s="326"/>
      <c r="C148" s="326"/>
      <c r="D148" s="326"/>
      <c r="E148" s="326" t="s">
        <v>1061</v>
      </c>
      <c r="F148" s="336"/>
      <c r="G148" s="327"/>
      <c r="H148" s="328"/>
      <c r="I148" s="329"/>
      <c r="J148" s="338">
        <v>0</v>
      </c>
      <c r="K148" s="330">
        <v>0</v>
      </c>
      <c r="L148" s="330">
        <v>0</v>
      </c>
      <c r="M148" s="330">
        <v>0</v>
      </c>
      <c r="N148" s="330">
        <v>0</v>
      </c>
      <c r="O148" s="330">
        <v>0</v>
      </c>
      <c r="P148" s="330">
        <v>0</v>
      </c>
      <c r="Q148" s="330">
        <v>0</v>
      </c>
      <c r="R148" s="330">
        <v>0</v>
      </c>
      <c r="S148" s="330">
        <v>0</v>
      </c>
      <c r="T148" s="330">
        <v>0</v>
      </c>
      <c r="U148" s="331">
        <v>0</v>
      </c>
      <c r="V148" s="332">
        <v>0</v>
      </c>
      <c r="W148" s="333"/>
      <c r="X148" s="334">
        <v>0</v>
      </c>
      <c r="Y148" s="335">
        <v>0</v>
      </c>
    </row>
    <row r="149" spans="1:25" ht="33" x14ac:dyDescent="0.3">
      <c r="A149" s="248" t="s">
        <v>6</v>
      </c>
      <c r="B149" s="248"/>
      <c r="C149" s="280" t="s">
        <v>1062</v>
      </c>
      <c r="D149" s="281"/>
      <c r="E149" s="282"/>
      <c r="F149" s="283" t="s">
        <v>1063</v>
      </c>
      <c r="G149" s="284"/>
      <c r="H149" s="285"/>
      <c r="I149" s="286"/>
      <c r="J149" s="287">
        <v>0</v>
      </c>
      <c r="K149" s="288">
        <v>0</v>
      </c>
      <c r="L149" s="288">
        <v>0</v>
      </c>
      <c r="M149" s="288">
        <v>0</v>
      </c>
      <c r="N149" s="288">
        <v>0</v>
      </c>
      <c r="O149" s="288">
        <v>0</v>
      </c>
      <c r="P149" s="288">
        <v>0</v>
      </c>
      <c r="Q149" s="288">
        <v>0</v>
      </c>
      <c r="R149" s="288">
        <v>0</v>
      </c>
      <c r="S149" s="288">
        <v>0</v>
      </c>
      <c r="T149" s="288">
        <v>0</v>
      </c>
      <c r="U149" s="289">
        <v>0</v>
      </c>
      <c r="V149" s="290">
        <v>0</v>
      </c>
      <c r="W149" s="277"/>
      <c r="X149" s="291">
        <v>0</v>
      </c>
      <c r="Y149" s="292">
        <v>0</v>
      </c>
    </row>
    <row r="150" spans="1:25" x14ac:dyDescent="0.3">
      <c r="A150" s="233"/>
      <c r="B150" s="234" t="s">
        <v>7</v>
      </c>
      <c r="D150" s="293" t="s">
        <v>1064</v>
      </c>
      <c r="E150" s="294"/>
      <c r="F150" s="295" t="s">
        <v>1065</v>
      </c>
      <c r="G150" s="296"/>
      <c r="H150" s="297"/>
      <c r="I150" s="298"/>
      <c r="J150" s="299">
        <v>0</v>
      </c>
      <c r="K150" s="300">
        <v>0</v>
      </c>
      <c r="L150" s="300">
        <v>0</v>
      </c>
      <c r="M150" s="300">
        <v>0</v>
      </c>
      <c r="N150" s="300">
        <v>0</v>
      </c>
      <c r="O150" s="300">
        <v>0</v>
      </c>
      <c r="P150" s="300">
        <v>0</v>
      </c>
      <c r="Q150" s="300">
        <v>0</v>
      </c>
      <c r="R150" s="300">
        <v>0</v>
      </c>
      <c r="S150" s="300">
        <v>0</v>
      </c>
      <c r="T150" s="300">
        <v>0</v>
      </c>
      <c r="U150" s="301">
        <v>0</v>
      </c>
      <c r="V150" s="302">
        <v>0</v>
      </c>
      <c r="W150" s="303"/>
      <c r="X150" s="304">
        <v>0</v>
      </c>
      <c r="Y150" s="305">
        <v>0</v>
      </c>
    </row>
    <row r="151" spans="1:25" x14ac:dyDescent="0.3">
      <c r="E151" s="250" t="s">
        <v>1066</v>
      </c>
      <c r="F151" s="317">
        <v>4201001</v>
      </c>
      <c r="G151" s="318"/>
      <c r="H151" s="319">
        <v>4500010101</v>
      </c>
      <c r="I151" s="320"/>
      <c r="J151" s="337">
        <v>0</v>
      </c>
      <c r="K151" s="321">
        <v>0</v>
      </c>
      <c r="L151" s="321">
        <v>0</v>
      </c>
      <c r="M151" s="321">
        <v>0</v>
      </c>
      <c r="N151" s="321">
        <v>0</v>
      </c>
      <c r="O151" s="321">
        <v>0</v>
      </c>
      <c r="P151" s="321">
        <v>0</v>
      </c>
      <c r="Q151" s="321">
        <v>0</v>
      </c>
      <c r="R151" s="321">
        <v>0</v>
      </c>
      <c r="S151" s="321">
        <v>0</v>
      </c>
      <c r="T151" s="321">
        <v>0</v>
      </c>
      <c r="U151" s="322">
        <v>0</v>
      </c>
      <c r="V151" s="323">
        <v>0</v>
      </c>
      <c r="W151" s="303"/>
      <c r="X151" s="324">
        <v>0</v>
      </c>
      <c r="Y151" s="325">
        <v>0</v>
      </c>
    </row>
    <row r="152" spans="1:25" x14ac:dyDescent="0.3">
      <c r="E152" s="250" t="s">
        <v>1067</v>
      </c>
      <c r="F152" s="317">
        <v>4201002</v>
      </c>
      <c r="G152" s="318"/>
      <c r="H152" s="319">
        <v>4500010105</v>
      </c>
      <c r="I152" s="320"/>
      <c r="J152" s="337">
        <v>0</v>
      </c>
      <c r="K152" s="321">
        <v>0</v>
      </c>
      <c r="L152" s="321">
        <v>0</v>
      </c>
      <c r="M152" s="321">
        <v>0</v>
      </c>
      <c r="N152" s="321">
        <v>0</v>
      </c>
      <c r="O152" s="321">
        <v>0</v>
      </c>
      <c r="P152" s="321">
        <v>0</v>
      </c>
      <c r="Q152" s="321">
        <v>0</v>
      </c>
      <c r="R152" s="321">
        <v>0</v>
      </c>
      <c r="S152" s="321">
        <v>0</v>
      </c>
      <c r="T152" s="321">
        <v>0</v>
      </c>
      <c r="U152" s="322">
        <v>0</v>
      </c>
      <c r="V152" s="323">
        <v>0</v>
      </c>
      <c r="W152" s="303"/>
      <c r="X152" s="324">
        <v>0</v>
      </c>
      <c r="Y152" s="325">
        <v>0</v>
      </c>
    </row>
    <row r="153" spans="1:25" x14ac:dyDescent="0.3">
      <c r="E153" s="250" t="s">
        <v>1068</v>
      </c>
      <c r="F153" s="317">
        <v>4201004</v>
      </c>
      <c r="G153" s="318"/>
      <c r="H153" s="319">
        <v>4500010103</v>
      </c>
      <c r="I153" s="320"/>
      <c r="J153" s="337">
        <v>0</v>
      </c>
      <c r="K153" s="321">
        <v>0</v>
      </c>
      <c r="L153" s="321">
        <v>0</v>
      </c>
      <c r="M153" s="321">
        <v>0</v>
      </c>
      <c r="N153" s="321">
        <v>0</v>
      </c>
      <c r="O153" s="321">
        <v>0</v>
      </c>
      <c r="P153" s="321">
        <v>0</v>
      </c>
      <c r="Q153" s="321">
        <v>0</v>
      </c>
      <c r="R153" s="321">
        <v>0</v>
      </c>
      <c r="S153" s="321">
        <v>0</v>
      </c>
      <c r="T153" s="321">
        <v>0</v>
      </c>
      <c r="U153" s="322">
        <v>0</v>
      </c>
      <c r="V153" s="323">
        <v>0</v>
      </c>
      <c r="W153" s="303"/>
      <c r="X153" s="324">
        <v>0</v>
      </c>
      <c r="Y153" s="325">
        <v>0</v>
      </c>
    </row>
    <row r="154" spans="1:25" x14ac:dyDescent="0.3">
      <c r="E154" s="250" t="s">
        <v>1069</v>
      </c>
      <c r="F154" s="317">
        <v>4201005</v>
      </c>
      <c r="G154" s="318"/>
      <c r="H154" s="319"/>
      <c r="I154" s="320"/>
      <c r="J154" s="337">
        <v>0</v>
      </c>
      <c r="K154" s="321">
        <v>0</v>
      </c>
      <c r="L154" s="321">
        <v>0</v>
      </c>
      <c r="M154" s="321">
        <v>0</v>
      </c>
      <c r="N154" s="321">
        <v>0</v>
      </c>
      <c r="O154" s="321">
        <v>0</v>
      </c>
      <c r="P154" s="321">
        <v>0</v>
      </c>
      <c r="Q154" s="321">
        <v>0</v>
      </c>
      <c r="R154" s="321">
        <v>0</v>
      </c>
      <c r="S154" s="321">
        <v>0</v>
      </c>
      <c r="T154" s="321">
        <v>0</v>
      </c>
      <c r="U154" s="322">
        <v>0</v>
      </c>
      <c r="V154" s="323">
        <v>0</v>
      </c>
      <c r="W154" s="303"/>
      <c r="X154" s="324">
        <v>0</v>
      </c>
      <c r="Y154" s="325">
        <v>0</v>
      </c>
    </row>
    <row r="155" spans="1:25" x14ac:dyDescent="0.3">
      <c r="E155" s="250" t="s">
        <v>1070</v>
      </c>
      <c r="F155" s="317">
        <v>4201007</v>
      </c>
      <c r="G155" s="318"/>
      <c r="H155" s="319">
        <v>4500010107</v>
      </c>
      <c r="I155" s="320"/>
      <c r="J155" s="337">
        <v>0</v>
      </c>
      <c r="K155" s="321">
        <v>0</v>
      </c>
      <c r="L155" s="321">
        <v>0</v>
      </c>
      <c r="M155" s="321">
        <v>0</v>
      </c>
      <c r="N155" s="321">
        <v>0</v>
      </c>
      <c r="O155" s="321">
        <v>0</v>
      </c>
      <c r="P155" s="321">
        <v>0</v>
      </c>
      <c r="Q155" s="321">
        <v>0</v>
      </c>
      <c r="R155" s="321">
        <v>0</v>
      </c>
      <c r="S155" s="321">
        <v>0</v>
      </c>
      <c r="T155" s="321">
        <v>0</v>
      </c>
      <c r="U155" s="322">
        <v>0</v>
      </c>
      <c r="V155" s="323">
        <v>0</v>
      </c>
      <c r="W155" s="303"/>
      <c r="X155" s="324">
        <v>0</v>
      </c>
      <c r="Y155" s="325">
        <v>0</v>
      </c>
    </row>
    <row r="156" spans="1:25" x14ac:dyDescent="0.3">
      <c r="E156" s="250" t="s">
        <v>1071</v>
      </c>
      <c r="F156" s="317">
        <v>4201008</v>
      </c>
      <c r="G156" s="318"/>
      <c r="H156" s="319"/>
      <c r="I156" s="320"/>
      <c r="J156" s="337">
        <v>0</v>
      </c>
      <c r="K156" s="321">
        <v>0</v>
      </c>
      <c r="L156" s="321">
        <v>0</v>
      </c>
      <c r="M156" s="321">
        <v>0</v>
      </c>
      <c r="N156" s="321">
        <v>0</v>
      </c>
      <c r="O156" s="321">
        <v>0</v>
      </c>
      <c r="P156" s="321">
        <v>0</v>
      </c>
      <c r="Q156" s="321">
        <v>0</v>
      </c>
      <c r="R156" s="321">
        <v>0</v>
      </c>
      <c r="S156" s="321">
        <v>0</v>
      </c>
      <c r="T156" s="321">
        <v>0</v>
      </c>
      <c r="U156" s="322">
        <v>0</v>
      </c>
      <c r="V156" s="323">
        <v>0</v>
      </c>
      <c r="W156" s="303"/>
      <c r="X156" s="324">
        <v>0</v>
      </c>
      <c r="Y156" s="325">
        <v>0</v>
      </c>
    </row>
    <row r="157" spans="1:25" x14ac:dyDescent="0.3">
      <c r="E157" s="250" t="s">
        <v>1072</v>
      </c>
      <c r="F157" s="317">
        <v>4201091</v>
      </c>
      <c r="G157" s="318"/>
      <c r="H157" s="319">
        <v>4500010109</v>
      </c>
      <c r="I157" s="320"/>
      <c r="J157" s="337">
        <v>0</v>
      </c>
      <c r="K157" s="321">
        <v>0</v>
      </c>
      <c r="L157" s="321">
        <v>0</v>
      </c>
      <c r="M157" s="321">
        <v>0</v>
      </c>
      <c r="N157" s="321">
        <v>0</v>
      </c>
      <c r="O157" s="321">
        <v>0</v>
      </c>
      <c r="P157" s="321">
        <v>0</v>
      </c>
      <c r="Q157" s="321">
        <v>0</v>
      </c>
      <c r="R157" s="321">
        <v>0</v>
      </c>
      <c r="S157" s="321">
        <v>0</v>
      </c>
      <c r="T157" s="321">
        <v>0</v>
      </c>
      <c r="U157" s="322">
        <v>0</v>
      </c>
      <c r="V157" s="323">
        <v>0</v>
      </c>
      <c r="W157" s="303"/>
      <c r="X157" s="324">
        <v>0</v>
      </c>
      <c r="Y157" s="325">
        <v>0</v>
      </c>
    </row>
    <row r="158" spans="1:25" x14ac:dyDescent="0.3">
      <c r="E158" s="250" t="s">
        <v>1073</v>
      </c>
      <c r="F158" s="317">
        <v>4201095</v>
      </c>
      <c r="G158" s="318"/>
      <c r="H158" s="319"/>
      <c r="I158" s="320"/>
      <c r="J158" s="337">
        <v>0</v>
      </c>
      <c r="K158" s="321">
        <v>0</v>
      </c>
      <c r="L158" s="321">
        <v>0</v>
      </c>
      <c r="M158" s="321">
        <v>0</v>
      </c>
      <c r="N158" s="321">
        <v>0</v>
      </c>
      <c r="O158" s="321">
        <v>0</v>
      </c>
      <c r="P158" s="321">
        <v>0</v>
      </c>
      <c r="Q158" s="321">
        <v>0</v>
      </c>
      <c r="R158" s="321">
        <v>0</v>
      </c>
      <c r="S158" s="321">
        <v>0</v>
      </c>
      <c r="T158" s="321">
        <v>0</v>
      </c>
      <c r="U158" s="322">
        <v>0</v>
      </c>
      <c r="V158" s="323">
        <v>0</v>
      </c>
      <c r="W158" s="303"/>
      <c r="X158" s="324">
        <v>0</v>
      </c>
      <c r="Y158" s="325">
        <v>0</v>
      </c>
    </row>
    <row r="159" spans="1:25" x14ac:dyDescent="0.3">
      <c r="E159" s="250" t="s">
        <v>1074</v>
      </c>
      <c r="F159" s="317">
        <v>4201096</v>
      </c>
      <c r="G159" s="318"/>
      <c r="H159" s="319"/>
      <c r="I159" s="320"/>
      <c r="J159" s="337">
        <v>0</v>
      </c>
      <c r="K159" s="321">
        <v>0</v>
      </c>
      <c r="L159" s="321">
        <v>0</v>
      </c>
      <c r="M159" s="321">
        <v>0</v>
      </c>
      <c r="N159" s="321">
        <v>0</v>
      </c>
      <c r="O159" s="321">
        <v>0</v>
      </c>
      <c r="P159" s="321">
        <v>0</v>
      </c>
      <c r="Q159" s="321">
        <v>0</v>
      </c>
      <c r="R159" s="321">
        <v>0</v>
      </c>
      <c r="S159" s="321">
        <v>0</v>
      </c>
      <c r="T159" s="321">
        <v>0</v>
      </c>
      <c r="U159" s="322">
        <v>0</v>
      </c>
      <c r="V159" s="323">
        <v>0</v>
      </c>
      <c r="W159" s="303"/>
      <c r="X159" s="324">
        <v>0</v>
      </c>
      <c r="Y159" s="325">
        <v>0</v>
      </c>
    </row>
    <row r="160" spans="1:25" x14ac:dyDescent="0.3">
      <c r="E160" s="250" t="s">
        <v>1075</v>
      </c>
      <c r="F160" s="317">
        <v>4201097</v>
      </c>
      <c r="G160" s="318"/>
      <c r="H160" s="319"/>
      <c r="I160" s="320"/>
      <c r="J160" s="337">
        <v>0</v>
      </c>
      <c r="K160" s="321">
        <v>0</v>
      </c>
      <c r="L160" s="321">
        <v>0</v>
      </c>
      <c r="M160" s="321">
        <v>0</v>
      </c>
      <c r="N160" s="321">
        <v>0</v>
      </c>
      <c r="O160" s="321">
        <v>0</v>
      </c>
      <c r="P160" s="321">
        <v>0</v>
      </c>
      <c r="Q160" s="321">
        <v>0</v>
      </c>
      <c r="R160" s="321">
        <v>0</v>
      </c>
      <c r="S160" s="321">
        <v>0</v>
      </c>
      <c r="T160" s="321">
        <v>0</v>
      </c>
      <c r="U160" s="322">
        <v>0</v>
      </c>
      <c r="V160" s="323">
        <v>0</v>
      </c>
      <c r="W160" s="303"/>
      <c r="X160" s="324">
        <v>0</v>
      </c>
      <c r="Y160" s="325">
        <v>0</v>
      </c>
    </row>
    <row r="161" spans="1:25" x14ac:dyDescent="0.3">
      <c r="E161" s="250" t="s">
        <v>1076</v>
      </c>
      <c r="F161" s="317">
        <v>4201098</v>
      </c>
      <c r="G161" s="318"/>
      <c r="H161" s="319"/>
      <c r="I161" s="320"/>
      <c r="J161" s="337">
        <v>0</v>
      </c>
      <c r="K161" s="321">
        <v>0</v>
      </c>
      <c r="L161" s="321">
        <v>0</v>
      </c>
      <c r="M161" s="321">
        <v>0</v>
      </c>
      <c r="N161" s="321">
        <v>0</v>
      </c>
      <c r="O161" s="321">
        <v>0</v>
      </c>
      <c r="P161" s="321">
        <v>0</v>
      </c>
      <c r="Q161" s="321">
        <v>0</v>
      </c>
      <c r="R161" s="321">
        <v>0</v>
      </c>
      <c r="S161" s="321">
        <v>0</v>
      </c>
      <c r="T161" s="321">
        <v>0</v>
      </c>
      <c r="U161" s="322">
        <v>0</v>
      </c>
      <c r="V161" s="323">
        <v>0</v>
      </c>
      <c r="W161" s="303"/>
      <c r="X161" s="324">
        <v>0</v>
      </c>
      <c r="Y161" s="325">
        <v>0</v>
      </c>
    </row>
    <row r="162" spans="1:25" x14ac:dyDescent="0.3">
      <c r="A162" s="250"/>
      <c r="B162" s="250"/>
      <c r="C162" s="250"/>
      <c r="D162" s="250"/>
      <c r="E162" s="250" t="s">
        <v>1077</v>
      </c>
      <c r="F162" s="306">
        <v>4201094</v>
      </c>
      <c r="G162" s="307"/>
      <c r="H162" s="308"/>
      <c r="I162" s="309"/>
      <c r="J162" s="310">
        <v>0</v>
      </c>
      <c r="K162" s="311">
        <v>0</v>
      </c>
      <c r="L162" s="311">
        <v>0</v>
      </c>
      <c r="M162" s="311">
        <v>0</v>
      </c>
      <c r="N162" s="311">
        <v>0</v>
      </c>
      <c r="O162" s="311">
        <v>0</v>
      </c>
      <c r="P162" s="311">
        <v>0</v>
      </c>
      <c r="Q162" s="311">
        <v>0</v>
      </c>
      <c r="R162" s="311">
        <v>0</v>
      </c>
      <c r="S162" s="311">
        <v>0</v>
      </c>
      <c r="T162" s="311">
        <v>0</v>
      </c>
      <c r="U162" s="312">
        <v>0</v>
      </c>
      <c r="V162" s="313">
        <v>0</v>
      </c>
      <c r="W162" s="314"/>
      <c r="X162" s="315">
        <v>0</v>
      </c>
      <c r="Y162" s="316">
        <v>0</v>
      </c>
    </row>
    <row r="163" spans="1:25" x14ac:dyDescent="0.3">
      <c r="A163" s="326"/>
      <c r="B163" s="326"/>
      <c r="C163" s="326"/>
      <c r="D163" s="326"/>
      <c r="E163" s="326" t="s">
        <v>1078</v>
      </c>
      <c r="F163" s="336"/>
      <c r="G163" s="327"/>
      <c r="H163" s="328"/>
      <c r="I163" s="329"/>
      <c r="J163" s="338">
        <v>0</v>
      </c>
      <c r="K163" s="330">
        <v>0</v>
      </c>
      <c r="L163" s="330">
        <v>0</v>
      </c>
      <c r="M163" s="330">
        <v>0</v>
      </c>
      <c r="N163" s="330">
        <v>0</v>
      </c>
      <c r="O163" s="330">
        <v>0</v>
      </c>
      <c r="P163" s="330">
        <v>0</v>
      </c>
      <c r="Q163" s="330">
        <v>0</v>
      </c>
      <c r="R163" s="330">
        <v>0</v>
      </c>
      <c r="S163" s="330">
        <v>0</v>
      </c>
      <c r="T163" s="330">
        <v>0</v>
      </c>
      <c r="U163" s="331">
        <v>0</v>
      </c>
      <c r="V163" s="332">
        <v>0</v>
      </c>
      <c r="W163" s="333"/>
      <c r="X163" s="334">
        <v>0</v>
      </c>
      <c r="Y163" s="335">
        <v>0</v>
      </c>
    </row>
    <row r="164" spans="1:25" x14ac:dyDescent="0.3">
      <c r="A164" s="326"/>
      <c r="B164" s="326"/>
      <c r="C164" s="326"/>
      <c r="D164" s="326"/>
      <c r="E164" s="326" t="s">
        <v>1079</v>
      </c>
      <c r="F164" s="336"/>
      <c r="G164" s="327"/>
      <c r="H164" s="328"/>
      <c r="I164" s="329"/>
      <c r="J164" s="338">
        <v>0</v>
      </c>
      <c r="K164" s="330">
        <v>0</v>
      </c>
      <c r="L164" s="330">
        <v>0</v>
      </c>
      <c r="M164" s="330">
        <v>0</v>
      </c>
      <c r="N164" s="330">
        <v>0</v>
      </c>
      <c r="O164" s="330">
        <v>0</v>
      </c>
      <c r="P164" s="330">
        <v>0</v>
      </c>
      <c r="Q164" s="330">
        <v>0</v>
      </c>
      <c r="R164" s="330">
        <v>0</v>
      </c>
      <c r="S164" s="330">
        <v>0</v>
      </c>
      <c r="T164" s="330">
        <v>0</v>
      </c>
      <c r="U164" s="331">
        <v>0</v>
      </c>
      <c r="V164" s="332">
        <v>0</v>
      </c>
      <c r="W164" s="333"/>
      <c r="X164" s="334">
        <v>0</v>
      </c>
      <c r="Y164" s="335">
        <v>0</v>
      </c>
    </row>
    <row r="165" spans="1:25" x14ac:dyDescent="0.3">
      <c r="A165" s="326"/>
      <c r="B165" s="326"/>
      <c r="C165" s="326"/>
      <c r="D165" s="326"/>
      <c r="E165" s="326" t="s">
        <v>1080</v>
      </c>
      <c r="F165" s="336"/>
      <c r="G165" s="327"/>
      <c r="H165" s="328"/>
      <c r="I165" s="329"/>
      <c r="J165" s="338">
        <v>0</v>
      </c>
      <c r="K165" s="330">
        <v>0</v>
      </c>
      <c r="L165" s="330">
        <v>0</v>
      </c>
      <c r="M165" s="330">
        <v>0</v>
      </c>
      <c r="N165" s="330">
        <v>0</v>
      </c>
      <c r="O165" s="330">
        <v>0</v>
      </c>
      <c r="P165" s="330">
        <v>0</v>
      </c>
      <c r="Q165" s="330">
        <v>0</v>
      </c>
      <c r="R165" s="330">
        <v>0</v>
      </c>
      <c r="S165" s="330">
        <v>0</v>
      </c>
      <c r="T165" s="330">
        <v>0</v>
      </c>
      <c r="U165" s="331">
        <v>0</v>
      </c>
      <c r="V165" s="332">
        <v>0</v>
      </c>
      <c r="W165" s="333"/>
      <c r="X165" s="334">
        <v>0</v>
      </c>
      <c r="Y165" s="335">
        <v>0</v>
      </c>
    </row>
    <row r="166" spans="1:25" x14ac:dyDescent="0.3">
      <c r="A166" s="233"/>
      <c r="B166" s="234" t="s">
        <v>62</v>
      </c>
      <c r="D166" s="293" t="s">
        <v>1081</v>
      </c>
      <c r="E166" s="294"/>
      <c r="F166" s="295" t="s">
        <v>1082</v>
      </c>
      <c r="G166" s="296"/>
      <c r="H166" s="297"/>
      <c r="I166" s="298"/>
      <c r="J166" s="299">
        <v>0</v>
      </c>
      <c r="K166" s="300">
        <v>0</v>
      </c>
      <c r="L166" s="300">
        <v>0</v>
      </c>
      <c r="M166" s="300">
        <v>0</v>
      </c>
      <c r="N166" s="300">
        <v>0</v>
      </c>
      <c r="O166" s="300">
        <v>0</v>
      </c>
      <c r="P166" s="300">
        <v>0</v>
      </c>
      <c r="Q166" s="300">
        <v>0</v>
      </c>
      <c r="R166" s="300">
        <v>0</v>
      </c>
      <c r="S166" s="300">
        <v>0</v>
      </c>
      <c r="T166" s="300">
        <v>0</v>
      </c>
      <c r="U166" s="301">
        <v>0</v>
      </c>
      <c r="V166" s="302">
        <v>0</v>
      </c>
      <c r="W166" s="303"/>
      <c r="X166" s="304">
        <v>0</v>
      </c>
      <c r="Y166" s="305">
        <v>0</v>
      </c>
    </row>
    <row r="167" spans="1:25" x14ac:dyDescent="0.3">
      <c r="A167" s="326"/>
      <c r="B167" s="326"/>
      <c r="E167" s="339" t="s">
        <v>1083</v>
      </c>
      <c r="F167" s="340" t="s">
        <v>1084</v>
      </c>
      <c r="G167" s="341"/>
      <c r="H167" s="342"/>
      <c r="I167" s="343"/>
      <c r="J167" s="344">
        <v>0</v>
      </c>
      <c r="K167" s="345">
        <v>0</v>
      </c>
      <c r="L167" s="345">
        <v>0</v>
      </c>
      <c r="M167" s="345">
        <v>0</v>
      </c>
      <c r="N167" s="345">
        <v>0</v>
      </c>
      <c r="O167" s="345">
        <v>0</v>
      </c>
      <c r="P167" s="345">
        <v>0</v>
      </c>
      <c r="Q167" s="345">
        <v>0</v>
      </c>
      <c r="R167" s="345">
        <v>0</v>
      </c>
      <c r="S167" s="345">
        <v>0</v>
      </c>
      <c r="T167" s="345">
        <v>0</v>
      </c>
      <c r="U167" s="346">
        <v>0</v>
      </c>
      <c r="V167" s="347">
        <v>0</v>
      </c>
      <c r="W167" s="303"/>
      <c r="X167" s="348">
        <v>0</v>
      </c>
      <c r="Y167" s="349">
        <v>0</v>
      </c>
    </row>
    <row r="168" spans="1:25" x14ac:dyDescent="0.3">
      <c r="E168" s="250" t="s">
        <v>1085</v>
      </c>
      <c r="F168" s="317">
        <v>4201401</v>
      </c>
      <c r="G168" s="318"/>
      <c r="H168" s="319">
        <v>4500010111</v>
      </c>
      <c r="I168" s="320"/>
      <c r="J168" s="337">
        <v>0</v>
      </c>
      <c r="K168" s="321">
        <v>0</v>
      </c>
      <c r="L168" s="321">
        <v>0</v>
      </c>
      <c r="M168" s="321">
        <v>0</v>
      </c>
      <c r="N168" s="321">
        <v>0</v>
      </c>
      <c r="O168" s="321">
        <v>0</v>
      </c>
      <c r="P168" s="321">
        <v>0</v>
      </c>
      <c r="Q168" s="321">
        <v>0</v>
      </c>
      <c r="R168" s="321">
        <v>0</v>
      </c>
      <c r="S168" s="321">
        <v>0</v>
      </c>
      <c r="T168" s="321">
        <v>0</v>
      </c>
      <c r="U168" s="322">
        <v>0</v>
      </c>
      <c r="V168" s="323">
        <v>0</v>
      </c>
      <c r="W168" s="303"/>
      <c r="X168" s="324">
        <v>0</v>
      </c>
      <c r="Y168" s="325">
        <v>0</v>
      </c>
    </row>
    <row r="169" spans="1:25" x14ac:dyDescent="0.3">
      <c r="E169" s="250" t="s">
        <v>1086</v>
      </c>
      <c r="F169" s="317">
        <v>4201402</v>
      </c>
      <c r="G169" s="318"/>
      <c r="H169" s="319"/>
      <c r="I169" s="320"/>
      <c r="J169" s="337">
        <v>0</v>
      </c>
      <c r="K169" s="321">
        <v>0</v>
      </c>
      <c r="L169" s="321">
        <v>0</v>
      </c>
      <c r="M169" s="321">
        <v>0</v>
      </c>
      <c r="N169" s="321">
        <v>0</v>
      </c>
      <c r="O169" s="321">
        <v>0</v>
      </c>
      <c r="P169" s="321">
        <v>0</v>
      </c>
      <c r="Q169" s="321">
        <v>0</v>
      </c>
      <c r="R169" s="321">
        <v>0</v>
      </c>
      <c r="S169" s="321">
        <v>0</v>
      </c>
      <c r="T169" s="321">
        <v>0</v>
      </c>
      <c r="U169" s="322">
        <v>0</v>
      </c>
      <c r="V169" s="323">
        <v>0</v>
      </c>
      <c r="W169" s="303"/>
      <c r="X169" s="324">
        <v>0</v>
      </c>
      <c r="Y169" s="325">
        <v>0</v>
      </c>
    </row>
    <row r="170" spans="1:25" x14ac:dyDescent="0.3">
      <c r="E170" s="250" t="s">
        <v>1087</v>
      </c>
      <c r="F170" s="317">
        <v>4201403</v>
      </c>
      <c r="G170" s="318"/>
      <c r="H170" s="319"/>
      <c r="I170" s="320"/>
      <c r="J170" s="337">
        <v>0</v>
      </c>
      <c r="K170" s="321">
        <v>0</v>
      </c>
      <c r="L170" s="321">
        <v>0</v>
      </c>
      <c r="M170" s="321">
        <v>0</v>
      </c>
      <c r="N170" s="321">
        <v>0</v>
      </c>
      <c r="O170" s="321">
        <v>0</v>
      </c>
      <c r="P170" s="321">
        <v>0</v>
      </c>
      <c r="Q170" s="321">
        <v>0</v>
      </c>
      <c r="R170" s="321">
        <v>0</v>
      </c>
      <c r="S170" s="321">
        <v>0</v>
      </c>
      <c r="T170" s="321">
        <v>0</v>
      </c>
      <c r="U170" s="322">
        <v>0</v>
      </c>
      <c r="V170" s="323">
        <v>0</v>
      </c>
      <c r="W170" s="303"/>
      <c r="X170" s="324">
        <v>0</v>
      </c>
      <c r="Y170" s="325">
        <v>0</v>
      </c>
    </row>
    <row r="171" spans="1:25" x14ac:dyDescent="0.3">
      <c r="E171" s="250" t="s">
        <v>1088</v>
      </c>
      <c r="F171" s="317">
        <v>4201404</v>
      </c>
      <c r="G171" s="318"/>
      <c r="H171" s="319"/>
      <c r="I171" s="320"/>
      <c r="J171" s="337">
        <v>0</v>
      </c>
      <c r="K171" s="321">
        <v>0</v>
      </c>
      <c r="L171" s="321">
        <v>0</v>
      </c>
      <c r="M171" s="321">
        <v>0</v>
      </c>
      <c r="N171" s="321">
        <v>0</v>
      </c>
      <c r="O171" s="321">
        <v>0</v>
      </c>
      <c r="P171" s="321">
        <v>0</v>
      </c>
      <c r="Q171" s="321">
        <v>0</v>
      </c>
      <c r="R171" s="321">
        <v>0</v>
      </c>
      <c r="S171" s="321">
        <v>0</v>
      </c>
      <c r="T171" s="321">
        <v>0</v>
      </c>
      <c r="U171" s="322">
        <v>0</v>
      </c>
      <c r="V171" s="323">
        <v>0</v>
      </c>
      <c r="W171" s="303"/>
      <c r="X171" s="324">
        <v>0</v>
      </c>
      <c r="Y171" s="325">
        <v>0</v>
      </c>
    </row>
    <row r="172" spans="1:25" x14ac:dyDescent="0.3">
      <c r="E172" s="250" t="s">
        <v>1089</v>
      </c>
      <c r="F172" s="317">
        <v>4201405</v>
      </c>
      <c r="G172" s="318"/>
      <c r="H172" s="319"/>
      <c r="I172" s="320"/>
      <c r="J172" s="337">
        <v>0</v>
      </c>
      <c r="K172" s="321">
        <v>0</v>
      </c>
      <c r="L172" s="321">
        <v>0</v>
      </c>
      <c r="M172" s="321">
        <v>0</v>
      </c>
      <c r="N172" s="321">
        <v>0</v>
      </c>
      <c r="O172" s="321">
        <v>0</v>
      </c>
      <c r="P172" s="321">
        <v>0</v>
      </c>
      <c r="Q172" s="321">
        <v>0</v>
      </c>
      <c r="R172" s="321">
        <v>0</v>
      </c>
      <c r="S172" s="321">
        <v>0</v>
      </c>
      <c r="T172" s="321">
        <v>0</v>
      </c>
      <c r="U172" s="322">
        <v>0</v>
      </c>
      <c r="V172" s="323">
        <v>0</v>
      </c>
      <c r="W172" s="303"/>
      <c r="X172" s="324">
        <v>0</v>
      </c>
      <c r="Y172" s="325">
        <v>0</v>
      </c>
    </row>
    <row r="173" spans="1:25" x14ac:dyDescent="0.3">
      <c r="E173" s="250" t="s">
        <v>1090</v>
      </c>
      <c r="F173" s="317">
        <v>4201406</v>
      </c>
      <c r="G173" s="318"/>
      <c r="H173" s="319"/>
      <c r="I173" s="320"/>
      <c r="J173" s="337">
        <v>0</v>
      </c>
      <c r="K173" s="321">
        <v>0</v>
      </c>
      <c r="L173" s="321">
        <v>0</v>
      </c>
      <c r="M173" s="321">
        <v>0</v>
      </c>
      <c r="N173" s="321">
        <v>0</v>
      </c>
      <c r="O173" s="321">
        <v>0</v>
      </c>
      <c r="P173" s="321">
        <v>0</v>
      </c>
      <c r="Q173" s="321">
        <v>0</v>
      </c>
      <c r="R173" s="321">
        <v>0</v>
      </c>
      <c r="S173" s="321">
        <v>0</v>
      </c>
      <c r="T173" s="321">
        <v>0</v>
      </c>
      <c r="U173" s="322">
        <v>0</v>
      </c>
      <c r="V173" s="323">
        <v>0</v>
      </c>
      <c r="W173" s="303"/>
      <c r="X173" s="324">
        <v>0</v>
      </c>
      <c r="Y173" s="325">
        <v>0</v>
      </c>
    </row>
    <row r="174" spans="1:25" x14ac:dyDescent="0.3">
      <c r="E174" s="250" t="s">
        <v>1091</v>
      </c>
      <c r="F174" s="317">
        <v>4201407</v>
      </c>
      <c r="G174" s="318"/>
      <c r="H174" s="319"/>
      <c r="I174" s="320"/>
      <c r="J174" s="337">
        <v>0</v>
      </c>
      <c r="K174" s="321">
        <v>0</v>
      </c>
      <c r="L174" s="321">
        <v>0</v>
      </c>
      <c r="M174" s="321">
        <v>0</v>
      </c>
      <c r="N174" s="321">
        <v>0</v>
      </c>
      <c r="O174" s="321">
        <v>0</v>
      </c>
      <c r="P174" s="321">
        <v>0</v>
      </c>
      <c r="Q174" s="321">
        <v>0</v>
      </c>
      <c r="R174" s="321">
        <v>0</v>
      </c>
      <c r="S174" s="321">
        <v>0</v>
      </c>
      <c r="T174" s="321">
        <v>0</v>
      </c>
      <c r="U174" s="322">
        <v>0</v>
      </c>
      <c r="V174" s="323">
        <v>0</v>
      </c>
      <c r="W174" s="303"/>
      <c r="X174" s="324">
        <v>0</v>
      </c>
      <c r="Y174" s="325">
        <v>0</v>
      </c>
    </row>
    <row r="175" spans="1:25" x14ac:dyDescent="0.3">
      <c r="A175" s="361"/>
      <c r="B175" s="361"/>
      <c r="C175" s="361"/>
      <c r="D175" s="361"/>
      <c r="E175" s="326" t="s">
        <v>1092</v>
      </c>
      <c r="F175" s="351"/>
      <c r="G175" s="352"/>
      <c r="H175" s="353"/>
      <c r="I175" s="354"/>
      <c r="J175" s="362">
        <v>0</v>
      </c>
      <c r="K175" s="355">
        <v>0</v>
      </c>
      <c r="L175" s="355">
        <v>0</v>
      </c>
      <c r="M175" s="355">
        <v>0</v>
      </c>
      <c r="N175" s="355">
        <v>0</v>
      </c>
      <c r="O175" s="355">
        <v>0</v>
      </c>
      <c r="P175" s="355">
        <v>0</v>
      </c>
      <c r="Q175" s="355">
        <v>0</v>
      </c>
      <c r="R175" s="355">
        <v>0</v>
      </c>
      <c r="S175" s="355">
        <v>0</v>
      </c>
      <c r="T175" s="355">
        <v>0</v>
      </c>
      <c r="U175" s="356">
        <v>0</v>
      </c>
      <c r="V175" s="357">
        <v>0</v>
      </c>
      <c r="W175" s="358"/>
      <c r="X175" s="359">
        <v>0</v>
      </c>
      <c r="Y175" s="360">
        <v>0</v>
      </c>
    </row>
    <row r="176" spans="1:25" x14ac:dyDescent="0.3">
      <c r="A176" s="361"/>
      <c r="B176" s="361"/>
      <c r="C176" s="361"/>
      <c r="D176" s="361"/>
      <c r="E176" s="326" t="s">
        <v>1093</v>
      </c>
      <c r="F176" s="351"/>
      <c r="G176" s="352"/>
      <c r="H176" s="353"/>
      <c r="I176" s="354"/>
      <c r="J176" s="362">
        <v>0</v>
      </c>
      <c r="K176" s="355">
        <v>0</v>
      </c>
      <c r="L176" s="355">
        <v>0</v>
      </c>
      <c r="M176" s="355">
        <v>0</v>
      </c>
      <c r="N176" s="355">
        <v>0</v>
      </c>
      <c r="O176" s="355">
        <v>0</v>
      </c>
      <c r="P176" s="355">
        <v>0</v>
      </c>
      <c r="Q176" s="355">
        <v>0</v>
      </c>
      <c r="R176" s="355">
        <v>0</v>
      </c>
      <c r="S176" s="355">
        <v>0</v>
      </c>
      <c r="T176" s="355">
        <v>0</v>
      </c>
      <c r="U176" s="356">
        <v>0</v>
      </c>
      <c r="V176" s="357">
        <v>0</v>
      </c>
      <c r="W176" s="358"/>
      <c r="X176" s="359">
        <v>0</v>
      </c>
      <c r="Y176" s="360">
        <v>0</v>
      </c>
    </row>
    <row r="177" spans="1:25" x14ac:dyDescent="0.3">
      <c r="A177" s="361"/>
      <c r="B177" s="361"/>
      <c r="C177" s="361"/>
      <c r="D177" s="361"/>
      <c r="E177" s="326" t="s">
        <v>1094</v>
      </c>
      <c r="F177" s="351"/>
      <c r="G177" s="352"/>
      <c r="H177" s="353"/>
      <c r="I177" s="354"/>
      <c r="J177" s="362">
        <v>0</v>
      </c>
      <c r="K177" s="355">
        <v>0</v>
      </c>
      <c r="L177" s="355">
        <v>0</v>
      </c>
      <c r="M177" s="355">
        <v>0</v>
      </c>
      <c r="N177" s="355">
        <v>0</v>
      </c>
      <c r="O177" s="355">
        <v>0</v>
      </c>
      <c r="P177" s="355">
        <v>0</v>
      </c>
      <c r="Q177" s="355">
        <v>0</v>
      </c>
      <c r="R177" s="355">
        <v>0</v>
      </c>
      <c r="S177" s="355">
        <v>0</v>
      </c>
      <c r="T177" s="355">
        <v>0</v>
      </c>
      <c r="U177" s="356">
        <v>0</v>
      </c>
      <c r="V177" s="357">
        <v>0</v>
      </c>
      <c r="W177" s="358"/>
      <c r="X177" s="359">
        <v>0</v>
      </c>
      <c r="Y177" s="360">
        <v>0</v>
      </c>
    </row>
    <row r="178" spans="1:25" x14ac:dyDescent="0.3">
      <c r="A178" s="233"/>
      <c r="B178" s="234" t="s">
        <v>8</v>
      </c>
      <c r="D178" s="293" t="s">
        <v>1095</v>
      </c>
      <c r="E178" s="294"/>
      <c r="F178" s="295" t="s">
        <v>1096</v>
      </c>
      <c r="G178" s="296"/>
      <c r="H178" s="297"/>
      <c r="I178" s="298"/>
      <c r="J178" s="299">
        <v>0</v>
      </c>
      <c r="K178" s="300">
        <v>0</v>
      </c>
      <c r="L178" s="300">
        <v>0</v>
      </c>
      <c r="M178" s="300">
        <v>0</v>
      </c>
      <c r="N178" s="300">
        <v>0</v>
      </c>
      <c r="O178" s="300">
        <v>0</v>
      </c>
      <c r="P178" s="300">
        <v>0</v>
      </c>
      <c r="Q178" s="300">
        <v>0</v>
      </c>
      <c r="R178" s="300">
        <v>0</v>
      </c>
      <c r="S178" s="300">
        <v>0</v>
      </c>
      <c r="T178" s="300">
        <v>0</v>
      </c>
      <c r="U178" s="301">
        <v>0</v>
      </c>
      <c r="V178" s="302">
        <v>0</v>
      </c>
      <c r="W178" s="303"/>
      <c r="X178" s="304">
        <v>0</v>
      </c>
      <c r="Y178" s="305">
        <v>0</v>
      </c>
    </row>
    <row r="179" spans="1:25" x14ac:dyDescent="0.3">
      <c r="A179" s="361"/>
      <c r="B179" s="361"/>
      <c r="E179" s="250" t="s">
        <v>1097</v>
      </c>
      <c r="F179" s="317">
        <v>4203001</v>
      </c>
      <c r="G179" s="318"/>
      <c r="H179" s="319">
        <v>4500030101</v>
      </c>
      <c r="I179" s="320"/>
      <c r="J179" s="337">
        <v>0</v>
      </c>
      <c r="K179" s="321">
        <v>0</v>
      </c>
      <c r="L179" s="321">
        <v>0</v>
      </c>
      <c r="M179" s="321">
        <v>0</v>
      </c>
      <c r="N179" s="321">
        <v>0</v>
      </c>
      <c r="O179" s="321">
        <v>0</v>
      </c>
      <c r="P179" s="321">
        <v>0</v>
      </c>
      <c r="Q179" s="321">
        <v>0</v>
      </c>
      <c r="R179" s="321">
        <v>0</v>
      </c>
      <c r="S179" s="321">
        <v>0</v>
      </c>
      <c r="T179" s="321">
        <v>0</v>
      </c>
      <c r="U179" s="322">
        <v>0</v>
      </c>
      <c r="V179" s="323">
        <v>0</v>
      </c>
      <c r="W179" s="303"/>
      <c r="X179" s="324">
        <v>0</v>
      </c>
      <c r="Y179" s="325">
        <v>0</v>
      </c>
    </row>
    <row r="180" spans="1:25" x14ac:dyDescent="0.3">
      <c r="A180" s="326"/>
      <c r="B180" s="326"/>
      <c r="C180" s="326"/>
      <c r="D180" s="326"/>
      <c r="E180" s="326" t="s">
        <v>1098</v>
      </c>
      <c r="F180" s="336"/>
      <c r="G180" s="327"/>
      <c r="H180" s="328"/>
      <c r="I180" s="329"/>
      <c r="J180" s="338">
        <v>0</v>
      </c>
      <c r="K180" s="330">
        <v>0</v>
      </c>
      <c r="L180" s="330">
        <v>0</v>
      </c>
      <c r="M180" s="330">
        <v>0</v>
      </c>
      <c r="N180" s="330">
        <v>0</v>
      </c>
      <c r="O180" s="330">
        <v>0</v>
      </c>
      <c r="P180" s="330">
        <v>0</v>
      </c>
      <c r="Q180" s="330">
        <v>0</v>
      </c>
      <c r="R180" s="330">
        <v>0</v>
      </c>
      <c r="S180" s="330">
        <v>0</v>
      </c>
      <c r="T180" s="330">
        <v>0</v>
      </c>
      <c r="U180" s="331">
        <v>0</v>
      </c>
      <c r="V180" s="332">
        <v>0</v>
      </c>
      <c r="W180" s="333"/>
      <c r="X180" s="334">
        <v>0</v>
      </c>
      <c r="Y180" s="335">
        <v>0</v>
      </c>
    </row>
    <row r="181" spans="1:25" x14ac:dyDescent="0.3">
      <c r="A181" s="326"/>
      <c r="B181" s="326"/>
      <c r="C181" s="326"/>
      <c r="D181" s="326"/>
      <c r="E181" s="326" t="s">
        <v>1099</v>
      </c>
      <c r="F181" s="336"/>
      <c r="G181" s="327"/>
      <c r="H181" s="328"/>
      <c r="I181" s="329"/>
      <c r="J181" s="338">
        <v>0</v>
      </c>
      <c r="K181" s="330">
        <v>0</v>
      </c>
      <c r="L181" s="330">
        <v>0</v>
      </c>
      <c r="M181" s="330">
        <v>0</v>
      </c>
      <c r="N181" s="330">
        <v>0</v>
      </c>
      <c r="O181" s="330">
        <v>0</v>
      </c>
      <c r="P181" s="330">
        <v>0</v>
      </c>
      <c r="Q181" s="330">
        <v>0</v>
      </c>
      <c r="R181" s="330">
        <v>0</v>
      </c>
      <c r="S181" s="330">
        <v>0</v>
      </c>
      <c r="T181" s="330">
        <v>0</v>
      </c>
      <c r="U181" s="331">
        <v>0</v>
      </c>
      <c r="V181" s="332">
        <v>0</v>
      </c>
      <c r="W181" s="333"/>
      <c r="X181" s="334">
        <v>0</v>
      </c>
      <c r="Y181" s="335">
        <v>0</v>
      </c>
    </row>
    <row r="182" spans="1:25" x14ac:dyDescent="0.3">
      <c r="A182" s="326"/>
      <c r="B182" s="326"/>
      <c r="C182" s="326"/>
      <c r="D182" s="326"/>
      <c r="E182" s="326" t="s">
        <v>1100</v>
      </c>
      <c r="F182" s="336"/>
      <c r="G182" s="327"/>
      <c r="H182" s="328"/>
      <c r="I182" s="329"/>
      <c r="J182" s="338">
        <v>0</v>
      </c>
      <c r="K182" s="330">
        <v>0</v>
      </c>
      <c r="L182" s="330">
        <v>0</v>
      </c>
      <c r="M182" s="330">
        <v>0</v>
      </c>
      <c r="N182" s="330">
        <v>0</v>
      </c>
      <c r="O182" s="330">
        <v>0</v>
      </c>
      <c r="P182" s="330">
        <v>0</v>
      </c>
      <c r="Q182" s="330">
        <v>0</v>
      </c>
      <c r="R182" s="330">
        <v>0</v>
      </c>
      <c r="S182" s="330">
        <v>0</v>
      </c>
      <c r="T182" s="330">
        <v>0</v>
      </c>
      <c r="U182" s="331">
        <v>0</v>
      </c>
      <c r="V182" s="332">
        <v>0</v>
      </c>
      <c r="W182" s="333"/>
      <c r="X182" s="334">
        <v>0</v>
      </c>
      <c r="Y182" s="335">
        <v>0</v>
      </c>
    </row>
    <row r="183" spans="1:25" x14ac:dyDescent="0.3">
      <c r="A183" s="233"/>
      <c r="B183" s="234" t="s">
        <v>10</v>
      </c>
      <c r="D183" s="293" t="s">
        <v>1101</v>
      </c>
      <c r="E183" s="294"/>
      <c r="F183" s="295" t="s">
        <v>1102</v>
      </c>
      <c r="G183" s="296"/>
      <c r="H183" s="297"/>
      <c r="I183" s="298"/>
      <c r="J183" s="299">
        <v>0</v>
      </c>
      <c r="K183" s="300">
        <v>0</v>
      </c>
      <c r="L183" s="300">
        <v>0</v>
      </c>
      <c r="M183" s="300">
        <v>0</v>
      </c>
      <c r="N183" s="300">
        <v>0</v>
      </c>
      <c r="O183" s="300">
        <v>0</v>
      </c>
      <c r="P183" s="300">
        <v>0</v>
      </c>
      <c r="Q183" s="300">
        <v>0</v>
      </c>
      <c r="R183" s="300">
        <v>0</v>
      </c>
      <c r="S183" s="300">
        <v>0</v>
      </c>
      <c r="T183" s="300">
        <v>0</v>
      </c>
      <c r="U183" s="301">
        <v>0</v>
      </c>
      <c r="V183" s="302">
        <v>0</v>
      </c>
      <c r="W183" s="303"/>
      <c r="X183" s="304">
        <v>0</v>
      </c>
      <c r="Y183" s="305">
        <v>0</v>
      </c>
    </row>
    <row r="184" spans="1:25" x14ac:dyDescent="0.3">
      <c r="E184" s="250" t="s">
        <v>1103</v>
      </c>
      <c r="F184" s="317">
        <v>4204001</v>
      </c>
      <c r="G184" s="318"/>
      <c r="H184" s="319">
        <v>4500130101</v>
      </c>
      <c r="I184" s="320"/>
      <c r="J184" s="337">
        <v>0</v>
      </c>
      <c r="K184" s="321">
        <v>0</v>
      </c>
      <c r="L184" s="321">
        <v>0</v>
      </c>
      <c r="M184" s="321">
        <v>0</v>
      </c>
      <c r="N184" s="321">
        <v>0</v>
      </c>
      <c r="O184" s="321">
        <v>0</v>
      </c>
      <c r="P184" s="321">
        <v>0</v>
      </c>
      <c r="Q184" s="321">
        <v>0</v>
      </c>
      <c r="R184" s="321">
        <v>0</v>
      </c>
      <c r="S184" s="321">
        <v>0</v>
      </c>
      <c r="T184" s="321">
        <v>0</v>
      </c>
      <c r="U184" s="322">
        <v>0</v>
      </c>
      <c r="V184" s="323">
        <v>0</v>
      </c>
      <c r="W184" s="303"/>
      <c r="X184" s="324">
        <v>0</v>
      </c>
      <c r="Y184" s="325">
        <v>0</v>
      </c>
    </row>
    <row r="185" spans="1:25" x14ac:dyDescent="0.3">
      <c r="E185" s="250" t="s">
        <v>1104</v>
      </c>
      <c r="F185" s="317">
        <v>4204002</v>
      </c>
      <c r="G185" s="318"/>
      <c r="H185" s="319"/>
      <c r="I185" s="320"/>
      <c r="J185" s="337">
        <v>0</v>
      </c>
      <c r="K185" s="321">
        <v>0</v>
      </c>
      <c r="L185" s="321">
        <v>0</v>
      </c>
      <c r="M185" s="321">
        <v>0</v>
      </c>
      <c r="N185" s="321">
        <v>0</v>
      </c>
      <c r="O185" s="321">
        <v>0</v>
      </c>
      <c r="P185" s="321">
        <v>0</v>
      </c>
      <c r="Q185" s="321">
        <v>0</v>
      </c>
      <c r="R185" s="321">
        <v>0</v>
      </c>
      <c r="S185" s="321">
        <v>0</v>
      </c>
      <c r="T185" s="321">
        <v>0</v>
      </c>
      <c r="U185" s="322">
        <v>0</v>
      </c>
      <c r="V185" s="323">
        <v>0</v>
      </c>
      <c r="W185" s="303"/>
      <c r="X185" s="324">
        <v>0</v>
      </c>
      <c r="Y185" s="325">
        <v>0</v>
      </c>
    </row>
    <row r="186" spans="1:25" x14ac:dyDescent="0.3">
      <c r="E186" s="250" t="s">
        <v>1105</v>
      </c>
      <c r="F186" s="317">
        <v>4204004</v>
      </c>
      <c r="G186" s="318"/>
      <c r="H186" s="319"/>
      <c r="I186" s="320"/>
      <c r="J186" s="337">
        <v>0</v>
      </c>
      <c r="K186" s="321">
        <v>0</v>
      </c>
      <c r="L186" s="321">
        <v>0</v>
      </c>
      <c r="M186" s="321">
        <v>0</v>
      </c>
      <c r="N186" s="321">
        <v>0</v>
      </c>
      <c r="O186" s="321">
        <v>0</v>
      </c>
      <c r="P186" s="321">
        <v>0</v>
      </c>
      <c r="Q186" s="321">
        <v>0</v>
      </c>
      <c r="R186" s="321">
        <v>0</v>
      </c>
      <c r="S186" s="321">
        <v>0</v>
      </c>
      <c r="T186" s="321">
        <v>0</v>
      </c>
      <c r="U186" s="322">
        <v>0</v>
      </c>
      <c r="V186" s="323">
        <v>0</v>
      </c>
      <c r="W186" s="303"/>
      <c r="X186" s="324">
        <v>0</v>
      </c>
      <c r="Y186" s="325">
        <v>0</v>
      </c>
    </row>
    <row r="187" spans="1:25" x14ac:dyDescent="0.3">
      <c r="E187" s="250" t="s">
        <v>1106</v>
      </c>
      <c r="F187" s="317">
        <v>4204005</v>
      </c>
      <c r="G187" s="318"/>
      <c r="H187" s="319"/>
      <c r="I187" s="320"/>
      <c r="J187" s="337">
        <v>0</v>
      </c>
      <c r="K187" s="321">
        <v>0</v>
      </c>
      <c r="L187" s="321">
        <v>0</v>
      </c>
      <c r="M187" s="321">
        <v>0</v>
      </c>
      <c r="N187" s="321">
        <v>0</v>
      </c>
      <c r="O187" s="321">
        <v>0</v>
      </c>
      <c r="P187" s="321">
        <v>0</v>
      </c>
      <c r="Q187" s="321">
        <v>0</v>
      </c>
      <c r="R187" s="321">
        <v>0</v>
      </c>
      <c r="S187" s="321">
        <v>0</v>
      </c>
      <c r="T187" s="321">
        <v>0</v>
      </c>
      <c r="U187" s="322">
        <v>0</v>
      </c>
      <c r="V187" s="323">
        <v>0</v>
      </c>
      <c r="W187" s="303"/>
      <c r="X187" s="324">
        <v>0</v>
      </c>
      <c r="Y187" s="325">
        <v>0</v>
      </c>
    </row>
    <row r="188" spans="1:25" x14ac:dyDescent="0.3">
      <c r="E188" s="250" t="s">
        <v>1107</v>
      </c>
      <c r="F188" s="317">
        <v>4204003</v>
      </c>
      <c r="G188" s="318"/>
      <c r="H188" s="319"/>
      <c r="I188" s="320"/>
      <c r="J188" s="337">
        <v>0</v>
      </c>
      <c r="K188" s="321">
        <v>0</v>
      </c>
      <c r="L188" s="321">
        <v>0</v>
      </c>
      <c r="M188" s="321">
        <v>0</v>
      </c>
      <c r="N188" s="321">
        <v>0</v>
      </c>
      <c r="O188" s="321">
        <v>0</v>
      </c>
      <c r="P188" s="321">
        <v>0</v>
      </c>
      <c r="Q188" s="321">
        <v>0</v>
      </c>
      <c r="R188" s="321">
        <v>0</v>
      </c>
      <c r="S188" s="321">
        <v>0</v>
      </c>
      <c r="T188" s="321">
        <v>0</v>
      </c>
      <c r="U188" s="322">
        <v>0</v>
      </c>
      <c r="V188" s="323">
        <v>0</v>
      </c>
      <c r="W188" s="303"/>
      <c r="X188" s="324">
        <v>0</v>
      </c>
      <c r="Y188" s="325">
        <v>0</v>
      </c>
    </row>
    <row r="189" spans="1:25" x14ac:dyDescent="0.3">
      <c r="A189" s="326"/>
      <c r="B189" s="326"/>
      <c r="C189" s="326"/>
      <c r="D189" s="326"/>
      <c r="E189" s="326" t="s">
        <v>1108</v>
      </c>
      <c r="F189" s="336"/>
      <c r="G189" s="327"/>
      <c r="H189" s="328"/>
      <c r="I189" s="329"/>
      <c r="J189" s="338">
        <v>0</v>
      </c>
      <c r="K189" s="330">
        <v>0</v>
      </c>
      <c r="L189" s="330">
        <v>0</v>
      </c>
      <c r="M189" s="330">
        <v>0</v>
      </c>
      <c r="N189" s="330">
        <v>0</v>
      </c>
      <c r="O189" s="330">
        <v>0</v>
      </c>
      <c r="P189" s="330">
        <v>0</v>
      </c>
      <c r="Q189" s="330">
        <v>0</v>
      </c>
      <c r="R189" s="330">
        <v>0</v>
      </c>
      <c r="S189" s="330">
        <v>0</v>
      </c>
      <c r="T189" s="330">
        <v>0</v>
      </c>
      <c r="U189" s="331">
        <v>0</v>
      </c>
      <c r="V189" s="332">
        <v>0</v>
      </c>
      <c r="W189" s="333"/>
      <c r="X189" s="334">
        <v>0</v>
      </c>
      <c r="Y189" s="335">
        <v>0</v>
      </c>
    </row>
    <row r="190" spans="1:25" x14ac:dyDescent="0.3">
      <c r="A190" s="326"/>
      <c r="B190" s="326"/>
      <c r="C190" s="326"/>
      <c r="D190" s="326"/>
      <c r="E190" s="326" t="s">
        <v>1109</v>
      </c>
      <c r="F190" s="336"/>
      <c r="G190" s="327"/>
      <c r="H190" s="328"/>
      <c r="I190" s="329"/>
      <c r="J190" s="338">
        <v>0</v>
      </c>
      <c r="K190" s="330">
        <v>0</v>
      </c>
      <c r="L190" s="330">
        <v>0</v>
      </c>
      <c r="M190" s="330">
        <v>0</v>
      </c>
      <c r="N190" s="330">
        <v>0</v>
      </c>
      <c r="O190" s="330">
        <v>0</v>
      </c>
      <c r="P190" s="330">
        <v>0</v>
      </c>
      <c r="Q190" s="330">
        <v>0</v>
      </c>
      <c r="R190" s="330">
        <v>0</v>
      </c>
      <c r="S190" s="330">
        <v>0</v>
      </c>
      <c r="T190" s="330">
        <v>0</v>
      </c>
      <c r="U190" s="331">
        <v>0</v>
      </c>
      <c r="V190" s="332">
        <v>0</v>
      </c>
      <c r="W190" s="333"/>
      <c r="X190" s="334">
        <v>0</v>
      </c>
      <c r="Y190" s="335">
        <v>0</v>
      </c>
    </row>
    <row r="191" spans="1:25" x14ac:dyDescent="0.3">
      <c r="A191" s="326"/>
      <c r="B191" s="326"/>
      <c r="C191" s="326"/>
      <c r="D191" s="326"/>
      <c r="E191" s="326" t="s">
        <v>1110</v>
      </c>
      <c r="F191" s="336"/>
      <c r="G191" s="327"/>
      <c r="H191" s="328"/>
      <c r="I191" s="329"/>
      <c r="J191" s="338">
        <v>0</v>
      </c>
      <c r="K191" s="330">
        <v>0</v>
      </c>
      <c r="L191" s="330">
        <v>0</v>
      </c>
      <c r="M191" s="330">
        <v>0</v>
      </c>
      <c r="N191" s="330">
        <v>0</v>
      </c>
      <c r="O191" s="330">
        <v>0</v>
      </c>
      <c r="P191" s="330">
        <v>0</v>
      </c>
      <c r="Q191" s="330">
        <v>0</v>
      </c>
      <c r="R191" s="330">
        <v>0</v>
      </c>
      <c r="S191" s="330">
        <v>0</v>
      </c>
      <c r="T191" s="330">
        <v>0</v>
      </c>
      <c r="U191" s="331">
        <v>0</v>
      </c>
      <c r="V191" s="332">
        <v>0</v>
      </c>
      <c r="W191" s="333"/>
      <c r="X191" s="334">
        <v>0</v>
      </c>
      <c r="Y191" s="335">
        <v>0</v>
      </c>
    </row>
    <row r="192" spans="1:25" x14ac:dyDescent="0.3">
      <c r="A192" s="233"/>
      <c r="B192" s="234" t="s">
        <v>9</v>
      </c>
      <c r="D192" s="293" t="s">
        <v>1111</v>
      </c>
      <c r="E192" s="294"/>
      <c r="F192" s="295" t="s">
        <v>1112</v>
      </c>
      <c r="G192" s="296"/>
      <c r="H192" s="297"/>
      <c r="I192" s="298"/>
      <c r="J192" s="299">
        <v>0</v>
      </c>
      <c r="K192" s="300">
        <v>0</v>
      </c>
      <c r="L192" s="300">
        <v>0</v>
      </c>
      <c r="M192" s="300">
        <v>0</v>
      </c>
      <c r="N192" s="300">
        <v>0</v>
      </c>
      <c r="O192" s="300">
        <v>0</v>
      </c>
      <c r="P192" s="300">
        <v>0</v>
      </c>
      <c r="Q192" s="300">
        <v>0</v>
      </c>
      <c r="R192" s="300">
        <v>0</v>
      </c>
      <c r="S192" s="300">
        <v>0</v>
      </c>
      <c r="T192" s="300">
        <v>0</v>
      </c>
      <c r="U192" s="301">
        <v>0</v>
      </c>
      <c r="V192" s="302">
        <v>0</v>
      </c>
      <c r="W192" s="303"/>
      <c r="X192" s="304">
        <v>0</v>
      </c>
      <c r="Y192" s="305">
        <v>0</v>
      </c>
    </row>
    <row r="193" spans="1:25" x14ac:dyDescent="0.3">
      <c r="E193" s="250" t="s">
        <v>1113</v>
      </c>
      <c r="F193" s="317">
        <v>4205004</v>
      </c>
      <c r="G193" s="318"/>
      <c r="H193" s="319"/>
      <c r="I193" s="320"/>
      <c r="J193" s="337">
        <v>0</v>
      </c>
      <c r="K193" s="321">
        <v>0</v>
      </c>
      <c r="L193" s="321">
        <v>0</v>
      </c>
      <c r="M193" s="321">
        <v>0</v>
      </c>
      <c r="N193" s="321">
        <v>0</v>
      </c>
      <c r="O193" s="321">
        <v>0</v>
      </c>
      <c r="P193" s="321">
        <v>0</v>
      </c>
      <c r="Q193" s="321">
        <v>0</v>
      </c>
      <c r="R193" s="321">
        <v>0</v>
      </c>
      <c r="S193" s="321">
        <v>0</v>
      </c>
      <c r="T193" s="321">
        <v>0</v>
      </c>
      <c r="U193" s="322">
        <v>0</v>
      </c>
      <c r="V193" s="323">
        <v>0</v>
      </c>
      <c r="W193" s="303"/>
      <c r="X193" s="324">
        <v>0</v>
      </c>
      <c r="Y193" s="325">
        <v>0</v>
      </c>
    </row>
    <row r="194" spans="1:25" x14ac:dyDescent="0.3">
      <c r="E194" s="350" t="s">
        <v>1114</v>
      </c>
      <c r="F194" s="317">
        <v>4205001</v>
      </c>
      <c r="G194" s="318"/>
      <c r="H194" s="319">
        <v>4500050101</v>
      </c>
      <c r="I194" s="320"/>
      <c r="J194" s="337">
        <v>0</v>
      </c>
      <c r="K194" s="321">
        <v>0</v>
      </c>
      <c r="L194" s="321">
        <v>0</v>
      </c>
      <c r="M194" s="321">
        <v>0</v>
      </c>
      <c r="N194" s="321">
        <v>0</v>
      </c>
      <c r="O194" s="321">
        <v>0</v>
      </c>
      <c r="P194" s="321">
        <v>0</v>
      </c>
      <c r="Q194" s="321">
        <v>0</v>
      </c>
      <c r="R194" s="321">
        <v>0</v>
      </c>
      <c r="S194" s="321">
        <v>0</v>
      </c>
      <c r="T194" s="321">
        <v>0</v>
      </c>
      <c r="U194" s="322">
        <v>0</v>
      </c>
      <c r="V194" s="323">
        <v>0</v>
      </c>
      <c r="W194" s="303"/>
      <c r="X194" s="324">
        <v>0</v>
      </c>
      <c r="Y194" s="325">
        <v>0</v>
      </c>
    </row>
    <row r="195" spans="1:25" x14ac:dyDescent="0.3">
      <c r="E195" s="350" t="s">
        <v>1115</v>
      </c>
      <c r="F195" s="317">
        <v>4205002</v>
      </c>
      <c r="G195" s="318"/>
      <c r="H195" s="319"/>
      <c r="I195" s="320"/>
      <c r="J195" s="337">
        <v>0</v>
      </c>
      <c r="K195" s="321">
        <v>0</v>
      </c>
      <c r="L195" s="321">
        <v>0</v>
      </c>
      <c r="M195" s="321">
        <v>0</v>
      </c>
      <c r="N195" s="321">
        <v>0</v>
      </c>
      <c r="O195" s="321">
        <v>0</v>
      </c>
      <c r="P195" s="321">
        <v>0</v>
      </c>
      <c r="Q195" s="321">
        <v>0</v>
      </c>
      <c r="R195" s="321">
        <v>0</v>
      </c>
      <c r="S195" s="321">
        <v>0</v>
      </c>
      <c r="T195" s="321">
        <v>0</v>
      </c>
      <c r="U195" s="322">
        <v>0</v>
      </c>
      <c r="V195" s="323">
        <v>0</v>
      </c>
      <c r="W195" s="303"/>
      <c r="X195" s="324">
        <v>0</v>
      </c>
      <c r="Y195" s="325">
        <v>0</v>
      </c>
    </row>
    <row r="196" spans="1:25" x14ac:dyDescent="0.3">
      <c r="E196" s="350" t="s">
        <v>1116</v>
      </c>
      <c r="F196" s="317">
        <v>4205083</v>
      </c>
      <c r="G196" s="318"/>
      <c r="H196" s="319"/>
      <c r="I196" s="320"/>
      <c r="J196" s="337">
        <v>0</v>
      </c>
      <c r="K196" s="321">
        <v>0</v>
      </c>
      <c r="L196" s="321">
        <v>0</v>
      </c>
      <c r="M196" s="321">
        <v>0</v>
      </c>
      <c r="N196" s="321">
        <v>0</v>
      </c>
      <c r="O196" s="321">
        <v>0</v>
      </c>
      <c r="P196" s="321">
        <v>0</v>
      </c>
      <c r="Q196" s="321">
        <v>0</v>
      </c>
      <c r="R196" s="321">
        <v>0</v>
      </c>
      <c r="S196" s="321">
        <v>0</v>
      </c>
      <c r="T196" s="321">
        <v>0</v>
      </c>
      <c r="U196" s="322">
        <v>0</v>
      </c>
      <c r="V196" s="323">
        <v>0</v>
      </c>
      <c r="W196" s="303"/>
      <c r="X196" s="324">
        <v>0</v>
      </c>
      <c r="Y196" s="325">
        <v>0</v>
      </c>
    </row>
    <row r="197" spans="1:25" x14ac:dyDescent="0.3">
      <c r="E197" s="350" t="s">
        <v>1117</v>
      </c>
      <c r="F197" s="317">
        <v>4205084</v>
      </c>
      <c r="G197" s="318"/>
      <c r="H197" s="319"/>
      <c r="I197" s="320"/>
      <c r="J197" s="337">
        <v>0</v>
      </c>
      <c r="K197" s="321">
        <v>0</v>
      </c>
      <c r="L197" s="321">
        <v>0</v>
      </c>
      <c r="M197" s="321">
        <v>0</v>
      </c>
      <c r="N197" s="321">
        <v>0</v>
      </c>
      <c r="O197" s="321">
        <v>0</v>
      </c>
      <c r="P197" s="321">
        <v>0</v>
      </c>
      <c r="Q197" s="321">
        <v>0</v>
      </c>
      <c r="R197" s="321">
        <v>0</v>
      </c>
      <c r="S197" s="321">
        <v>0</v>
      </c>
      <c r="T197" s="321">
        <v>0</v>
      </c>
      <c r="U197" s="322">
        <v>0</v>
      </c>
      <c r="V197" s="323">
        <v>0</v>
      </c>
      <c r="W197" s="303"/>
      <c r="X197" s="324">
        <v>0</v>
      </c>
      <c r="Y197" s="325">
        <v>0</v>
      </c>
    </row>
    <row r="198" spans="1:25" x14ac:dyDescent="0.3">
      <c r="A198" s="326"/>
      <c r="B198" s="326"/>
      <c r="C198" s="326"/>
      <c r="D198" s="326"/>
      <c r="E198" s="326" t="s">
        <v>1118</v>
      </c>
      <c r="F198" s="336"/>
      <c r="G198" s="327"/>
      <c r="H198" s="328"/>
      <c r="I198" s="329"/>
      <c r="J198" s="338">
        <v>0</v>
      </c>
      <c r="K198" s="330">
        <v>0</v>
      </c>
      <c r="L198" s="330">
        <v>0</v>
      </c>
      <c r="M198" s="330">
        <v>0</v>
      </c>
      <c r="N198" s="330">
        <v>0</v>
      </c>
      <c r="O198" s="330">
        <v>0</v>
      </c>
      <c r="P198" s="330">
        <v>0</v>
      </c>
      <c r="Q198" s="330">
        <v>0</v>
      </c>
      <c r="R198" s="330">
        <v>0</v>
      </c>
      <c r="S198" s="330">
        <v>0</v>
      </c>
      <c r="T198" s="330">
        <v>0</v>
      </c>
      <c r="U198" s="331">
        <v>0</v>
      </c>
      <c r="V198" s="332">
        <v>0</v>
      </c>
      <c r="W198" s="333"/>
      <c r="X198" s="334">
        <v>0</v>
      </c>
      <c r="Y198" s="335">
        <v>0</v>
      </c>
    </row>
    <row r="199" spans="1:25" x14ac:dyDescent="0.3">
      <c r="A199" s="326"/>
      <c r="B199" s="326"/>
      <c r="C199" s="326"/>
      <c r="D199" s="326"/>
      <c r="E199" s="326" t="s">
        <v>1119</v>
      </c>
      <c r="F199" s="336"/>
      <c r="G199" s="327"/>
      <c r="H199" s="328"/>
      <c r="I199" s="329"/>
      <c r="J199" s="338">
        <v>0</v>
      </c>
      <c r="K199" s="330">
        <v>0</v>
      </c>
      <c r="L199" s="330">
        <v>0</v>
      </c>
      <c r="M199" s="330">
        <v>0</v>
      </c>
      <c r="N199" s="330">
        <v>0</v>
      </c>
      <c r="O199" s="330">
        <v>0</v>
      </c>
      <c r="P199" s="330">
        <v>0</v>
      </c>
      <c r="Q199" s="330">
        <v>0</v>
      </c>
      <c r="R199" s="330">
        <v>0</v>
      </c>
      <c r="S199" s="330">
        <v>0</v>
      </c>
      <c r="T199" s="330">
        <v>0</v>
      </c>
      <c r="U199" s="331">
        <v>0</v>
      </c>
      <c r="V199" s="332">
        <v>0</v>
      </c>
      <c r="W199" s="333"/>
      <c r="X199" s="334">
        <v>0</v>
      </c>
      <c r="Y199" s="335">
        <v>0</v>
      </c>
    </row>
    <row r="200" spans="1:25" x14ac:dyDescent="0.3">
      <c r="A200" s="326"/>
      <c r="B200" s="326"/>
      <c r="C200" s="326"/>
      <c r="D200" s="326"/>
      <c r="E200" s="326" t="s">
        <v>1120</v>
      </c>
      <c r="F200" s="336"/>
      <c r="G200" s="327"/>
      <c r="H200" s="328"/>
      <c r="I200" s="329"/>
      <c r="J200" s="338">
        <v>0</v>
      </c>
      <c r="K200" s="330">
        <v>0</v>
      </c>
      <c r="L200" s="330">
        <v>0</v>
      </c>
      <c r="M200" s="330">
        <v>0</v>
      </c>
      <c r="N200" s="330">
        <v>0</v>
      </c>
      <c r="O200" s="330">
        <v>0</v>
      </c>
      <c r="P200" s="330">
        <v>0</v>
      </c>
      <c r="Q200" s="330">
        <v>0</v>
      </c>
      <c r="R200" s="330">
        <v>0</v>
      </c>
      <c r="S200" s="330">
        <v>0</v>
      </c>
      <c r="T200" s="330">
        <v>0</v>
      </c>
      <c r="U200" s="331">
        <v>0</v>
      </c>
      <c r="V200" s="332">
        <v>0</v>
      </c>
      <c r="W200" s="333"/>
      <c r="X200" s="334">
        <v>0</v>
      </c>
      <c r="Y200" s="335">
        <v>0</v>
      </c>
    </row>
    <row r="201" spans="1:25" x14ac:dyDescent="0.3">
      <c r="A201" s="233"/>
      <c r="B201" s="234" t="s">
        <v>10</v>
      </c>
      <c r="D201" s="293" t="s">
        <v>1121</v>
      </c>
      <c r="E201" s="294"/>
      <c r="F201" s="295" t="s">
        <v>1122</v>
      </c>
      <c r="G201" s="296"/>
      <c r="H201" s="297"/>
      <c r="I201" s="298"/>
      <c r="J201" s="299">
        <v>0</v>
      </c>
      <c r="K201" s="300">
        <v>0</v>
      </c>
      <c r="L201" s="300">
        <v>0</v>
      </c>
      <c r="M201" s="300">
        <v>0</v>
      </c>
      <c r="N201" s="300">
        <v>0</v>
      </c>
      <c r="O201" s="300">
        <v>0</v>
      </c>
      <c r="P201" s="300">
        <v>0</v>
      </c>
      <c r="Q201" s="300">
        <v>0</v>
      </c>
      <c r="R201" s="300">
        <v>0</v>
      </c>
      <c r="S201" s="300">
        <v>0</v>
      </c>
      <c r="T201" s="300">
        <v>0</v>
      </c>
      <c r="U201" s="301">
        <v>0</v>
      </c>
      <c r="V201" s="302">
        <v>0</v>
      </c>
      <c r="W201" s="303"/>
      <c r="X201" s="304">
        <v>0</v>
      </c>
      <c r="Y201" s="305">
        <v>0</v>
      </c>
    </row>
    <row r="202" spans="1:25" x14ac:dyDescent="0.3">
      <c r="E202" s="250" t="s">
        <v>1123</v>
      </c>
      <c r="F202" s="317">
        <v>4209001</v>
      </c>
      <c r="G202" s="318"/>
      <c r="H202" s="319"/>
      <c r="I202" s="320"/>
      <c r="J202" s="337">
        <v>0</v>
      </c>
      <c r="K202" s="321">
        <v>0</v>
      </c>
      <c r="L202" s="321">
        <v>0</v>
      </c>
      <c r="M202" s="321">
        <v>0</v>
      </c>
      <c r="N202" s="321">
        <v>0</v>
      </c>
      <c r="O202" s="321">
        <v>0</v>
      </c>
      <c r="P202" s="321">
        <v>0</v>
      </c>
      <c r="Q202" s="321">
        <v>0</v>
      </c>
      <c r="R202" s="321">
        <v>0</v>
      </c>
      <c r="S202" s="321">
        <v>0</v>
      </c>
      <c r="T202" s="321">
        <v>0</v>
      </c>
      <c r="U202" s="322">
        <v>0</v>
      </c>
      <c r="V202" s="323">
        <v>0</v>
      </c>
      <c r="W202" s="303"/>
      <c r="X202" s="324">
        <v>0</v>
      </c>
      <c r="Y202" s="325">
        <v>0</v>
      </c>
    </row>
    <row r="203" spans="1:25" x14ac:dyDescent="0.3">
      <c r="E203" s="250" t="s">
        <v>1124</v>
      </c>
      <c r="F203" s="317">
        <v>4209002</v>
      </c>
      <c r="G203" s="318">
        <v>4209022</v>
      </c>
      <c r="H203" s="319">
        <v>4500090101</v>
      </c>
      <c r="I203" s="320"/>
      <c r="J203" s="337">
        <v>0</v>
      </c>
      <c r="K203" s="321">
        <v>0</v>
      </c>
      <c r="L203" s="321">
        <v>0</v>
      </c>
      <c r="M203" s="321">
        <v>0</v>
      </c>
      <c r="N203" s="321">
        <v>0</v>
      </c>
      <c r="O203" s="321">
        <v>0</v>
      </c>
      <c r="P203" s="321">
        <v>0</v>
      </c>
      <c r="Q203" s="321">
        <v>0</v>
      </c>
      <c r="R203" s="321">
        <v>0</v>
      </c>
      <c r="S203" s="321">
        <v>0</v>
      </c>
      <c r="T203" s="321">
        <v>0</v>
      </c>
      <c r="U203" s="322">
        <v>0</v>
      </c>
      <c r="V203" s="323">
        <v>0</v>
      </c>
      <c r="W203" s="303"/>
      <c r="X203" s="324">
        <v>0</v>
      </c>
      <c r="Y203" s="325">
        <v>0</v>
      </c>
    </row>
    <row r="204" spans="1:25" x14ac:dyDescent="0.3">
      <c r="E204" s="250" t="s">
        <v>1125</v>
      </c>
      <c r="F204" s="317">
        <v>4209003</v>
      </c>
      <c r="G204" s="318"/>
      <c r="H204" s="319">
        <v>4500990101</v>
      </c>
      <c r="I204" s="320"/>
      <c r="J204" s="337">
        <v>0</v>
      </c>
      <c r="K204" s="321">
        <v>0</v>
      </c>
      <c r="L204" s="321">
        <v>0</v>
      </c>
      <c r="M204" s="321">
        <v>0</v>
      </c>
      <c r="N204" s="321">
        <v>0</v>
      </c>
      <c r="O204" s="321">
        <v>0</v>
      </c>
      <c r="P204" s="321">
        <v>0</v>
      </c>
      <c r="Q204" s="321">
        <v>0</v>
      </c>
      <c r="R204" s="321">
        <v>0</v>
      </c>
      <c r="S204" s="321">
        <v>0</v>
      </c>
      <c r="T204" s="321">
        <v>0</v>
      </c>
      <c r="U204" s="322">
        <v>0</v>
      </c>
      <c r="V204" s="323">
        <v>0</v>
      </c>
      <c r="W204" s="303"/>
      <c r="X204" s="324">
        <v>0</v>
      </c>
      <c r="Y204" s="325">
        <v>0</v>
      </c>
    </row>
    <row r="205" spans="1:25" x14ac:dyDescent="0.3">
      <c r="E205" s="250" t="s">
        <v>1126</v>
      </c>
      <c r="F205" s="317">
        <v>4209006</v>
      </c>
      <c r="G205" s="318"/>
      <c r="H205" s="319">
        <v>4500070101</v>
      </c>
      <c r="I205" s="320"/>
      <c r="J205" s="337">
        <v>0</v>
      </c>
      <c r="K205" s="321">
        <v>0</v>
      </c>
      <c r="L205" s="321">
        <v>0</v>
      </c>
      <c r="M205" s="321">
        <v>0</v>
      </c>
      <c r="N205" s="321">
        <v>0</v>
      </c>
      <c r="O205" s="321">
        <v>0</v>
      </c>
      <c r="P205" s="321">
        <v>0</v>
      </c>
      <c r="Q205" s="321">
        <v>0</v>
      </c>
      <c r="R205" s="321">
        <v>0</v>
      </c>
      <c r="S205" s="321">
        <v>0</v>
      </c>
      <c r="T205" s="321">
        <v>0</v>
      </c>
      <c r="U205" s="322">
        <v>0</v>
      </c>
      <c r="V205" s="323">
        <v>0</v>
      </c>
      <c r="W205" s="303"/>
      <c r="X205" s="324">
        <v>0</v>
      </c>
      <c r="Y205" s="325">
        <v>0</v>
      </c>
    </row>
    <row r="206" spans="1:25" x14ac:dyDescent="0.3">
      <c r="E206" s="250" t="s">
        <v>1127</v>
      </c>
      <c r="F206" s="317">
        <v>4209007</v>
      </c>
      <c r="G206" s="318"/>
      <c r="H206" s="319"/>
      <c r="I206" s="320"/>
      <c r="J206" s="337">
        <v>0</v>
      </c>
      <c r="K206" s="321">
        <v>0</v>
      </c>
      <c r="L206" s="321">
        <v>0</v>
      </c>
      <c r="M206" s="321">
        <v>0</v>
      </c>
      <c r="N206" s="321">
        <v>0</v>
      </c>
      <c r="O206" s="321">
        <v>0</v>
      </c>
      <c r="P206" s="321">
        <v>0</v>
      </c>
      <c r="Q206" s="321">
        <v>0</v>
      </c>
      <c r="R206" s="321">
        <v>0</v>
      </c>
      <c r="S206" s="321">
        <v>0</v>
      </c>
      <c r="T206" s="321">
        <v>0</v>
      </c>
      <c r="U206" s="322">
        <v>0</v>
      </c>
      <c r="V206" s="323">
        <v>0</v>
      </c>
      <c r="W206" s="303"/>
      <c r="X206" s="324">
        <v>0</v>
      </c>
      <c r="Y206" s="325">
        <v>0</v>
      </c>
    </row>
    <row r="207" spans="1:25" x14ac:dyDescent="0.3">
      <c r="E207" s="250" t="s">
        <v>1128</v>
      </c>
      <c r="F207" s="317">
        <v>4209008</v>
      </c>
      <c r="G207" s="318"/>
      <c r="H207" s="319"/>
      <c r="I207" s="320"/>
      <c r="J207" s="337">
        <v>0</v>
      </c>
      <c r="K207" s="321">
        <v>0</v>
      </c>
      <c r="L207" s="321">
        <v>0</v>
      </c>
      <c r="M207" s="321">
        <v>0</v>
      </c>
      <c r="N207" s="321">
        <v>0</v>
      </c>
      <c r="O207" s="321">
        <v>0</v>
      </c>
      <c r="P207" s="321">
        <v>0</v>
      </c>
      <c r="Q207" s="321">
        <v>0</v>
      </c>
      <c r="R207" s="321">
        <v>0</v>
      </c>
      <c r="S207" s="321">
        <v>0</v>
      </c>
      <c r="T207" s="321">
        <v>0</v>
      </c>
      <c r="U207" s="322">
        <v>0</v>
      </c>
      <c r="V207" s="323">
        <v>0</v>
      </c>
      <c r="W207" s="303"/>
      <c r="X207" s="324">
        <v>0</v>
      </c>
      <c r="Y207" s="325">
        <v>0</v>
      </c>
    </row>
    <row r="208" spans="1:25" x14ac:dyDescent="0.3">
      <c r="E208" s="250" t="s">
        <v>1129</v>
      </c>
      <c r="F208" s="317">
        <v>4209011</v>
      </c>
      <c r="G208" s="318"/>
      <c r="H208" s="319"/>
      <c r="I208" s="320"/>
      <c r="J208" s="337">
        <v>0</v>
      </c>
      <c r="K208" s="321">
        <v>0</v>
      </c>
      <c r="L208" s="321">
        <v>0</v>
      </c>
      <c r="M208" s="321">
        <v>0</v>
      </c>
      <c r="N208" s="321">
        <v>0</v>
      </c>
      <c r="O208" s="321">
        <v>0</v>
      </c>
      <c r="P208" s="321">
        <v>0</v>
      </c>
      <c r="Q208" s="321">
        <v>0</v>
      </c>
      <c r="R208" s="321">
        <v>0</v>
      </c>
      <c r="S208" s="321">
        <v>0</v>
      </c>
      <c r="T208" s="321">
        <v>0</v>
      </c>
      <c r="U208" s="322">
        <v>0</v>
      </c>
      <c r="V208" s="323">
        <v>0</v>
      </c>
      <c r="W208" s="303"/>
      <c r="X208" s="324">
        <v>0</v>
      </c>
      <c r="Y208" s="325">
        <v>0</v>
      </c>
    </row>
    <row r="209" spans="1:25" x14ac:dyDescent="0.3">
      <c r="E209" s="250" t="s">
        <v>1130</v>
      </c>
      <c r="F209" s="317">
        <v>4209012</v>
      </c>
      <c r="G209" s="318"/>
      <c r="H209" s="319"/>
      <c r="I209" s="320"/>
      <c r="J209" s="337">
        <v>0</v>
      </c>
      <c r="K209" s="321">
        <v>0</v>
      </c>
      <c r="L209" s="321">
        <v>0</v>
      </c>
      <c r="M209" s="321">
        <v>0</v>
      </c>
      <c r="N209" s="321">
        <v>0</v>
      </c>
      <c r="O209" s="321">
        <v>0</v>
      </c>
      <c r="P209" s="321">
        <v>0</v>
      </c>
      <c r="Q209" s="321">
        <v>0</v>
      </c>
      <c r="R209" s="321">
        <v>0</v>
      </c>
      <c r="S209" s="321">
        <v>0</v>
      </c>
      <c r="T209" s="321">
        <v>0</v>
      </c>
      <c r="U209" s="322">
        <v>0</v>
      </c>
      <c r="V209" s="323">
        <v>0</v>
      </c>
      <c r="W209" s="303"/>
      <c r="X209" s="324">
        <v>0</v>
      </c>
      <c r="Y209" s="325">
        <v>0</v>
      </c>
    </row>
    <row r="210" spans="1:25" x14ac:dyDescent="0.3">
      <c r="E210" s="250" t="s">
        <v>1131</v>
      </c>
      <c r="F210" s="317">
        <v>4209014</v>
      </c>
      <c r="G210" s="318"/>
      <c r="H210" s="319">
        <v>4500990109</v>
      </c>
      <c r="I210" s="320"/>
      <c r="J210" s="337">
        <v>0</v>
      </c>
      <c r="K210" s="321">
        <v>0</v>
      </c>
      <c r="L210" s="321">
        <v>0</v>
      </c>
      <c r="M210" s="321">
        <v>0</v>
      </c>
      <c r="N210" s="321">
        <v>0</v>
      </c>
      <c r="O210" s="321">
        <v>0</v>
      </c>
      <c r="P210" s="321">
        <v>0</v>
      </c>
      <c r="Q210" s="321">
        <v>0</v>
      </c>
      <c r="R210" s="321">
        <v>0</v>
      </c>
      <c r="S210" s="321">
        <v>0</v>
      </c>
      <c r="T210" s="321">
        <v>0</v>
      </c>
      <c r="U210" s="322">
        <v>0</v>
      </c>
      <c r="V210" s="323">
        <v>0</v>
      </c>
      <c r="W210" s="303"/>
      <c r="X210" s="324">
        <v>0</v>
      </c>
      <c r="Y210" s="325">
        <v>0</v>
      </c>
    </row>
    <row r="211" spans="1:25" x14ac:dyDescent="0.3">
      <c r="E211" s="250" t="s">
        <v>1132</v>
      </c>
      <c r="F211" s="317">
        <v>4209016</v>
      </c>
      <c r="G211" s="318"/>
      <c r="H211" s="319"/>
      <c r="I211" s="320"/>
      <c r="J211" s="337">
        <v>0</v>
      </c>
      <c r="K211" s="321">
        <v>0</v>
      </c>
      <c r="L211" s="321">
        <v>0</v>
      </c>
      <c r="M211" s="321">
        <v>0</v>
      </c>
      <c r="N211" s="321">
        <v>0</v>
      </c>
      <c r="O211" s="321">
        <v>0</v>
      </c>
      <c r="P211" s="321">
        <v>0</v>
      </c>
      <c r="Q211" s="321">
        <v>0</v>
      </c>
      <c r="R211" s="321">
        <v>0</v>
      </c>
      <c r="S211" s="321">
        <v>0</v>
      </c>
      <c r="T211" s="321">
        <v>0</v>
      </c>
      <c r="U211" s="322">
        <v>0</v>
      </c>
      <c r="V211" s="323">
        <v>0</v>
      </c>
      <c r="W211" s="303"/>
      <c r="X211" s="324">
        <v>0</v>
      </c>
      <c r="Y211" s="325">
        <v>0</v>
      </c>
    </row>
    <row r="212" spans="1:25" x14ac:dyDescent="0.3">
      <c r="E212" s="250" t="s">
        <v>1133</v>
      </c>
      <c r="F212" s="317">
        <v>4209017</v>
      </c>
      <c r="G212" s="318"/>
      <c r="H212" s="319"/>
      <c r="I212" s="320"/>
      <c r="J212" s="337">
        <v>0</v>
      </c>
      <c r="K212" s="321">
        <v>0</v>
      </c>
      <c r="L212" s="321">
        <v>0</v>
      </c>
      <c r="M212" s="321">
        <v>0</v>
      </c>
      <c r="N212" s="321">
        <v>0</v>
      </c>
      <c r="O212" s="321">
        <v>0</v>
      </c>
      <c r="P212" s="321">
        <v>0</v>
      </c>
      <c r="Q212" s="321">
        <v>0</v>
      </c>
      <c r="R212" s="321">
        <v>0</v>
      </c>
      <c r="S212" s="321">
        <v>0</v>
      </c>
      <c r="T212" s="321">
        <v>0</v>
      </c>
      <c r="U212" s="322">
        <v>0</v>
      </c>
      <c r="V212" s="323">
        <v>0</v>
      </c>
      <c r="W212" s="303"/>
      <c r="X212" s="324">
        <v>0</v>
      </c>
      <c r="Y212" s="325">
        <v>0</v>
      </c>
    </row>
    <row r="213" spans="1:25" x14ac:dyDescent="0.3">
      <c r="E213" s="250" t="s">
        <v>1134</v>
      </c>
      <c r="F213" s="317">
        <v>4209019</v>
      </c>
      <c r="G213" s="318"/>
      <c r="H213" s="319"/>
      <c r="I213" s="320"/>
      <c r="J213" s="337">
        <v>0</v>
      </c>
      <c r="K213" s="321">
        <v>0</v>
      </c>
      <c r="L213" s="321">
        <v>0</v>
      </c>
      <c r="M213" s="321">
        <v>0</v>
      </c>
      <c r="N213" s="321">
        <v>0</v>
      </c>
      <c r="O213" s="321">
        <v>0</v>
      </c>
      <c r="P213" s="321">
        <v>0</v>
      </c>
      <c r="Q213" s="321">
        <v>0</v>
      </c>
      <c r="R213" s="321">
        <v>0</v>
      </c>
      <c r="S213" s="321">
        <v>0</v>
      </c>
      <c r="T213" s="321">
        <v>0</v>
      </c>
      <c r="U213" s="322">
        <v>0</v>
      </c>
      <c r="V213" s="323">
        <v>0</v>
      </c>
      <c r="W213" s="303"/>
      <c r="X213" s="324">
        <v>0</v>
      </c>
      <c r="Y213" s="325">
        <v>0</v>
      </c>
    </row>
    <row r="214" spans="1:25" x14ac:dyDescent="0.3">
      <c r="E214" s="250" t="s">
        <v>1135</v>
      </c>
      <c r="F214" s="317">
        <v>4209099</v>
      </c>
      <c r="G214" s="318"/>
      <c r="H214" s="319">
        <v>4500990199</v>
      </c>
      <c r="I214" s="320"/>
      <c r="J214" s="337">
        <v>0</v>
      </c>
      <c r="K214" s="321">
        <v>0</v>
      </c>
      <c r="L214" s="321">
        <v>0</v>
      </c>
      <c r="M214" s="321">
        <v>0</v>
      </c>
      <c r="N214" s="321">
        <v>0</v>
      </c>
      <c r="O214" s="321">
        <v>0</v>
      </c>
      <c r="P214" s="321">
        <v>0</v>
      </c>
      <c r="Q214" s="321">
        <v>0</v>
      </c>
      <c r="R214" s="321">
        <v>0</v>
      </c>
      <c r="S214" s="321">
        <v>0</v>
      </c>
      <c r="T214" s="321">
        <v>0</v>
      </c>
      <c r="U214" s="322">
        <v>0</v>
      </c>
      <c r="V214" s="323">
        <v>0</v>
      </c>
      <c r="W214" s="303"/>
      <c r="X214" s="324">
        <v>0</v>
      </c>
      <c r="Y214" s="325">
        <v>0</v>
      </c>
    </row>
    <row r="215" spans="1:25" x14ac:dyDescent="0.3">
      <c r="A215" s="361"/>
      <c r="B215" s="361"/>
      <c r="C215" s="361"/>
      <c r="D215" s="361"/>
      <c r="E215" s="350" t="s">
        <v>1136</v>
      </c>
      <c r="F215" s="306"/>
      <c r="G215" s="307"/>
      <c r="H215" s="308">
        <v>4500110101</v>
      </c>
      <c r="I215" s="309"/>
      <c r="J215" s="310">
        <v>0</v>
      </c>
      <c r="K215" s="311">
        <v>0</v>
      </c>
      <c r="L215" s="311">
        <v>0</v>
      </c>
      <c r="M215" s="311">
        <v>0</v>
      </c>
      <c r="N215" s="311">
        <v>0</v>
      </c>
      <c r="O215" s="311">
        <v>0</v>
      </c>
      <c r="P215" s="311">
        <v>0</v>
      </c>
      <c r="Q215" s="311">
        <v>0</v>
      </c>
      <c r="R215" s="311">
        <v>0</v>
      </c>
      <c r="S215" s="311">
        <v>0</v>
      </c>
      <c r="T215" s="311">
        <v>0</v>
      </c>
      <c r="U215" s="312">
        <v>0</v>
      </c>
      <c r="V215" s="313">
        <v>0</v>
      </c>
      <c r="W215" s="314"/>
      <c r="X215" s="315">
        <v>0</v>
      </c>
      <c r="Y215" s="316">
        <v>0</v>
      </c>
    </row>
    <row r="216" spans="1:25" x14ac:dyDescent="0.3">
      <c r="A216" s="361"/>
      <c r="B216" s="361"/>
      <c r="C216" s="361"/>
      <c r="D216" s="361"/>
      <c r="E216" s="326" t="s">
        <v>1137</v>
      </c>
      <c r="F216" s="351"/>
      <c r="G216" s="352"/>
      <c r="H216" s="353"/>
      <c r="I216" s="354"/>
      <c r="J216" s="362">
        <v>0</v>
      </c>
      <c r="K216" s="355">
        <v>0</v>
      </c>
      <c r="L216" s="355">
        <v>0</v>
      </c>
      <c r="M216" s="355">
        <v>0</v>
      </c>
      <c r="N216" s="355">
        <v>0</v>
      </c>
      <c r="O216" s="355">
        <v>0</v>
      </c>
      <c r="P216" s="355">
        <v>0</v>
      </c>
      <c r="Q216" s="355">
        <v>0</v>
      </c>
      <c r="R216" s="355">
        <v>0</v>
      </c>
      <c r="S216" s="355">
        <v>0</v>
      </c>
      <c r="T216" s="355">
        <v>0</v>
      </c>
      <c r="U216" s="356">
        <v>0</v>
      </c>
      <c r="V216" s="357">
        <v>0</v>
      </c>
      <c r="W216" s="358"/>
      <c r="X216" s="359">
        <v>0</v>
      </c>
      <c r="Y216" s="360">
        <v>0</v>
      </c>
    </row>
    <row r="217" spans="1:25" x14ac:dyDescent="0.3">
      <c r="A217" s="361"/>
      <c r="B217" s="361"/>
      <c r="C217" s="361"/>
      <c r="D217" s="361"/>
      <c r="E217" s="326" t="s">
        <v>1138</v>
      </c>
      <c r="F217" s="351"/>
      <c r="G217" s="352"/>
      <c r="H217" s="353"/>
      <c r="I217" s="354"/>
      <c r="J217" s="362">
        <v>0</v>
      </c>
      <c r="K217" s="355">
        <v>0</v>
      </c>
      <c r="L217" s="355">
        <v>0</v>
      </c>
      <c r="M217" s="355">
        <v>0</v>
      </c>
      <c r="N217" s="355">
        <v>0</v>
      </c>
      <c r="O217" s="355">
        <v>0</v>
      </c>
      <c r="P217" s="355">
        <v>0</v>
      </c>
      <c r="Q217" s="355">
        <v>0</v>
      </c>
      <c r="R217" s="355">
        <v>0</v>
      </c>
      <c r="S217" s="355">
        <v>0</v>
      </c>
      <c r="T217" s="355">
        <v>0</v>
      </c>
      <c r="U217" s="356">
        <v>0</v>
      </c>
      <c r="V217" s="357">
        <v>0</v>
      </c>
      <c r="W217" s="358"/>
      <c r="X217" s="359">
        <v>0</v>
      </c>
      <c r="Y217" s="360">
        <v>0</v>
      </c>
    </row>
    <row r="218" spans="1:25" ht="49.5" x14ac:dyDescent="0.3">
      <c r="A218" s="248" t="s">
        <v>11</v>
      </c>
      <c r="B218" s="248"/>
      <c r="C218" s="280" t="s">
        <v>1139</v>
      </c>
      <c r="D218" s="281"/>
      <c r="E218" s="282"/>
      <c r="F218" s="283" t="s">
        <v>1140</v>
      </c>
      <c r="G218" s="284"/>
      <c r="H218" s="285"/>
      <c r="I218" s="286"/>
      <c r="J218" s="287">
        <v>756217.02099999995</v>
      </c>
      <c r="K218" s="288">
        <v>2360739.5640000002</v>
      </c>
      <c r="L218" s="288">
        <v>1901029.02</v>
      </c>
      <c r="M218" s="288">
        <v>645728.70500000007</v>
      </c>
      <c r="N218" s="288">
        <v>-191939.83100000001</v>
      </c>
      <c r="O218" s="288">
        <v>167372.33100000001</v>
      </c>
      <c r="P218" s="288">
        <v>1111644.19</v>
      </c>
      <c r="Q218" s="288">
        <v>809644.01600000006</v>
      </c>
      <c r="R218" s="288">
        <v>-7153243.4640000006</v>
      </c>
      <c r="S218" s="288">
        <v>20031.726999999999</v>
      </c>
      <c r="T218" s="288">
        <v>0</v>
      </c>
      <c r="U218" s="289">
        <v>-41136.561000000002</v>
      </c>
      <c r="V218" s="290">
        <v>386086.71799999865</v>
      </c>
      <c r="W218" s="277"/>
      <c r="X218" s="291">
        <v>-41136.561000000002</v>
      </c>
      <c r="Y218" s="292">
        <v>386086.71799999865</v>
      </c>
    </row>
    <row r="219" spans="1:25" ht="49.5" x14ac:dyDescent="0.3">
      <c r="A219" s="248" t="s">
        <v>12</v>
      </c>
      <c r="B219" s="248"/>
      <c r="C219" s="280" t="s">
        <v>1141</v>
      </c>
      <c r="D219" s="281"/>
      <c r="E219" s="282"/>
      <c r="F219" s="283" t="s">
        <v>1142</v>
      </c>
      <c r="G219" s="284"/>
      <c r="H219" s="285"/>
      <c r="I219" s="286"/>
      <c r="J219" s="287">
        <v>902413.45599999989</v>
      </c>
      <c r="K219" s="288">
        <v>818985.1810000001</v>
      </c>
      <c r="L219" s="288">
        <v>1247362.0129999998</v>
      </c>
      <c r="M219" s="288">
        <v>1111941.4579999999</v>
      </c>
      <c r="N219" s="288">
        <v>1265097.6340000001</v>
      </c>
      <c r="O219" s="288">
        <v>993422.48800000013</v>
      </c>
      <c r="P219" s="288">
        <v>1374111.6990000005</v>
      </c>
      <c r="Q219" s="288">
        <v>1547967.3340000007</v>
      </c>
      <c r="R219" s="288">
        <v>-4698609.0310000004</v>
      </c>
      <c r="S219" s="288">
        <v>641762.93599999999</v>
      </c>
      <c r="T219" s="288">
        <v>584901.39799999993</v>
      </c>
      <c r="U219" s="289">
        <v>1079568.8</v>
      </c>
      <c r="V219" s="290">
        <v>6868925.3660000004</v>
      </c>
      <c r="W219" s="277"/>
      <c r="X219" s="291">
        <v>1079568.8</v>
      </c>
      <c r="Y219" s="292">
        <v>6868925.3660000004</v>
      </c>
    </row>
    <row r="220" spans="1:25" x14ac:dyDescent="0.3">
      <c r="A220" s="3"/>
      <c r="B220" s="240" t="s">
        <v>66</v>
      </c>
      <c r="C220" s="3"/>
      <c r="D220" s="363" t="s">
        <v>1143</v>
      </c>
      <c r="E220" s="364"/>
      <c r="F220" s="365"/>
      <c r="G220" s="366"/>
      <c r="H220" s="367"/>
      <c r="I220" s="368"/>
      <c r="J220" s="369">
        <v>691407.45900000003</v>
      </c>
      <c r="K220" s="370">
        <v>647004.56599999999</v>
      </c>
      <c r="L220" s="370">
        <v>501547.4800000001</v>
      </c>
      <c r="M220" s="370">
        <v>744466.53200000001</v>
      </c>
      <c r="N220" s="370">
        <v>695543.4</v>
      </c>
      <c r="O220" s="370">
        <v>554887.83000000007</v>
      </c>
      <c r="P220" s="370">
        <v>687995.92400000012</v>
      </c>
      <c r="Q220" s="370">
        <v>697528.0830000001</v>
      </c>
      <c r="R220" s="370">
        <v>755696.57199999993</v>
      </c>
      <c r="S220" s="370">
        <v>676644.77</v>
      </c>
      <c r="T220" s="370">
        <v>708063.31599999999</v>
      </c>
      <c r="U220" s="371">
        <v>479568.96299999987</v>
      </c>
      <c r="V220" s="372">
        <v>7840354.8950000005</v>
      </c>
      <c r="W220" s="277"/>
      <c r="X220" s="373">
        <v>479568.96299999987</v>
      </c>
      <c r="Y220" s="374">
        <v>7840354.8950000005</v>
      </c>
    </row>
    <row r="221" spans="1:25" x14ac:dyDescent="0.3">
      <c r="A221" s="233"/>
      <c r="B221" s="234" t="s">
        <v>13</v>
      </c>
      <c r="D221" s="293" t="s">
        <v>1144</v>
      </c>
      <c r="E221" s="294"/>
      <c r="F221" s="295" t="s">
        <v>1145</v>
      </c>
      <c r="G221" s="296"/>
      <c r="H221" s="297"/>
      <c r="I221" s="298"/>
      <c r="J221" s="299">
        <v>530139.11600000004</v>
      </c>
      <c r="K221" s="300">
        <v>520619.33100000001</v>
      </c>
      <c r="L221" s="300">
        <v>542206.88100000005</v>
      </c>
      <c r="M221" s="300">
        <v>546326.16399999999</v>
      </c>
      <c r="N221" s="300">
        <v>539863.10400000005</v>
      </c>
      <c r="O221" s="300">
        <v>528677.44800000009</v>
      </c>
      <c r="P221" s="300">
        <v>559898.77</v>
      </c>
      <c r="Q221" s="300">
        <v>553493.29300000006</v>
      </c>
      <c r="R221" s="300">
        <v>550499.63699999999</v>
      </c>
      <c r="S221" s="300">
        <v>543827.04</v>
      </c>
      <c r="T221" s="300">
        <v>550359.49</v>
      </c>
      <c r="U221" s="301">
        <v>693714.12399999995</v>
      </c>
      <c r="V221" s="302">
        <v>6659624.398</v>
      </c>
      <c r="W221" s="303"/>
      <c r="X221" s="304">
        <v>693714.12399999995</v>
      </c>
      <c r="Y221" s="305">
        <v>6659624.398</v>
      </c>
    </row>
    <row r="222" spans="1:25" x14ac:dyDescent="0.3">
      <c r="E222" s="250" t="s">
        <v>1146</v>
      </c>
      <c r="F222" s="317">
        <v>4300101</v>
      </c>
      <c r="G222" s="318"/>
      <c r="H222" s="319">
        <v>5101010101</v>
      </c>
      <c r="I222" s="320"/>
      <c r="J222" s="337">
        <v>56382</v>
      </c>
      <c r="K222" s="321">
        <v>57733.724000000002</v>
      </c>
      <c r="L222" s="321">
        <v>56382</v>
      </c>
      <c r="M222" s="321">
        <v>56382</v>
      </c>
      <c r="N222" s="321">
        <v>56382</v>
      </c>
      <c r="O222" s="321">
        <v>56382</v>
      </c>
      <c r="P222" s="321">
        <v>56382</v>
      </c>
      <c r="Q222" s="321">
        <v>56382</v>
      </c>
      <c r="R222" s="321">
        <v>56382</v>
      </c>
      <c r="S222" s="321">
        <v>56382</v>
      </c>
      <c r="T222" s="321">
        <v>56382</v>
      </c>
      <c r="U222" s="322">
        <v>121092</v>
      </c>
      <c r="V222" s="323">
        <v>742645.72399999993</v>
      </c>
      <c r="W222" s="303"/>
      <c r="X222" s="324">
        <v>121092</v>
      </c>
      <c r="Y222" s="325">
        <v>742645.72399999993</v>
      </c>
    </row>
    <row r="223" spans="1:25" x14ac:dyDescent="0.3">
      <c r="E223" s="250" t="s">
        <v>1147</v>
      </c>
      <c r="F223" s="317">
        <v>4300102</v>
      </c>
      <c r="G223" s="318"/>
      <c r="H223" s="319">
        <v>5101010103</v>
      </c>
      <c r="I223" s="320"/>
      <c r="J223" s="337">
        <v>471634.38500000001</v>
      </c>
      <c r="K223" s="321">
        <v>460766.739</v>
      </c>
      <c r="L223" s="321">
        <v>483695.08100000001</v>
      </c>
      <c r="M223" s="321">
        <v>487840.34100000001</v>
      </c>
      <c r="N223" s="321">
        <v>481359.679</v>
      </c>
      <c r="O223" s="321">
        <v>470176.58</v>
      </c>
      <c r="P223" s="321">
        <v>501323.05800000002</v>
      </c>
      <c r="Q223" s="321">
        <v>495538.37099999998</v>
      </c>
      <c r="R223" s="321">
        <v>491885.78200000001</v>
      </c>
      <c r="S223" s="321">
        <v>485244.478</v>
      </c>
      <c r="T223" s="321">
        <v>491830.94</v>
      </c>
      <c r="U223" s="322">
        <v>570396.728</v>
      </c>
      <c r="V223" s="323">
        <v>5891692.1620000005</v>
      </c>
      <c r="W223" s="303"/>
      <c r="X223" s="324">
        <v>570396.728</v>
      </c>
      <c r="Y223" s="325">
        <v>5891692.1620000005</v>
      </c>
    </row>
    <row r="224" spans="1:25" x14ac:dyDescent="0.3">
      <c r="E224" s="250" t="s">
        <v>1148</v>
      </c>
      <c r="F224" s="317">
        <v>4300103</v>
      </c>
      <c r="G224" s="318"/>
      <c r="H224" s="319">
        <v>5101010105</v>
      </c>
      <c r="I224" s="320"/>
      <c r="J224" s="337">
        <v>2122.7310000000002</v>
      </c>
      <c r="K224" s="321">
        <v>2118.8679999999999</v>
      </c>
      <c r="L224" s="321">
        <v>2129.8000000000002</v>
      </c>
      <c r="M224" s="321">
        <v>2103.8229999999999</v>
      </c>
      <c r="N224" s="321">
        <v>2121.4250000000002</v>
      </c>
      <c r="O224" s="321">
        <v>2118.8679999999999</v>
      </c>
      <c r="P224" s="321">
        <v>2193.712</v>
      </c>
      <c r="Q224" s="321">
        <v>1572.922</v>
      </c>
      <c r="R224" s="321">
        <v>2231.855</v>
      </c>
      <c r="S224" s="321">
        <v>2200.5619999999999</v>
      </c>
      <c r="T224" s="321">
        <v>2146.5500000000002</v>
      </c>
      <c r="U224" s="322">
        <v>2225.3960000000002</v>
      </c>
      <c r="V224" s="323">
        <v>25286.511999999999</v>
      </c>
      <c r="W224" s="303"/>
      <c r="X224" s="324">
        <v>2225.3960000000002</v>
      </c>
      <c r="Y224" s="325">
        <v>25286.511999999999</v>
      </c>
    </row>
    <row r="225" spans="1:25" x14ac:dyDescent="0.3">
      <c r="E225" s="250" t="s">
        <v>1149</v>
      </c>
      <c r="F225" s="317">
        <v>4300104</v>
      </c>
      <c r="G225" s="318"/>
      <c r="H225" s="319"/>
      <c r="I225" s="320"/>
      <c r="J225" s="337">
        <v>0</v>
      </c>
      <c r="K225" s="321">
        <v>0</v>
      </c>
      <c r="L225" s="321">
        <v>0</v>
      </c>
      <c r="M225" s="321">
        <v>0</v>
      </c>
      <c r="N225" s="321">
        <v>0</v>
      </c>
      <c r="O225" s="321">
        <v>0</v>
      </c>
      <c r="P225" s="321">
        <v>0</v>
      </c>
      <c r="Q225" s="321">
        <v>0</v>
      </c>
      <c r="R225" s="321">
        <v>0</v>
      </c>
      <c r="S225" s="321">
        <v>0</v>
      </c>
      <c r="T225" s="321">
        <v>0</v>
      </c>
      <c r="U225" s="322">
        <v>0</v>
      </c>
      <c r="V225" s="323">
        <v>0</v>
      </c>
      <c r="W225" s="303"/>
      <c r="X225" s="324">
        <v>0</v>
      </c>
      <c r="Y225" s="325">
        <v>0</v>
      </c>
    </row>
    <row r="226" spans="1:25" x14ac:dyDescent="0.3">
      <c r="E226" s="250" t="s">
        <v>1150</v>
      </c>
      <c r="F226" s="317">
        <v>4300105</v>
      </c>
      <c r="G226" s="318"/>
      <c r="H226" s="319"/>
      <c r="I226" s="320"/>
      <c r="J226" s="337">
        <v>0</v>
      </c>
      <c r="K226" s="321">
        <v>0</v>
      </c>
      <c r="L226" s="321">
        <v>0</v>
      </c>
      <c r="M226" s="321">
        <v>0</v>
      </c>
      <c r="N226" s="321">
        <v>0</v>
      </c>
      <c r="O226" s="321">
        <v>0</v>
      </c>
      <c r="P226" s="321">
        <v>0</v>
      </c>
      <c r="Q226" s="321">
        <v>0</v>
      </c>
      <c r="R226" s="321">
        <v>0</v>
      </c>
      <c r="S226" s="321">
        <v>0</v>
      </c>
      <c r="T226" s="321">
        <v>0</v>
      </c>
      <c r="U226" s="322">
        <v>0</v>
      </c>
      <c r="V226" s="323">
        <v>0</v>
      </c>
      <c r="W226" s="303"/>
      <c r="X226" s="324">
        <v>0</v>
      </c>
      <c r="Y226" s="325">
        <v>0</v>
      </c>
    </row>
    <row r="227" spans="1:25" x14ac:dyDescent="0.3">
      <c r="E227" s="250" t="s">
        <v>1151</v>
      </c>
      <c r="F227" s="317">
        <v>4300106</v>
      </c>
      <c r="G227" s="318"/>
      <c r="H227" s="319"/>
      <c r="I227" s="320"/>
      <c r="J227" s="337">
        <v>0</v>
      </c>
      <c r="K227" s="321">
        <v>0</v>
      </c>
      <c r="L227" s="321">
        <v>0</v>
      </c>
      <c r="M227" s="321">
        <v>0</v>
      </c>
      <c r="N227" s="321">
        <v>0</v>
      </c>
      <c r="O227" s="321">
        <v>0</v>
      </c>
      <c r="P227" s="321">
        <v>0</v>
      </c>
      <c r="Q227" s="321">
        <v>0</v>
      </c>
      <c r="R227" s="321">
        <v>0</v>
      </c>
      <c r="S227" s="321">
        <v>0</v>
      </c>
      <c r="T227" s="321">
        <v>0</v>
      </c>
      <c r="U227" s="322">
        <v>0</v>
      </c>
      <c r="V227" s="323">
        <v>0</v>
      </c>
      <c r="W227" s="303"/>
      <c r="X227" s="324">
        <v>0</v>
      </c>
      <c r="Y227" s="325">
        <v>0</v>
      </c>
    </row>
    <row r="228" spans="1:25" x14ac:dyDescent="0.3">
      <c r="E228" s="250" t="s">
        <v>1152</v>
      </c>
      <c r="F228" s="317">
        <v>4300107</v>
      </c>
      <c r="G228" s="318"/>
      <c r="H228" s="319"/>
      <c r="I228" s="320"/>
      <c r="J228" s="337">
        <v>0</v>
      </c>
      <c r="K228" s="321">
        <v>0</v>
      </c>
      <c r="L228" s="321">
        <v>0</v>
      </c>
      <c r="M228" s="321">
        <v>0</v>
      </c>
      <c r="N228" s="321">
        <v>0</v>
      </c>
      <c r="O228" s="321">
        <v>0</v>
      </c>
      <c r="P228" s="321">
        <v>0</v>
      </c>
      <c r="Q228" s="321">
        <v>0</v>
      </c>
      <c r="R228" s="321">
        <v>0</v>
      </c>
      <c r="S228" s="321">
        <v>0</v>
      </c>
      <c r="T228" s="321">
        <v>0</v>
      </c>
      <c r="U228" s="322">
        <v>0</v>
      </c>
      <c r="V228" s="323">
        <v>0</v>
      </c>
      <c r="W228" s="303"/>
      <c r="X228" s="324">
        <v>0</v>
      </c>
      <c r="Y228" s="325">
        <v>0</v>
      </c>
    </row>
    <row r="229" spans="1:25" x14ac:dyDescent="0.3">
      <c r="E229" s="250" t="s">
        <v>1153</v>
      </c>
      <c r="F229" s="317">
        <v>4300199</v>
      </c>
      <c r="G229" s="318"/>
      <c r="H229" s="319"/>
      <c r="I229" s="320"/>
      <c r="J229" s="337">
        <v>0</v>
      </c>
      <c r="K229" s="321">
        <v>0</v>
      </c>
      <c r="L229" s="321">
        <v>0</v>
      </c>
      <c r="M229" s="321">
        <v>0</v>
      </c>
      <c r="N229" s="321">
        <v>0</v>
      </c>
      <c r="O229" s="321">
        <v>0</v>
      </c>
      <c r="P229" s="321">
        <v>0</v>
      </c>
      <c r="Q229" s="321">
        <v>0</v>
      </c>
      <c r="R229" s="321">
        <v>0</v>
      </c>
      <c r="S229" s="321">
        <v>0</v>
      </c>
      <c r="T229" s="321">
        <v>0</v>
      </c>
      <c r="U229" s="322">
        <v>0</v>
      </c>
      <c r="V229" s="323">
        <v>0</v>
      </c>
      <c r="W229" s="303"/>
      <c r="X229" s="324">
        <v>0</v>
      </c>
      <c r="Y229" s="325">
        <v>0</v>
      </c>
    </row>
    <row r="230" spans="1:25" x14ac:dyDescent="0.3">
      <c r="A230" s="326"/>
      <c r="B230" s="326"/>
      <c r="C230" s="326"/>
      <c r="D230" s="326"/>
      <c r="E230" s="326" t="s">
        <v>1154</v>
      </c>
      <c r="F230" s="336"/>
      <c r="G230" s="327"/>
      <c r="H230" s="328"/>
      <c r="I230" s="329"/>
      <c r="J230" s="338">
        <v>0</v>
      </c>
      <c r="K230" s="330">
        <v>0</v>
      </c>
      <c r="L230" s="330">
        <v>0</v>
      </c>
      <c r="M230" s="330">
        <v>0</v>
      </c>
      <c r="N230" s="330">
        <v>0</v>
      </c>
      <c r="O230" s="330">
        <v>0</v>
      </c>
      <c r="P230" s="330">
        <v>0</v>
      </c>
      <c r="Q230" s="330">
        <v>0</v>
      </c>
      <c r="R230" s="330">
        <v>0</v>
      </c>
      <c r="S230" s="330">
        <v>0</v>
      </c>
      <c r="T230" s="330">
        <v>0</v>
      </c>
      <c r="U230" s="331">
        <v>0</v>
      </c>
      <c r="V230" s="332">
        <v>0</v>
      </c>
      <c r="W230" s="333"/>
      <c r="X230" s="334">
        <v>0</v>
      </c>
      <c r="Y230" s="335">
        <v>0</v>
      </c>
    </row>
    <row r="231" spans="1:25" x14ac:dyDescent="0.3">
      <c r="A231" s="326"/>
      <c r="B231" s="326"/>
      <c r="C231" s="326"/>
      <c r="D231" s="326"/>
      <c r="E231" s="326" t="s">
        <v>1155</v>
      </c>
      <c r="F231" s="336"/>
      <c r="G231" s="327"/>
      <c r="H231" s="328"/>
      <c r="I231" s="329"/>
      <c r="J231" s="338">
        <v>0</v>
      </c>
      <c r="K231" s="330">
        <v>0</v>
      </c>
      <c r="L231" s="330">
        <v>0</v>
      </c>
      <c r="M231" s="330">
        <v>0</v>
      </c>
      <c r="N231" s="330">
        <v>0</v>
      </c>
      <c r="O231" s="330">
        <v>0</v>
      </c>
      <c r="P231" s="330">
        <v>0</v>
      </c>
      <c r="Q231" s="330">
        <v>0</v>
      </c>
      <c r="R231" s="330">
        <v>0</v>
      </c>
      <c r="S231" s="330">
        <v>0</v>
      </c>
      <c r="T231" s="330">
        <v>0</v>
      </c>
      <c r="U231" s="331">
        <v>0</v>
      </c>
      <c r="V231" s="332">
        <v>0</v>
      </c>
      <c r="W231" s="333"/>
      <c r="X231" s="334">
        <v>0</v>
      </c>
      <c r="Y231" s="335">
        <v>0</v>
      </c>
    </row>
    <row r="232" spans="1:25" x14ac:dyDescent="0.3">
      <c r="A232" s="326"/>
      <c r="B232" s="326"/>
      <c r="C232" s="326"/>
      <c r="D232" s="326"/>
      <c r="E232" s="326" t="s">
        <v>1156</v>
      </c>
      <c r="F232" s="336"/>
      <c r="G232" s="327"/>
      <c r="H232" s="328"/>
      <c r="I232" s="329"/>
      <c r="J232" s="338">
        <v>0</v>
      </c>
      <c r="K232" s="330">
        <v>0</v>
      </c>
      <c r="L232" s="330">
        <v>0</v>
      </c>
      <c r="M232" s="330">
        <v>0</v>
      </c>
      <c r="N232" s="330">
        <v>0</v>
      </c>
      <c r="O232" s="330">
        <v>0</v>
      </c>
      <c r="P232" s="330">
        <v>0</v>
      </c>
      <c r="Q232" s="330">
        <v>0</v>
      </c>
      <c r="R232" s="330">
        <v>0</v>
      </c>
      <c r="S232" s="330">
        <v>0</v>
      </c>
      <c r="T232" s="330">
        <v>0</v>
      </c>
      <c r="U232" s="331">
        <v>0</v>
      </c>
      <c r="V232" s="332">
        <v>0</v>
      </c>
      <c r="W232" s="333"/>
      <c r="X232" s="334">
        <v>0</v>
      </c>
      <c r="Y232" s="335">
        <v>0</v>
      </c>
    </row>
    <row r="233" spans="1:25" x14ac:dyDescent="0.3">
      <c r="A233" s="233"/>
      <c r="B233" s="234" t="s">
        <v>67</v>
      </c>
      <c r="D233" s="293" t="s">
        <v>1157</v>
      </c>
      <c r="E233" s="294"/>
      <c r="F233" s="295" t="s">
        <v>1158</v>
      </c>
      <c r="G233" s="296"/>
      <c r="H233" s="297"/>
      <c r="I233" s="298"/>
      <c r="J233" s="299">
        <v>14673.85</v>
      </c>
      <c r="K233" s="300">
        <v>-6258.7960000000003</v>
      </c>
      <c r="L233" s="300">
        <v>-184432.75</v>
      </c>
      <c r="M233" s="300">
        <v>28586.25</v>
      </c>
      <c r="N233" s="300">
        <v>28586.25</v>
      </c>
      <c r="O233" s="300">
        <v>-77096.25</v>
      </c>
      <c r="P233" s="300">
        <v>5775</v>
      </c>
      <c r="Q233" s="300">
        <v>5775</v>
      </c>
      <c r="R233" s="300">
        <v>5775</v>
      </c>
      <c r="S233" s="300">
        <v>5775</v>
      </c>
      <c r="T233" s="300">
        <v>5775</v>
      </c>
      <c r="U233" s="301">
        <v>278244.53100000002</v>
      </c>
      <c r="V233" s="302">
        <v>111178.08500000002</v>
      </c>
      <c r="W233" s="303"/>
      <c r="X233" s="304">
        <v>278244.53100000002</v>
      </c>
      <c r="Y233" s="305">
        <v>111178.08500000002</v>
      </c>
    </row>
    <row r="234" spans="1:25" x14ac:dyDescent="0.3">
      <c r="E234" s="250" t="s">
        <v>1159</v>
      </c>
      <c r="F234" s="317">
        <v>4300201</v>
      </c>
      <c r="G234" s="318"/>
      <c r="H234" s="319">
        <v>5101010301</v>
      </c>
      <c r="I234" s="320"/>
      <c r="J234" s="337">
        <v>0</v>
      </c>
      <c r="K234" s="321">
        <v>0</v>
      </c>
      <c r="L234" s="321">
        <v>0</v>
      </c>
      <c r="M234" s="321">
        <v>0</v>
      </c>
      <c r="N234" s="321">
        <v>0</v>
      </c>
      <c r="O234" s="321">
        <v>0</v>
      </c>
      <c r="P234" s="321">
        <v>0</v>
      </c>
      <c r="Q234" s="321">
        <v>0</v>
      </c>
      <c r="R234" s="321">
        <v>0</v>
      </c>
      <c r="S234" s="321">
        <v>0</v>
      </c>
      <c r="T234" s="321">
        <v>0</v>
      </c>
      <c r="U234" s="322">
        <v>0</v>
      </c>
      <c r="V234" s="323">
        <v>0</v>
      </c>
      <c r="W234" s="303"/>
      <c r="X234" s="324">
        <v>0</v>
      </c>
      <c r="Y234" s="325">
        <v>0</v>
      </c>
    </row>
    <row r="235" spans="1:25" x14ac:dyDescent="0.3">
      <c r="E235" s="250" t="s">
        <v>1160</v>
      </c>
      <c r="F235" s="317">
        <v>4300202</v>
      </c>
      <c r="G235" s="318"/>
      <c r="H235" s="319">
        <v>5101010303</v>
      </c>
      <c r="I235" s="320"/>
      <c r="J235" s="337">
        <v>0</v>
      </c>
      <c r="K235" s="321">
        <v>0</v>
      </c>
      <c r="L235" s="321">
        <v>0</v>
      </c>
      <c r="M235" s="321">
        <v>0</v>
      </c>
      <c r="N235" s="321">
        <v>0</v>
      </c>
      <c r="O235" s="321">
        <v>0</v>
      </c>
      <c r="P235" s="321">
        <v>0</v>
      </c>
      <c r="Q235" s="321">
        <v>0</v>
      </c>
      <c r="R235" s="321">
        <v>0</v>
      </c>
      <c r="S235" s="321">
        <v>0</v>
      </c>
      <c r="T235" s="321">
        <v>0</v>
      </c>
      <c r="U235" s="322">
        <v>0</v>
      </c>
      <c r="V235" s="323">
        <v>0</v>
      </c>
      <c r="W235" s="303"/>
      <c r="X235" s="324">
        <v>0</v>
      </c>
      <c r="Y235" s="325">
        <v>0</v>
      </c>
    </row>
    <row r="236" spans="1:25" x14ac:dyDescent="0.3">
      <c r="E236" s="250" t="s">
        <v>1161</v>
      </c>
      <c r="F236" s="317">
        <v>4300203</v>
      </c>
      <c r="G236" s="318"/>
      <c r="H236" s="319">
        <v>5101010305</v>
      </c>
      <c r="I236" s="320"/>
      <c r="J236" s="337">
        <v>0</v>
      </c>
      <c r="K236" s="321">
        <v>0</v>
      </c>
      <c r="L236" s="321">
        <v>0</v>
      </c>
      <c r="M236" s="321">
        <v>0</v>
      </c>
      <c r="N236" s="321">
        <v>0</v>
      </c>
      <c r="O236" s="321">
        <v>0</v>
      </c>
      <c r="P236" s="321">
        <v>0</v>
      </c>
      <c r="Q236" s="321">
        <v>0</v>
      </c>
      <c r="R236" s="321">
        <v>0</v>
      </c>
      <c r="S236" s="321">
        <v>0</v>
      </c>
      <c r="T236" s="321">
        <v>0</v>
      </c>
      <c r="U236" s="322">
        <v>0</v>
      </c>
      <c r="V236" s="323">
        <v>0</v>
      </c>
      <c r="W236" s="303"/>
      <c r="X236" s="324">
        <v>0</v>
      </c>
      <c r="Y236" s="325">
        <v>0</v>
      </c>
    </row>
    <row r="237" spans="1:25" x14ac:dyDescent="0.3">
      <c r="E237" s="250" t="s">
        <v>1162</v>
      </c>
      <c r="F237" s="317">
        <v>4300204</v>
      </c>
      <c r="G237" s="318"/>
      <c r="H237" s="319">
        <v>5101010307</v>
      </c>
      <c r="I237" s="320"/>
      <c r="J237" s="337">
        <v>13993.75</v>
      </c>
      <c r="K237" s="321">
        <v>-6258.7960000000003</v>
      </c>
      <c r="L237" s="321">
        <v>-193159.75</v>
      </c>
      <c r="M237" s="321">
        <v>28586.25</v>
      </c>
      <c r="N237" s="321">
        <v>28586.25</v>
      </c>
      <c r="O237" s="321">
        <v>-77096.25</v>
      </c>
      <c r="P237" s="321">
        <v>5775</v>
      </c>
      <c r="Q237" s="321">
        <v>5775</v>
      </c>
      <c r="R237" s="321">
        <v>5775</v>
      </c>
      <c r="S237" s="321">
        <v>5775</v>
      </c>
      <c r="T237" s="321">
        <v>5775</v>
      </c>
      <c r="U237" s="322">
        <v>278244.53100000002</v>
      </c>
      <c r="V237" s="323">
        <v>101770.98500000002</v>
      </c>
      <c r="W237" s="303"/>
      <c r="X237" s="324">
        <v>278244.53100000002</v>
      </c>
      <c r="Y237" s="325">
        <v>101770.98500000002</v>
      </c>
    </row>
    <row r="238" spans="1:25" x14ac:dyDescent="0.3">
      <c r="E238" s="250" t="s">
        <v>1163</v>
      </c>
      <c r="F238" s="317">
        <v>4300205</v>
      </c>
      <c r="G238" s="318"/>
      <c r="H238" s="319"/>
      <c r="I238" s="320"/>
      <c r="J238" s="337">
        <v>0</v>
      </c>
      <c r="K238" s="321">
        <v>0</v>
      </c>
      <c r="L238" s="321">
        <v>0</v>
      </c>
      <c r="M238" s="321">
        <v>0</v>
      </c>
      <c r="N238" s="321">
        <v>0</v>
      </c>
      <c r="O238" s="321">
        <v>0</v>
      </c>
      <c r="P238" s="321">
        <v>0</v>
      </c>
      <c r="Q238" s="321">
        <v>0</v>
      </c>
      <c r="R238" s="321">
        <v>0</v>
      </c>
      <c r="S238" s="321">
        <v>0</v>
      </c>
      <c r="T238" s="321">
        <v>0</v>
      </c>
      <c r="U238" s="322">
        <v>0</v>
      </c>
      <c r="V238" s="323">
        <v>0</v>
      </c>
      <c r="W238" s="303"/>
      <c r="X238" s="324">
        <v>0</v>
      </c>
      <c r="Y238" s="325">
        <v>0</v>
      </c>
    </row>
    <row r="239" spans="1:25" x14ac:dyDescent="0.3">
      <c r="E239" s="250" t="s">
        <v>1164</v>
      </c>
      <c r="F239" s="317">
        <v>4300206</v>
      </c>
      <c r="G239" s="318"/>
      <c r="H239" s="319"/>
      <c r="I239" s="320"/>
      <c r="J239" s="337">
        <v>0</v>
      </c>
      <c r="K239" s="321">
        <v>0</v>
      </c>
      <c r="L239" s="321">
        <v>0</v>
      </c>
      <c r="M239" s="321">
        <v>0</v>
      </c>
      <c r="N239" s="321">
        <v>0</v>
      </c>
      <c r="O239" s="321">
        <v>0</v>
      </c>
      <c r="P239" s="321">
        <v>0</v>
      </c>
      <c r="Q239" s="321">
        <v>0</v>
      </c>
      <c r="R239" s="321">
        <v>0</v>
      </c>
      <c r="S239" s="321">
        <v>0</v>
      </c>
      <c r="T239" s="321">
        <v>0</v>
      </c>
      <c r="U239" s="322">
        <v>0</v>
      </c>
      <c r="V239" s="323">
        <v>0</v>
      </c>
      <c r="W239" s="303"/>
      <c r="X239" s="324">
        <v>0</v>
      </c>
      <c r="Y239" s="325">
        <v>0</v>
      </c>
    </row>
    <row r="240" spans="1:25" x14ac:dyDescent="0.3">
      <c r="A240" s="350"/>
      <c r="B240" s="350"/>
      <c r="C240" s="350"/>
      <c r="D240" s="350"/>
      <c r="E240" s="350" t="s">
        <v>1165</v>
      </c>
      <c r="F240" s="306">
        <v>4300207</v>
      </c>
      <c r="G240" s="307"/>
      <c r="H240" s="308"/>
      <c r="I240" s="309"/>
      <c r="J240" s="310">
        <v>680.1</v>
      </c>
      <c r="K240" s="311">
        <v>0</v>
      </c>
      <c r="L240" s="311">
        <v>8727</v>
      </c>
      <c r="M240" s="311">
        <v>0</v>
      </c>
      <c r="N240" s="311">
        <v>0</v>
      </c>
      <c r="O240" s="311">
        <v>0</v>
      </c>
      <c r="P240" s="311">
        <v>0</v>
      </c>
      <c r="Q240" s="311">
        <v>0</v>
      </c>
      <c r="R240" s="311">
        <v>0</v>
      </c>
      <c r="S240" s="311">
        <v>0</v>
      </c>
      <c r="T240" s="311">
        <v>0</v>
      </c>
      <c r="U240" s="312">
        <v>0</v>
      </c>
      <c r="V240" s="313">
        <v>9407.1</v>
      </c>
      <c r="W240" s="314"/>
      <c r="X240" s="315">
        <v>0</v>
      </c>
      <c r="Y240" s="316">
        <v>9407.1</v>
      </c>
    </row>
    <row r="241" spans="1:25" x14ac:dyDescent="0.3">
      <c r="A241" s="326"/>
      <c r="B241" s="326"/>
      <c r="C241" s="326"/>
      <c r="D241" s="326"/>
      <c r="E241" s="326" t="s">
        <v>1166</v>
      </c>
      <c r="F241" s="336"/>
      <c r="G241" s="327"/>
      <c r="H241" s="328"/>
      <c r="I241" s="329"/>
      <c r="J241" s="338">
        <v>0</v>
      </c>
      <c r="K241" s="330">
        <v>0</v>
      </c>
      <c r="L241" s="330">
        <v>0</v>
      </c>
      <c r="M241" s="330">
        <v>0</v>
      </c>
      <c r="N241" s="330">
        <v>0</v>
      </c>
      <c r="O241" s="330">
        <v>0</v>
      </c>
      <c r="P241" s="330">
        <v>0</v>
      </c>
      <c r="Q241" s="330">
        <v>0</v>
      </c>
      <c r="R241" s="330">
        <v>0</v>
      </c>
      <c r="S241" s="330">
        <v>0</v>
      </c>
      <c r="T241" s="330">
        <v>0</v>
      </c>
      <c r="U241" s="331">
        <v>0</v>
      </c>
      <c r="V241" s="332">
        <v>0</v>
      </c>
      <c r="W241" s="333"/>
      <c r="X241" s="334">
        <v>0</v>
      </c>
      <c r="Y241" s="335">
        <v>0</v>
      </c>
    </row>
    <row r="242" spans="1:25" x14ac:dyDescent="0.3">
      <c r="A242" s="326"/>
      <c r="B242" s="326"/>
      <c r="C242" s="326"/>
      <c r="D242" s="326"/>
      <c r="E242" s="326" t="s">
        <v>1167</v>
      </c>
      <c r="F242" s="336"/>
      <c r="G242" s="327"/>
      <c r="H242" s="328"/>
      <c r="I242" s="329"/>
      <c r="J242" s="338">
        <v>0</v>
      </c>
      <c r="K242" s="330">
        <v>0</v>
      </c>
      <c r="L242" s="330">
        <v>0</v>
      </c>
      <c r="M242" s="330">
        <v>0</v>
      </c>
      <c r="N242" s="330">
        <v>0</v>
      </c>
      <c r="O242" s="330">
        <v>0</v>
      </c>
      <c r="P242" s="330">
        <v>0</v>
      </c>
      <c r="Q242" s="330">
        <v>0</v>
      </c>
      <c r="R242" s="330">
        <v>0</v>
      </c>
      <c r="S242" s="330">
        <v>0</v>
      </c>
      <c r="T242" s="330">
        <v>0</v>
      </c>
      <c r="U242" s="331">
        <v>0</v>
      </c>
      <c r="V242" s="332">
        <v>0</v>
      </c>
      <c r="W242" s="333"/>
      <c r="X242" s="334">
        <v>0</v>
      </c>
      <c r="Y242" s="335">
        <v>0</v>
      </c>
    </row>
    <row r="243" spans="1:25" x14ac:dyDescent="0.3">
      <c r="A243" s="233"/>
      <c r="B243" s="234" t="s">
        <v>68</v>
      </c>
      <c r="D243" s="293" t="s">
        <v>1168</v>
      </c>
      <c r="E243" s="294"/>
      <c r="F243" s="295" t="s">
        <v>1169</v>
      </c>
      <c r="G243" s="296"/>
      <c r="H243" s="297"/>
      <c r="I243" s="298"/>
      <c r="J243" s="299">
        <v>47395.285999999993</v>
      </c>
      <c r="K243" s="300">
        <v>46764.815999999992</v>
      </c>
      <c r="L243" s="300">
        <v>46764.815999999992</v>
      </c>
      <c r="M243" s="300">
        <v>57666.384999999995</v>
      </c>
      <c r="N243" s="300">
        <v>46117.467999999993</v>
      </c>
      <c r="O243" s="300">
        <v>46117.467999999993</v>
      </c>
      <c r="P243" s="300">
        <v>47597.839000000007</v>
      </c>
      <c r="Q243" s="300">
        <v>48017.520000000004</v>
      </c>
      <c r="R243" s="300">
        <v>54674.33</v>
      </c>
      <c r="S243" s="300">
        <v>48920.260999999999</v>
      </c>
      <c r="T243" s="300">
        <v>49338.720000000001</v>
      </c>
      <c r="U243" s="301">
        <v>69742.269</v>
      </c>
      <c r="V243" s="302">
        <v>609117.17800000007</v>
      </c>
      <c r="W243" s="303"/>
      <c r="X243" s="304">
        <v>69742.269</v>
      </c>
      <c r="Y243" s="305">
        <v>609117.17800000007</v>
      </c>
    </row>
    <row r="244" spans="1:25" x14ac:dyDescent="0.3">
      <c r="E244" s="250" t="s">
        <v>1170</v>
      </c>
      <c r="F244" s="317">
        <v>4300481</v>
      </c>
      <c r="G244" s="318"/>
      <c r="H244" s="319">
        <v>5101030101</v>
      </c>
      <c r="I244" s="320"/>
      <c r="J244" s="337">
        <v>50273.612000000001</v>
      </c>
      <c r="K244" s="321">
        <v>50273.612000000001</v>
      </c>
      <c r="L244" s="321">
        <v>50273.612000000001</v>
      </c>
      <c r="M244" s="321">
        <v>50280.608</v>
      </c>
      <c r="N244" s="321">
        <v>49679.362999999998</v>
      </c>
      <c r="O244" s="321">
        <v>49679.362999999998</v>
      </c>
      <c r="P244" s="321">
        <v>51349.317999999999</v>
      </c>
      <c r="Q244" s="321">
        <v>51807.856</v>
      </c>
      <c r="R244" s="321">
        <v>51753.099000000002</v>
      </c>
      <c r="S244" s="321">
        <v>52812.682000000001</v>
      </c>
      <c r="T244" s="321">
        <v>53243.517999999996</v>
      </c>
      <c r="U244" s="322">
        <v>74677.820000000007</v>
      </c>
      <c r="V244" s="323">
        <v>636104.46299999999</v>
      </c>
      <c r="W244" s="303"/>
      <c r="X244" s="324">
        <v>74677.820000000007</v>
      </c>
      <c r="Y244" s="325">
        <v>636104.46299999999</v>
      </c>
    </row>
    <row r="245" spans="1:25" x14ac:dyDescent="0.3">
      <c r="E245" s="250" t="s">
        <v>1171</v>
      </c>
      <c r="F245" s="317">
        <v>4300482</v>
      </c>
      <c r="G245" s="318"/>
      <c r="H245" s="319">
        <v>5101030103</v>
      </c>
      <c r="I245" s="320"/>
      <c r="J245" s="337">
        <v>15454.8</v>
      </c>
      <c r="K245" s="321">
        <v>15454.8</v>
      </c>
      <c r="L245" s="321">
        <v>15454.8</v>
      </c>
      <c r="M245" s="321">
        <v>15755.221</v>
      </c>
      <c r="N245" s="321">
        <v>15694.553</v>
      </c>
      <c r="O245" s="321">
        <v>15694.553</v>
      </c>
      <c r="P245" s="321">
        <v>16516.115000000002</v>
      </c>
      <c r="Q245" s="321">
        <v>16689.097000000002</v>
      </c>
      <c r="R245" s="321">
        <v>16666.436000000002</v>
      </c>
      <c r="S245" s="321">
        <v>17438.726999999999</v>
      </c>
      <c r="T245" s="321">
        <v>17493.286</v>
      </c>
      <c r="U245" s="322">
        <v>22146.690999999999</v>
      </c>
      <c r="V245" s="323">
        <v>200459.079</v>
      </c>
      <c r="W245" s="303"/>
      <c r="X245" s="324">
        <v>22146.690999999999</v>
      </c>
      <c r="Y245" s="325">
        <v>200459.079</v>
      </c>
    </row>
    <row r="246" spans="1:25" x14ac:dyDescent="0.3">
      <c r="E246" s="250" t="s">
        <v>1172</v>
      </c>
      <c r="F246" s="317">
        <v>4300483</v>
      </c>
      <c r="G246" s="318"/>
      <c r="H246" s="319">
        <v>5101030105</v>
      </c>
      <c r="I246" s="320"/>
      <c r="J246" s="337">
        <v>-18963.596000000001</v>
      </c>
      <c r="K246" s="321">
        <v>-18963.596000000001</v>
      </c>
      <c r="L246" s="321">
        <v>-18963.596000000001</v>
      </c>
      <c r="M246" s="321">
        <v>-19330.743999999999</v>
      </c>
      <c r="N246" s="321">
        <v>-19256.448</v>
      </c>
      <c r="O246" s="321">
        <v>-19256.448</v>
      </c>
      <c r="P246" s="321">
        <v>-20267.594000000001</v>
      </c>
      <c r="Q246" s="321">
        <v>-20479.433000000001</v>
      </c>
      <c r="R246" s="321">
        <v>-20375.445</v>
      </c>
      <c r="S246" s="321">
        <v>-21331.148000000001</v>
      </c>
      <c r="T246" s="321">
        <v>-21398.083999999999</v>
      </c>
      <c r="U246" s="322">
        <v>-27082.241999999998</v>
      </c>
      <c r="V246" s="323">
        <v>-245668.37400000001</v>
      </c>
      <c r="W246" s="303"/>
      <c r="X246" s="324">
        <v>-27082.241999999998</v>
      </c>
      <c r="Y246" s="325">
        <v>-245668.37400000001</v>
      </c>
    </row>
    <row r="247" spans="1:25" x14ac:dyDescent="0.3">
      <c r="E247" s="250" t="s">
        <v>1173</v>
      </c>
      <c r="F247" s="317">
        <v>4300484</v>
      </c>
      <c r="G247" s="318"/>
      <c r="H247" s="319"/>
      <c r="I247" s="320"/>
      <c r="J247" s="337">
        <v>630.47</v>
      </c>
      <c r="K247" s="321">
        <v>0</v>
      </c>
      <c r="L247" s="321">
        <v>0</v>
      </c>
      <c r="M247" s="321">
        <v>10961.3</v>
      </c>
      <c r="N247" s="321">
        <v>0</v>
      </c>
      <c r="O247" s="321">
        <v>0</v>
      </c>
      <c r="P247" s="321">
        <v>0</v>
      </c>
      <c r="Q247" s="321">
        <v>0</v>
      </c>
      <c r="R247" s="321">
        <v>6630.24</v>
      </c>
      <c r="S247" s="321">
        <v>0</v>
      </c>
      <c r="T247" s="321">
        <v>0</v>
      </c>
      <c r="U247" s="322">
        <v>0</v>
      </c>
      <c r="V247" s="323">
        <v>18222.009999999998</v>
      </c>
      <c r="W247" s="303"/>
      <c r="X247" s="324">
        <v>0</v>
      </c>
      <c r="Y247" s="325">
        <v>18222.009999999998</v>
      </c>
    </row>
    <row r="248" spans="1:25" x14ac:dyDescent="0.3">
      <c r="A248" s="326"/>
      <c r="B248" s="326"/>
      <c r="C248" s="326"/>
      <c r="D248" s="326"/>
      <c r="E248" s="326" t="s">
        <v>1174</v>
      </c>
      <c r="F248" s="336"/>
      <c r="G248" s="327"/>
      <c r="H248" s="328"/>
      <c r="I248" s="329"/>
      <c r="J248" s="338">
        <v>0</v>
      </c>
      <c r="K248" s="330">
        <v>0</v>
      </c>
      <c r="L248" s="330">
        <v>0</v>
      </c>
      <c r="M248" s="330">
        <v>0</v>
      </c>
      <c r="N248" s="330">
        <v>0</v>
      </c>
      <c r="O248" s="330">
        <v>0</v>
      </c>
      <c r="P248" s="330">
        <v>0</v>
      </c>
      <c r="Q248" s="330">
        <v>0</v>
      </c>
      <c r="R248" s="330">
        <v>0</v>
      </c>
      <c r="S248" s="330">
        <v>0</v>
      </c>
      <c r="T248" s="330">
        <v>0</v>
      </c>
      <c r="U248" s="331">
        <v>0</v>
      </c>
      <c r="V248" s="332">
        <v>0</v>
      </c>
      <c r="W248" s="333"/>
      <c r="X248" s="334">
        <v>0</v>
      </c>
      <c r="Y248" s="335">
        <v>0</v>
      </c>
    </row>
    <row r="249" spans="1:25" x14ac:dyDescent="0.3">
      <c r="A249" s="326"/>
      <c r="B249" s="326"/>
      <c r="C249" s="326"/>
      <c r="D249" s="326"/>
      <c r="E249" s="326" t="s">
        <v>1175</v>
      </c>
      <c r="F249" s="336"/>
      <c r="G249" s="327"/>
      <c r="H249" s="328"/>
      <c r="I249" s="329"/>
      <c r="J249" s="338">
        <v>0</v>
      </c>
      <c r="K249" s="330">
        <v>0</v>
      </c>
      <c r="L249" s="330">
        <v>0</v>
      </c>
      <c r="M249" s="330">
        <v>0</v>
      </c>
      <c r="N249" s="330">
        <v>0</v>
      </c>
      <c r="O249" s="330">
        <v>0</v>
      </c>
      <c r="P249" s="330">
        <v>0</v>
      </c>
      <c r="Q249" s="330">
        <v>0</v>
      </c>
      <c r="R249" s="330">
        <v>0</v>
      </c>
      <c r="S249" s="330">
        <v>0</v>
      </c>
      <c r="T249" s="330">
        <v>0</v>
      </c>
      <c r="U249" s="331">
        <v>0</v>
      </c>
      <c r="V249" s="332">
        <v>0</v>
      </c>
      <c r="W249" s="333"/>
      <c r="X249" s="334">
        <v>0</v>
      </c>
      <c r="Y249" s="335">
        <v>0</v>
      </c>
    </row>
    <row r="250" spans="1:25" x14ac:dyDescent="0.3">
      <c r="A250" s="326"/>
      <c r="B250" s="326"/>
      <c r="C250" s="326"/>
      <c r="D250" s="326"/>
      <c r="E250" s="326" t="s">
        <v>1176</v>
      </c>
      <c r="F250" s="336"/>
      <c r="G250" s="327"/>
      <c r="H250" s="328"/>
      <c r="I250" s="329"/>
      <c r="J250" s="338">
        <v>0</v>
      </c>
      <c r="K250" s="330">
        <v>0</v>
      </c>
      <c r="L250" s="330">
        <v>0</v>
      </c>
      <c r="M250" s="330">
        <v>0</v>
      </c>
      <c r="N250" s="330">
        <v>0</v>
      </c>
      <c r="O250" s="330">
        <v>0</v>
      </c>
      <c r="P250" s="330">
        <v>0</v>
      </c>
      <c r="Q250" s="330">
        <v>0</v>
      </c>
      <c r="R250" s="330">
        <v>0</v>
      </c>
      <c r="S250" s="330">
        <v>0</v>
      </c>
      <c r="T250" s="330">
        <v>0</v>
      </c>
      <c r="U250" s="331">
        <v>0</v>
      </c>
      <c r="V250" s="332">
        <v>0</v>
      </c>
      <c r="W250" s="333"/>
      <c r="X250" s="334">
        <v>0</v>
      </c>
      <c r="Y250" s="335">
        <v>0</v>
      </c>
    </row>
    <row r="251" spans="1:25" x14ac:dyDescent="0.3">
      <c r="A251" s="233"/>
      <c r="B251" s="234" t="s">
        <v>15</v>
      </c>
      <c r="D251" s="293" t="s">
        <v>1177</v>
      </c>
      <c r="E251" s="294"/>
      <c r="F251" s="295" t="s">
        <v>1178</v>
      </c>
      <c r="G251" s="296"/>
      <c r="H251" s="297"/>
      <c r="I251" s="298"/>
      <c r="J251" s="299">
        <v>99199.207000000009</v>
      </c>
      <c r="K251" s="300">
        <v>85879.214999999997</v>
      </c>
      <c r="L251" s="300">
        <v>97008.533000000025</v>
      </c>
      <c r="M251" s="300">
        <v>111887.73300000001</v>
      </c>
      <c r="N251" s="300">
        <v>80976.578000000009</v>
      </c>
      <c r="O251" s="300">
        <v>57189.16399999999</v>
      </c>
      <c r="P251" s="300">
        <v>74724.315000000017</v>
      </c>
      <c r="Q251" s="300">
        <v>90242.270000000019</v>
      </c>
      <c r="R251" s="300">
        <v>144747.60499999998</v>
      </c>
      <c r="S251" s="300">
        <v>78122.469000000012</v>
      </c>
      <c r="T251" s="300">
        <v>102590.10599999999</v>
      </c>
      <c r="U251" s="301">
        <v>-562131.96100000013</v>
      </c>
      <c r="V251" s="302">
        <v>460435.23400000005</v>
      </c>
      <c r="W251" s="303"/>
      <c r="X251" s="304">
        <v>-562131.96100000013</v>
      </c>
      <c r="Y251" s="305">
        <v>460435.23400000005</v>
      </c>
    </row>
    <row r="252" spans="1:25" x14ac:dyDescent="0.3">
      <c r="E252" s="250" t="s">
        <v>1179</v>
      </c>
      <c r="F252" s="317">
        <v>4300601</v>
      </c>
      <c r="G252" s="318"/>
      <c r="H252" s="319">
        <v>5101050101</v>
      </c>
      <c r="I252" s="320"/>
      <c r="J252" s="337">
        <v>1049.452</v>
      </c>
      <c r="K252" s="321">
        <v>316.7</v>
      </c>
      <c r="L252" s="321">
        <v>166.7</v>
      </c>
      <c r="M252" s="321">
        <v>0</v>
      </c>
      <c r="N252" s="321">
        <v>416.70100000000002</v>
      </c>
      <c r="O252" s="321">
        <v>0</v>
      </c>
      <c r="P252" s="321">
        <v>0</v>
      </c>
      <c r="Q252" s="321">
        <v>266.7</v>
      </c>
      <c r="R252" s="321">
        <v>166.7</v>
      </c>
      <c r="S252" s="321">
        <v>60</v>
      </c>
      <c r="T252" s="321">
        <v>0</v>
      </c>
      <c r="U252" s="322">
        <v>316.7</v>
      </c>
      <c r="V252" s="323">
        <v>2759.6529999999998</v>
      </c>
      <c r="W252" s="303"/>
      <c r="X252" s="324">
        <v>316.7</v>
      </c>
      <c r="Y252" s="325">
        <v>2759.6529999999998</v>
      </c>
    </row>
    <row r="253" spans="1:25" x14ac:dyDescent="0.3">
      <c r="E253" s="250" t="s">
        <v>1180</v>
      </c>
      <c r="F253" s="317">
        <v>4300602</v>
      </c>
      <c r="G253" s="318"/>
      <c r="H253" s="319">
        <v>5101050103</v>
      </c>
      <c r="I253" s="320"/>
      <c r="J253" s="337">
        <v>0</v>
      </c>
      <c r="K253" s="321">
        <v>0</v>
      </c>
      <c r="L253" s="321">
        <v>0</v>
      </c>
      <c r="M253" s="321">
        <v>0</v>
      </c>
      <c r="N253" s="321">
        <v>1171.039</v>
      </c>
      <c r="O253" s="321">
        <v>0</v>
      </c>
      <c r="P253" s="321">
        <v>0</v>
      </c>
      <c r="Q253" s="321">
        <v>0</v>
      </c>
      <c r="R253" s="321">
        <v>220</v>
      </c>
      <c r="S253" s="321">
        <v>0</v>
      </c>
      <c r="T253" s="321">
        <v>10930</v>
      </c>
      <c r="U253" s="322">
        <v>13515</v>
      </c>
      <c r="V253" s="323">
        <v>25836.039000000001</v>
      </c>
      <c r="W253" s="303"/>
      <c r="X253" s="324">
        <v>13515</v>
      </c>
      <c r="Y253" s="325">
        <v>25836.039000000001</v>
      </c>
    </row>
    <row r="254" spans="1:25" x14ac:dyDescent="0.3">
      <c r="E254" s="250" t="s">
        <v>1181</v>
      </c>
      <c r="F254" s="317">
        <v>4300603</v>
      </c>
      <c r="G254" s="318"/>
      <c r="H254" s="319">
        <v>5101050105</v>
      </c>
      <c r="I254" s="320"/>
      <c r="J254" s="337">
        <v>10809.439</v>
      </c>
      <c r="K254" s="321">
        <v>0</v>
      </c>
      <c r="L254" s="321">
        <v>6963.9</v>
      </c>
      <c r="M254" s="321">
        <v>0</v>
      </c>
      <c r="N254" s="321">
        <v>0</v>
      </c>
      <c r="O254" s="321">
        <v>2346.9</v>
      </c>
      <c r="P254" s="321">
        <v>0</v>
      </c>
      <c r="Q254" s="321">
        <v>0</v>
      </c>
      <c r="R254" s="321">
        <v>14494.572</v>
      </c>
      <c r="S254" s="321">
        <v>0</v>
      </c>
      <c r="T254" s="321">
        <v>0</v>
      </c>
      <c r="U254" s="322">
        <v>0</v>
      </c>
      <c r="V254" s="323">
        <v>34614.811000000002</v>
      </c>
      <c r="W254" s="303"/>
      <c r="X254" s="324">
        <v>0</v>
      </c>
      <c r="Y254" s="325">
        <v>34614.811000000002</v>
      </c>
    </row>
    <row r="255" spans="1:25" x14ac:dyDescent="0.3">
      <c r="E255" s="250" t="s">
        <v>1182</v>
      </c>
      <c r="F255" s="317">
        <v>4300604</v>
      </c>
      <c r="G255" s="318"/>
      <c r="H255" s="319">
        <v>5101050199</v>
      </c>
      <c r="I255" s="320"/>
      <c r="J255" s="337">
        <v>0</v>
      </c>
      <c r="K255" s="321">
        <v>0</v>
      </c>
      <c r="L255" s="321">
        <v>0</v>
      </c>
      <c r="M255" s="321">
        <v>0</v>
      </c>
      <c r="N255" s="321">
        <v>0</v>
      </c>
      <c r="O255" s="321">
        <v>0</v>
      </c>
      <c r="P255" s="321">
        <v>0</v>
      </c>
      <c r="Q255" s="321">
        <v>0</v>
      </c>
      <c r="R255" s="321">
        <v>0</v>
      </c>
      <c r="S255" s="321">
        <v>0</v>
      </c>
      <c r="T255" s="321">
        <v>0</v>
      </c>
      <c r="U255" s="322">
        <v>0</v>
      </c>
      <c r="V255" s="323">
        <v>0</v>
      </c>
      <c r="W255" s="303"/>
      <c r="X255" s="324">
        <v>0</v>
      </c>
      <c r="Y255" s="325">
        <v>0</v>
      </c>
    </row>
    <row r="256" spans="1:25" x14ac:dyDescent="0.3">
      <c r="E256" s="250" t="s">
        <v>1183</v>
      </c>
      <c r="F256" s="317">
        <v>4300605</v>
      </c>
      <c r="G256" s="318"/>
      <c r="H256" s="319">
        <v>5101050119</v>
      </c>
      <c r="I256" s="320"/>
      <c r="J256" s="337">
        <v>0</v>
      </c>
      <c r="K256" s="321">
        <v>0</v>
      </c>
      <c r="L256" s="321">
        <v>0</v>
      </c>
      <c r="M256" s="321">
        <v>0</v>
      </c>
      <c r="N256" s="321">
        <v>0</v>
      </c>
      <c r="O256" s="321">
        <v>335.5</v>
      </c>
      <c r="P256" s="321">
        <v>0</v>
      </c>
      <c r="Q256" s="321">
        <v>0</v>
      </c>
      <c r="R256" s="321">
        <v>0</v>
      </c>
      <c r="S256" s="321">
        <v>172.2</v>
      </c>
      <c r="T256" s="321">
        <v>543.29999999999995</v>
      </c>
      <c r="U256" s="322">
        <v>0</v>
      </c>
      <c r="V256" s="323">
        <v>1051</v>
      </c>
      <c r="W256" s="303"/>
      <c r="X256" s="324">
        <v>0</v>
      </c>
      <c r="Y256" s="325">
        <v>1051</v>
      </c>
    </row>
    <row r="257" spans="5:25" x14ac:dyDescent="0.3">
      <c r="E257" s="250" t="s">
        <v>1184</v>
      </c>
      <c r="F257" s="317">
        <v>4300606</v>
      </c>
      <c r="G257" s="318"/>
      <c r="H257" s="319">
        <v>5101050107</v>
      </c>
      <c r="I257" s="320"/>
      <c r="J257" s="337">
        <v>6736.9139999999998</v>
      </c>
      <c r="K257" s="321">
        <v>6785.7359999999999</v>
      </c>
      <c r="L257" s="321">
        <v>9498.5990000000002</v>
      </c>
      <c r="M257" s="321">
        <v>6483.02</v>
      </c>
      <c r="N257" s="321">
        <v>6503.8190000000004</v>
      </c>
      <c r="O257" s="321">
        <v>7864.0789999999997</v>
      </c>
      <c r="P257" s="321">
        <v>7873.7939999999999</v>
      </c>
      <c r="Q257" s="321">
        <v>9987.7999999999993</v>
      </c>
      <c r="R257" s="321">
        <v>5846.0140000000001</v>
      </c>
      <c r="S257" s="321">
        <v>8375.5769999999993</v>
      </c>
      <c r="T257" s="321">
        <v>7393.9520000000002</v>
      </c>
      <c r="U257" s="322">
        <v>10024.553</v>
      </c>
      <c r="V257" s="323">
        <v>93373.857000000004</v>
      </c>
      <c r="W257" s="303"/>
      <c r="X257" s="324">
        <v>10024.553</v>
      </c>
      <c r="Y257" s="325">
        <v>93373.857000000004</v>
      </c>
    </row>
    <row r="258" spans="5:25" x14ac:dyDescent="0.3">
      <c r="E258" s="250" t="s">
        <v>1185</v>
      </c>
      <c r="F258" s="317">
        <v>4300607</v>
      </c>
      <c r="G258" s="318"/>
      <c r="H258" s="319"/>
      <c r="I258" s="320"/>
      <c r="J258" s="337">
        <v>0</v>
      </c>
      <c r="K258" s="321">
        <v>0</v>
      </c>
      <c r="L258" s="321">
        <v>0</v>
      </c>
      <c r="M258" s="321">
        <v>0</v>
      </c>
      <c r="N258" s="321">
        <v>0</v>
      </c>
      <c r="O258" s="321">
        <v>0</v>
      </c>
      <c r="P258" s="321">
        <v>0</v>
      </c>
      <c r="Q258" s="321">
        <v>0</v>
      </c>
      <c r="R258" s="321">
        <v>0</v>
      </c>
      <c r="S258" s="321">
        <v>0</v>
      </c>
      <c r="T258" s="321">
        <v>0</v>
      </c>
      <c r="U258" s="322">
        <v>0</v>
      </c>
      <c r="V258" s="323">
        <v>0</v>
      </c>
      <c r="W258" s="303"/>
      <c r="X258" s="324">
        <v>0</v>
      </c>
      <c r="Y258" s="325">
        <v>0</v>
      </c>
    </row>
    <row r="259" spans="5:25" x14ac:dyDescent="0.3">
      <c r="E259" s="250" t="s">
        <v>1186</v>
      </c>
      <c r="F259" s="317">
        <v>4300608</v>
      </c>
      <c r="G259" s="318"/>
      <c r="H259" s="319">
        <v>5101050113</v>
      </c>
      <c r="I259" s="320"/>
      <c r="J259" s="337">
        <v>7690</v>
      </c>
      <c r="K259" s="321">
        <v>0</v>
      </c>
      <c r="L259" s="321">
        <v>0</v>
      </c>
      <c r="M259" s="321">
        <v>0</v>
      </c>
      <c r="N259" s="321">
        <v>0</v>
      </c>
      <c r="O259" s="321">
        <v>0</v>
      </c>
      <c r="P259" s="321">
        <v>0</v>
      </c>
      <c r="Q259" s="321">
        <v>0</v>
      </c>
      <c r="R259" s="321">
        <v>7930</v>
      </c>
      <c r="S259" s="321">
        <v>0</v>
      </c>
      <c r="T259" s="321">
        <v>0</v>
      </c>
      <c r="U259" s="322">
        <v>0</v>
      </c>
      <c r="V259" s="323">
        <v>15620</v>
      </c>
      <c r="W259" s="303"/>
      <c r="X259" s="324">
        <v>0</v>
      </c>
      <c r="Y259" s="325">
        <v>15620</v>
      </c>
    </row>
    <row r="260" spans="5:25" x14ac:dyDescent="0.3">
      <c r="E260" s="250" t="s">
        <v>1187</v>
      </c>
      <c r="F260" s="317">
        <v>4300609</v>
      </c>
      <c r="G260" s="318"/>
      <c r="H260" s="319">
        <v>5101050121</v>
      </c>
      <c r="I260" s="320"/>
      <c r="J260" s="337">
        <v>4495.5249999999996</v>
      </c>
      <c r="K260" s="321">
        <v>8420.9240000000009</v>
      </c>
      <c r="L260" s="321">
        <v>7500.9110000000001</v>
      </c>
      <c r="M260" s="321">
        <v>13268.848</v>
      </c>
      <c r="N260" s="321">
        <v>6801.9840000000004</v>
      </c>
      <c r="O260" s="321">
        <v>8730.5640000000003</v>
      </c>
      <c r="P260" s="321">
        <v>11603.154</v>
      </c>
      <c r="Q260" s="321">
        <v>5262.8050000000003</v>
      </c>
      <c r="R260" s="321">
        <v>7414.3919999999998</v>
      </c>
      <c r="S260" s="321">
        <v>7444.652</v>
      </c>
      <c r="T260" s="321">
        <v>9044.7759999999998</v>
      </c>
      <c r="U260" s="322">
        <v>25698.424999999999</v>
      </c>
      <c r="V260" s="323">
        <v>115686.95999999999</v>
      </c>
      <c r="W260" s="303"/>
      <c r="X260" s="324">
        <v>25698.424999999999</v>
      </c>
      <c r="Y260" s="325">
        <v>115686.95999999999</v>
      </c>
    </row>
    <row r="261" spans="5:25" x14ac:dyDescent="0.3">
      <c r="E261" s="250" t="s">
        <v>1188</v>
      </c>
      <c r="F261" s="317">
        <v>4300610</v>
      </c>
      <c r="G261" s="318"/>
      <c r="H261" s="319">
        <v>5101050115</v>
      </c>
      <c r="I261" s="320"/>
      <c r="J261" s="337">
        <v>20526.330000000002</v>
      </c>
      <c r="K261" s="321">
        <v>20240.78</v>
      </c>
      <c r="L261" s="321">
        <v>19904.36</v>
      </c>
      <c r="M261" s="321">
        <v>32327.54</v>
      </c>
      <c r="N261" s="321">
        <v>21443.63</v>
      </c>
      <c r="O261" s="321">
        <v>22584.73</v>
      </c>
      <c r="P261" s="321">
        <v>22000.81</v>
      </c>
      <c r="Q261" s="321">
        <v>22417.59</v>
      </c>
      <c r="R261" s="321">
        <v>21824.54</v>
      </c>
      <c r="S261" s="321">
        <v>21518.73</v>
      </c>
      <c r="T261" s="321">
        <v>22748.720000000001</v>
      </c>
      <c r="U261" s="322">
        <v>29794.14</v>
      </c>
      <c r="V261" s="323">
        <v>277331.90000000002</v>
      </c>
      <c r="W261" s="303"/>
      <c r="X261" s="324">
        <v>29794.14</v>
      </c>
      <c r="Y261" s="325">
        <v>277331.90000000002</v>
      </c>
    </row>
    <row r="262" spans="5:25" x14ac:dyDescent="0.3">
      <c r="E262" s="250" t="s">
        <v>1189</v>
      </c>
      <c r="F262" s="317">
        <v>4300611</v>
      </c>
      <c r="G262" s="318"/>
      <c r="H262" s="319"/>
      <c r="I262" s="320"/>
      <c r="J262" s="337">
        <v>7646.94</v>
      </c>
      <c r="K262" s="321">
        <v>4760.4179999999997</v>
      </c>
      <c r="L262" s="321">
        <v>5053.567</v>
      </c>
      <c r="M262" s="321">
        <v>4906.6469999999999</v>
      </c>
      <c r="N262" s="321">
        <v>3767.73</v>
      </c>
      <c r="O262" s="321">
        <v>-20315.021000000001</v>
      </c>
      <c r="P262" s="321">
        <v>3965.36</v>
      </c>
      <c r="Q262" s="321">
        <v>3941.81</v>
      </c>
      <c r="R262" s="321">
        <v>4259.6499999999996</v>
      </c>
      <c r="S262" s="321">
        <v>3885.18</v>
      </c>
      <c r="T262" s="321">
        <v>3933.18</v>
      </c>
      <c r="U262" s="322">
        <v>6194.53</v>
      </c>
      <c r="V262" s="323">
        <v>31999.990999999998</v>
      </c>
      <c r="W262" s="303"/>
      <c r="X262" s="324">
        <v>6194.53</v>
      </c>
      <c r="Y262" s="325">
        <v>31999.990999999998</v>
      </c>
    </row>
    <row r="263" spans="5:25" x14ac:dyDescent="0.3">
      <c r="E263" s="250" t="s">
        <v>1190</v>
      </c>
      <c r="F263" s="317">
        <v>4300612</v>
      </c>
      <c r="G263" s="318"/>
      <c r="H263" s="319"/>
      <c r="I263" s="320"/>
      <c r="J263" s="337">
        <v>14894.66</v>
      </c>
      <c r="K263" s="321">
        <v>9272.3140000000003</v>
      </c>
      <c r="L263" s="321">
        <v>9843.3109999999997</v>
      </c>
      <c r="M263" s="321">
        <v>9557.1360000000004</v>
      </c>
      <c r="N263" s="321">
        <v>9399.35</v>
      </c>
      <c r="O263" s="321">
        <v>9240.86</v>
      </c>
      <c r="P263" s="321">
        <v>9778.01</v>
      </c>
      <c r="Q263" s="321">
        <v>9719.5</v>
      </c>
      <c r="R263" s="321">
        <v>10507.38</v>
      </c>
      <c r="S263" s="321">
        <v>9579.2999999999993</v>
      </c>
      <c r="T263" s="321">
        <v>9698.14</v>
      </c>
      <c r="U263" s="322">
        <v>14653.79</v>
      </c>
      <c r="V263" s="323">
        <v>126143.75100000002</v>
      </c>
      <c r="W263" s="303"/>
      <c r="X263" s="324">
        <v>14653.79</v>
      </c>
      <c r="Y263" s="325">
        <v>126143.75100000002</v>
      </c>
    </row>
    <row r="264" spans="5:25" x14ac:dyDescent="0.3">
      <c r="E264" s="250" t="s">
        <v>1191</v>
      </c>
      <c r="F264" s="317">
        <v>4300613</v>
      </c>
      <c r="G264" s="318"/>
      <c r="H264" s="319">
        <v>5101050117</v>
      </c>
      <c r="I264" s="320"/>
      <c r="J264" s="337">
        <v>3346.779</v>
      </c>
      <c r="K264" s="321">
        <v>31.154</v>
      </c>
      <c r="L264" s="321">
        <v>0</v>
      </c>
      <c r="M264" s="321">
        <v>0</v>
      </c>
      <c r="N264" s="321">
        <v>0</v>
      </c>
      <c r="O264" s="321">
        <v>0</v>
      </c>
      <c r="P264" s="321">
        <v>990.64599999999996</v>
      </c>
      <c r="Q264" s="321">
        <v>0</v>
      </c>
      <c r="R264" s="321">
        <v>0</v>
      </c>
      <c r="S264" s="321">
        <v>0</v>
      </c>
      <c r="T264" s="321">
        <v>1064.115</v>
      </c>
      <c r="U264" s="322">
        <v>141128.94099999999</v>
      </c>
      <c r="V264" s="323">
        <v>146561.63499999998</v>
      </c>
      <c r="W264" s="303"/>
      <c r="X264" s="324">
        <v>141128.94099999999</v>
      </c>
      <c r="Y264" s="325">
        <v>146561.63499999998</v>
      </c>
    </row>
    <row r="265" spans="5:25" x14ac:dyDescent="0.3">
      <c r="E265" s="250" t="s">
        <v>1192</v>
      </c>
      <c r="F265" s="317">
        <v>4300614</v>
      </c>
      <c r="G265" s="318"/>
      <c r="H265" s="319"/>
      <c r="I265" s="320"/>
      <c r="J265" s="337">
        <v>0</v>
      </c>
      <c r="K265" s="321">
        <v>0</v>
      </c>
      <c r="L265" s="321">
        <v>0</v>
      </c>
      <c r="M265" s="321">
        <v>0</v>
      </c>
      <c r="N265" s="321">
        <v>0</v>
      </c>
      <c r="O265" s="321">
        <v>0</v>
      </c>
      <c r="P265" s="321">
        <v>0</v>
      </c>
      <c r="Q265" s="321">
        <v>0</v>
      </c>
      <c r="R265" s="321">
        <v>2000</v>
      </c>
      <c r="S265" s="321">
        <v>0</v>
      </c>
      <c r="T265" s="321">
        <v>0</v>
      </c>
      <c r="U265" s="322">
        <v>20649.2</v>
      </c>
      <c r="V265" s="323">
        <v>22649.200000000001</v>
      </c>
      <c r="W265" s="303"/>
      <c r="X265" s="324">
        <v>20649.2</v>
      </c>
      <c r="Y265" s="325">
        <v>22649.200000000001</v>
      </c>
    </row>
    <row r="266" spans="5:25" x14ac:dyDescent="0.3">
      <c r="E266" s="250" t="s">
        <v>1193</v>
      </c>
      <c r="F266" s="317">
        <v>4300618</v>
      </c>
      <c r="G266" s="318"/>
      <c r="H266" s="319"/>
      <c r="I266" s="320"/>
      <c r="J266" s="337">
        <v>0</v>
      </c>
      <c r="K266" s="321">
        <v>0</v>
      </c>
      <c r="L266" s="321">
        <v>0</v>
      </c>
      <c r="M266" s="321">
        <v>0</v>
      </c>
      <c r="N266" s="321">
        <v>0</v>
      </c>
      <c r="O266" s="321">
        <v>0</v>
      </c>
      <c r="P266" s="321">
        <v>0</v>
      </c>
      <c r="Q266" s="321">
        <v>0</v>
      </c>
      <c r="R266" s="321">
        <v>0</v>
      </c>
      <c r="S266" s="321">
        <v>0</v>
      </c>
      <c r="T266" s="321">
        <v>0</v>
      </c>
      <c r="U266" s="322">
        <v>0</v>
      </c>
      <c r="V266" s="323">
        <v>0</v>
      </c>
      <c r="W266" s="303"/>
      <c r="X266" s="324">
        <v>0</v>
      </c>
      <c r="Y266" s="325">
        <v>0</v>
      </c>
    </row>
    <row r="267" spans="5:25" x14ac:dyDescent="0.3">
      <c r="E267" s="250" t="s">
        <v>1194</v>
      </c>
      <c r="F267" s="317">
        <v>4300620</v>
      </c>
      <c r="G267" s="318"/>
      <c r="H267" s="319"/>
      <c r="I267" s="320"/>
      <c r="J267" s="337">
        <v>50</v>
      </c>
      <c r="K267" s="321">
        <v>1105.4000000000001</v>
      </c>
      <c r="L267" s="321">
        <v>68.75</v>
      </c>
      <c r="M267" s="321">
        <v>23.321000000000002</v>
      </c>
      <c r="N267" s="321">
        <v>10</v>
      </c>
      <c r="O267" s="321">
        <v>60</v>
      </c>
      <c r="P267" s="321">
        <v>34.093000000000004</v>
      </c>
      <c r="Q267" s="321">
        <v>0</v>
      </c>
      <c r="R267" s="321">
        <v>10</v>
      </c>
      <c r="S267" s="321">
        <v>424.94799999999998</v>
      </c>
      <c r="T267" s="321">
        <v>20</v>
      </c>
      <c r="U267" s="322">
        <v>40</v>
      </c>
      <c r="V267" s="323">
        <v>1846.5120000000002</v>
      </c>
      <c r="W267" s="303"/>
      <c r="X267" s="324">
        <v>40</v>
      </c>
      <c r="Y267" s="325">
        <v>1846.5120000000002</v>
      </c>
    </row>
    <row r="268" spans="5:25" x14ac:dyDescent="0.3">
      <c r="E268" s="250" t="s">
        <v>1195</v>
      </c>
      <c r="F268" s="317">
        <v>4300621</v>
      </c>
      <c r="G268" s="318"/>
      <c r="H268" s="319"/>
      <c r="I268" s="320"/>
      <c r="J268" s="337">
        <v>0</v>
      </c>
      <c r="K268" s="321">
        <v>0</v>
      </c>
      <c r="L268" s="321">
        <v>0</v>
      </c>
      <c r="M268" s="321">
        <v>0</v>
      </c>
      <c r="N268" s="321">
        <v>0</v>
      </c>
      <c r="O268" s="321">
        <v>0</v>
      </c>
      <c r="P268" s="321">
        <v>0</v>
      </c>
      <c r="Q268" s="321">
        <v>0</v>
      </c>
      <c r="R268" s="321">
        <v>0</v>
      </c>
      <c r="S268" s="321">
        <v>0</v>
      </c>
      <c r="T268" s="321">
        <v>0</v>
      </c>
      <c r="U268" s="322">
        <v>0</v>
      </c>
      <c r="V268" s="323">
        <v>0</v>
      </c>
      <c r="W268" s="303"/>
      <c r="X268" s="324">
        <v>0</v>
      </c>
      <c r="Y268" s="325">
        <v>0</v>
      </c>
    </row>
    <row r="269" spans="5:25" x14ac:dyDescent="0.3">
      <c r="E269" s="250" t="s">
        <v>1196</v>
      </c>
      <c r="F269" s="317">
        <v>4300622</v>
      </c>
      <c r="G269" s="318"/>
      <c r="H269" s="319">
        <v>5101050109</v>
      </c>
      <c r="I269" s="320"/>
      <c r="J269" s="337">
        <v>500</v>
      </c>
      <c r="K269" s="321">
        <v>500</v>
      </c>
      <c r="L269" s="321">
        <v>500</v>
      </c>
      <c r="M269" s="321">
        <v>500</v>
      </c>
      <c r="N269" s="321">
        <v>500</v>
      </c>
      <c r="O269" s="321">
        <v>500</v>
      </c>
      <c r="P269" s="321">
        <v>500</v>
      </c>
      <c r="Q269" s="321">
        <v>500</v>
      </c>
      <c r="R269" s="321">
        <v>500</v>
      </c>
      <c r="S269" s="321">
        <v>500</v>
      </c>
      <c r="T269" s="321">
        <v>500</v>
      </c>
      <c r="U269" s="322">
        <v>500</v>
      </c>
      <c r="V269" s="323">
        <v>6000</v>
      </c>
      <c r="W269" s="303"/>
      <c r="X269" s="324">
        <v>500</v>
      </c>
      <c r="Y269" s="325">
        <v>6000</v>
      </c>
    </row>
    <row r="270" spans="5:25" x14ac:dyDescent="0.3">
      <c r="E270" s="250" t="s">
        <v>1197</v>
      </c>
      <c r="F270" s="317">
        <v>4300623</v>
      </c>
      <c r="G270" s="318"/>
      <c r="H270" s="319"/>
      <c r="I270" s="320"/>
      <c r="J270" s="337">
        <v>473.80099999999999</v>
      </c>
      <c r="K270" s="321">
        <v>470.93700000000001</v>
      </c>
      <c r="L270" s="321">
        <v>462.54199999999997</v>
      </c>
      <c r="M270" s="321">
        <v>474.67500000000001</v>
      </c>
      <c r="N270" s="321">
        <v>472.03100000000001</v>
      </c>
      <c r="O270" s="321">
        <v>474.42899999999997</v>
      </c>
      <c r="P270" s="321">
        <v>469.60399999999998</v>
      </c>
      <c r="Q270" s="321">
        <v>469.73</v>
      </c>
      <c r="R270" s="321">
        <v>490.22199999999998</v>
      </c>
      <c r="S270" s="321">
        <v>485.33600000000001</v>
      </c>
      <c r="T270" s="321">
        <v>497.31400000000002</v>
      </c>
      <c r="U270" s="322">
        <v>626.67700000000002</v>
      </c>
      <c r="V270" s="323">
        <v>5867.2979999999998</v>
      </c>
      <c r="W270" s="303"/>
      <c r="X270" s="324">
        <v>626.67700000000002</v>
      </c>
      <c r="Y270" s="325">
        <v>5867.2979999999998</v>
      </c>
    </row>
    <row r="271" spans="5:25" x14ac:dyDescent="0.3">
      <c r="E271" s="250" t="s">
        <v>1198</v>
      </c>
      <c r="F271" s="317">
        <v>4300624</v>
      </c>
      <c r="G271" s="318"/>
      <c r="H271" s="319"/>
      <c r="I271" s="320"/>
      <c r="J271" s="337">
        <v>0</v>
      </c>
      <c r="K271" s="321">
        <v>0</v>
      </c>
      <c r="L271" s="321">
        <v>0</v>
      </c>
      <c r="M271" s="321">
        <v>0</v>
      </c>
      <c r="N271" s="321">
        <v>0</v>
      </c>
      <c r="O271" s="321">
        <v>0</v>
      </c>
      <c r="P271" s="321">
        <v>0</v>
      </c>
      <c r="Q271" s="321">
        <v>0</v>
      </c>
      <c r="R271" s="321">
        <v>0</v>
      </c>
      <c r="S271" s="321">
        <v>0</v>
      </c>
      <c r="T271" s="321">
        <v>0</v>
      </c>
      <c r="U271" s="322">
        <v>0</v>
      </c>
      <c r="V271" s="323">
        <v>0</v>
      </c>
      <c r="W271" s="303"/>
      <c r="X271" s="324">
        <v>0</v>
      </c>
      <c r="Y271" s="325">
        <v>0</v>
      </c>
    </row>
    <row r="272" spans="5:25" x14ac:dyDescent="0.3">
      <c r="E272" s="250" t="s">
        <v>1199</v>
      </c>
      <c r="F272" s="317">
        <v>4300626</v>
      </c>
      <c r="G272" s="318"/>
      <c r="H272" s="319">
        <v>5101050111</v>
      </c>
      <c r="I272" s="320"/>
      <c r="J272" s="337">
        <v>0</v>
      </c>
      <c r="K272" s="321">
        <v>0</v>
      </c>
      <c r="L272" s="321">
        <v>0</v>
      </c>
      <c r="M272" s="321">
        <v>0</v>
      </c>
      <c r="N272" s="321">
        <v>0</v>
      </c>
      <c r="O272" s="321">
        <v>0</v>
      </c>
      <c r="P272" s="321">
        <v>0</v>
      </c>
      <c r="Q272" s="321">
        <v>0</v>
      </c>
      <c r="R272" s="321">
        <v>0</v>
      </c>
      <c r="S272" s="321">
        <v>0</v>
      </c>
      <c r="T272" s="321">
        <v>0</v>
      </c>
      <c r="U272" s="322">
        <v>0</v>
      </c>
      <c r="V272" s="323">
        <v>0</v>
      </c>
      <c r="W272" s="303"/>
      <c r="X272" s="324">
        <v>0</v>
      </c>
      <c r="Y272" s="325">
        <v>0</v>
      </c>
    </row>
    <row r="273" spans="5:25" x14ac:dyDescent="0.3">
      <c r="E273" s="250" t="s">
        <v>1200</v>
      </c>
      <c r="F273" s="317">
        <v>4300627</v>
      </c>
      <c r="G273" s="318"/>
      <c r="H273" s="319"/>
      <c r="I273" s="320"/>
      <c r="J273" s="337">
        <v>0</v>
      </c>
      <c r="K273" s="321">
        <v>0</v>
      </c>
      <c r="L273" s="321">
        <v>0</v>
      </c>
      <c r="M273" s="321">
        <v>0</v>
      </c>
      <c r="N273" s="321">
        <v>0</v>
      </c>
      <c r="O273" s="321">
        <v>0</v>
      </c>
      <c r="P273" s="321">
        <v>0</v>
      </c>
      <c r="Q273" s="321">
        <v>1950</v>
      </c>
      <c r="R273" s="321">
        <v>0</v>
      </c>
      <c r="S273" s="321">
        <v>0</v>
      </c>
      <c r="T273" s="321">
        <v>0</v>
      </c>
      <c r="U273" s="322">
        <v>1350</v>
      </c>
      <c r="V273" s="323">
        <v>3300</v>
      </c>
      <c r="W273" s="303"/>
      <c r="X273" s="324">
        <v>1350</v>
      </c>
      <c r="Y273" s="325">
        <v>3300</v>
      </c>
    </row>
    <row r="274" spans="5:25" x14ac:dyDescent="0.3">
      <c r="E274" s="250" t="s">
        <v>1201</v>
      </c>
      <c r="F274" s="317">
        <v>4300628</v>
      </c>
      <c r="G274" s="318"/>
      <c r="H274" s="319"/>
      <c r="I274" s="320"/>
      <c r="J274" s="337">
        <v>0</v>
      </c>
      <c r="K274" s="321">
        <v>0</v>
      </c>
      <c r="L274" s="321">
        <v>0</v>
      </c>
      <c r="M274" s="321">
        <v>0</v>
      </c>
      <c r="N274" s="321">
        <v>0</v>
      </c>
      <c r="O274" s="321">
        <v>0</v>
      </c>
      <c r="P274" s="321">
        <v>0</v>
      </c>
      <c r="Q274" s="321">
        <v>0</v>
      </c>
      <c r="R274" s="321">
        <v>0</v>
      </c>
      <c r="S274" s="321">
        <v>0</v>
      </c>
      <c r="T274" s="321">
        <v>0</v>
      </c>
      <c r="U274" s="322">
        <v>0</v>
      </c>
      <c r="V274" s="323">
        <v>0</v>
      </c>
      <c r="W274" s="303"/>
      <c r="X274" s="324">
        <v>0</v>
      </c>
      <c r="Y274" s="325">
        <v>0</v>
      </c>
    </row>
    <row r="275" spans="5:25" x14ac:dyDescent="0.3">
      <c r="E275" s="250" t="s">
        <v>1202</v>
      </c>
      <c r="F275" s="317">
        <v>4300629</v>
      </c>
      <c r="G275" s="318"/>
      <c r="H275" s="319"/>
      <c r="I275" s="320"/>
      <c r="J275" s="337">
        <v>2916.46</v>
      </c>
      <c r="K275" s="321">
        <v>1343.3</v>
      </c>
      <c r="L275" s="321">
        <v>2111.94</v>
      </c>
      <c r="M275" s="321">
        <v>2996.5709999999999</v>
      </c>
      <c r="N275" s="321">
        <v>1374.4739999999999</v>
      </c>
      <c r="O275" s="321">
        <v>610.25</v>
      </c>
      <c r="P275" s="321">
        <v>1501.5029999999999</v>
      </c>
      <c r="Q275" s="321">
        <v>3155.9</v>
      </c>
      <c r="R275" s="321">
        <v>1188.2639999999999</v>
      </c>
      <c r="S275" s="321">
        <v>2116.56</v>
      </c>
      <c r="T275" s="321">
        <v>3436.1550000000002</v>
      </c>
      <c r="U275" s="322">
        <v>2296.3000000000002</v>
      </c>
      <c r="V275" s="323">
        <v>25047.677</v>
      </c>
      <c r="W275" s="303"/>
      <c r="X275" s="324">
        <v>2296.3000000000002</v>
      </c>
      <c r="Y275" s="325">
        <v>25047.677</v>
      </c>
    </row>
    <row r="276" spans="5:25" x14ac:dyDescent="0.3">
      <c r="E276" s="250" t="s">
        <v>1203</v>
      </c>
      <c r="F276" s="317">
        <v>4300633</v>
      </c>
      <c r="G276" s="318"/>
      <c r="H276" s="319"/>
      <c r="I276" s="320"/>
      <c r="J276" s="337">
        <v>0</v>
      </c>
      <c r="K276" s="321">
        <v>0</v>
      </c>
      <c r="L276" s="321">
        <v>0</v>
      </c>
      <c r="M276" s="321">
        <v>0</v>
      </c>
      <c r="N276" s="321">
        <v>0</v>
      </c>
      <c r="O276" s="321">
        <v>0</v>
      </c>
      <c r="P276" s="321">
        <v>0</v>
      </c>
      <c r="Q276" s="321">
        <v>0</v>
      </c>
      <c r="R276" s="321">
        <v>0</v>
      </c>
      <c r="S276" s="321">
        <v>0</v>
      </c>
      <c r="T276" s="321">
        <v>0</v>
      </c>
      <c r="U276" s="322">
        <v>0</v>
      </c>
      <c r="V276" s="323">
        <v>0</v>
      </c>
      <c r="W276" s="303"/>
      <c r="X276" s="324">
        <v>0</v>
      </c>
      <c r="Y276" s="325">
        <v>0</v>
      </c>
    </row>
    <row r="277" spans="5:25" x14ac:dyDescent="0.3">
      <c r="E277" s="250" t="s">
        <v>1204</v>
      </c>
      <c r="F277" s="317">
        <v>4300640</v>
      </c>
      <c r="G277" s="318"/>
      <c r="H277" s="319"/>
      <c r="I277" s="320"/>
      <c r="J277" s="337">
        <v>1455</v>
      </c>
      <c r="K277" s="321">
        <v>8222.5</v>
      </c>
      <c r="L277" s="321">
        <v>2543.75</v>
      </c>
      <c r="M277" s="321">
        <v>4455.25</v>
      </c>
      <c r="N277" s="321">
        <v>5999</v>
      </c>
      <c r="O277" s="321">
        <v>4973</v>
      </c>
      <c r="P277" s="321">
        <v>0</v>
      </c>
      <c r="Q277" s="321">
        <v>6626.5</v>
      </c>
      <c r="R277" s="321">
        <v>12318.25</v>
      </c>
      <c r="S277" s="321">
        <v>2306</v>
      </c>
      <c r="T277" s="321">
        <v>2188.5</v>
      </c>
      <c r="U277" s="322">
        <v>8391.5</v>
      </c>
      <c r="V277" s="323">
        <v>59479.25</v>
      </c>
      <c r="W277" s="303"/>
      <c r="X277" s="324">
        <v>8391.5</v>
      </c>
      <c r="Y277" s="325">
        <v>59479.25</v>
      </c>
    </row>
    <row r="278" spans="5:25" x14ac:dyDescent="0.3">
      <c r="E278" s="250" t="s">
        <v>1205</v>
      </c>
      <c r="F278" s="317">
        <v>4300641</v>
      </c>
      <c r="G278" s="318"/>
      <c r="H278" s="319"/>
      <c r="I278" s="320"/>
      <c r="J278" s="337">
        <v>0</v>
      </c>
      <c r="K278" s="321">
        <v>0</v>
      </c>
      <c r="L278" s="321">
        <v>0</v>
      </c>
      <c r="M278" s="321">
        <v>0</v>
      </c>
      <c r="N278" s="321">
        <v>0</v>
      </c>
      <c r="O278" s="321">
        <v>0</v>
      </c>
      <c r="P278" s="321">
        <v>0</v>
      </c>
      <c r="Q278" s="321">
        <v>0</v>
      </c>
      <c r="R278" s="321">
        <v>0</v>
      </c>
      <c r="S278" s="321">
        <v>0</v>
      </c>
      <c r="T278" s="321">
        <v>0</v>
      </c>
      <c r="U278" s="322">
        <v>0</v>
      </c>
      <c r="V278" s="323">
        <v>0</v>
      </c>
      <c r="W278" s="303"/>
      <c r="X278" s="324">
        <v>0</v>
      </c>
      <c r="Y278" s="325">
        <v>0</v>
      </c>
    </row>
    <row r="279" spans="5:25" x14ac:dyDescent="0.3">
      <c r="E279" s="250" t="s">
        <v>1206</v>
      </c>
      <c r="F279" s="317">
        <v>4300642</v>
      </c>
      <c r="G279" s="318"/>
      <c r="H279" s="319"/>
      <c r="I279" s="320"/>
      <c r="J279" s="337">
        <v>3584</v>
      </c>
      <c r="K279" s="321">
        <v>2636</v>
      </c>
      <c r="L279" s="321">
        <v>2752</v>
      </c>
      <c r="M279" s="321">
        <v>2916</v>
      </c>
      <c r="N279" s="321">
        <v>2664</v>
      </c>
      <c r="O279" s="321">
        <v>2836</v>
      </c>
      <c r="P279" s="321">
        <v>3080</v>
      </c>
      <c r="Q279" s="321">
        <v>2680</v>
      </c>
      <c r="R279" s="321">
        <v>2524</v>
      </c>
      <c r="S279" s="321">
        <v>1822</v>
      </c>
      <c r="T279" s="321">
        <v>2825</v>
      </c>
      <c r="U279" s="322">
        <v>2349</v>
      </c>
      <c r="V279" s="323">
        <v>32668</v>
      </c>
      <c r="W279" s="303"/>
      <c r="X279" s="324">
        <v>2349</v>
      </c>
      <c r="Y279" s="325">
        <v>32668</v>
      </c>
    </row>
    <row r="280" spans="5:25" x14ac:dyDescent="0.3">
      <c r="E280" s="250" t="s">
        <v>1207</v>
      </c>
      <c r="F280" s="317">
        <v>4300643</v>
      </c>
      <c r="G280" s="318"/>
      <c r="H280" s="319"/>
      <c r="I280" s="320"/>
      <c r="J280" s="337">
        <v>-2870.91</v>
      </c>
      <c r="K280" s="321">
        <v>699.4</v>
      </c>
      <c r="L280" s="321">
        <v>1829.6</v>
      </c>
      <c r="M280" s="321">
        <v>0</v>
      </c>
      <c r="N280" s="321">
        <v>439</v>
      </c>
      <c r="O280" s="321">
        <v>462</v>
      </c>
      <c r="P280" s="321">
        <v>-8140.1</v>
      </c>
      <c r="Q280" s="321">
        <v>600.6</v>
      </c>
      <c r="R280" s="321">
        <v>873.4</v>
      </c>
      <c r="S280" s="321">
        <v>664.5</v>
      </c>
      <c r="T280" s="321">
        <v>4348.3739999999998</v>
      </c>
      <c r="U280" s="322">
        <v>1694.136</v>
      </c>
      <c r="V280" s="323">
        <v>599.99999999999955</v>
      </c>
      <c r="W280" s="303"/>
      <c r="X280" s="324">
        <v>1694.136</v>
      </c>
      <c r="Y280" s="325">
        <v>599.99999999999955</v>
      </c>
    </row>
    <row r="281" spans="5:25" x14ac:dyDescent="0.3">
      <c r="E281" s="250" t="s">
        <v>1208</v>
      </c>
      <c r="F281" s="317">
        <v>4300644</v>
      </c>
      <c r="G281" s="318"/>
      <c r="H281" s="319"/>
      <c r="I281" s="320"/>
      <c r="J281" s="337">
        <v>0</v>
      </c>
      <c r="K281" s="321">
        <v>0</v>
      </c>
      <c r="L281" s="321">
        <v>0</v>
      </c>
      <c r="M281" s="321">
        <v>-101.789</v>
      </c>
      <c r="N281" s="321">
        <v>0</v>
      </c>
      <c r="O281" s="321">
        <v>0</v>
      </c>
      <c r="P281" s="321">
        <v>-76.760999999999996</v>
      </c>
      <c r="Q281" s="321">
        <v>0</v>
      </c>
      <c r="R281" s="321">
        <v>0</v>
      </c>
      <c r="S281" s="321">
        <v>-165.124</v>
      </c>
      <c r="T281" s="321">
        <v>0</v>
      </c>
      <c r="U281" s="322">
        <v>-135.02799999999999</v>
      </c>
      <c r="V281" s="323">
        <v>-478.702</v>
      </c>
      <c r="W281" s="303"/>
      <c r="X281" s="324">
        <v>-135.02799999999999</v>
      </c>
      <c r="Y281" s="325">
        <v>-478.702</v>
      </c>
    </row>
    <row r="282" spans="5:25" x14ac:dyDescent="0.3">
      <c r="E282" s="250" t="s">
        <v>1209</v>
      </c>
      <c r="F282" s="317">
        <v>4300651</v>
      </c>
      <c r="G282" s="318"/>
      <c r="H282" s="319"/>
      <c r="I282" s="320"/>
      <c r="J282" s="337">
        <v>0</v>
      </c>
      <c r="K282" s="321">
        <v>0</v>
      </c>
      <c r="L282" s="321">
        <v>0</v>
      </c>
      <c r="M282" s="321">
        <v>-785.44799999999998</v>
      </c>
      <c r="N282" s="321">
        <v>0</v>
      </c>
      <c r="O282" s="321">
        <v>0</v>
      </c>
      <c r="P282" s="321">
        <v>-1713.7360000000001</v>
      </c>
      <c r="Q282" s="321">
        <v>0</v>
      </c>
      <c r="R282" s="321">
        <v>0</v>
      </c>
      <c r="S282" s="321">
        <v>-1645.8050000000001</v>
      </c>
      <c r="T282" s="321">
        <v>0</v>
      </c>
      <c r="U282" s="322">
        <v>-2440.5990000000002</v>
      </c>
      <c r="V282" s="323">
        <v>-6585.5880000000006</v>
      </c>
      <c r="W282" s="303"/>
      <c r="X282" s="324">
        <v>-2440.5990000000002</v>
      </c>
      <c r="Y282" s="325">
        <v>-6585.5880000000006</v>
      </c>
    </row>
    <row r="283" spans="5:25" x14ac:dyDescent="0.3">
      <c r="E283" s="250" t="s">
        <v>1210</v>
      </c>
      <c r="F283" s="317">
        <v>4300652</v>
      </c>
      <c r="G283" s="318"/>
      <c r="H283" s="319"/>
      <c r="I283" s="320"/>
      <c r="J283" s="337">
        <v>0</v>
      </c>
      <c r="K283" s="321">
        <v>0</v>
      </c>
      <c r="L283" s="321">
        <v>0</v>
      </c>
      <c r="M283" s="321">
        <v>0</v>
      </c>
      <c r="N283" s="321">
        <v>0</v>
      </c>
      <c r="O283" s="321">
        <v>0</v>
      </c>
      <c r="P283" s="321">
        <v>-21.951000000000001</v>
      </c>
      <c r="Q283" s="321">
        <v>0</v>
      </c>
      <c r="R283" s="321">
        <v>0</v>
      </c>
      <c r="S283" s="321">
        <v>0</v>
      </c>
      <c r="T283" s="321">
        <v>0</v>
      </c>
      <c r="U283" s="322">
        <v>-57.646000000000001</v>
      </c>
      <c r="V283" s="323">
        <v>-79.597000000000008</v>
      </c>
      <c r="W283" s="303"/>
      <c r="X283" s="324">
        <v>-57.646000000000001</v>
      </c>
      <c r="Y283" s="325">
        <v>-79.597000000000008</v>
      </c>
    </row>
    <row r="284" spans="5:25" x14ac:dyDescent="0.3">
      <c r="E284" s="250" t="s">
        <v>1211</v>
      </c>
      <c r="F284" s="317">
        <v>4300655</v>
      </c>
      <c r="G284" s="318"/>
      <c r="H284" s="319"/>
      <c r="I284" s="320"/>
      <c r="J284" s="337">
        <v>267.3</v>
      </c>
      <c r="K284" s="321">
        <v>317.85000000000002</v>
      </c>
      <c r="L284" s="321">
        <v>289.2</v>
      </c>
      <c r="M284" s="321">
        <v>264.45</v>
      </c>
      <c r="N284" s="321">
        <v>423</v>
      </c>
      <c r="O284" s="321">
        <v>423</v>
      </c>
      <c r="P284" s="321">
        <v>464.7</v>
      </c>
      <c r="Q284" s="321">
        <v>598.5</v>
      </c>
      <c r="R284" s="321">
        <v>598.5</v>
      </c>
      <c r="S284" s="321">
        <v>598.5</v>
      </c>
      <c r="T284" s="321">
        <v>598.5</v>
      </c>
      <c r="U284" s="322">
        <v>1060.6500000000001</v>
      </c>
      <c r="V284" s="323">
        <v>5904.15</v>
      </c>
      <c r="W284" s="303"/>
      <c r="X284" s="324">
        <v>1060.6500000000001</v>
      </c>
      <c r="Y284" s="325">
        <v>5904.15</v>
      </c>
    </row>
    <row r="285" spans="5:25" x14ac:dyDescent="0.3">
      <c r="E285" s="250" t="s">
        <v>1212</v>
      </c>
      <c r="F285" s="317">
        <v>4300656</v>
      </c>
      <c r="G285" s="318"/>
      <c r="H285" s="319"/>
      <c r="I285" s="320"/>
      <c r="J285" s="337">
        <v>600</v>
      </c>
      <c r="K285" s="321">
        <v>600</v>
      </c>
      <c r="L285" s="321">
        <v>600</v>
      </c>
      <c r="M285" s="321">
        <v>600</v>
      </c>
      <c r="N285" s="321">
        <v>600</v>
      </c>
      <c r="O285" s="321">
        <v>600</v>
      </c>
      <c r="P285" s="321">
        <v>600</v>
      </c>
      <c r="Q285" s="321">
        <v>600</v>
      </c>
      <c r="R285" s="321">
        <v>600</v>
      </c>
      <c r="S285" s="321">
        <v>600</v>
      </c>
      <c r="T285" s="321">
        <v>700</v>
      </c>
      <c r="U285" s="322">
        <v>1100</v>
      </c>
      <c r="V285" s="323">
        <v>7800</v>
      </c>
      <c r="W285" s="303"/>
      <c r="X285" s="324">
        <v>1100</v>
      </c>
      <c r="Y285" s="325">
        <v>7800</v>
      </c>
    </row>
    <row r="286" spans="5:25" x14ac:dyDescent="0.3">
      <c r="E286" s="250" t="s">
        <v>1213</v>
      </c>
      <c r="F286" s="317">
        <v>4300657</v>
      </c>
      <c r="G286" s="318"/>
      <c r="H286" s="319"/>
      <c r="I286" s="320"/>
      <c r="J286" s="337">
        <v>0</v>
      </c>
      <c r="K286" s="321">
        <v>0</v>
      </c>
      <c r="L286" s="321">
        <v>0</v>
      </c>
      <c r="M286" s="321">
        <v>0</v>
      </c>
      <c r="N286" s="321">
        <v>0</v>
      </c>
      <c r="O286" s="321">
        <v>0</v>
      </c>
      <c r="P286" s="321">
        <v>0</v>
      </c>
      <c r="Q286" s="321">
        <v>0</v>
      </c>
      <c r="R286" s="321">
        <v>0</v>
      </c>
      <c r="S286" s="321">
        <v>0</v>
      </c>
      <c r="T286" s="321">
        <v>0</v>
      </c>
      <c r="U286" s="322">
        <v>0</v>
      </c>
      <c r="V286" s="323">
        <v>0</v>
      </c>
      <c r="W286" s="303"/>
      <c r="X286" s="324">
        <v>0</v>
      </c>
      <c r="Y286" s="325">
        <v>0</v>
      </c>
    </row>
    <row r="287" spans="5:25" x14ac:dyDescent="0.3">
      <c r="E287" s="250" t="s">
        <v>1214</v>
      </c>
      <c r="F287" s="317">
        <v>4300658</v>
      </c>
      <c r="G287" s="318"/>
      <c r="H287" s="319"/>
      <c r="I287" s="320"/>
      <c r="J287" s="337">
        <v>0</v>
      </c>
      <c r="K287" s="321">
        <v>0</v>
      </c>
      <c r="L287" s="321">
        <v>0</v>
      </c>
      <c r="M287" s="321">
        <v>0</v>
      </c>
      <c r="N287" s="321">
        <v>0</v>
      </c>
      <c r="O287" s="321">
        <v>0</v>
      </c>
      <c r="P287" s="321">
        <v>0</v>
      </c>
      <c r="Q287" s="321">
        <v>0</v>
      </c>
      <c r="R287" s="321">
        <v>0</v>
      </c>
      <c r="S287" s="321">
        <v>0</v>
      </c>
      <c r="T287" s="321">
        <v>0</v>
      </c>
      <c r="U287" s="322">
        <v>0</v>
      </c>
      <c r="V287" s="323">
        <v>0</v>
      </c>
      <c r="W287" s="303"/>
      <c r="X287" s="324">
        <v>0</v>
      </c>
      <c r="Y287" s="325">
        <v>0</v>
      </c>
    </row>
    <row r="288" spans="5:25" x14ac:dyDescent="0.3">
      <c r="E288" s="250" t="s">
        <v>1215</v>
      </c>
      <c r="F288" s="317">
        <v>4300659</v>
      </c>
      <c r="G288" s="318"/>
      <c r="H288" s="319"/>
      <c r="I288" s="320"/>
      <c r="J288" s="337">
        <v>0</v>
      </c>
      <c r="K288" s="321">
        <v>0</v>
      </c>
      <c r="L288" s="321">
        <v>0</v>
      </c>
      <c r="M288" s="321">
        <v>0</v>
      </c>
      <c r="N288" s="321">
        <v>0</v>
      </c>
      <c r="O288" s="321">
        <v>0</v>
      </c>
      <c r="P288" s="321">
        <v>0</v>
      </c>
      <c r="Q288" s="321">
        <v>0</v>
      </c>
      <c r="R288" s="321">
        <v>0</v>
      </c>
      <c r="S288" s="321">
        <v>0</v>
      </c>
      <c r="T288" s="321">
        <v>0</v>
      </c>
      <c r="U288" s="322">
        <v>0</v>
      </c>
      <c r="V288" s="323">
        <v>0</v>
      </c>
      <c r="W288" s="303"/>
      <c r="X288" s="324">
        <v>0</v>
      </c>
      <c r="Y288" s="325">
        <v>0</v>
      </c>
    </row>
    <row r="289" spans="1:25" x14ac:dyDescent="0.3">
      <c r="E289" s="250" t="s">
        <v>1216</v>
      </c>
      <c r="F289" s="317">
        <v>4300681</v>
      </c>
      <c r="G289" s="318"/>
      <c r="H289" s="319"/>
      <c r="I289" s="320"/>
      <c r="J289" s="337">
        <v>8638.0519999999997</v>
      </c>
      <c r="K289" s="321">
        <v>10803.251</v>
      </c>
      <c r="L289" s="321">
        <v>20228.596000000001</v>
      </c>
      <c r="M289" s="321">
        <v>24280.116999999998</v>
      </c>
      <c r="N289" s="321">
        <v>12401.402</v>
      </c>
      <c r="O289" s="321">
        <v>8717.8070000000007</v>
      </c>
      <c r="P289" s="321">
        <v>12125.923000000001</v>
      </c>
      <c r="Q289" s="321">
        <v>13458.291999999999</v>
      </c>
      <c r="R289" s="321">
        <v>14039.014999999999</v>
      </c>
      <c r="S289" s="321">
        <v>9450.7209999999995</v>
      </c>
      <c r="T289" s="321">
        <v>14075.825000000001</v>
      </c>
      <c r="U289" s="322">
        <v>-937411.06200000003</v>
      </c>
      <c r="V289" s="323">
        <v>-789192.06099999999</v>
      </c>
      <c r="W289" s="303"/>
      <c r="X289" s="324">
        <v>-937411.06200000003</v>
      </c>
      <c r="Y289" s="325">
        <v>-789192.06099999999</v>
      </c>
    </row>
    <row r="290" spans="1:25" x14ac:dyDescent="0.3">
      <c r="E290" s="250" t="s">
        <v>1217</v>
      </c>
      <c r="F290" s="317">
        <v>4300682</v>
      </c>
      <c r="G290" s="318"/>
      <c r="H290" s="319"/>
      <c r="I290" s="320"/>
      <c r="J290" s="337">
        <v>-101.054</v>
      </c>
      <c r="K290" s="321">
        <v>-155.10400000000001</v>
      </c>
      <c r="L290" s="321">
        <v>45.64</v>
      </c>
      <c r="M290" s="321">
        <v>-20.332999999999998</v>
      </c>
      <c r="N290" s="321">
        <v>48.844000000000001</v>
      </c>
      <c r="O290" s="321">
        <v>48.844000000000001</v>
      </c>
      <c r="P290" s="321">
        <v>-176.947</v>
      </c>
      <c r="Q290" s="321">
        <v>70.210999999999999</v>
      </c>
      <c r="R290" s="321">
        <v>70.210999999999999</v>
      </c>
      <c r="S290" s="321">
        <v>70.210999999999999</v>
      </c>
      <c r="T290" s="321">
        <v>70.210999999999999</v>
      </c>
      <c r="U290" s="322">
        <v>594.17399999999998</v>
      </c>
      <c r="V290" s="323">
        <v>564.90800000000002</v>
      </c>
      <c r="W290" s="303"/>
      <c r="X290" s="324">
        <v>594.17399999999998</v>
      </c>
      <c r="Y290" s="325">
        <v>564.90800000000002</v>
      </c>
    </row>
    <row r="291" spans="1:25" x14ac:dyDescent="0.3">
      <c r="E291" s="250" t="s">
        <v>1218</v>
      </c>
      <c r="F291" s="317">
        <v>4300689</v>
      </c>
      <c r="G291" s="318"/>
      <c r="H291" s="319">
        <v>5101050123</v>
      </c>
      <c r="I291" s="320"/>
      <c r="J291" s="337">
        <v>3147.99</v>
      </c>
      <c r="K291" s="321">
        <v>3147.99</v>
      </c>
      <c r="L291" s="321">
        <v>3147.99</v>
      </c>
      <c r="M291" s="321">
        <v>3147.99</v>
      </c>
      <c r="N291" s="321">
        <v>3147.99</v>
      </c>
      <c r="O291" s="321">
        <v>3147.99</v>
      </c>
      <c r="P291" s="321">
        <v>3147.99</v>
      </c>
      <c r="Q291" s="321">
        <v>3147.99</v>
      </c>
      <c r="R291" s="321">
        <v>3147.99</v>
      </c>
      <c r="S291" s="321">
        <v>3147.99</v>
      </c>
      <c r="T291" s="321">
        <v>3147.99</v>
      </c>
      <c r="U291" s="322">
        <v>92119.837</v>
      </c>
      <c r="V291" s="323">
        <v>126747.72699999998</v>
      </c>
      <c r="W291" s="303"/>
      <c r="X291" s="324">
        <v>92119.837</v>
      </c>
      <c r="Y291" s="325">
        <v>126747.72699999998</v>
      </c>
    </row>
    <row r="292" spans="1:25" x14ac:dyDescent="0.3">
      <c r="E292" s="250" t="s">
        <v>1219</v>
      </c>
      <c r="F292" s="317">
        <v>4300691</v>
      </c>
      <c r="G292" s="318"/>
      <c r="H292" s="319"/>
      <c r="I292" s="320"/>
      <c r="J292" s="337">
        <v>0</v>
      </c>
      <c r="K292" s="321">
        <v>0</v>
      </c>
      <c r="L292" s="321">
        <v>0</v>
      </c>
      <c r="M292" s="321">
        <v>-371.161</v>
      </c>
      <c r="N292" s="321">
        <v>0</v>
      </c>
      <c r="O292" s="321">
        <v>0</v>
      </c>
      <c r="P292" s="321">
        <v>-548.91099999999994</v>
      </c>
      <c r="Q292" s="321">
        <v>0</v>
      </c>
      <c r="R292" s="321">
        <v>0</v>
      </c>
      <c r="S292" s="321">
        <v>-771.24099999999999</v>
      </c>
      <c r="T292" s="321">
        <v>0</v>
      </c>
      <c r="U292" s="322">
        <v>-725.65499999999997</v>
      </c>
      <c r="V292" s="323">
        <v>-2416.9679999999998</v>
      </c>
      <c r="W292" s="303"/>
      <c r="X292" s="324">
        <v>-725.65499999999997</v>
      </c>
      <c r="Y292" s="325">
        <v>-2416.9679999999998</v>
      </c>
    </row>
    <row r="293" spans="1:25" x14ac:dyDescent="0.3">
      <c r="E293" s="250" t="s">
        <v>1220</v>
      </c>
      <c r="F293" s="317">
        <v>4300698</v>
      </c>
      <c r="G293" s="318"/>
      <c r="H293" s="319"/>
      <c r="I293" s="320"/>
      <c r="J293" s="337">
        <v>1608.635</v>
      </c>
      <c r="K293" s="321">
        <v>6359.665</v>
      </c>
      <c r="L293" s="321">
        <v>3497.1770000000001</v>
      </c>
      <c r="M293" s="321">
        <v>4414.8140000000003</v>
      </c>
      <c r="N293" s="321">
        <v>3392.5839999999998</v>
      </c>
      <c r="O293" s="321">
        <v>3548.232</v>
      </c>
      <c r="P293" s="321">
        <v>5003.585</v>
      </c>
      <c r="Q293" s="321">
        <v>4788.3419999999996</v>
      </c>
      <c r="R293" s="321">
        <v>6232.0950000000003</v>
      </c>
      <c r="S293" s="321">
        <v>4627.2250000000004</v>
      </c>
      <c r="T293" s="321">
        <v>4373.7539999999999</v>
      </c>
      <c r="U293" s="322">
        <v>4074.3760000000002</v>
      </c>
      <c r="V293" s="323">
        <v>51920.483999999997</v>
      </c>
      <c r="W293" s="303"/>
      <c r="X293" s="324">
        <v>4074.3760000000002</v>
      </c>
      <c r="Y293" s="325">
        <v>51920.483999999997</v>
      </c>
    </row>
    <row r="294" spans="1:25" x14ac:dyDescent="0.3">
      <c r="E294" s="250" t="s">
        <v>1221</v>
      </c>
      <c r="F294" s="317">
        <v>4300699</v>
      </c>
      <c r="G294" s="318"/>
      <c r="H294" s="319"/>
      <c r="I294" s="320"/>
      <c r="J294" s="337">
        <v>1733.894</v>
      </c>
      <c r="K294" s="321">
        <v>0</v>
      </c>
      <c r="L294" s="321">
        <v>0</v>
      </c>
      <c r="M294" s="321">
        <v>2550.085</v>
      </c>
      <c r="N294" s="321">
        <v>0</v>
      </c>
      <c r="O294" s="321">
        <v>0</v>
      </c>
      <c r="P294" s="321">
        <v>2263.549</v>
      </c>
      <c r="Q294" s="321">
        <v>0</v>
      </c>
      <c r="R294" s="321">
        <v>27492.41</v>
      </c>
      <c r="S294" s="321">
        <v>2855.009</v>
      </c>
      <c r="T294" s="321">
        <v>452.3</v>
      </c>
      <c r="U294" s="322">
        <v>466.1</v>
      </c>
      <c r="V294" s="323">
        <v>37813.347000000002</v>
      </c>
      <c r="W294" s="303"/>
      <c r="X294" s="324">
        <v>466.1</v>
      </c>
      <c r="Y294" s="325">
        <v>37813.347000000002</v>
      </c>
    </row>
    <row r="295" spans="1:25" x14ac:dyDescent="0.3">
      <c r="A295" s="350"/>
      <c r="B295" s="350"/>
      <c r="C295" s="350"/>
      <c r="D295" s="350"/>
      <c r="E295" s="326" t="s">
        <v>1222</v>
      </c>
      <c r="F295" s="306"/>
      <c r="G295" s="307"/>
      <c r="H295" s="308"/>
      <c r="I295" s="309"/>
      <c r="J295" s="310">
        <v>0</v>
      </c>
      <c r="K295" s="311">
        <v>0</v>
      </c>
      <c r="L295" s="311">
        <v>0</v>
      </c>
      <c r="M295" s="311">
        <v>0</v>
      </c>
      <c r="N295" s="311">
        <v>0</v>
      </c>
      <c r="O295" s="311">
        <v>0</v>
      </c>
      <c r="P295" s="311">
        <v>0</v>
      </c>
      <c r="Q295" s="311">
        <v>0</v>
      </c>
      <c r="R295" s="311">
        <v>0</v>
      </c>
      <c r="S295" s="311">
        <v>0</v>
      </c>
      <c r="T295" s="311">
        <v>0</v>
      </c>
      <c r="U295" s="312">
        <v>0</v>
      </c>
      <c r="V295" s="313">
        <v>0</v>
      </c>
      <c r="W295" s="314"/>
      <c r="X295" s="315">
        <v>0</v>
      </c>
      <c r="Y295" s="316">
        <v>0</v>
      </c>
    </row>
    <row r="296" spans="1:25" x14ac:dyDescent="0.3">
      <c r="A296" s="361"/>
      <c r="B296" s="361"/>
      <c r="C296" s="361"/>
      <c r="D296" s="361"/>
      <c r="E296" s="326" t="s">
        <v>1223</v>
      </c>
      <c r="F296" s="351"/>
      <c r="G296" s="352"/>
      <c r="H296" s="353"/>
      <c r="I296" s="354"/>
      <c r="J296" s="362">
        <v>0</v>
      </c>
      <c r="K296" s="355">
        <v>0</v>
      </c>
      <c r="L296" s="355">
        <v>0</v>
      </c>
      <c r="M296" s="355">
        <v>0</v>
      </c>
      <c r="N296" s="355">
        <v>0</v>
      </c>
      <c r="O296" s="355">
        <v>0</v>
      </c>
      <c r="P296" s="355">
        <v>0</v>
      </c>
      <c r="Q296" s="355">
        <v>0</v>
      </c>
      <c r="R296" s="355">
        <v>0</v>
      </c>
      <c r="S296" s="355">
        <v>0</v>
      </c>
      <c r="T296" s="355">
        <v>0</v>
      </c>
      <c r="U296" s="356">
        <v>0</v>
      </c>
      <c r="V296" s="357">
        <v>0</v>
      </c>
      <c r="W296" s="358"/>
      <c r="X296" s="359">
        <v>0</v>
      </c>
      <c r="Y296" s="360">
        <v>0</v>
      </c>
    </row>
    <row r="297" spans="1:25" x14ac:dyDescent="0.3">
      <c r="A297" s="361"/>
      <c r="B297" s="361"/>
      <c r="C297" s="361"/>
      <c r="D297" s="361"/>
      <c r="E297" s="326" t="s">
        <v>1224</v>
      </c>
      <c r="F297" s="351"/>
      <c r="G297" s="352"/>
      <c r="H297" s="353"/>
      <c r="I297" s="354"/>
      <c r="J297" s="362">
        <v>0</v>
      </c>
      <c r="K297" s="355">
        <v>0</v>
      </c>
      <c r="L297" s="355">
        <v>0</v>
      </c>
      <c r="M297" s="355">
        <v>0</v>
      </c>
      <c r="N297" s="355">
        <v>0</v>
      </c>
      <c r="O297" s="355">
        <v>0</v>
      </c>
      <c r="P297" s="355">
        <v>0</v>
      </c>
      <c r="Q297" s="355">
        <v>0</v>
      </c>
      <c r="R297" s="355">
        <v>0</v>
      </c>
      <c r="S297" s="355">
        <v>0</v>
      </c>
      <c r="T297" s="355">
        <v>0</v>
      </c>
      <c r="U297" s="356">
        <v>0</v>
      </c>
      <c r="V297" s="357">
        <v>0</v>
      </c>
      <c r="W297" s="358"/>
      <c r="X297" s="359">
        <v>0</v>
      </c>
      <c r="Y297" s="360">
        <v>0</v>
      </c>
    </row>
    <row r="298" spans="1:25" x14ac:dyDescent="0.3">
      <c r="A298" s="3"/>
      <c r="B298" s="240" t="s">
        <v>69</v>
      </c>
      <c r="C298" s="3"/>
      <c r="D298" s="363" t="s">
        <v>1225</v>
      </c>
      <c r="E298" s="364"/>
      <c r="F298" s="365"/>
      <c r="G298" s="366"/>
      <c r="H298" s="367"/>
      <c r="I298" s="368"/>
      <c r="J298" s="369">
        <v>211005.99699999986</v>
      </c>
      <c r="K298" s="370">
        <v>171980.61500000005</v>
      </c>
      <c r="L298" s="370">
        <v>745814.53299999982</v>
      </c>
      <c r="M298" s="370">
        <v>367474.9259999998</v>
      </c>
      <c r="N298" s="370">
        <v>569554.23399999994</v>
      </c>
      <c r="O298" s="370">
        <v>438534.658</v>
      </c>
      <c r="P298" s="370">
        <v>686115.77500000026</v>
      </c>
      <c r="Q298" s="370">
        <v>850439.25100000051</v>
      </c>
      <c r="R298" s="370">
        <v>-5454305.6030000001</v>
      </c>
      <c r="S298" s="370">
        <v>-34881.833999999973</v>
      </c>
      <c r="T298" s="370">
        <v>-123161.91800000006</v>
      </c>
      <c r="U298" s="371">
        <v>599999.83700000017</v>
      </c>
      <c r="V298" s="372">
        <v>-971429.5290000001</v>
      </c>
      <c r="W298" s="277"/>
      <c r="X298" s="373">
        <v>599999.83700000017</v>
      </c>
      <c r="Y298" s="374">
        <v>-971429.5290000001</v>
      </c>
    </row>
    <row r="299" spans="1:25" x14ac:dyDescent="0.3">
      <c r="A299" s="233"/>
      <c r="B299" s="234" t="s">
        <v>31</v>
      </c>
      <c r="D299" s="293" t="s">
        <v>1226</v>
      </c>
      <c r="E299" s="294"/>
      <c r="F299" s="295" t="s">
        <v>1227</v>
      </c>
      <c r="G299" s="296"/>
      <c r="H299" s="297"/>
      <c r="I299" s="298"/>
      <c r="J299" s="299">
        <v>14722.993999999999</v>
      </c>
      <c r="K299" s="300">
        <v>3284.8629999999998</v>
      </c>
      <c r="L299" s="300">
        <v>17722.573</v>
      </c>
      <c r="M299" s="300">
        <v>3460.6780000000003</v>
      </c>
      <c r="N299" s="300">
        <v>32637.821</v>
      </c>
      <c r="O299" s="300">
        <v>34638.631999999998</v>
      </c>
      <c r="P299" s="300">
        <v>2294.8040000000001</v>
      </c>
      <c r="Q299" s="300">
        <v>13490.362000000001</v>
      </c>
      <c r="R299" s="300">
        <v>28446.605999999996</v>
      </c>
      <c r="S299" s="300">
        <v>140.429</v>
      </c>
      <c r="T299" s="300">
        <v>9643.2090000000007</v>
      </c>
      <c r="U299" s="301">
        <v>68385.03</v>
      </c>
      <c r="V299" s="302">
        <v>228868.00100000002</v>
      </c>
      <c r="W299" s="303"/>
      <c r="X299" s="304">
        <v>68385.03</v>
      </c>
      <c r="Y299" s="305">
        <v>228868.00100000002</v>
      </c>
    </row>
    <row r="300" spans="1:25" x14ac:dyDescent="0.3">
      <c r="E300" s="250" t="s">
        <v>1228</v>
      </c>
      <c r="F300" s="317">
        <v>4305001</v>
      </c>
      <c r="G300" s="318"/>
      <c r="H300" s="319">
        <v>5101070101</v>
      </c>
      <c r="I300" s="320"/>
      <c r="J300" s="337">
        <v>0</v>
      </c>
      <c r="K300" s="321">
        <v>758.56</v>
      </c>
      <c r="L300" s="321">
        <v>0</v>
      </c>
      <c r="M300" s="321">
        <v>0</v>
      </c>
      <c r="N300" s="321">
        <v>0</v>
      </c>
      <c r="O300" s="321">
        <v>0</v>
      </c>
      <c r="P300" s="321">
        <v>-33.6</v>
      </c>
      <c r="Q300" s="321">
        <v>0</v>
      </c>
      <c r="R300" s="321">
        <v>20650.083999999999</v>
      </c>
      <c r="S300" s="321">
        <v>480.00900000000001</v>
      </c>
      <c r="T300" s="321">
        <v>1677.12</v>
      </c>
      <c r="U300" s="322">
        <v>3142.6709999999998</v>
      </c>
      <c r="V300" s="323">
        <v>26674.843999999997</v>
      </c>
      <c r="W300" s="303"/>
      <c r="X300" s="324">
        <v>3142.6709999999998</v>
      </c>
      <c r="Y300" s="325">
        <v>26674.843999999997</v>
      </c>
    </row>
    <row r="301" spans="1:25" x14ac:dyDescent="0.3">
      <c r="E301" s="250" t="s">
        <v>1229</v>
      </c>
      <c r="F301" s="317">
        <v>4305002</v>
      </c>
      <c r="G301" s="318"/>
      <c r="H301" s="319"/>
      <c r="I301" s="320"/>
      <c r="J301" s="337">
        <v>0</v>
      </c>
      <c r="K301" s="321">
        <v>242.524</v>
      </c>
      <c r="L301" s="321">
        <v>1132.5</v>
      </c>
      <c r="M301" s="321">
        <v>0</v>
      </c>
      <c r="N301" s="321">
        <v>23833.966</v>
      </c>
      <c r="O301" s="321">
        <v>0</v>
      </c>
      <c r="P301" s="321">
        <v>149</v>
      </c>
      <c r="Q301" s="321">
        <v>11605</v>
      </c>
      <c r="R301" s="321">
        <v>1523.568</v>
      </c>
      <c r="S301" s="321">
        <v>182.74799999999999</v>
      </c>
      <c r="T301" s="321">
        <v>84.921999999999997</v>
      </c>
      <c r="U301" s="322">
        <v>3853.8939999999998</v>
      </c>
      <c r="V301" s="323">
        <v>42608.122000000003</v>
      </c>
      <c r="W301" s="303"/>
      <c r="X301" s="324">
        <v>3853.8939999999998</v>
      </c>
      <c r="Y301" s="325">
        <v>42608.122000000003</v>
      </c>
    </row>
    <row r="302" spans="1:25" x14ac:dyDescent="0.3">
      <c r="E302" s="250" t="s">
        <v>1230</v>
      </c>
      <c r="F302" s="317">
        <v>4305003</v>
      </c>
      <c r="G302" s="318"/>
      <c r="H302" s="319">
        <v>5101070103</v>
      </c>
      <c r="I302" s="320"/>
      <c r="J302" s="337">
        <v>-2151.84</v>
      </c>
      <c r="K302" s="321">
        <v>120.3</v>
      </c>
      <c r="L302" s="321">
        <v>7805.1729999999998</v>
      </c>
      <c r="M302" s="321">
        <v>1508.452</v>
      </c>
      <c r="N302" s="321">
        <v>4194.9340000000002</v>
      </c>
      <c r="O302" s="321">
        <v>1925.4590000000001</v>
      </c>
      <c r="P302" s="321">
        <v>839.4</v>
      </c>
      <c r="Q302" s="321">
        <v>131.67400000000001</v>
      </c>
      <c r="R302" s="321">
        <v>881.18799999999999</v>
      </c>
      <c r="S302" s="321">
        <v>-2554.7190000000001</v>
      </c>
      <c r="T302" s="321">
        <v>6491.1670000000004</v>
      </c>
      <c r="U302" s="322">
        <v>-2461.2020000000002</v>
      </c>
      <c r="V302" s="323">
        <v>16729.986000000001</v>
      </c>
      <c r="W302" s="303"/>
      <c r="X302" s="324">
        <v>-2461.2020000000002</v>
      </c>
      <c r="Y302" s="325">
        <v>16729.986000000001</v>
      </c>
    </row>
    <row r="303" spans="1:25" x14ac:dyDescent="0.3">
      <c r="E303" s="250" t="s">
        <v>1231</v>
      </c>
      <c r="F303" s="317">
        <v>4305004</v>
      </c>
      <c r="G303" s="318"/>
      <c r="H303" s="319"/>
      <c r="I303" s="320"/>
      <c r="J303" s="337">
        <v>0</v>
      </c>
      <c r="K303" s="321">
        <v>0</v>
      </c>
      <c r="L303" s="321">
        <v>2990</v>
      </c>
      <c r="M303" s="321">
        <v>0</v>
      </c>
      <c r="N303" s="321">
        <v>343</v>
      </c>
      <c r="O303" s="321">
        <v>0</v>
      </c>
      <c r="P303" s="321">
        <v>99</v>
      </c>
      <c r="Q303" s="321">
        <v>0</v>
      </c>
      <c r="R303" s="321">
        <v>0</v>
      </c>
      <c r="S303" s="321">
        <v>1000</v>
      </c>
      <c r="T303" s="321">
        <v>350</v>
      </c>
      <c r="U303" s="322">
        <v>3990</v>
      </c>
      <c r="V303" s="323">
        <v>8772</v>
      </c>
      <c r="W303" s="303"/>
      <c r="X303" s="324">
        <v>3990</v>
      </c>
      <c r="Y303" s="325">
        <v>8772</v>
      </c>
    </row>
    <row r="304" spans="1:25" x14ac:dyDescent="0.3">
      <c r="E304" s="250" t="s">
        <v>1232</v>
      </c>
      <c r="F304" s="317">
        <v>4305005</v>
      </c>
      <c r="G304" s="318"/>
      <c r="H304" s="319">
        <v>5101070105</v>
      </c>
      <c r="I304" s="320"/>
      <c r="J304" s="337">
        <v>0</v>
      </c>
      <c r="K304" s="321">
        <v>0</v>
      </c>
      <c r="L304" s="321">
        <v>0</v>
      </c>
      <c r="M304" s="321">
        <v>0</v>
      </c>
      <c r="N304" s="321">
        <v>0</v>
      </c>
      <c r="O304" s="321">
        <v>0</v>
      </c>
      <c r="P304" s="321">
        <v>0</v>
      </c>
      <c r="Q304" s="321">
        <v>0</v>
      </c>
      <c r="R304" s="321">
        <v>0</v>
      </c>
      <c r="S304" s="321">
        <v>0</v>
      </c>
      <c r="T304" s="321">
        <v>0</v>
      </c>
      <c r="U304" s="322">
        <v>0</v>
      </c>
      <c r="V304" s="323">
        <v>0</v>
      </c>
      <c r="W304" s="303"/>
      <c r="X304" s="324">
        <v>0</v>
      </c>
      <c r="Y304" s="325">
        <v>0</v>
      </c>
    </row>
    <row r="305" spans="1:25" x14ac:dyDescent="0.3">
      <c r="E305" s="250" t="s">
        <v>1233</v>
      </c>
      <c r="F305" s="317">
        <v>4305006</v>
      </c>
      <c r="G305" s="318"/>
      <c r="H305" s="319">
        <v>5101070199</v>
      </c>
      <c r="I305" s="320"/>
      <c r="J305" s="337">
        <v>0</v>
      </c>
      <c r="K305" s="321">
        <v>0</v>
      </c>
      <c r="L305" s="321">
        <v>0</v>
      </c>
      <c r="M305" s="321">
        <v>0</v>
      </c>
      <c r="N305" s="321">
        <v>0</v>
      </c>
      <c r="O305" s="321">
        <v>0</v>
      </c>
      <c r="P305" s="321">
        <v>0</v>
      </c>
      <c r="Q305" s="321">
        <v>0</v>
      </c>
      <c r="R305" s="321">
        <v>0</v>
      </c>
      <c r="S305" s="321">
        <v>0</v>
      </c>
      <c r="T305" s="321">
        <v>0</v>
      </c>
      <c r="U305" s="322">
        <v>3229.2809999999999</v>
      </c>
      <c r="V305" s="323">
        <v>3229.2809999999999</v>
      </c>
      <c r="W305" s="303"/>
      <c r="X305" s="324">
        <v>3229.2809999999999</v>
      </c>
      <c r="Y305" s="325">
        <v>3229.2809999999999</v>
      </c>
    </row>
    <row r="306" spans="1:25" x14ac:dyDescent="0.3">
      <c r="E306" s="250" t="s">
        <v>1234</v>
      </c>
      <c r="F306" s="317">
        <v>4305010</v>
      </c>
      <c r="G306" s="318"/>
      <c r="H306" s="319">
        <v>5101070107</v>
      </c>
      <c r="I306" s="320"/>
      <c r="J306" s="337">
        <v>16874.833999999999</v>
      </c>
      <c r="K306" s="321">
        <v>2163.4789999999998</v>
      </c>
      <c r="L306" s="321">
        <v>3480.1</v>
      </c>
      <c r="M306" s="321">
        <v>1339.21</v>
      </c>
      <c r="N306" s="321">
        <v>1100.171</v>
      </c>
      <c r="O306" s="321">
        <v>1303.173</v>
      </c>
      <c r="P306" s="321">
        <v>1156.684</v>
      </c>
      <c r="Q306" s="321">
        <v>1748.6880000000001</v>
      </c>
      <c r="R306" s="321">
        <v>2710.3159999999998</v>
      </c>
      <c r="S306" s="321">
        <v>1040</v>
      </c>
      <c r="T306" s="321">
        <v>1040</v>
      </c>
      <c r="U306" s="322">
        <v>27831.381000000001</v>
      </c>
      <c r="V306" s="323">
        <v>61788.035999999993</v>
      </c>
      <c r="W306" s="303"/>
      <c r="X306" s="324">
        <v>27831.381000000001</v>
      </c>
      <c r="Y306" s="325">
        <v>61788.035999999993</v>
      </c>
    </row>
    <row r="307" spans="1:25" x14ac:dyDescent="0.3">
      <c r="E307" s="250" t="s">
        <v>1235</v>
      </c>
      <c r="F307" s="317">
        <v>4305013</v>
      </c>
      <c r="G307" s="318"/>
      <c r="H307" s="319">
        <v>5101070111</v>
      </c>
      <c r="I307" s="320"/>
      <c r="J307" s="337">
        <v>0</v>
      </c>
      <c r="K307" s="321">
        <v>0</v>
      </c>
      <c r="L307" s="321">
        <v>0</v>
      </c>
      <c r="M307" s="321">
        <v>0</v>
      </c>
      <c r="N307" s="321">
        <v>0</v>
      </c>
      <c r="O307" s="321">
        <v>0</v>
      </c>
      <c r="P307" s="321">
        <v>0</v>
      </c>
      <c r="Q307" s="321">
        <v>0</v>
      </c>
      <c r="R307" s="321">
        <v>0</v>
      </c>
      <c r="S307" s="321">
        <v>0</v>
      </c>
      <c r="T307" s="321">
        <v>0</v>
      </c>
      <c r="U307" s="322">
        <v>25500.635999999999</v>
      </c>
      <c r="V307" s="323">
        <v>25500.635999999999</v>
      </c>
      <c r="W307" s="303"/>
      <c r="X307" s="324">
        <v>25500.635999999999</v>
      </c>
      <c r="Y307" s="325">
        <v>25500.635999999999</v>
      </c>
    </row>
    <row r="308" spans="1:25" x14ac:dyDescent="0.3">
      <c r="E308" s="250" t="s">
        <v>1236</v>
      </c>
      <c r="F308" s="317">
        <v>4305014</v>
      </c>
      <c r="G308" s="318"/>
      <c r="H308" s="319">
        <v>5101070113</v>
      </c>
      <c r="I308" s="320"/>
      <c r="J308" s="337">
        <v>0</v>
      </c>
      <c r="K308" s="321">
        <v>0</v>
      </c>
      <c r="L308" s="321">
        <v>0</v>
      </c>
      <c r="M308" s="321">
        <v>0</v>
      </c>
      <c r="N308" s="321">
        <v>0</v>
      </c>
      <c r="O308" s="321">
        <v>31410</v>
      </c>
      <c r="P308" s="321">
        <v>0</v>
      </c>
      <c r="Q308" s="321">
        <v>5</v>
      </c>
      <c r="R308" s="321">
        <v>0</v>
      </c>
      <c r="S308" s="321">
        <v>-0.45500000000000002</v>
      </c>
      <c r="T308" s="321">
        <v>0</v>
      </c>
      <c r="U308" s="322">
        <v>30</v>
      </c>
      <c r="V308" s="323">
        <v>31444.544999999998</v>
      </c>
      <c r="W308" s="303"/>
      <c r="X308" s="324">
        <v>30</v>
      </c>
      <c r="Y308" s="325">
        <v>31444.544999999998</v>
      </c>
    </row>
    <row r="309" spans="1:25" x14ac:dyDescent="0.3">
      <c r="E309" s="250" t="s">
        <v>1237</v>
      </c>
      <c r="F309" s="317">
        <v>4305015</v>
      </c>
      <c r="G309" s="318"/>
      <c r="H309" s="319"/>
      <c r="I309" s="320"/>
      <c r="J309" s="337">
        <v>0</v>
      </c>
      <c r="K309" s="321">
        <v>0</v>
      </c>
      <c r="L309" s="321">
        <v>0</v>
      </c>
      <c r="M309" s="321">
        <v>0</v>
      </c>
      <c r="N309" s="321">
        <v>0</v>
      </c>
      <c r="O309" s="321">
        <v>0</v>
      </c>
      <c r="P309" s="321">
        <v>0</v>
      </c>
      <c r="Q309" s="321">
        <v>0</v>
      </c>
      <c r="R309" s="321">
        <v>0</v>
      </c>
      <c r="S309" s="321">
        <v>0</v>
      </c>
      <c r="T309" s="321">
        <v>0</v>
      </c>
      <c r="U309" s="322">
        <v>0</v>
      </c>
      <c r="V309" s="323">
        <v>0</v>
      </c>
      <c r="W309" s="303"/>
      <c r="X309" s="324">
        <v>0</v>
      </c>
      <c r="Y309" s="325">
        <v>0</v>
      </c>
    </row>
    <row r="310" spans="1:25" x14ac:dyDescent="0.3">
      <c r="E310" s="250" t="s">
        <v>1238</v>
      </c>
      <c r="F310" s="317">
        <v>4305016</v>
      </c>
      <c r="G310" s="318"/>
      <c r="H310" s="319">
        <v>5101070115</v>
      </c>
      <c r="I310" s="320"/>
      <c r="J310" s="337">
        <v>0</v>
      </c>
      <c r="K310" s="321">
        <v>0</v>
      </c>
      <c r="L310" s="321">
        <v>0</v>
      </c>
      <c r="M310" s="321">
        <v>613.01599999999996</v>
      </c>
      <c r="N310" s="321">
        <v>3039.03</v>
      </c>
      <c r="O310" s="321">
        <v>0</v>
      </c>
      <c r="P310" s="321">
        <v>0</v>
      </c>
      <c r="Q310" s="321">
        <v>0</v>
      </c>
      <c r="R310" s="321">
        <v>0</v>
      </c>
      <c r="S310" s="321">
        <v>0</v>
      </c>
      <c r="T310" s="321">
        <v>0</v>
      </c>
      <c r="U310" s="322">
        <v>3268.3690000000001</v>
      </c>
      <c r="V310" s="323">
        <v>6920.4150000000009</v>
      </c>
      <c r="W310" s="303"/>
      <c r="X310" s="324">
        <v>3268.3690000000001</v>
      </c>
      <c r="Y310" s="325">
        <v>6920.4150000000009</v>
      </c>
    </row>
    <row r="311" spans="1:25" x14ac:dyDescent="0.3">
      <c r="E311" s="250" t="s">
        <v>1239</v>
      </c>
      <c r="F311" s="317">
        <v>4305017</v>
      </c>
      <c r="G311" s="318"/>
      <c r="H311" s="319"/>
      <c r="I311" s="320"/>
      <c r="J311" s="337">
        <v>0</v>
      </c>
      <c r="K311" s="321">
        <v>0</v>
      </c>
      <c r="L311" s="321">
        <v>0</v>
      </c>
      <c r="M311" s="321">
        <v>0</v>
      </c>
      <c r="N311" s="321">
        <v>0</v>
      </c>
      <c r="O311" s="321">
        <v>0</v>
      </c>
      <c r="P311" s="321">
        <v>0</v>
      </c>
      <c r="Q311" s="321">
        <v>0</v>
      </c>
      <c r="R311" s="321">
        <v>0</v>
      </c>
      <c r="S311" s="321">
        <v>0</v>
      </c>
      <c r="T311" s="321">
        <v>0</v>
      </c>
      <c r="U311" s="322">
        <v>0</v>
      </c>
      <c r="V311" s="323">
        <v>0</v>
      </c>
      <c r="W311" s="303"/>
      <c r="X311" s="324">
        <v>0</v>
      </c>
      <c r="Y311" s="325">
        <v>0</v>
      </c>
    </row>
    <row r="312" spans="1:25" x14ac:dyDescent="0.3">
      <c r="E312" s="250" t="s">
        <v>1240</v>
      </c>
      <c r="F312" s="317">
        <v>4305018</v>
      </c>
      <c r="G312" s="318"/>
      <c r="H312" s="319"/>
      <c r="I312" s="320"/>
      <c r="J312" s="337">
        <v>0</v>
      </c>
      <c r="K312" s="321">
        <v>0</v>
      </c>
      <c r="L312" s="321">
        <v>0</v>
      </c>
      <c r="M312" s="321">
        <v>0</v>
      </c>
      <c r="N312" s="321">
        <v>0</v>
      </c>
      <c r="O312" s="321">
        <v>0</v>
      </c>
      <c r="P312" s="321">
        <v>0</v>
      </c>
      <c r="Q312" s="321">
        <v>0</v>
      </c>
      <c r="R312" s="321">
        <v>0</v>
      </c>
      <c r="S312" s="321">
        <v>0</v>
      </c>
      <c r="T312" s="321">
        <v>0</v>
      </c>
      <c r="U312" s="322">
        <v>0</v>
      </c>
      <c r="V312" s="323">
        <v>0</v>
      </c>
      <c r="W312" s="303"/>
      <c r="X312" s="324">
        <v>0</v>
      </c>
      <c r="Y312" s="325">
        <v>0</v>
      </c>
    </row>
    <row r="313" spans="1:25" x14ac:dyDescent="0.3">
      <c r="E313" s="250" t="s">
        <v>1241</v>
      </c>
      <c r="F313" s="317">
        <v>4305099</v>
      </c>
      <c r="G313" s="318"/>
      <c r="H313" s="319">
        <v>5101070109</v>
      </c>
      <c r="I313" s="320"/>
      <c r="J313" s="337">
        <v>0</v>
      </c>
      <c r="K313" s="321">
        <v>0</v>
      </c>
      <c r="L313" s="321">
        <v>2314.8000000000002</v>
      </c>
      <c r="M313" s="321">
        <v>0</v>
      </c>
      <c r="N313" s="321">
        <v>0</v>
      </c>
      <c r="O313" s="321">
        <v>0</v>
      </c>
      <c r="P313" s="321">
        <v>0</v>
      </c>
      <c r="Q313" s="321">
        <v>0</v>
      </c>
      <c r="R313" s="321">
        <v>2681.45</v>
      </c>
      <c r="S313" s="321">
        <v>-7.1539999999999999</v>
      </c>
      <c r="T313" s="321">
        <v>0</v>
      </c>
      <c r="U313" s="322">
        <v>0</v>
      </c>
      <c r="V313" s="323">
        <v>4989.0959999999995</v>
      </c>
      <c r="W313" s="303"/>
      <c r="X313" s="324">
        <v>0</v>
      </c>
      <c r="Y313" s="325">
        <v>4989.0959999999995</v>
      </c>
    </row>
    <row r="314" spans="1:25" x14ac:dyDescent="0.3">
      <c r="A314" s="361"/>
      <c r="B314" s="361"/>
      <c r="C314" s="361"/>
      <c r="D314" s="361"/>
      <c r="E314" s="350" t="s">
        <v>1242</v>
      </c>
      <c r="F314" s="306">
        <v>4305011</v>
      </c>
      <c r="G314" s="307"/>
      <c r="H314" s="308"/>
      <c r="I314" s="309"/>
      <c r="J314" s="310">
        <v>0</v>
      </c>
      <c r="K314" s="311">
        <v>0</v>
      </c>
      <c r="L314" s="311">
        <v>0</v>
      </c>
      <c r="M314" s="311">
        <v>0</v>
      </c>
      <c r="N314" s="311">
        <v>126.72</v>
      </c>
      <c r="O314" s="311">
        <v>0</v>
      </c>
      <c r="P314" s="311">
        <v>84.32</v>
      </c>
      <c r="Q314" s="311">
        <v>0</v>
      </c>
      <c r="R314" s="311">
        <v>0</v>
      </c>
      <c r="S314" s="311">
        <v>0</v>
      </c>
      <c r="T314" s="311">
        <v>0</v>
      </c>
      <c r="U314" s="312">
        <v>0</v>
      </c>
      <c r="V314" s="313">
        <v>211.04</v>
      </c>
      <c r="W314" s="314"/>
      <c r="X314" s="315">
        <v>0</v>
      </c>
      <c r="Y314" s="316">
        <v>211.04</v>
      </c>
    </row>
    <row r="315" spans="1:25" x14ac:dyDescent="0.3">
      <c r="A315" s="361"/>
      <c r="B315" s="361"/>
      <c r="C315" s="361"/>
      <c r="D315" s="361"/>
      <c r="E315" s="326" t="s">
        <v>1243</v>
      </c>
      <c r="F315" s="351"/>
      <c r="G315" s="352"/>
      <c r="H315" s="353"/>
      <c r="I315" s="354"/>
      <c r="J315" s="362">
        <v>0</v>
      </c>
      <c r="K315" s="355">
        <v>0</v>
      </c>
      <c r="L315" s="355">
        <v>0</v>
      </c>
      <c r="M315" s="355">
        <v>0</v>
      </c>
      <c r="N315" s="355">
        <v>0</v>
      </c>
      <c r="O315" s="355">
        <v>0</v>
      </c>
      <c r="P315" s="355">
        <v>0</v>
      </c>
      <c r="Q315" s="355">
        <v>0</v>
      </c>
      <c r="R315" s="355">
        <v>0</v>
      </c>
      <c r="S315" s="355">
        <v>0</v>
      </c>
      <c r="T315" s="355">
        <v>0</v>
      </c>
      <c r="U315" s="356">
        <v>0</v>
      </c>
      <c r="V315" s="357">
        <v>0</v>
      </c>
      <c r="W315" s="358"/>
      <c r="X315" s="359">
        <v>0</v>
      </c>
      <c r="Y315" s="360">
        <v>0</v>
      </c>
    </row>
    <row r="316" spans="1:25" x14ac:dyDescent="0.3">
      <c r="A316" s="361"/>
      <c r="B316" s="361"/>
      <c r="C316" s="361"/>
      <c r="D316" s="361"/>
      <c r="E316" s="326" t="s">
        <v>1244</v>
      </c>
      <c r="F316" s="351"/>
      <c r="G316" s="352"/>
      <c r="H316" s="353"/>
      <c r="I316" s="354"/>
      <c r="J316" s="362">
        <v>0</v>
      </c>
      <c r="K316" s="355">
        <v>0</v>
      </c>
      <c r="L316" s="355">
        <v>0</v>
      </c>
      <c r="M316" s="355">
        <v>0</v>
      </c>
      <c r="N316" s="355">
        <v>0</v>
      </c>
      <c r="O316" s="355">
        <v>0</v>
      </c>
      <c r="P316" s="355">
        <v>0</v>
      </c>
      <c r="Q316" s="355">
        <v>0</v>
      </c>
      <c r="R316" s="355">
        <v>0</v>
      </c>
      <c r="S316" s="355">
        <v>0</v>
      </c>
      <c r="T316" s="355">
        <v>0</v>
      </c>
      <c r="U316" s="356">
        <v>0</v>
      </c>
      <c r="V316" s="357">
        <v>0</v>
      </c>
      <c r="W316" s="358"/>
      <c r="X316" s="359">
        <v>0</v>
      </c>
      <c r="Y316" s="360">
        <v>0</v>
      </c>
    </row>
    <row r="317" spans="1:25" x14ac:dyDescent="0.3">
      <c r="A317" s="233"/>
      <c r="B317" s="234" t="s">
        <v>39</v>
      </c>
      <c r="D317" s="293" t="s">
        <v>1245</v>
      </c>
      <c r="E317" s="294"/>
      <c r="F317" s="295" t="s">
        <v>1246</v>
      </c>
      <c r="G317" s="296"/>
      <c r="H317" s="297"/>
      <c r="I317" s="298"/>
      <c r="J317" s="299">
        <v>0</v>
      </c>
      <c r="K317" s="300">
        <v>0</v>
      </c>
      <c r="L317" s="300">
        <v>0</v>
      </c>
      <c r="M317" s="300">
        <v>0</v>
      </c>
      <c r="N317" s="300">
        <v>0</v>
      </c>
      <c r="O317" s="300">
        <v>9.8000000000000007</v>
      </c>
      <c r="P317" s="300">
        <v>10</v>
      </c>
      <c r="Q317" s="300">
        <v>0</v>
      </c>
      <c r="R317" s="300">
        <v>1825.954</v>
      </c>
      <c r="S317" s="300">
        <v>4292.7719999999999</v>
      </c>
      <c r="T317" s="300">
        <v>1187.2750000000001</v>
      </c>
      <c r="U317" s="301">
        <v>10092.209999999999</v>
      </c>
      <c r="V317" s="302">
        <v>17418.010999999999</v>
      </c>
      <c r="W317" s="303"/>
      <c r="X317" s="304">
        <v>10092.209999999999</v>
      </c>
      <c r="Y317" s="305">
        <v>17418.010999999999</v>
      </c>
    </row>
    <row r="318" spans="1:25" x14ac:dyDescent="0.3">
      <c r="E318" s="250" t="s">
        <v>1247</v>
      </c>
      <c r="F318" s="317">
        <v>4307401</v>
      </c>
      <c r="G318" s="318"/>
      <c r="H318" s="319">
        <v>5101090101</v>
      </c>
      <c r="I318" s="320"/>
      <c r="J318" s="337">
        <v>0</v>
      </c>
      <c r="K318" s="321">
        <v>0</v>
      </c>
      <c r="L318" s="321">
        <v>0</v>
      </c>
      <c r="M318" s="321">
        <v>0</v>
      </c>
      <c r="N318" s="321">
        <v>0</v>
      </c>
      <c r="O318" s="321">
        <v>0</v>
      </c>
      <c r="P318" s="321">
        <v>0</v>
      </c>
      <c r="Q318" s="321">
        <v>0</v>
      </c>
      <c r="R318" s="321">
        <v>0</v>
      </c>
      <c r="S318" s="321">
        <v>0</v>
      </c>
      <c r="T318" s="321">
        <v>0</v>
      </c>
      <c r="U318" s="322">
        <v>0</v>
      </c>
      <c r="V318" s="323">
        <v>0</v>
      </c>
      <c r="W318" s="303"/>
      <c r="X318" s="324">
        <v>0</v>
      </c>
      <c r="Y318" s="325">
        <v>0</v>
      </c>
    </row>
    <row r="319" spans="1:25" x14ac:dyDescent="0.3">
      <c r="E319" s="250" t="s">
        <v>1248</v>
      </c>
      <c r="F319" s="317">
        <v>4307402</v>
      </c>
      <c r="G319" s="318"/>
      <c r="H319" s="319">
        <v>5101090103</v>
      </c>
      <c r="I319" s="320"/>
      <c r="J319" s="337">
        <v>0</v>
      </c>
      <c r="K319" s="321">
        <v>0</v>
      </c>
      <c r="L319" s="321">
        <v>0</v>
      </c>
      <c r="M319" s="321">
        <v>0</v>
      </c>
      <c r="N319" s="321">
        <v>0</v>
      </c>
      <c r="O319" s="321">
        <v>9.8000000000000007</v>
      </c>
      <c r="P319" s="321">
        <v>10</v>
      </c>
      <c r="Q319" s="321">
        <v>0</v>
      </c>
      <c r="R319" s="321">
        <v>1825.954</v>
      </c>
      <c r="S319" s="321">
        <v>4292.7719999999999</v>
      </c>
      <c r="T319" s="321">
        <v>1187.2750000000001</v>
      </c>
      <c r="U319" s="322">
        <v>10092.209999999999</v>
      </c>
      <c r="V319" s="323">
        <v>17418.010999999999</v>
      </c>
      <c r="W319" s="303"/>
      <c r="X319" s="324">
        <v>10092.209999999999</v>
      </c>
      <c r="Y319" s="325">
        <v>17418.010999999999</v>
      </c>
    </row>
    <row r="320" spans="1:25" x14ac:dyDescent="0.3">
      <c r="E320" s="250" t="s">
        <v>1249</v>
      </c>
      <c r="F320" s="317">
        <v>4307409</v>
      </c>
      <c r="G320" s="318"/>
      <c r="H320" s="319">
        <v>5101090199</v>
      </c>
      <c r="I320" s="320"/>
      <c r="J320" s="337">
        <v>0</v>
      </c>
      <c r="K320" s="321">
        <v>0</v>
      </c>
      <c r="L320" s="321">
        <v>0</v>
      </c>
      <c r="M320" s="321">
        <v>0</v>
      </c>
      <c r="N320" s="321">
        <v>0</v>
      </c>
      <c r="O320" s="321">
        <v>0</v>
      </c>
      <c r="P320" s="321">
        <v>0</v>
      </c>
      <c r="Q320" s="321">
        <v>0</v>
      </c>
      <c r="R320" s="321">
        <v>0</v>
      </c>
      <c r="S320" s="321">
        <v>0</v>
      </c>
      <c r="T320" s="321">
        <v>0</v>
      </c>
      <c r="U320" s="322">
        <v>0</v>
      </c>
      <c r="V320" s="323">
        <v>0</v>
      </c>
      <c r="W320" s="303"/>
      <c r="X320" s="324">
        <v>0</v>
      </c>
      <c r="Y320" s="325">
        <v>0</v>
      </c>
    </row>
    <row r="321" spans="1:25" x14ac:dyDescent="0.3">
      <c r="E321" s="250" t="s">
        <v>1250</v>
      </c>
      <c r="F321" s="317">
        <v>4307411</v>
      </c>
      <c r="G321" s="318"/>
      <c r="H321" s="319"/>
      <c r="I321" s="320"/>
      <c r="J321" s="337">
        <v>0</v>
      </c>
      <c r="K321" s="321">
        <v>0</v>
      </c>
      <c r="L321" s="321">
        <v>0</v>
      </c>
      <c r="M321" s="321">
        <v>0</v>
      </c>
      <c r="N321" s="321">
        <v>0</v>
      </c>
      <c r="O321" s="321">
        <v>0</v>
      </c>
      <c r="P321" s="321">
        <v>0</v>
      </c>
      <c r="Q321" s="321">
        <v>0</v>
      </c>
      <c r="R321" s="321">
        <v>0</v>
      </c>
      <c r="S321" s="321">
        <v>0</v>
      </c>
      <c r="T321" s="321">
        <v>0</v>
      </c>
      <c r="U321" s="322">
        <v>0</v>
      </c>
      <c r="V321" s="323">
        <v>0</v>
      </c>
      <c r="W321" s="303"/>
      <c r="X321" s="324">
        <v>0</v>
      </c>
      <c r="Y321" s="325">
        <v>0</v>
      </c>
    </row>
    <row r="322" spans="1:25" x14ac:dyDescent="0.3">
      <c r="A322" s="250"/>
      <c r="B322" s="250"/>
      <c r="C322" s="250"/>
      <c r="D322" s="250"/>
      <c r="E322" s="250" t="s">
        <v>1251</v>
      </c>
      <c r="F322" s="306">
        <v>4307412</v>
      </c>
      <c r="G322" s="307"/>
      <c r="H322" s="308"/>
      <c r="I322" s="309"/>
      <c r="J322" s="310">
        <v>0</v>
      </c>
      <c r="K322" s="311">
        <v>0</v>
      </c>
      <c r="L322" s="311">
        <v>0</v>
      </c>
      <c r="M322" s="311">
        <v>0</v>
      </c>
      <c r="N322" s="311">
        <v>0</v>
      </c>
      <c r="O322" s="311">
        <v>0</v>
      </c>
      <c r="P322" s="311">
        <v>0</v>
      </c>
      <c r="Q322" s="311">
        <v>0</v>
      </c>
      <c r="R322" s="311">
        <v>0</v>
      </c>
      <c r="S322" s="311">
        <v>0</v>
      </c>
      <c r="T322" s="311">
        <v>0</v>
      </c>
      <c r="U322" s="312">
        <v>0</v>
      </c>
      <c r="V322" s="313">
        <v>0</v>
      </c>
      <c r="W322" s="314"/>
      <c r="X322" s="315">
        <v>0</v>
      </c>
      <c r="Y322" s="316">
        <v>0</v>
      </c>
    </row>
    <row r="323" spans="1:25" x14ac:dyDescent="0.3">
      <c r="A323" s="326"/>
      <c r="B323" s="326"/>
      <c r="C323" s="326"/>
      <c r="D323" s="326"/>
      <c r="E323" s="326" t="s">
        <v>1252</v>
      </c>
      <c r="F323" s="336"/>
      <c r="G323" s="327"/>
      <c r="H323" s="328"/>
      <c r="I323" s="329"/>
      <c r="J323" s="338">
        <v>0</v>
      </c>
      <c r="K323" s="330">
        <v>0</v>
      </c>
      <c r="L323" s="330">
        <v>0</v>
      </c>
      <c r="M323" s="330">
        <v>0</v>
      </c>
      <c r="N323" s="330">
        <v>0</v>
      </c>
      <c r="O323" s="330">
        <v>0</v>
      </c>
      <c r="P323" s="330">
        <v>0</v>
      </c>
      <c r="Q323" s="330">
        <v>0</v>
      </c>
      <c r="R323" s="330">
        <v>0</v>
      </c>
      <c r="S323" s="330">
        <v>0</v>
      </c>
      <c r="T323" s="330">
        <v>0</v>
      </c>
      <c r="U323" s="331">
        <v>0</v>
      </c>
      <c r="V323" s="332">
        <v>0</v>
      </c>
      <c r="W323" s="333"/>
      <c r="X323" s="334">
        <v>0</v>
      </c>
      <c r="Y323" s="335">
        <v>0</v>
      </c>
    </row>
    <row r="324" spans="1:25" x14ac:dyDescent="0.3">
      <c r="A324" s="326"/>
      <c r="B324" s="326"/>
      <c r="C324" s="326"/>
      <c r="D324" s="326"/>
      <c r="E324" s="326" t="s">
        <v>1253</v>
      </c>
      <c r="F324" s="336"/>
      <c r="G324" s="327"/>
      <c r="H324" s="328"/>
      <c r="I324" s="329"/>
      <c r="J324" s="338">
        <v>0</v>
      </c>
      <c r="K324" s="330">
        <v>0</v>
      </c>
      <c r="L324" s="330">
        <v>0</v>
      </c>
      <c r="M324" s="330">
        <v>0</v>
      </c>
      <c r="N324" s="330">
        <v>0</v>
      </c>
      <c r="O324" s="330">
        <v>0</v>
      </c>
      <c r="P324" s="330">
        <v>0</v>
      </c>
      <c r="Q324" s="330">
        <v>0</v>
      </c>
      <c r="R324" s="330">
        <v>0</v>
      </c>
      <c r="S324" s="330">
        <v>0</v>
      </c>
      <c r="T324" s="330">
        <v>0</v>
      </c>
      <c r="U324" s="331">
        <v>0</v>
      </c>
      <c r="V324" s="332">
        <v>0</v>
      </c>
      <c r="W324" s="333"/>
      <c r="X324" s="334">
        <v>0</v>
      </c>
      <c r="Y324" s="335">
        <v>0</v>
      </c>
    </row>
    <row r="325" spans="1:25" x14ac:dyDescent="0.3">
      <c r="A325" s="326"/>
      <c r="B325" s="326"/>
      <c r="C325" s="326"/>
      <c r="D325" s="326"/>
      <c r="E325" s="326" t="s">
        <v>1254</v>
      </c>
      <c r="F325" s="336"/>
      <c r="G325" s="327"/>
      <c r="H325" s="328"/>
      <c r="I325" s="329"/>
      <c r="J325" s="338">
        <v>0</v>
      </c>
      <c r="K325" s="330">
        <v>0</v>
      </c>
      <c r="L325" s="330">
        <v>0</v>
      </c>
      <c r="M325" s="330">
        <v>0</v>
      </c>
      <c r="N325" s="330">
        <v>0</v>
      </c>
      <c r="O325" s="330">
        <v>0</v>
      </c>
      <c r="P325" s="330">
        <v>0</v>
      </c>
      <c r="Q325" s="330">
        <v>0</v>
      </c>
      <c r="R325" s="330">
        <v>0</v>
      </c>
      <c r="S325" s="330">
        <v>0</v>
      </c>
      <c r="T325" s="330">
        <v>0</v>
      </c>
      <c r="U325" s="331">
        <v>0</v>
      </c>
      <c r="V325" s="332">
        <v>0</v>
      </c>
      <c r="W325" s="333"/>
      <c r="X325" s="334">
        <v>0</v>
      </c>
      <c r="Y325" s="335">
        <v>0</v>
      </c>
    </row>
    <row r="326" spans="1:25" x14ac:dyDescent="0.3">
      <c r="A326" s="233"/>
      <c r="B326" s="234" t="s">
        <v>33</v>
      </c>
      <c r="D326" s="293" t="s">
        <v>1255</v>
      </c>
      <c r="E326" s="294"/>
      <c r="F326" s="295" t="s">
        <v>1256</v>
      </c>
      <c r="G326" s="296"/>
      <c r="H326" s="297"/>
      <c r="I326" s="298"/>
      <c r="J326" s="299">
        <v>31230.982</v>
      </c>
      <c r="K326" s="300">
        <v>34003.126000000004</v>
      </c>
      <c r="L326" s="300">
        <v>25639.949999999997</v>
      </c>
      <c r="M326" s="300">
        <v>28865.286</v>
      </c>
      <c r="N326" s="300">
        <v>24105.908000000003</v>
      </c>
      <c r="O326" s="300">
        <v>81142.891000000003</v>
      </c>
      <c r="P326" s="300">
        <v>14499.325000000001</v>
      </c>
      <c r="Q326" s="300">
        <v>44245.120999999999</v>
      </c>
      <c r="R326" s="300">
        <v>28122.149999999998</v>
      </c>
      <c r="S326" s="300">
        <v>11348.290999999999</v>
      </c>
      <c r="T326" s="300">
        <v>20073.367999999999</v>
      </c>
      <c r="U326" s="301">
        <v>52270.253000000004</v>
      </c>
      <c r="V326" s="302">
        <v>395546.65100000001</v>
      </c>
      <c r="W326" s="303"/>
      <c r="X326" s="304">
        <v>52270.253000000004</v>
      </c>
      <c r="Y326" s="305">
        <v>395546.65100000001</v>
      </c>
    </row>
    <row r="327" spans="1:25" x14ac:dyDescent="0.3">
      <c r="E327" s="250" t="s">
        <v>1257</v>
      </c>
      <c r="F327" s="317">
        <v>4305601</v>
      </c>
      <c r="G327" s="318"/>
      <c r="H327" s="319">
        <v>5101110101</v>
      </c>
      <c r="I327" s="320"/>
      <c r="J327" s="337">
        <v>974.072</v>
      </c>
      <c r="K327" s="321">
        <v>2727.6979999999999</v>
      </c>
      <c r="L327" s="321">
        <v>3515.049</v>
      </c>
      <c r="M327" s="321">
        <v>3722.797</v>
      </c>
      <c r="N327" s="321">
        <v>3278.6190000000001</v>
      </c>
      <c r="O327" s="321">
        <v>1765.4459999999999</v>
      </c>
      <c r="P327" s="321">
        <v>2445.2979999999998</v>
      </c>
      <c r="Q327" s="321">
        <v>1560.39</v>
      </c>
      <c r="R327" s="321">
        <v>3338.6729999999998</v>
      </c>
      <c r="S327" s="321">
        <v>868.80499999999995</v>
      </c>
      <c r="T327" s="321">
        <v>2361.482</v>
      </c>
      <c r="U327" s="322">
        <v>1445.0070000000001</v>
      </c>
      <c r="V327" s="323">
        <v>28003.335999999999</v>
      </c>
      <c r="W327" s="303"/>
      <c r="X327" s="324">
        <v>1445.0070000000001</v>
      </c>
      <c r="Y327" s="325">
        <v>28003.335999999999</v>
      </c>
    </row>
    <row r="328" spans="1:25" x14ac:dyDescent="0.3">
      <c r="E328" s="250" t="s">
        <v>1258</v>
      </c>
      <c r="F328" s="317">
        <v>4305602</v>
      </c>
      <c r="G328" s="318"/>
      <c r="H328" s="319">
        <v>5101110103</v>
      </c>
      <c r="I328" s="320"/>
      <c r="J328" s="337">
        <v>1162.7170000000001</v>
      </c>
      <c r="K328" s="321">
        <v>4398.0150000000003</v>
      </c>
      <c r="L328" s="321">
        <v>5280.5140000000001</v>
      </c>
      <c r="M328" s="321">
        <v>4129.26</v>
      </c>
      <c r="N328" s="321">
        <v>14278.276</v>
      </c>
      <c r="O328" s="321">
        <v>16029.266</v>
      </c>
      <c r="P328" s="321">
        <v>3908.8180000000002</v>
      </c>
      <c r="Q328" s="321">
        <v>60.9</v>
      </c>
      <c r="R328" s="321">
        <v>161</v>
      </c>
      <c r="S328" s="321">
        <v>128.494</v>
      </c>
      <c r="T328" s="321">
        <v>2338.2649999999999</v>
      </c>
      <c r="U328" s="322">
        <v>-17.332999999999998</v>
      </c>
      <c r="V328" s="323">
        <v>51858.191999999995</v>
      </c>
      <c r="W328" s="303"/>
      <c r="X328" s="324">
        <v>-17.332999999999998</v>
      </c>
      <c r="Y328" s="325">
        <v>51858.191999999995</v>
      </c>
    </row>
    <row r="329" spans="1:25" x14ac:dyDescent="0.3">
      <c r="E329" s="250" t="s">
        <v>1259</v>
      </c>
      <c r="F329" s="317">
        <v>4305603</v>
      </c>
      <c r="G329" s="318"/>
      <c r="H329" s="319">
        <v>5101110105</v>
      </c>
      <c r="I329" s="320"/>
      <c r="J329" s="337">
        <v>28904.393</v>
      </c>
      <c r="K329" s="321">
        <v>26787.113000000001</v>
      </c>
      <c r="L329" s="321">
        <v>16807.386999999999</v>
      </c>
      <c r="M329" s="321">
        <v>20790.348999999998</v>
      </c>
      <c r="N329" s="321">
        <v>4987.9129999999996</v>
      </c>
      <c r="O329" s="321">
        <v>63348.178999999996</v>
      </c>
      <c r="P329" s="321">
        <v>7874.6090000000004</v>
      </c>
      <c r="Q329" s="321">
        <v>42586.930999999997</v>
      </c>
      <c r="R329" s="321">
        <v>24234.377</v>
      </c>
      <c r="S329" s="321">
        <v>10325.092000000001</v>
      </c>
      <c r="T329" s="321">
        <v>15094.921</v>
      </c>
      <c r="U329" s="322">
        <v>49679.463000000003</v>
      </c>
      <c r="V329" s="323">
        <v>311420.72700000001</v>
      </c>
      <c r="W329" s="303"/>
      <c r="X329" s="324">
        <v>49679.463000000003</v>
      </c>
      <c r="Y329" s="325">
        <v>311420.72700000001</v>
      </c>
    </row>
    <row r="330" spans="1:25" x14ac:dyDescent="0.3">
      <c r="E330" s="250" t="s">
        <v>1260</v>
      </c>
      <c r="F330" s="317">
        <v>4305604</v>
      </c>
      <c r="G330" s="318"/>
      <c r="H330" s="319">
        <v>5101110107</v>
      </c>
      <c r="I330" s="320"/>
      <c r="J330" s="337">
        <v>0</v>
      </c>
      <c r="K330" s="321">
        <v>0</v>
      </c>
      <c r="L330" s="321">
        <v>0</v>
      </c>
      <c r="M330" s="321">
        <v>0</v>
      </c>
      <c r="N330" s="321">
        <v>1443.4</v>
      </c>
      <c r="O330" s="321">
        <v>0</v>
      </c>
      <c r="P330" s="321">
        <v>0</v>
      </c>
      <c r="Q330" s="321">
        <v>0</v>
      </c>
      <c r="R330" s="321">
        <v>0</v>
      </c>
      <c r="S330" s="321">
        <v>0</v>
      </c>
      <c r="T330" s="321">
        <v>0</v>
      </c>
      <c r="U330" s="322">
        <v>0</v>
      </c>
      <c r="V330" s="323">
        <v>1443.4</v>
      </c>
      <c r="W330" s="303"/>
      <c r="X330" s="324">
        <v>0</v>
      </c>
      <c r="Y330" s="325">
        <v>1443.4</v>
      </c>
    </row>
    <row r="331" spans="1:25" x14ac:dyDescent="0.3">
      <c r="E331" s="250" t="s">
        <v>1261</v>
      </c>
      <c r="F331" s="317">
        <v>4305605</v>
      </c>
      <c r="G331" s="318"/>
      <c r="H331" s="319"/>
      <c r="I331" s="320"/>
      <c r="J331" s="337">
        <v>0</v>
      </c>
      <c r="K331" s="321">
        <v>0</v>
      </c>
      <c r="L331" s="321">
        <v>0</v>
      </c>
      <c r="M331" s="321">
        <v>0</v>
      </c>
      <c r="N331" s="321">
        <v>0</v>
      </c>
      <c r="O331" s="321">
        <v>0</v>
      </c>
      <c r="P331" s="321">
        <v>0</v>
      </c>
      <c r="Q331" s="321">
        <v>0</v>
      </c>
      <c r="R331" s="321">
        <v>0</v>
      </c>
      <c r="S331" s="321">
        <v>0</v>
      </c>
      <c r="T331" s="321">
        <v>0</v>
      </c>
      <c r="U331" s="322">
        <v>972.11599999999999</v>
      </c>
      <c r="V331" s="323">
        <v>972.11599999999999</v>
      </c>
      <c r="W331" s="303"/>
      <c r="X331" s="324">
        <v>972.11599999999999</v>
      </c>
      <c r="Y331" s="325">
        <v>972.11599999999999</v>
      </c>
    </row>
    <row r="332" spans="1:25" x14ac:dyDescent="0.3">
      <c r="E332" s="250" t="s">
        <v>1262</v>
      </c>
      <c r="F332" s="317">
        <v>4305606</v>
      </c>
      <c r="G332" s="318"/>
      <c r="H332" s="319">
        <v>5101110199</v>
      </c>
      <c r="I332" s="320"/>
      <c r="J332" s="337">
        <v>0</v>
      </c>
      <c r="K332" s="321">
        <v>0</v>
      </c>
      <c r="L332" s="321">
        <v>0</v>
      </c>
      <c r="M332" s="321">
        <v>0</v>
      </c>
      <c r="N332" s="321">
        <v>0</v>
      </c>
      <c r="O332" s="321">
        <v>0</v>
      </c>
      <c r="P332" s="321">
        <v>0</v>
      </c>
      <c r="Q332" s="321">
        <v>0</v>
      </c>
      <c r="R332" s="321">
        <v>0</v>
      </c>
      <c r="S332" s="321">
        <v>0</v>
      </c>
      <c r="T332" s="321">
        <v>0</v>
      </c>
      <c r="U332" s="322">
        <v>0</v>
      </c>
      <c r="V332" s="323">
        <v>0</v>
      </c>
      <c r="W332" s="303"/>
      <c r="X332" s="324">
        <v>0</v>
      </c>
      <c r="Y332" s="325">
        <v>0</v>
      </c>
    </row>
    <row r="333" spans="1:25" x14ac:dyDescent="0.3">
      <c r="E333" s="250" t="s">
        <v>1263</v>
      </c>
      <c r="F333" s="317">
        <v>4305607</v>
      </c>
      <c r="G333" s="318"/>
      <c r="H333" s="319"/>
      <c r="I333" s="320"/>
      <c r="J333" s="337">
        <v>0</v>
      </c>
      <c r="K333" s="321">
        <v>0</v>
      </c>
      <c r="L333" s="321">
        <v>0</v>
      </c>
      <c r="M333" s="321">
        <v>0</v>
      </c>
      <c r="N333" s="321">
        <v>0</v>
      </c>
      <c r="O333" s="321">
        <v>0</v>
      </c>
      <c r="P333" s="321">
        <v>0</v>
      </c>
      <c r="Q333" s="321">
        <v>0</v>
      </c>
      <c r="R333" s="321">
        <v>0</v>
      </c>
      <c r="S333" s="321">
        <v>0</v>
      </c>
      <c r="T333" s="321">
        <v>0</v>
      </c>
      <c r="U333" s="322">
        <v>0</v>
      </c>
      <c r="V333" s="323">
        <v>0</v>
      </c>
      <c r="W333" s="303"/>
      <c r="X333" s="324">
        <v>0</v>
      </c>
      <c r="Y333" s="325">
        <v>0</v>
      </c>
    </row>
    <row r="334" spans="1:25" x14ac:dyDescent="0.3">
      <c r="E334" s="250" t="s">
        <v>1264</v>
      </c>
      <c r="F334" s="317">
        <v>4305608</v>
      </c>
      <c r="G334" s="318"/>
      <c r="H334" s="319"/>
      <c r="I334" s="320"/>
      <c r="J334" s="337">
        <v>0</v>
      </c>
      <c r="K334" s="321">
        <v>0</v>
      </c>
      <c r="L334" s="321">
        <v>0</v>
      </c>
      <c r="M334" s="321">
        <v>0</v>
      </c>
      <c r="N334" s="321">
        <v>0</v>
      </c>
      <c r="O334" s="321">
        <v>0</v>
      </c>
      <c r="P334" s="321">
        <v>0</v>
      </c>
      <c r="Q334" s="321">
        <v>0</v>
      </c>
      <c r="R334" s="321">
        <v>0</v>
      </c>
      <c r="S334" s="321">
        <v>0</v>
      </c>
      <c r="T334" s="321">
        <v>0</v>
      </c>
      <c r="U334" s="322">
        <v>0</v>
      </c>
      <c r="V334" s="323">
        <v>0</v>
      </c>
      <c r="W334" s="303"/>
      <c r="X334" s="324">
        <v>0</v>
      </c>
      <c r="Y334" s="325">
        <v>0</v>
      </c>
    </row>
    <row r="335" spans="1:25" x14ac:dyDescent="0.3">
      <c r="E335" s="250" t="s">
        <v>1265</v>
      </c>
      <c r="F335" s="317">
        <v>4305699</v>
      </c>
      <c r="G335" s="318"/>
      <c r="H335" s="319"/>
      <c r="I335" s="320"/>
      <c r="J335" s="337">
        <v>189.8</v>
      </c>
      <c r="K335" s="321">
        <v>90.3</v>
      </c>
      <c r="L335" s="321">
        <v>37</v>
      </c>
      <c r="M335" s="321">
        <v>222.88</v>
      </c>
      <c r="N335" s="321">
        <v>117.7</v>
      </c>
      <c r="O335" s="321">
        <v>0</v>
      </c>
      <c r="P335" s="321">
        <v>270.60000000000002</v>
      </c>
      <c r="Q335" s="321">
        <v>36.9</v>
      </c>
      <c r="R335" s="321">
        <v>388.1</v>
      </c>
      <c r="S335" s="321">
        <v>25.9</v>
      </c>
      <c r="T335" s="321">
        <v>278.7</v>
      </c>
      <c r="U335" s="322">
        <v>191</v>
      </c>
      <c r="V335" s="323">
        <v>1848.8800000000003</v>
      </c>
      <c r="W335" s="303"/>
      <c r="X335" s="324">
        <v>191</v>
      </c>
      <c r="Y335" s="325">
        <v>1848.8800000000003</v>
      </c>
    </row>
    <row r="336" spans="1:25" x14ac:dyDescent="0.3">
      <c r="A336" s="361"/>
      <c r="B336" s="361"/>
      <c r="C336" s="361"/>
      <c r="D336" s="361"/>
      <c r="E336" s="326" t="s">
        <v>1266</v>
      </c>
      <c r="F336" s="351"/>
      <c r="G336" s="352"/>
      <c r="H336" s="353"/>
      <c r="I336" s="354"/>
      <c r="J336" s="362">
        <v>0</v>
      </c>
      <c r="K336" s="355">
        <v>0</v>
      </c>
      <c r="L336" s="355">
        <v>0</v>
      </c>
      <c r="M336" s="355">
        <v>0</v>
      </c>
      <c r="N336" s="355">
        <v>0</v>
      </c>
      <c r="O336" s="355">
        <v>0</v>
      </c>
      <c r="P336" s="355">
        <v>0</v>
      </c>
      <c r="Q336" s="355">
        <v>0</v>
      </c>
      <c r="R336" s="355">
        <v>0</v>
      </c>
      <c r="S336" s="355">
        <v>0</v>
      </c>
      <c r="T336" s="355">
        <v>0</v>
      </c>
      <c r="U336" s="356">
        <v>0</v>
      </c>
      <c r="V336" s="357">
        <v>0</v>
      </c>
      <c r="W336" s="358"/>
      <c r="X336" s="359">
        <v>0</v>
      </c>
      <c r="Y336" s="360">
        <v>0</v>
      </c>
    </row>
    <row r="337" spans="1:25" x14ac:dyDescent="0.3">
      <c r="A337" s="361"/>
      <c r="B337" s="361"/>
      <c r="C337" s="361"/>
      <c r="D337" s="361"/>
      <c r="E337" s="326" t="s">
        <v>1267</v>
      </c>
      <c r="F337" s="351"/>
      <c r="G337" s="352"/>
      <c r="H337" s="353"/>
      <c r="I337" s="354"/>
      <c r="J337" s="362">
        <v>0</v>
      </c>
      <c r="K337" s="355">
        <v>0</v>
      </c>
      <c r="L337" s="355">
        <v>0</v>
      </c>
      <c r="M337" s="355">
        <v>0</v>
      </c>
      <c r="N337" s="355">
        <v>0</v>
      </c>
      <c r="O337" s="355">
        <v>0</v>
      </c>
      <c r="P337" s="355">
        <v>0</v>
      </c>
      <c r="Q337" s="355">
        <v>0</v>
      </c>
      <c r="R337" s="355">
        <v>0</v>
      </c>
      <c r="S337" s="355">
        <v>0</v>
      </c>
      <c r="T337" s="355">
        <v>0</v>
      </c>
      <c r="U337" s="356">
        <v>0</v>
      </c>
      <c r="V337" s="357">
        <v>0</v>
      </c>
      <c r="W337" s="358"/>
      <c r="X337" s="359">
        <v>0</v>
      </c>
      <c r="Y337" s="360">
        <v>0</v>
      </c>
    </row>
    <row r="338" spans="1:25" x14ac:dyDescent="0.3">
      <c r="A338" s="361"/>
      <c r="B338" s="361"/>
      <c r="C338" s="361"/>
      <c r="D338" s="361"/>
      <c r="E338" s="326" t="s">
        <v>1268</v>
      </c>
      <c r="F338" s="351"/>
      <c r="G338" s="352"/>
      <c r="H338" s="353"/>
      <c r="I338" s="354"/>
      <c r="J338" s="362">
        <v>0</v>
      </c>
      <c r="K338" s="355">
        <v>0</v>
      </c>
      <c r="L338" s="355">
        <v>0</v>
      </c>
      <c r="M338" s="355">
        <v>0</v>
      </c>
      <c r="N338" s="355">
        <v>0</v>
      </c>
      <c r="O338" s="355">
        <v>0</v>
      </c>
      <c r="P338" s="355">
        <v>0</v>
      </c>
      <c r="Q338" s="355">
        <v>0</v>
      </c>
      <c r="R338" s="355">
        <v>0</v>
      </c>
      <c r="S338" s="355">
        <v>0</v>
      </c>
      <c r="T338" s="355">
        <v>0</v>
      </c>
      <c r="U338" s="356">
        <v>0</v>
      </c>
      <c r="V338" s="357">
        <v>0</v>
      </c>
      <c r="W338" s="358"/>
      <c r="X338" s="359">
        <v>0</v>
      </c>
      <c r="Y338" s="360">
        <v>0</v>
      </c>
    </row>
    <row r="339" spans="1:25" x14ac:dyDescent="0.3">
      <c r="A339" s="233"/>
      <c r="B339" s="234" t="s">
        <v>32</v>
      </c>
      <c r="D339" s="293" t="s">
        <v>1269</v>
      </c>
      <c r="E339" s="294"/>
      <c r="F339" s="295" t="s">
        <v>1270</v>
      </c>
      <c r="G339" s="296"/>
      <c r="H339" s="297"/>
      <c r="I339" s="298"/>
      <c r="J339" s="299">
        <v>1065</v>
      </c>
      <c r="K339" s="300">
        <v>69.5</v>
      </c>
      <c r="L339" s="300">
        <v>138</v>
      </c>
      <c r="M339" s="300">
        <v>12</v>
      </c>
      <c r="N339" s="300">
        <v>585</v>
      </c>
      <c r="O339" s="300">
        <v>106.5</v>
      </c>
      <c r="P339" s="300">
        <v>11</v>
      </c>
      <c r="Q339" s="300">
        <v>-250</v>
      </c>
      <c r="R339" s="300">
        <v>18.600000000000001</v>
      </c>
      <c r="S339" s="300">
        <v>0</v>
      </c>
      <c r="T339" s="300">
        <v>0</v>
      </c>
      <c r="U339" s="301">
        <v>153.09100000000001</v>
      </c>
      <c r="V339" s="302">
        <v>1908.6909999999998</v>
      </c>
      <c r="W339" s="303"/>
      <c r="X339" s="304">
        <v>153.09100000000001</v>
      </c>
      <c r="Y339" s="305">
        <v>1908.6909999999998</v>
      </c>
    </row>
    <row r="340" spans="1:25" x14ac:dyDescent="0.3">
      <c r="E340" s="250" t="s">
        <v>1271</v>
      </c>
      <c r="F340" s="317">
        <v>4305301</v>
      </c>
      <c r="G340" s="318"/>
      <c r="H340" s="319">
        <v>5101130199</v>
      </c>
      <c r="I340" s="320"/>
      <c r="J340" s="337">
        <v>0</v>
      </c>
      <c r="K340" s="321">
        <v>0</v>
      </c>
      <c r="L340" s="321">
        <v>0</v>
      </c>
      <c r="M340" s="321">
        <v>0</v>
      </c>
      <c r="N340" s="321">
        <v>0</v>
      </c>
      <c r="O340" s="321">
        <v>0</v>
      </c>
      <c r="P340" s="321">
        <v>0</v>
      </c>
      <c r="Q340" s="321">
        <v>0</v>
      </c>
      <c r="R340" s="321">
        <v>0</v>
      </c>
      <c r="S340" s="321">
        <v>0</v>
      </c>
      <c r="T340" s="321">
        <v>0</v>
      </c>
      <c r="U340" s="322">
        <v>0</v>
      </c>
      <c r="V340" s="323">
        <v>0</v>
      </c>
      <c r="W340" s="303"/>
      <c r="X340" s="324">
        <v>0</v>
      </c>
      <c r="Y340" s="325">
        <v>0</v>
      </c>
    </row>
    <row r="341" spans="1:25" x14ac:dyDescent="0.3">
      <c r="E341" s="250" t="s">
        <v>1272</v>
      </c>
      <c r="F341" s="317">
        <v>4305302</v>
      </c>
      <c r="G341" s="318"/>
      <c r="H341" s="319">
        <v>5101130101</v>
      </c>
      <c r="I341" s="320"/>
      <c r="J341" s="337">
        <v>0</v>
      </c>
      <c r="K341" s="321">
        <v>0</v>
      </c>
      <c r="L341" s="321">
        <v>0</v>
      </c>
      <c r="M341" s="321">
        <v>0</v>
      </c>
      <c r="N341" s="321">
        <v>0</v>
      </c>
      <c r="O341" s="321">
        <v>0</v>
      </c>
      <c r="P341" s="321">
        <v>0</v>
      </c>
      <c r="Q341" s="321">
        <v>0</v>
      </c>
      <c r="R341" s="321">
        <v>0</v>
      </c>
      <c r="S341" s="321">
        <v>0</v>
      </c>
      <c r="T341" s="321">
        <v>0</v>
      </c>
      <c r="U341" s="322">
        <v>0</v>
      </c>
      <c r="V341" s="323">
        <v>0</v>
      </c>
      <c r="W341" s="303"/>
      <c r="X341" s="324">
        <v>0</v>
      </c>
      <c r="Y341" s="325">
        <v>0</v>
      </c>
    </row>
    <row r="342" spans="1:25" x14ac:dyDescent="0.3">
      <c r="E342" s="250" t="s">
        <v>1273</v>
      </c>
      <c r="F342" s="317">
        <v>4305303</v>
      </c>
      <c r="G342" s="318"/>
      <c r="H342" s="319"/>
      <c r="I342" s="320"/>
      <c r="J342" s="337">
        <v>0</v>
      </c>
      <c r="K342" s="321">
        <v>0</v>
      </c>
      <c r="L342" s="321">
        <v>0</v>
      </c>
      <c r="M342" s="321">
        <v>0</v>
      </c>
      <c r="N342" s="321">
        <v>0</v>
      </c>
      <c r="O342" s="321">
        <v>0</v>
      </c>
      <c r="P342" s="321">
        <v>0</v>
      </c>
      <c r="Q342" s="321">
        <v>0</v>
      </c>
      <c r="R342" s="321">
        <v>0</v>
      </c>
      <c r="S342" s="321">
        <v>0</v>
      </c>
      <c r="T342" s="321">
        <v>0</v>
      </c>
      <c r="U342" s="322">
        <v>0</v>
      </c>
      <c r="V342" s="323">
        <v>0</v>
      </c>
      <c r="W342" s="303"/>
      <c r="X342" s="324">
        <v>0</v>
      </c>
      <c r="Y342" s="325">
        <v>0</v>
      </c>
    </row>
    <row r="343" spans="1:25" x14ac:dyDescent="0.3">
      <c r="E343" s="250" t="s">
        <v>1274</v>
      </c>
      <c r="F343" s="317">
        <v>4305304</v>
      </c>
      <c r="G343" s="318"/>
      <c r="H343" s="319">
        <v>5101130103</v>
      </c>
      <c r="I343" s="320"/>
      <c r="J343" s="337">
        <v>1065</v>
      </c>
      <c r="K343" s="321">
        <v>69.5</v>
      </c>
      <c r="L343" s="321">
        <v>138</v>
      </c>
      <c r="M343" s="321">
        <v>12</v>
      </c>
      <c r="N343" s="321">
        <v>585</v>
      </c>
      <c r="O343" s="321">
        <v>106.5</v>
      </c>
      <c r="P343" s="321">
        <v>11</v>
      </c>
      <c r="Q343" s="321">
        <v>-250</v>
      </c>
      <c r="R343" s="321">
        <v>18.600000000000001</v>
      </c>
      <c r="S343" s="321">
        <v>0</v>
      </c>
      <c r="T343" s="321">
        <v>0</v>
      </c>
      <c r="U343" s="322">
        <v>153.09100000000001</v>
      </c>
      <c r="V343" s="323">
        <v>1908.6909999999998</v>
      </c>
      <c r="W343" s="303"/>
      <c r="X343" s="324">
        <v>153.09100000000001</v>
      </c>
      <c r="Y343" s="325">
        <v>1908.6909999999998</v>
      </c>
    </row>
    <row r="344" spans="1:25" x14ac:dyDescent="0.3">
      <c r="E344" s="250" t="s">
        <v>1275</v>
      </c>
      <c r="F344" s="317">
        <v>4305305</v>
      </c>
      <c r="G344" s="318"/>
      <c r="H344" s="319"/>
      <c r="I344" s="320"/>
      <c r="J344" s="337">
        <v>0</v>
      </c>
      <c r="K344" s="321">
        <v>0</v>
      </c>
      <c r="L344" s="321">
        <v>0</v>
      </c>
      <c r="M344" s="321">
        <v>0</v>
      </c>
      <c r="N344" s="321">
        <v>0</v>
      </c>
      <c r="O344" s="321">
        <v>0</v>
      </c>
      <c r="P344" s="321">
        <v>0</v>
      </c>
      <c r="Q344" s="321">
        <v>0</v>
      </c>
      <c r="R344" s="321">
        <v>0</v>
      </c>
      <c r="S344" s="321">
        <v>0</v>
      </c>
      <c r="T344" s="321">
        <v>0</v>
      </c>
      <c r="U344" s="322">
        <v>0</v>
      </c>
      <c r="V344" s="323">
        <v>0</v>
      </c>
      <c r="W344" s="303"/>
      <c r="X344" s="324">
        <v>0</v>
      </c>
      <c r="Y344" s="325">
        <v>0</v>
      </c>
    </row>
    <row r="345" spans="1:25" x14ac:dyDescent="0.3">
      <c r="E345" s="250" t="s">
        <v>1276</v>
      </c>
      <c r="F345" s="317">
        <v>4305399</v>
      </c>
      <c r="G345" s="318"/>
      <c r="H345" s="319"/>
      <c r="I345" s="320"/>
      <c r="J345" s="337">
        <v>0</v>
      </c>
      <c r="K345" s="321">
        <v>0</v>
      </c>
      <c r="L345" s="321">
        <v>0</v>
      </c>
      <c r="M345" s="321">
        <v>0</v>
      </c>
      <c r="N345" s="321">
        <v>0</v>
      </c>
      <c r="O345" s="321">
        <v>0</v>
      </c>
      <c r="P345" s="321">
        <v>0</v>
      </c>
      <c r="Q345" s="321">
        <v>0</v>
      </c>
      <c r="R345" s="321">
        <v>0</v>
      </c>
      <c r="S345" s="321">
        <v>0</v>
      </c>
      <c r="T345" s="321">
        <v>0</v>
      </c>
      <c r="U345" s="322">
        <v>0</v>
      </c>
      <c r="V345" s="323">
        <v>0</v>
      </c>
      <c r="W345" s="303"/>
      <c r="X345" s="324">
        <v>0</v>
      </c>
      <c r="Y345" s="325">
        <v>0</v>
      </c>
    </row>
    <row r="346" spans="1:25" x14ac:dyDescent="0.3">
      <c r="A346" s="361"/>
      <c r="B346" s="361"/>
      <c r="C346" s="361"/>
      <c r="D346" s="361"/>
      <c r="E346" s="326" t="s">
        <v>1277</v>
      </c>
      <c r="F346" s="351"/>
      <c r="G346" s="352"/>
      <c r="H346" s="353"/>
      <c r="I346" s="354"/>
      <c r="J346" s="362">
        <v>0</v>
      </c>
      <c r="K346" s="355">
        <v>0</v>
      </c>
      <c r="L346" s="355">
        <v>0</v>
      </c>
      <c r="M346" s="355">
        <v>0</v>
      </c>
      <c r="N346" s="355">
        <v>0</v>
      </c>
      <c r="O346" s="355">
        <v>0</v>
      </c>
      <c r="P346" s="355">
        <v>0</v>
      </c>
      <c r="Q346" s="355">
        <v>0</v>
      </c>
      <c r="R346" s="355">
        <v>0</v>
      </c>
      <c r="S346" s="355">
        <v>0</v>
      </c>
      <c r="T346" s="355">
        <v>0</v>
      </c>
      <c r="U346" s="356">
        <v>0</v>
      </c>
      <c r="V346" s="357">
        <v>0</v>
      </c>
      <c r="W346" s="358"/>
      <c r="X346" s="359">
        <v>0</v>
      </c>
      <c r="Y346" s="360">
        <v>0</v>
      </c>
    </row>
    <row r="347" spans="1:25" x14ac:dyDescent="0.3">
      <c r="A347" s="361"/>
      <c r="B347" s="361"/>
      <c r="C347" s="361"/>
      <c r="D347" s="361"/>
      <c r="E347" s="326" t="s">
        <v>1278</v>
      </c>
      <c r="F347" s="351"/>
      <c r="G347" s="352"/>
      <c r="H347" s="353"/>
      <c r="I347" s="354"/>
      <c r="J347" s="362">
        <v>0</v>
      </c>
      <c r="K347" s="355">
        <v>0</v>
      </c>
      <c r="L347" s="355">
        <v>0</v>
      </c>
      <c r="M347" s="355">
        <v>0</v>
      </c>
      <c r="N347" s="355">
        <v>0</v>
      </c>
      <c r="O347" s="355">
        <v>0</v>
      </c>
      <c r="P347" s="355">
        <v>0</v>
      </c>
      <c r="Q347" s="355">
        <v>0</v>
      </c>
      <c r="R347" s="355">
        <v>0</v>
      </c>
      <c r="S347" s="355">
        <v>0</v>
      </c>
      <c r="T347" s="355">
        <v>0</v>
      </c>
      <c r="U347" s="356">
        <v>0</v>
      </c>
      <c r="V347" s="357">
        <v>0</v>
      </c>
      <c r="W347" s="358"/>
      <c r="X347" s="359">
        <v>0</v>
      </c>
      <c r="Y347" s="360">
        <v>0</v>
      </c>
    </row>
    <row r="348" spans="1:25" x14ac:dyDescent="0.3">
      <c r="A348" s="361"/>
      <c r="B348" s="361"/>
      <c r="C348" s="361"/>
      <c r="D348" s="361"/>
      <c r="E348" s="326" t="s">
        <v>1279</v>
      </c>
      <c r="F348" s="351"/>
      <c r="G348" s="352"/>
      <c r="H348" s="353"/>
      <c r="I348" s="354"/>
      <c r="J348" s="362">
        <v>0</v>
      </c>
      <c r="K348" s="355">
        <v>0</v>
      </c>
      <c r="L348" s="355">
        <v>0</v>
      </c>
      <c r="M348" s="355">
        <v>0</v>
      </c>
      <c r="N348" s="355">
        <v>0</v>
      </c>
      <c r="O348" s="355">
        <v>0</v>
      </c>
      <c r="P348" s="355">
        <v>0</v>
      </c>
      <c r="Q348" s="355">
        <v>0</v>
      </c>
      <c r="R348" s="355">
        <v>0</v>
      </c>
      <c r="S348" s="355">
        <v>0</v>
      </c>
      <c r="T348" s="355">
        <v>0</v>
      </c>
      <c r="U348" s="356">
        <v>0</v>
      </c>
      <c r="V348" s="357">
        <v>0</v>
      </c>
      <c r="W348" s="358"/>
      <c r="X348" s="359">
        <v>0</v>
      </c>
      <c r="Y348" s="360">
        <v>0</v>
      </c>
    </row>
    <row r="349" spans="1:25" x14ac:dyDescent="0.3">
      <c r="A349" s="233"/>
      <c r="B349" s="234" t="s">
        <v>37</v>
      </c>
      <c r="D349" s="293" t="s">
        <v>1280</v>
      </c>
      <c r="E349" s="294"/>
      <c r="F349" s="295" t="s">
        <v>1281</v>
      </c>
      <c r="G349" s="296"/>
      <c r="H349" s="297"/>
      <c r="I349" s="298"/>
      <c r="J349" s="299">
        <v>3051.1130000000003</v>
      </c>
      <c r="K349" s="300">
        <v>3054.42</v>
      </c>
      <c r="L349" s="300">
        <v>4422.53</v>
      </c>
      <c r="M349" s="300">
        <v>3223.3440000000001</v>
      </c>
      <c r="N349" s="300">
        <v>3824.6010000000001</v>
      </c>
      <c r="O349" s="300">
        <v>3233.9429999999998</v>
      </c>
      <c r="P349" s="300">
        <v>2608.087</v>
      </c>
      <c r="Q349" s="300">
        <v>2475.7549999999997</v>
      </c>
      <c r="R349" s="300">
        <v>2273.1120000000001</v>
      </c>
      <c r="S349" s="300">
        <v>2559.8919999999998</v>
      </c>
      <c r="T349" s="300">
        <v>2858.0139999999997</v>
      </c>
      <c r="U349" s="301">
        <v>4101.7010000000009</v>
      </c>
      <c r="V349" s="302">
        <v>37686.512000000002</v>
      </c>
      <c r="W349" s="303"/>
      <c r="X349" s="304">
        <v>4101.7010000000009</v>
      </c>
      <c r="Y349" s="305">
        <v>37686.512000000002</v>
      </c>
    </row>
    <row r="350" spans="1:25" x14ac:dyDescent="0.3">
      <c r="E350" s="250" t="s">
        <v>1282</v>
      </c>
      <c r="F350" s="317">
        <v>4306801</v>
      </c>
      <c r="G350" s="318"/>
      <c r="H350" s="319">
        <v>5101150101</v>
      </c>
      <c r="I350" s="320"/>
      <c r="J350" s="337">
        <v>119.42</v>
      </c>
      <c r="K350" s="321">
        <v>92.82</v>
      </c>
      <c r="L350" s="321">
        <v>164.1</v>
      </c>
      <c r="M350" s="321">
        <v>58.7</v>
      </c>
      <c r="N350" s="321">
        <v>20.8</v>
      </c>
      <c r="O350" s="321">
        <v>56.04</v>
      </c>
      <c r="P350" s="321">
        <v>24.92</v>
      </c>
      <c r="Q350" s="321">
        <v>22</v>
      </c>
      <c r="R350" s="321">
        <v>97.6</v>
      </c>
      <c r="S350" s="321">
        <v>38.14</v>
      </c>
      <c r="T350" s="321">
        <v>51.7</v>
      </c>
      <c r="U350" s="322">
        <v>189.28</v>
      </c>
      <c r="V350" s="323">
        <v>935.5200000000001</v>
      </c>
      <c r="W350" s="303"/>
      <c r="X350" s="324">
        <v>189.28</v>
      </c>
      <c r="Y350" s="325">
        <v>935.5200000000001</v>
      </c>
    </row>
    <row r="351" spans="1:25" x14ac:dyDescent="0.3">
      <c r="E351" s="250" t="s">
        <v>1283</v>
      </c>
      <c r="F351" s="317">
        <v>4306802</v>
      </c>
      <c r="G351" s="318"/>
      <c r="H351" s="319">
        <v>5101150199</v>
      </c>
      <c r="I351" s="320"/>
      <c r="J351" s="337">
        <v>0</v>
      </c>
      <c r="K351" s="321">
        <v>0</v>
      </c>
      <c r="L351" s="321">
        <v>0</v>
      </c>
      <c r="M351" s="321">
        <v>0</v>
      </c>
      <c r="N351" s="321">
        <v>0</v>
      </c>
      <c r="O351" s="321">
        <v>0</v>
      </c>
      <c r="P351" s="321">
        <v>0</v>
      </c>
      <c r="Q351" s="321">
        <v>0</v>
      </c>
      <c r="R351" s="321">
        <v>0</v>
      </c>
      <c r="S351" s="321">
        <v>0</v>
      </c>
      <c r="T351" s="321">
        <v>0</v>
      </c>
      <c r="U351" s="322">
        <v>0</v>
      </c>
      <c r="V351" s="323">
        <v>0</v>
      </c>
      <c r="W351" s="303"/>
      <c r="X351" s="324">
        <v>0</v>
      </c>
      <c r="Y351" s="325">
        <v>0</v>
      </c>
    </row>
    <row r="352" spans="1:25" x14ac:dyDescent="0.3">
      <c r="E352" s="250" t="s">
        <v>1284</v>
      </c>
      <c r="F352" s="317">
        <v>4306803</v>
      </c>
      <c r="G352" s="318"/>
      <c r="H352" s="319">
        <v>5101150103</v>
      </c>
      <c r="I352" s="320"/>
      <c r="J352" s="337">
        <v>404.68599999999998</v>
      </c>
      <c r="K352" s="321">
        <v>508.404</v>
      </c>
      <c r="L352" s="321">
        <v>1733.19</v>
      </c>
      <c r="M352" s="321">
        <v>765.59699999999998</v>
      </c>
      <c r="N352" s="321">
        <v>1381.9480000000001</v>
      </c>
      <c r="O352" s="321">
        <v>758.84299999999996</v>
      </c>
      <c r="P352" s="321">
        <v>272.20699999999999</v>
      </c>
      <c r="Q352" s="321">
        <v>161.232</v>
      </c>
      <c r="R352" s="321">
        <v>39.707999999999998</v>
      </c>
      <c r="S352" s="321">
        <v>347.97800000000001</v>
      </c>
      <c r="T352" s="321">
        <v>450.976</v>
      </c>
      <c r="U352" s="322">
        <v>910.70799999999997</v>
      </c>
      <c r="V352" s="323">
        <v>7735.476999999999</v>
      </c>
      <c r="W352" s="303"/>
      <c r="X352" s="324">
        <v>910.70799999999997</v>
      </c>
      <c r="Y352" s="325">
        <v>7735.476999999999</v>
      </c>
    </row>
    <row r="353" spans="1:25" x14ac:dyDescent="0.3">
      <c r="E353" s="250" t="s">
        <v>1285</v>
      </c>
      <c r="F353" s="317">
        <v>4306804</v>
      </c>
      <c r="G353" s="318"/>
      <c r="H353" s="319"/>
      <c r="I353" s="320"/>
      <c r="J353" s="337">
        <v>40.835000000000001</v>
      </c>
      <c r="K353" s="321">
        <v>40.222000000000001</v>
      </c>
      <c r="L353" s="321">
        <v>40.659999999999997</v>
      </c>
      <c r="M353" s="321">
        <v>0</v>
      </c>
      <c r="N353" s="321">
        <v>0</v>
      </c>
      <c r="O353" s="321">
        <v>0</v>
      </c>
      <c r="P353" s="321">
        <v>0</v>
      </c>
      <c r="Q353" s="321">
        <v>0</v>
      </c>
      <c r="R353" s="321">
        <v>0</v>
      </c>
      <c r="S353" s="321">
        <v>0</v>
      </c>
      <c r="T353" s="321">
        <v>0</v>
      </c>
      <c r="U353" s="322">
        <v>0</v>
      </c>
      <c r="V353" s="323">
        <v>121.717</v>
      </c>
      <c r="W353" s="303"/>
      <c r="X353" s="324">
        <v>0</v>
      </c>
      <c r="Y353" s="325">
        <v>121.717</v>
      </c>
    </row>
    <row r="354" spans="1:25" x14ac:dyDescent="0.3">
      <c r="E354" s="250" t="s">
        <v>1286</v>
      </c>
      <c r="F354" s="317">
        <v>4306805</v>
      </c>
      <c r="G354" s="318"/>
      <c r="H354" s="319"/>
      <c r="I354" s="320"/>
      <c r="J354" s="337">
        <v>0</v>
      </c>
      <c r="K354" s="321">
        <v>0</v>
      </c>
      <c r="L354" s="321">
        <v>0</v>
      </c>
      <c r="M354" s="321">
        <v>0</v>
      </c>
      <c r="N354" s="321">
        <v>0</v>
      </c>
      <c r="O354" s="321">
        <v>0</v>
      </c>
      <c r="P354" s="321">
        <v>0</v>
      </c>
      <c r="Q354" s="321">
        <v>0</v>
      </c>
      <c r="R354" s="321">
        <v>0</v>
      </c>
      <c r="S354" s="321">
        <v>0</v>
      </c>
      <c r="T354" s="321">
        <v>0</v>
      </c>
      <c r="U354" s="322">
        <v>0</v>
      </c>
      <c r="V354" s="323">
        <v>0</v>
      </c>
      <c r="W354" s="303"/>
      <c r="X354" s="324">
        <v>0</v>
      </c>
      <c r="Y354" s="325">
        <v>0</v>
      </c>
    </row>
    <row r="355" spans="1:25" x14ac:dyDescent="0.3">
      <c r="E355" s="250" t="s">
        <v>1287</v>
      </c>
      <c r="F355" s="317">
        <v>4306806</v>
      </c>
      <c r="G355" s="318"/>
      <c r="H355" s="319"/>
      <c r="I355" s="320"/>
      <c r="J355" s="337">
        <v>9.9</v>
      </c>
      <c r="K355" s="321">
        <v>0</v>
      </c>
      <c r="L355" s="321">
        <v>9.9</v>
      </c>
      <c r="M355" s="321">
        <v>0</v>
      </c>
      <c r="N355" s="321">
        <v>0</v>
      </c>
      <c r="O355" s="321">
        <v>9.9</v>
      </c>
      <c r="P355" s="321">
        <v>0</v>
      </c>
      <c r="Q355" s="321">
        <v>0</v>
      </c>
      <c r="R355" s="321">
        <v>9.9</v>
      </c>
      <c r="S355" s="321">
        <v>0</v>
      </c>
      <c r="T355" s="321">
        <v>0</v>
      </c>
      <c r="U355" s="322">
        <v>9.9</v>
      </c>
      <c r="V355" s="323">
        <v>49.5</v>
      </c>
      <c r="W355" s="303"/>
      <c r="X355" s="324">
        <v>9.9</v>
      </c>
      <c r="Y355" s="325">
        <v>49.5</v>
      </c>
    </row>
    <row r="356" spans="1:25" x14ac:dyDescent="0.3">
      <c r="E356" s="250" t="s">
        <v>1288</v>
      </c>
      <c r="F356" s="317">
        <v>4306807</v>
      </c>
      <c r="G356" s="318"/>
      <c r="H356" s="319">
        <v>5101150105</v>
      </c>
      <c r="I356" s="320"/>
      <c r="J356" s="337">
        <v>2262.3270000000002</v>
      </c>
      <c r="K356" s="321">
        <v>2199.136</v>
      </c>
      <c r="L356" s="321">
        <v>2260.8629999999998</v>
      </c>
      <c r="M356" s="321">
        <v>2178.1030000000001</v>
      </c>
      <c r="N356" s="321">
        <v>1969.6869999999999</v>
      </c>
      <c r="O356" s="321">
        <v>2131.56</v>
      </c>
      <c r="P356" s="321">
        <v>2153.36</v>
      </c>
      <c r="Q356" s="321">
        <v>2134.9229999999998</v>
      </c>
      <c r="R356" s="321">
        <v>1968.3040000000001</v>
      </c>
      <c r="S356" s="321">
        <v>2016.174</v>
      </c>
      <c r="T356" s="321">
        <v>2197.7379999999998</v>
      </c>
      <c r="U356" s="322">
        <v>2804.2130000000002</v>
      </c>
      <c r="V356" s="323">
        <v>26276.387999999999</v>
      </c>
      <c r="W356" s="303"/>
      <c r="X356" s="324">
        <v>2804.2130000000002</v>
      </c>
      <c r="Y356" s="325">
        <v>26276.387999999999</v>
      </c>
    </row>
    <row r="357" spans="1:25" x14ac:dyDescent="0.3">
      <c r="A357" s="350"/>
      <c r="B357" s="350"/>
      <c r="C357" s="350"/>
      <c r="D357" s="350"/>
      <c r="E357" s="250" t="s">
        <v>1289</v>
      </c>
      <c r="F357" s="375">
        <v>4306808</v>
      </c>
      <c r="G357" s="307"/>
      <c r="H357" s="308"/>
      <c r="I357" s="309"/>
      <c r="J357" s="310">
        <v>170</v>
      </c>
      <c r="K357" s="311">
        <v>170</v>
      </c>
      <c r="L357" s="311">
        <v>170</v>
      </c>
      <c r="M357" s="311">
        <v>170</v>
      </c>
      <c r="N357" s="311">
        <v>170</v>
      </c>
      <c r="O357" s="311">
        <v>260</v>
      </c>
      <c r="P357" s="311">
        <v>140</v>
      </c>
      <c r="Q357" s="311">
        <v>140</v>
      </c>
      <c r="R357" s="311">
        <v>140</v>
      </c>
      <c r="S357" s="311">
        <v>140</v>
      </c>
      <c r="T357" s="311">
        <v>140</v>
      </c>
      <c r="U357" s="312">
        <v>170</v>
      </c>
      <c r="V357" s="313">
        <v>1980</v>
      </c>
      <c r="W357" s="314"/>
      <c r="X357" s="315">
        <v>170</v>
      </c>
      <c r="Y357" s="316">
        <v>1980</v>
      </c>
    </row>
    <row r="358" spans="1:25" x14ac:dyDescent="0.3">
      <c r="E358" s="250" t="s">
        <v>1290</v>
      </c>
      <c r="F358" s="317">
        <v>4306899</v>
      </c>
      <c r="G358" s="318"/>
      <c r="H358" s="319"/>
      <c r="I358" s="320"/>
      <c r="J358" s="337">
        <v>43.945</v>
      </c>
      <c r="K358" s="321">
        <v>43.838000000000001</v>
      </c>
      <c r="L358" s="321">
        <v>43.817</v>
      </c>
      <c r="M358" s="321">
        <v>50.944000000000003</v>
      </c>
      <c r="N358" s="321">
        <v>282.166</v>
      </c>
      <c r="O358" s="321">
        <v>17.600000000000001</v>
      </c>
      <c r="P358" s="321">
        <v>17.600000000000001</v>
      </c>
      <c r="Q358" s="321">
        <v>17.600000000000001</v>
      </c>
      <c r="R358" s="321">
        <v>17.600000000000001</v>
      </c>
      <c r="S358" s="321">
        <v>17.600000000000001</v>
      </c>
      <c r="T358" s="321">
        <v>17.600000000000001</v>
      </c>
      <c r="U358" s="322">
        <v>17.600000000000001</v>
      </c>
      <c r="V358" s="323">
        <v>587.91000000000008</v>
      </c>
      <c r="W358" s="303"/>
      <c r="X358" s="324">
        <v>17.600000000000001</v>
      </c>
      <c r="Y358" s="325">
        <v>587.91000000000008</v>
      </c>
    </row>
    <row r="359" spans="1:25" x14ac:dyDescent="0.3">
      <c r="A359" s="361"/>
      <c r="B359" s="361"/>
      <c r="C359" s="361"/>
      <c r="D359" s="361"/>
      <c r="E359" s="326" t="s">
        <v>1291</v>
      </c>
      <c r="F359" s="351"/>
      <c r="G359" s="352"/>
      <c r="H359" s="353"/>
      <c r="I359" s="354"/>
      <c r="J359" s="362">
        <v>0</v>
      </c>
      <c r="K359" s="355">
        <v>0</v>
      </c>
      <c r="L359" s="355">
        <v>0</v>
      </c>
      <c r="M359" s="355">
        <v>0</v>
      </c>
      <c r="N359" s="355">
        <v>0</v>
      </c>
      <c r="O359" s="355">
        <v>0</v>
      </c>
      <c r="P359" s="355">
        <v>0</v>
      </c>
      <c r="Q359" s="355">
        <v>0</v>
      </c>
      <c r="R359" s="355">
        <v>0</v>
      </c>
      <c r="S359" s="355">
        <v>0</v>
      </c>
      <c r="T359" s="355">
        <v>0</v>
      </c>
      <c r="U359" s="356">
        <v>0</v>
      </c>
      <c r="V359" s="357">
        <v>0</v>
      </c>
      <c r="W359" s="358"/>
      <c r="X359" s="359">
        <v>0</v>
      </c>
      <c r="Y359" s="360">
        <v>0</v>
      </c>
    </row>
    <row r="360" spans="1:25" x14ac:dyDescent="0.3">
      <c r="A360" s="361"/>
      <c r="B360" s="361"/>
      <c r="C360" s="361"/>
      <c r="D360" s="361"/>
      <c r="E360" s="326" t="s">
        <v>1292</v>
      </c>
      <c r="F360" s="351"/>
      <c r="G360" s="352"/>
      <c r="H360" s="353"/>
      <c r="I360" s="354"/>
      <c r="J360" s="362">
        <v>0</v>
      </c>
      <c r="K360" s="355">
        <v>0</v>
      </c>
      <c r="L360" s="355">
        <v>0</v>
      </c>
      <c r="M360" s="355">
        <v>0</v>
      </c>
      <c r="N360" s="355">
        <v>0</v>
      </c>
      <c r="O360" s="355">
        <v>0</v>
      </c>
      <c r="P360" s="355">
        <v>0</v>
      </c>
      <c r="Q360" s="355">
        <v>0</v>
      </c>
      <c r="R360" s="355">
        <v>0</v>
      </c>
      <c r="S360" s="355">
        <v>0</v>
      </c>
      <c r="T360" s="355">
        <v>0</v>
      </c>
      <c r="U360" s="356">
        <v>0</v>
      </c>
      <c r="V360" s="357">
        <v>0</v>
      </c>
      <c r="W360" s="358"/>
      <c r="X360" s="359">
        <v>0</v>
      </c>
      <c r="Y360" s="360">
        <v>0</v>
      </c>
    </row>
    <row r="361" spans="1:25" x14ac:dyDescent="0.3">
      <c r="A361" s="361"/>
      <c r="B361" s="361"/>
      <c r="C361" s="361"/>
      <c r="D361" s="361"/>
      <c r="E361" s="326" t="s">
        <v>1293</v>
      </c>
      <c r="F361" s="351"/>
      <c r="G361" s="352"/>
      <c r="H361" s="353"/>
      <c r="I361" s="354"/>
      <c r="J361" s="362">
        <v>0</v>
      </c>
      <c r="K361" s="355">
        <v>0</v>
      </c>
      <c r="L361" s="355">
        <v>0</v>
      </c>
      <c r="M361" s="355">
        <v>0</v>
      </c>
      <c r="N361" s="355">
        <v>0</v>
      </c>
      <c r="O361" s="355">
        <v>0</v>
      </c>
      <c r="P361" s="355">
        <v>0</v>
      </c>
      <c r="Q361" s="355">
        <v>0</v>
      </c>
      <c r="R361" s="355">
        <v>0</v>
      </c>
      <c r="S361" s="355">
        <v>0</v>
      </c>
      <c r="T361" s="355">
        <v>0</v>
      </c>
      <c r="U361" s="356">
        <v>0</v>
      </c>
      <c r="V361" s="357">
        <v>0</v>
      </c>
      <c r="W361" s="358"/>
      <c r="X361" s="359">
        <v>0</v>
      </c>
      <c r="Y361" s="360">
        <v>0</v>
      </c>
    </row>
    <row r="362" spans="1:25" x14ac:dyDescent="0.3">
      <c r="A362" s="233"/>
      <c r="B362" s="234" t="s">
        <v>17</v>
      </c>
      <c r="D362" s="293" t="s">
        <v>1294</v>
      </c>
      <c r="E362" s="294"/>
      <c r="F362" s="295" t="s">
        <v>1295</v>
      </c>
      <c r="G362" s="296"/>
      <c r="H362" s="297"/>
      <c r="I362" s="298"/>
      <c r="J362" s="299">
        <v>0</v>
      </c>
      <c r="K362" s="300">
        <v>0</v>
      </c>
      <c r="L362" s="300">
        <v>0</v>
      </c>
      <c r="M362" s="300">
        <v>0</v>
      </c>
      <c r="N362" s="300">
        <v>0</v>
      </c>
      <c r="O362" s="300">
        <v>0</v>
      </c>
      <c r="P362" s="300">
        <v>0</v>
      </c>
      <c r="Q362" s="300">
        <v>0</v>
      </c>
      <c r="R362" s="300">
        <v>0</v>
      </c>
      <c r="S362" s="300">
        <v>0</v>
      </c>
      <c r="T362" s="300">
        <v>0</v>
      </c>
      <c r="U362" s="301">
        <v>0</v>
      </c>
      <c r="V362" s="302">
        <v>0</v>
      </c>
      <c r="W362" s="303"/>
      <c r="X362" s="304">
        <v>0</v>
      </c>
      <c r="Y362" s="305">
        <v>0</v>
      </c>
    </row>
    <row r="363" spans="1:25" x14ac:dyDescent="0.3">
      <c r="E363" s="250" t="s">
        <v>1296</v>
      </c>
      <c r="F363" s="317">
        <v>4301101</v>
      </c>
      <c r="G363" s="318"/>
      <c r="H363" s="319">
        <v>5101170101</v>
      </c>
      <c r="I363" s="320"/>
      <c r="J363" s="337">
        <v>0</v>
      </c>
      <c r="K363" s="321">
        <v>0</v>
      </c>
      <c r="L363" s="321">
        <v>0</v>
      </c>
      <c r="M363" s="321">
        <v>0</v>
      </c>
      <c r="N363" s="321">
        <v>0</v>
      </c>
      <c r="O363" s="321">
        <v>0</v>
      </c>
      <c r="P363" s="321">
        <v>0</v>
      </c>
      <c r="Q363" s="321">
        <v>0</v>
      </c>
      <c r="R363" s="321">
        <v>0</v>
      </c>
      <c r="S363" s="321">
        <v>0</v>
      </c>
      <c r="T363" s="321">
        <v>0</v>
      </c>
      <c r="U363" s="322">
        <v>0</v>
      </c>
      <c r="V363" s="323">
        <v>0</v>
      </c>
      <c r="W363" s="303"/>
      <c r="X363" s="324">
        <v>0</v>
      </c>
      <c r="Y363" s="325">
        <v>0</v>
      </c>
    </row>
    <row r="364" spans="1:25" x14ac:dyDescent="0.3">
      <c r="E364" s="250" t="s">
        <v>1297</v>
      </c>
      <c r="F364" s="317">
        <v>4301102</v>
      </c>
      <c r="G364" s="318"/>
      <c r="H364" s="319">
        <v>5101170103</v>
      </c>
      <c r="I364" s="320"/>
      <c r="J364" s="337">
        <v>0</v>
      </c>
      <c r="K364" s="321">
        <v>0</v>
      </c>
      <c r="L364" s="321">
        <v>0</v>
      </c>
      <c r="M364" s="321">
        <v>0</v>
      </c>
      <c r="N364" s="321">
        <v>0</v>
      </c>
      <c r="O364" s="321">
        <v>0</v>
      </c>
      <c r="P364" s="321">
        <v>0</v>
      </c>
      <c r="Q364" s="321">
        <v>0</v>
      </c>
      <c r="R364" s="321">
        <v>0</v>
      </c>
      <c r="S364" s="321">
        <v>0</v>
      </c>
      <c r="T364" s="321">
        <v>0</v>
      </c>
      <c r="U364" s="322">
        <v>0</v>
      </c>
      <c r="V364" s="323">
        <v>0</v>
      </c>
      <c r="W364" s="303"/>
      <c r="X364" s="324">
        <v>0</v>
      </c>
      <c r="Y364" s="325">
        <v>0</v>
      </c>
    </row>
    <row r="365" spans="1:25" x14ac:dyDescent="0.3">
      <c r="E365" s="250" t="s">
        <v>1298</v>
      </c>
      <c r="F365" s="317">
        <v>4301103</v>
      </c>
      <c r="G365" s="318"/>
      <c r="H365" s="319">
        <v>5101170105</v>
      </c>
      <c r="I365" s="320"/>
      <c r="J365" s="337">
        <v>0</v>
      </c>
      <c r="K365" s="321">
        <v>0</v>
      </c>
      <c r="L365" s="321">
        <v>0</v>
      </c>
      <c r="M365" s="321">
        <v>0</v>
      </c>
      <c r="N365" s="321">
        <v>0</v>
      </c>
      <c r="O365" s="321">
        <v>0</v>
      </c>
      <c r="P365" s="321">
        <v>0</v>
      </c>
      <c r="Q365" s="321">
        <v>0</v>
      </c>
      <c r="R365" s="321">
        <v>0</v>
      </c>
      <c r="S365" s="321">
        <v>0</v>
      </c>
      <c r="T365" s="321">
        <v>0</v>
      </c>
      <c r="U365" s="322">
        <v>0</v>
      </c>
      <c r="V365" s="323">
        <v>0</v>
      </c>
      <c r="W365" s="303"/>
      <c r="X365" s="324">
        <v>0</v>
      </c>
      <c r="Y365" s="325">
        <v>0</v>
      </c>
    </row>
    <row r="366" spans="1:25" x14ac:dyDescent="0.3">
      <c r="E366" s="250" t="s">
        <v>1299</v>
      </c>
      <c r="F366" s="317">
        <v>4301199</v>
      </c>
      <c r="G366" s="318"/>
      <c r="H366" s="319">
        <v>5101170199</v>
      </c>
      <c r="I366" s="320"/>
      <c r="J366" s="337">
        <v>0</v>
      </c>
      <c r="K366" s="321">
        <v>0</v>
      </c>
      <c r="L366" s="321">
        <v>0</v>
      </c>
      <c r="M366" s="321">
        <v>0</v>
      </c>
      <c r="N366" s="321">
        <v>0</v>
      </c>
      <c r="O366" s="321">
        <v>0</v>
      </c>
      <c r="P366" s="321">
        <v>0</v>
      </c>
      <c r="Q366" s="321">
        <v>0</v>
      </c>
      <c r="R366" s="321">
        <v>0</v>
      </c>
      <c r="S366" s="321">
        <v>0</v>
      </c>
      <c r="T366" s="321">
        <v>0</v>
      </c>
      <c r="U366" s="322">
        <v>0</v>
      </c>
      <c r="V366" s="323">
        <v>0</v>
      </c>
      <c r="W366" s="303"/>
      <c r="X366" s="324">
        <v>0</v>
      </c>
      <c r="Y366" s="325">
        <v>0</v>
      </c>
    </row>
    <row r="367" spans="1:25" x14ac:dyDescent="0.3">
      <c r="A367" s="361"/>
      <c r="B367" s="361"/>
      <c r="C367" s="361"/>
      <c r="D367" s="361"/>
      <c r="E367" s="326" t="s">
        <v>1300</v>
      </c>
      <c r="F367" s="351"/>
      <c r="G367" s="352"/>
      <c r="H367" s="353"/>
      <c r="I367" s="354"/>
      <c r="J367" s="362">
        <v>0</v>
      </c>
      <c r="K367" s="355">
        <v>0</v>
      </c>
      <c r="L367" s="355">
        <v>0</v>
      </c>
      <c r="M367" s="355">
        <v>0</v>
      </c>
      <c r="N367" s="355">
        <v>0</v>
      </c>
      <c r="O367" s="355">
        <v>0</v>
      </c>
      <c r="P367" s="355">
        <v>0</v>
      </c>
      <c r="Q367" s="355">
        <v>0</v>
      </c>
      <c r="R367" s="355">
        <v>0</v>
      </c>
      <c r="S367" s="355">
        <v>0</v>
      </c>
      <c r="T367" s="355">
        <v>0</v>
      </c>
      <c r="U367" s="356">
        <v>0</v>
      </c>
      <c r="V367" s="357">
        <v>0</v>
      </c>
      <c r="W367" s="358"/>
      <c r="X367" s="359">
        <v>0</v>
      </c>
      <c r="Y367" s="360">
        <v>0</v>
      </c>
    </row>
    <row r="368" spans="1:25" x14ac:dyDescent="0.3">
      <c r="A368" s="361"/>
      <c r="B368" s="361"/>
      <c r="C368" s="361"/>
      <c r="D368" s="361"/>
      <c r="E368" s="326" t="s">
        <v>1301</v>
      </c>
      <c r="F368" s="351"/>
      <c r="G368" s="352"/>
      <c r="H368" s="353"/>
      <c r="I368" s="354"/>
      <c r="J368" s="362">
        <v>0</v>
      </c>
      <c r="K368" s="355">
        <v>0</v>
      </c>
      <c r="L368" s="355">
        <v>0</v>
      </c>
      <c r="M368" s="355">
        <v>0</v>
      </c>
      <c r="N368" s="355">
        <v>0</v>
      </c>
      <c r="O368" s="355">
        <v>0</v>
      </c>
      <c r="P368" s="355">
        <v>0</v>
      </c>
      <c r="Q368" s="355">
        <v>0</v>
      </c>
      <c r="R368" s="355">
        <v>0</v>
      </c>
      <c r="S368" s="355">
        <v>0</v>
      </c>
      <c r="T368" s="355">
        <v>0</v>
      </c>
      <c r="U368" s="356">
        <v>0</v>
      </c>
      <c r="V368" s="357">
        <v>0</v>
      </c>
      <c r="W368" s="358"/>
      <c r="X368" s="359">
        <v>0</v>
      </c>
      <c r="Y368" s="360">
        <v>0</v>
      </c>
    </row>
    <row r="369" spans="1:25" x14ac:dyDescent="0.3">
      <c r="A369" s="361"/>
      <c r="B369" s="361"/>
      <c r="C369" s="361"/>
      <c r="D369" s="361"/>
      <c r="E369" s="326" t="s">
        <v>1302</v>
      </c>
      <c r="F369" s="351"/>
      <c r="G369" s="352"/>
      <c r="H369" s="353"/>
      <c r="I369" s="354"/>
      <c r="J369" s="362">
        <v>0</v>
      </c>
      <c r="K369" s="355">
        <v>0</v>
      </c>
      <c r="L369" s="355">
        <v>0</v>
      </c>
      <c r="M369" s="355">
        <v>0</v>
      </c>
      <c r="N369" s="355">
        <v>0</v>
      </c>
      <c r="O369" s="355">
        <v>0</v>
      </c>
      <c r="P369" s="355">
        <v>0</v>
      </c>
      <c r="Q369" s="355">
        <v>0</v>
      </c>
      <c r="R369" s="355">
        <v>0</v>
      </c>
      <c r="S369" s="355">
        <v>0</v>
      </c>
      <c r="T369" s="355">
        <v>0</v>
      </c>
      <c r="U369" s="356">
        <v>0</v>
      </c>
      <c r="V369" s="357">
        <v>0</v>
      </c>
      <c r="W369" s="358"/>
      <c r="X369" s="359">
        <v>0</v>
      </c>
      <c r="Y369" s="360">
        <v>0</v>
      </c>
    </row>
    <row r="370" spans="1:25" x14ac:dyDescent="0.3">
      <c r="A370" s="233"/>
      <c r="B370" s="234" t="s">
        <v>35</v>
      </c>
      <c r="D370" s="294" t="s">
        <v>1303</v>
      </c>
      <c r="E370" s="294"/>
      <c r="F370" s="295" t="s">
        <v>1304</v>
      </c>
      <c r="G370" s="296"/>
      <c r="H370" s="297"/>
      <c r="I370" s="298"/>
      <c r="J370" s="299">
        <v>423.80100000000004</v>
      </c>
      <c r="K370" s="300">
        <v>382.78800000000001</v>
      </c>
      <c r="L370" s="300">
        <v>1397.095</v>
      </c>
      <c r="M370" s="300">
        <v>1969.8200000000002</v>
      </c>
      <c r="N370" s="300">
        <v>961.89200000000005</v>
      </c>
      <c r="O370" s="300">
        <v>424.38400000000001</v>
      </c>
      <c r="P370" s="300">
        <v>1684.3400000000001</v>
      </c>
      <c r="Q370" s="300">
        <v>377.16700000000003</v>
      </c>
      <c r="R370" s="300">
        <v>593.50600000000009</v>
      </c>
      <c r="S370" s="300">
        <v>1013.948</v>
      </c>
      <c r="T370" s="300">
        <v>266.99400000000003</v>
      </c>
      <c r="U370" s="301">
        <v>800.36800000000005</v>
      </c>
      <c r="V370" s="302">
        <v>10296.102999999999</v>
      </c>
      <c r="W370" s="303"/>
      <c r="X370" s="304">
        <v>800.36800000000005</v>
      </c>
      <c r="Y370" s="305">
        <v>10296.102999999999</v>
      </c>
    </row>
    <row r="371" spans="1:25" x14ac:dyDescent="0.3">
      <c r="E371" s="250" t="s">
        <v>1305</v>
      </c>
      <c r="F371" s="317">
        <v>4306201</v>
      </c>
      <c r="G371" s="318"/>
      <c r="H371" s="319">
        <v>5101190101</v>
      </c>
      <c r="I371" s="320"/>
      <c r="J371" s="337">
        <v>155.155</v>
      </c>
      <c r="K371" s="321">
        <v>140.13999999999999</v>
      </c>
      <c r="L371" s="321">
        <v>155.25</v>
      </c>
      <c r="M371" s="321">
        <v>150.87</v>
      </c>
      <c r="N371" s="321">
        <v>155.899</v>
      </c>
      <c r="O371" s="321">
        <v>150.87</v>
      </c>
      <c r="P371" s="321">
        <v>155.899</v>
      </c>
      <c r="Q371" s="321">
        <v>155.899</v>
      </c>
      <c r="R371" s="321">
        <v>150.87</v>
      </c>
      <c r="S371" s="321">
        <v>155.899</v>
      </c>
      <c r="T371" s="321">
        <v>150.87</v>
      </c>
      <c r="U371" s="322">
        <v>155.899</v>
      </c>
      <c r="V371" s="323">
        <v>1833.5199999999995</v>
      </c>
      <c r="W371" s="303"/>
      <c r="X371" s="324">
        <v>155.899</v>
      </c>
      <c r="Y371" s="325">
        <v>1833.5199999999995</v>
      </c>
    </row>
    <row r="372" spans="1:25" x14ac:dyDescent="0.3">
      <c r="E372" s="250" t="s">
        <v>1306</v>
      </c>
      <c r="F372" s="317">
        <v>4306202</v>
      </c>
      <c r="G372" s="318"/>
      <c r="H372" s="319"/>
      <c r="I372" s="320"/>
      <c r="J372" s="337">
        <v>0</v>
      </c>
      <c r="K372" s="321">
        <v>0</v>
      </c>
      <c r="L372" s="321">
        <v>0</v>
      </c>
      <c r="M372" s="321">
        <v>0</v>
      </c>
      <c r="N372" s="321">
        <v>0</v>
      </c>
      <c r="O372" s="321">
        <v>0</v>
      </c>
      <c r="P372" s="321">
        <v>0</v>
      </c>
      <c r="Q372" s="321">
        <v>0</v>
      </c>
      <c r="R372" s="321">
        <v>0</v>
      </c>
      <c r="S372" s="321">
        <v>0</v>
      </c>
      <c r="T372" s="321">
        <v>0</v>
      </c>
      <c r="U372" s="322">
        <v>0</v>
      </c>
      <c r="V372" s="323">
        <v>0</v>
      </c>
      <c r="W372" s="303"/>
      <c r="X372" s="324">
        <v>0</v>
      </c>
      <c r="Y372" s="325">
        <v>0</v>
      </c>
    </row>
    <row r="373" spans="1:25" x14ac:dyDescent="0.3">
      <c r="E373" s="250" t="s">
        <v>1307</v>
      </c>
      <c r="F373" s="317">
        <v>4306299</v>
      </c>
      <c r="G373" s="318"/>
      <c r="H373" s="319"/>
      <c r="I373" s="320"/>
      <c r="J373" s="337">
        <v>268.64600000000002</v>
      </c>
      <c r="K373" s="321">
        <v>242.648</v>
      </c>
      <c r="L373" s="321">
        <v>1241.845</v>
      </c>
      <c r="M373" s="321">
        <v>1818.95</v>
      </c>
      <c r="N373" s="321">
        <v>805.99300000000005</v>
      </c>
      <c r="O373" s="321">
        <v>273.51400000000001</v>
      </c>
      <c r="P373" s="321">
        <v>1528.441</v>
      </c>
      <c r="Q373" s="321">
        <v>221.268</v>
      </c>
      <c r="R373" s="321">
        <v>442.63600000000002</v>
      </c>
      <c r="S373" s="321">
        <v>858.04899999999998</v>
      </c>
      <c r="T373" s="321">
        <v>116.124</v>
      </c>
      <c r="U373" s="322">
        <v>644.46900000000005</v>
      </c>
      <c r="V373" s="323">
        <v>8462.5830000000005</v>
      </c>
      <c r="W373" s="303"/>
      <c r="X373" s="324">
        <v>644.46900000000005</v>
      </c>
      <c r="Y373" s="325">
        <v>8462.5830000000005</v>
      </c>
    </row>
    <row r="374" spans="1:25" x14ac:dyDescent="0.3">
      <c r="A374" s="361"/>
      <c r="B374" s="361"/>
      <c r="C374" s="361"/>
      <c r="D374" s="361"/>
      <c r="E374" s="326" t="s">
        <v>1308</v>
      </c>
      <c r="F374" s="351"/>
      <c r="G374" s="352"/>
      <c r="H374" s="353"/>
      <c r="I374" s="354"/>
      <c r="J374" s="362">
        <v>0</v>
      </c>
      <c r="K374" s="355">
        <v>0</v>
      </c>
      <c r="L374" s="355">
        <v>0</v>
      </c>
      <c r="M374" s="355">
        <v>0</v>
      </c>
      <c r="N374" s="355">
        <v>0</v>
      </c>
      <c r="O374" s="355">
        <v>0</v>
      </c>
      <c r="P374" s="355">
        <v>0</v>
      </c>
      <c r="Q374" s="355">
        <v>0</v>
      </c>
      <c r="R374" s="355">
        <v>0</v>
      </c>
      <c r="S374" s="355">
        <v>0</v>
      </c>
      <c r="T374" s="355">
        <v>0</v>
      </c>
      <c r="U374" s="356">
        <v>0</v>
      </c>
      <c r="V374" s="357">
        <v>0</v>
      </c>
      <c r="W374" s="358"/>
      <c r="X374" s="359">
        <v>0</v>
      </c>
      <c r="Y374" s="360">
        <v>0</v>
      </c>
    </row>
    <row r="375" spans="1:25" x14ac:dyDescent="0.3">
      <c r="A375" s="361"/>
      <c r="B375" s="361"/>
      <c r="C375" s="361"/>
      <c r="D375" s="361"/>
      <c r="E375" s="326" t="s">
        <v>1309</v>
      </c>
      <c r="F375" s="351"/>
      <c r="G375" s="352"/>
      <c r="H375" s="353"/>
      <c r="I375" s="354"/>
      <c r="J375" s="362">
        <v>0</v>
      </c>
      <c r="K375" s="355">
        <v>0</v>
      </c>
      <c r="L375" s="355">
        <v>0</v>
      </c>
      <c r="M375" s="355">
        <v>0</v>
      </c>
      <c r="N375" s="355">
        <v>0</v>
      </c>
      <c r="O375" s="355">
        <v>0</v>
      </c>
      <c r="P375" s="355">
        <v>0</v>
      </c>
      <c r="Q375" s="355">
        <v>0</v>
      </c>
      <c r="R375" s="355">
        <v>0</v>
      </c>
      <c r="S375" s="355">
        <v>0</v>
      </c>
      <c r="T375" s="355">
        <v>0</v>
      </c>
      <c r="U375" s="356">
        <v>0</v>
      </c>
      <c r="V375" s="357">
        <v>0</v>
      </c>
      <c r="W375" s="358"/>
      <c r="X375" s="359">
        <v>0</v>
      </c>
      <c r="Y375" s="360">
        <v>0</v>
      </c>
    </row>
    <row r="376" spans="1:25" x14ac:dyDescent="0.3">
      <c r="A376" s="361"/>
      <c r="B376" s="361"/>
      <c r="C376" s="361"/>
      <c r="D376" s="361"/>
      <c r="E376" s="326" t="s">
        <v>1310</v>
      </c>
      <c r="F376" s="351"/>
      <c r="G376" s="352"/>
      <c r="H376" s="353"/>
      <c r="I376" s="354"/>
      <c r="J376" s="362">
        <v>0</v>
      </c>
      <c r="K376" s="355">
        <v>0</v>
      </c>
      <c r="L376" s="355">
        <v>0</v>
      </c>
      <c r="M376" s="355">
        <v>0</v>
      </c>
      <c r="N376" s="355">
        <v>0</v>
      </c>
      <c r="O376" s="355">
        <v>0</v>
      </c>
      <c r="P376" s="355">
        <v>0</v>
      </c>
      <c r="Q376" s="355">
        <v>0</v>
      </c>
      <c r="R376" s="355">
        <v>0</v>
      </c>
      <c r="S376" s="355">
        <v>0</v>
      </c>
      <c r="T376" s="355">
        <v>0</v>
      </c>
      <c r="U376" s="356">
        <v>0</v>
      </c>
      <c r="V376" s="357">
        <v>0</v>
      </c>
      <c r="W376" s="358"/>
      <c r="X376" s="359">
        <v>0</v>
      </c>
      <c r="Y376" s="360">
        <v>0</v>
      </c>
    </row>
    <row r="377" spans="1:25" x14ac:dyDescent="0.3">
      <c r="A377" s="233"/>
      <c r="B377" s="234" t="s">
        <v>27</v>
      </c>
      <c r="D377" s="293" t="s">
        <v>1311</v>
      </c>
      <c r="E377" s="294"/>
      <c r="F377" s="295" t="s">
        <v>1312</v>
      </c>
      <c r="G377" s="296"/>
      <c r="H377" s="297"/>
      <c r="I377" s="298"/>
      <c r="J377" s="299">
        <v>25865.157999999999</v>
      </c>
      <c r="K377" s="300">
        <v>25798.381000000005</v>
      </c>
      <c r="L377" s="300">
        <v>25708.198</v>
      </c>
      <c r="M377" s="300">
        <v>27323.342000000001</v>
      </c>
      <c r="N377" s="300">
        <v>22564.547000000002</v>
      </c>
      <c r="O377" s="300">
        <v>21688.766</v>
      </c>
      <c r="P377" s="300">
        <v>49650.452000000005</v>
      </c>
      <c r="Q377" s="300">
        <v>29143.252000000004</v>
      </c>
      <c r="R377" s="300">
        <v>28278.528000000002</v>
      </c>
      <c r="S377" s="300">
        <v>95888.918000000005</v>
      </c>
      <c r="T377" s="300">
        <v>27296.109999999997</v>
      </c>
      <c r="U377" s="301">
        <v>39042.736000000004</v>
      </c>
      <c r="V377" s="302">
        <v>418248.38799999998</v>
      </c>
      <c r="W377" s="303"/>
      <c r="X377" s="304">
        <v>39042.736000000004</v>
      </c>
      <c r="Y377" s="305">
        <v>418248.38799999998</v>
      </c>
    </row>
    <row r="378" spans="1:25" x14ac:dyDescent="0.3">
      <c r="E378" s="250" t="s">
        <v>1313</v>
      </c>
      <c r="F378" s="317">
        <v>4303801</v>
      </c>
      <c r="G378" s="318"/>
      <c r="H378" s="319">
        <v>5101210101</v>
      </c>
      <c r="I378" s="320"/>
      <c r="J378" s="337">
        <v>0</v>
      </c>
      <c r="K378" s="321">
        <v>0</v>
      </c>
      <c r="L378" s="321">
        <v>0</v>
      </c>
      <c r="M378" s="321">
        <v>0</v>
      </c>
      <c r="N378" s="321">
        <v>0</v>
      </c>
      <c r="O378" s="321">
        <v>0</v>
      </c>
      <c r="P378" s="321">
        <v>0</v>
      </c>
      <c r="Q378" s="321">
        <v>0</v>
      </c>
      <c r="R378" s="321">
        <v>0</v>
      </c>
      <c r="S378" s="321">
        <v>0</v>
      </c>
      <c r="T378" s="321">
        <v>0</v>
      </c>
      <c r="U378" s="322">
        <v>0</v>
      </c>
      <c r="V378" s="323">
        <v>0</v>
      </c>
      <c r="W378" s="303"/>
      <c r="X378" s="324">
        <v>0</v>
      </c>
      <c r="Y378" s="325">
        <v>0</v>
      </c>
    </row>
    <row r="379" spans="1:25" x14ac:dyDescent="0.3">
      <c r="E379" s="250" t="s">
        <v>1314</v>
      </c>
      <c r="F379" s="317">
        <v>4303802</v>
      </c>
      <c r="G379" s="318"/>
      <c r="H379" s="319">
        <v>5101210103</v>
      </c>
      <c r="I379" s="320"/>
      <c r="J379" s="337">
        <v>0</v>
      </c>
      <c r="K379" s="321">
        <v>0</v>
      </c>
      <c r="L379" s="321">
        <v>0</v>
      </c>
      <c r="M379" s="321">
        <v>0</v>
      </c>
      <c r="N379" s="321">
        <v>0</v>
      </c>
      <c r="O379" s="321">
        <v>0</v>
      </c>
      <c r="P379" s="321">
        <v>0</v>
      </c>
      <c r="Q379" s="321">
        <v>0</v>
      </c>
      <c r="R379" s="321">
        <v>0</v>
      </c>
      <c r="S379" s="321">
        <v>0</v>
      </c>
      <c r="T379" s="321">
        <v>0</v>
      </c>
      <c r="U379" s="322">
        <v>0</v>
      </c>
      <c r="V379" s="323">
        <v>0</v>
      </c>
      <c r="W379" s="303"/>
      <c r="X379" s="324">
        <v>0</v>
      </c>
      <c r="Y379" s="325">
        <v>0</v>
      </c>
    </row>
    <row r="380" spans="1:25" x14ac:dyDescent="0.3">
      <c r="E380" s="250" t="s">
        <v>1315</v>
      </c>
      <c r="F380" s="317">
        <v>4303803</v>
      </c>
      <c r="G380" s="318"/>
      <c r="H380" s="319"/>
      <c r="I380" s="320"/>
      <c r="J380" s="337">
        <v>0</v>
      </c>
      <c r="K380" s="321">
        <v>0</v>
      </c>
      <c r="L380" s="321">
        <v>0</v>
      </c>
      <c r="M380" s="321">
        <v>0</v>
      </c>
      <c r="N380" s="321">
        <v>0</v>
      </c>
      <c r="O380" s="321">
        <v>0</v>
      </c>
      <c r="P380" s="321">
        <v>0</v>
      </c>
      <c r="Q380" s="321">
        <v>0</v>
      </c>
      <c r="R380" s="321">
        <v>0</v>
      </c>
      <c r="S380" s="321">
        <v>0</v>
      </c>
      <c r="T380" s="321">
        <v>0</v>
      </c>
      <c r="U380" s="322">
        <v>0</v>
      </c>
      <c r="V380" s="323">
        <v>0</v>
      </c>
      <c r="W380" s="303"/>
      <c r="X380" s="324">
        <v>0</v>
      </c>
      <c r="Y380" s="325">
        <v>0</v>
      </c>
    </row>
    <row r="381" spans="1:25" x14ac:dyDescent="0.3">
      <c r="E381" s="250" t="s">
        <v>1316</v>
      </c>
      <c r="F381" s="317">
        <v>4303804</v>
      </c>
      <c r="G381" s="318"/>
      <c r="H381" s="319">
        <v>5101210199</v>
      </c>
      <c r="I381" s="320"/>
      <c r="J381" s="337">
        <v>0</v>
      </c>
      <c r="K381" s="321">
        <v>0</v>
      </c>
      <c r="L381" s="321">
        <v>0</v>
      </c>
      <c r="M381" s="321">
        <v>0</v>
      </c>
      <c r="N381" s="321">
        <v>0</v>
      </c>
      <c r="O381" s="321">
        <v>0</v>
      </c>
      <c r="P381" s="321">
        <v>0</v>
      </c>
      <c r="Q381" s="321">
        <v>0</v>
      </c>
      <c r="R381" s="321">
        <v>0</v>
      </c>
      <c r="S381" s="321">
        <v>0</v>
      </c>
      <c r="T381" s="321">
        <v>0</v>
      </c>
      <c r="U381" s="322">
        <v>0</v>
      </c>
      <c r="V381" s="323">
        <v>0</v>
      </c>
      <c r="W381" s="303"/>
      <c r="X381" s="324">
        <v>0</v>
      </c>
      <c r="Y381" s="325">
        <v>0</v>
      </c>
    </row>
    <row r="382" spans="1:25" x14ac:dyDescent="0.3">
      <c r="E382" s="250" t="s">
        <v>1317</v>
      </c>
      <c r="F382" s="317">
        <v>4303805</v>
      </c>
      <c r="G382" s="318"/>
      <c r="H382" s="319"/>
      <c r="I382" s="320"/>
      <c r="J382" s="337">
        <v>0</v>
      </c>
      <c r="K382" s="321">
        <v>0</v>
      </c>
      <c r="L382" s="321">
        <v>0</v>
      </c>
      <c r="M382" s="321">
        <v>0</v>
      </c>
      <c r="N382" s="321">
        <v>0</v>
      </c>
      <c r="O382" s="321">
        <v>0</v>
      </c>
      <c r="P382" s="321">
        <v>0</v>
      </c>
      <c r="Q382" s="321">
        <v>0</v>
      </c>
      <c r="R382" s="321">
        <v>0</v>
      </c>
      <c r="S382" s="321">
        <v>0</v>
      </c>
      <c r="T382" s="321">
        <v>0</v>
      </c>
      <c r="U382" s="322">
        <v>0</v>
      </c>
      <c r="V382" s="323">
        <v>0</v>
      </c>
      <c r="W382" s="303"/>
      <c r="X382" s="324">
        <v>0</v>
      </c>
      <c r="Y382" s="325">
        <v>0</v>
      </c>
    </row>
    <row r="383" spans="1:25" x14ac:dyDescent="0.3">
      <c r="E383" s="250" t="s">
        <v>1318</v>
      </c>
      <c r="F383" s="317">
        <v>4303806</v>
      </c>
      <c r="G383" s="318"/>
      <c r="H383" s="319"/>
      <c r="I383" s="320"/>
      <c r="J383" s="337">
        <v>0</v>
      </c>
      <c r="K383" s="321">
        <v>0</v>
      </c>
      <c r="L383" s="321">
        <v>0</v>
      </c>
      <c r="M383" s="321">
        <v>0</v>
      </c>
      <c r="N383" s="321">
        <v>0</v>
      </c>
      <c r="O383" s="321">
        <v>0</v>
      </c>
      <c r="P383" s="321">
        <v>0</v>
      </c>
      <c r="Q383" s="321">
        <v>0</v>
      </c>
      <c r="R383" s="321">
        <v>0</v>
      </c>
      <c r="S383" s="321">
        <v>0</v>
      </c>
      <c r="T383" s="321">
        <v>0</v>
      </c>
      <c r="U383" s="322">
        <v>0</v>
      </c>
      <c r="V383" s="323">
        <v>0</v>
      </c>
      <c r="W383" s="303"/>
      <c r="X383" s="324">
        <v>0</v>
      </c>
      <c r="Y383" s="325">
        <v>0</v>
      </c>
    </row>
    <row r="384" spans="1:25" x14ac:dyDescent="0.3">
      <c r="E384" s="250" t="s">
        <v>1319</v>
      </c>
      <c r="F384" s="317">
        <v>4303808</v>
      </c>
      <c r="G384" s="318"/>
      <c r="H384" s="319">
        <v>5101210111</v>
      </c>
      <c r="I384" s="320"/>
      <c r="J384" s="337">
        <v>18576.349999999999</v>
      </c>
      <c r="K384" s="321">
        <v>18298.7</v>
      </c>
      <c r="L384" s="321">
        <v>18298.7</v>
      </c>
      <c r="M384" s="321">
        <v>18738.07</v>
      </c>
      <c r="N384" s="321">
        <v>18171.97</v>
      </c>
      <c r="O384" s="321">
        <v>17931.72</v>
      </c>
      <c r="P384" s="321">
        <v>20026.509999999998</v>
      </c>
      <c r="Q384" s="321">
        <v>20076.86</v>
      </c>
      <c r="R384" s="321">
        <v>20069.57</v>
      </c>
      <c r="S384" s="321">
        <v>20069.57</v>
      </c>
      <c r="T384" s="321">
        <v>20471.46</v>
      </c>
      <c r="U384" s="322">
        <v>24447.03</v>
      </c>
      <c r="V384" s="323">
        <v>235176.51</v>
      </c>
      <c r="W384" s="303"/>
      <c r="X384" s="324">
        <v>24447.03</v>
      </c>
      <c r="Y384" s="325">
        <v>235176.51</v>
      </c>
    </row>
    <row r="385" spans="1:25" x14ac:dyDescent="0.3">
      <c r="E385" s="250" t="s">
        <v>1320</v>
      </c>
      <c r="F385" s="317">
        <v>4303809</v>
      </c>
      <c r="G385" s="318"/>
      <c r="H385" s="319">
        <v>5101210113</v>
      </c>
      <c r="I385" s="320"/>
      <c r="J385" s="337">
        <v>524.20100000000002</v>
      </c>
      <c r="K385" s="321">
        <v>326.33</v>
      </c>
      <c r="L385" s="321">
        <v>346.42399999999998</v>
      </c>
      <c r="M385" s="321">
        <v>336.35199999999998</v>
      </c>
      <c r="N385" s="321">
        <v>1.27</v>
      </c>
      <c r="O385" s="321">
        <v>0</v>
      </c>
      <c r="P385" s="321">
        <v>0</v>
      </c>
      <c r="Q385" s="321">
        <v>0</v>
      </c>
      <c r="R385" s="321">
        <v>0</v>
      </c>
      <c r="S385" s="321">
        <v>0</v>
      </c>
      <c r="T385" s="321">
        <v>0</v>
      </c>
      <c r="U385" s="322">
        <v>3599.8</v>
      </c>
      <c r="V385" s="323">
        <v>5134.3770000000004</v>
      </c>
      <c r="W385" s="303"/>
      <c r="X385" s="324">
        <v>3599.8</v>
      </c>
      <c r="Y385" s="325">
        <v>5134.3770000000004</v>
      </c>
    </row>
    <row r="386" spans="1:25" x14ac:dyDescent="0.3">
      <c r="E386" s="250" t="s">
        <v>1321</v>
      </c>
      <c r="F386" s="317">
        <v>4303810</v>
      </c>
      <c r="G386" s="318"/>
      <c r="H386" s="319"/>
      <c r="I386" s="320"/>
      <c r="J386" s="337">
        <v>0</v>
      </c>
      <c r="K386" s="321">
        <v>0</v>
      </c>
      <c r="L386" s="321">
        <v>0</v>
      </c>
      <c r="M386" s="321">
        <v>0</v>
      </c>
      <c r="N386" s="321">
        <v>0</v>
      </c>
      <c r="O386" s="321">
        <v>0</v>
      </c>
      <c r="P386" s="321">
        <v>0</v>
      </c>
      <c r="Q386" s="321">
        <v>0</v>
      </c>
      <c r="R386" s="321">
        <v>0</v>
      </c>
      <c r="S386" s="321">
        <v>0</v>
      </c>
      <c r="T386" s="321">
        <v>0</v>
      </c>
      <c r="U386" s="322">
        <v>0</v>
      </c>
      <c r="V386" s="323">
        <v>0</v>
      </c>
      <c r="W386" s="303"/>
      <c r="X386" s="324">
        <v>0</v>
      </c>
      <c r="Y386" s="325">
        <v>0</v>
      </c>
    </row>
    <row r="387" spans="1:25" x14ac:dyDescent="0.3">
      <c r="E387" s="250" t="s">
        <v>1322</v>
      </c>
      <c r="F387" s="317">
        <v>4303811</v>
      </c>
      <c r="G387" s="318"/>
      <c r="H387" s="319"/>
      <c r="I387" s="320"/>
      <c r="J387" s="337">
        <v>0</v>
      </c>
      <c r="K387" s="321">
        <v>0</v>
      </c>
      <c r="L387" s="321">
        <v>0</v>
      </c>
      <c r="M387" s="321">
        <v>0</v>
      </c>
      <c r="N387" s="321">
        <v>0</v>
      </c>
      <c r="O387" s="321">
        <v>0</v>
      </c>
      <c r="P387" s="321">
        <v>0</v>
      </c>
      <c r="Q387" s="321">
        <v>0</v>
      </c>
      <c r="R387" s="321">
        <v>0</v>
      </c>
      <c r="S387" s="321">
        <v>0</v>
      </c>
      <c r="T387" s="321">
        <v>0</v>
      </c>
      <c r="U387" s="322">
        <v>0</v>
      </c>
      <c r="V387" s="323">
        <v>0</v>
      </c>
      <c r="W387" s="303"/>
      <c r="X387" s="324">
        <v>0</v>
      </c>
      <c r="Y387" s="325">
        <v>0</v>
      </c>
    </row>
    <row r="388" spans="1:25" x14ac:dyDescent="0.3">
      <c r="E388" s="250" t="s">
        <v>1323</v>
      </c>
      <c r="F388" s="317">
        <v>4303812</v>
      </c>
      <c r="G388" s="318"/>
      <c r="H388" s="319"/>
      <c r="I388" s="320"/>
      <c r="J388" s="337">
        <v>268.96699999999998</v>
      </c>
      <c r="K388" s="321">
        <v>0</v>
      </c>
      <c r="L388" s="321">
        <v>0</v>
      </c>
      <c r="M388" s="321">
        <v>0</v>
      </c>
      <c r="N388" s="321">
        <v>0</v>
      </c>
      <c r="O388" s="321">
        <v>0</v>
      </c>
      <c r="P388" s="321">
        <v>0</v>
      </c>
      <c r="Q388" s="321">
        <v>0</v>
      </c>
      <c r="R388" s="321">
        <v>0</v>
      </c>
      <c r="S388" s="321">
        <v>0</v>
      </c>
      <c r="T388" s="321">
        <v>0</v>
      </c>
      <c r="U388" s="322">
        <v>0</v>
      </c>
      <c r="V388" s="323">
        <v>268.96699999999998</v>
      </c>
      <c r="W388" s="303"/>
      <c r="X388" s="324">
        <v>0</v>
      </c>
      <c r="Y388" s="325">
        <v>268.96699999999998</v>
      </c>
    </row>
    <row r="389" spans="1:25" x14ac:dyDescent="0.3">
      <c r="E389" s="250" t="s">
        <v>1324</v>
      </c>
      <c r="F389" s="317">
        <v>4303813</v>
      </c>
      <c r="G389" s="318"/>
      <c r="H389" s="319"/>
      <c r="I389" s="320"/>
      <c r="J389" s="337">
        <v>0</v>
      </c>
      <c r="K389" s="321">
        <v>0</v>
      </c>
      <c r="L389" s="321">
        <v>0</v>
      </c>
      <c r="M389" s="321">
        <v>0</v>
      </c>
      <c r="N389" s="321">
        <v>0</v>
      </c>
      <c r="O389" s="321">
        <v>0</v>
      </c>
      <c r="P389" s="321">
        <v>0</v>
      </c>
      <c r="Q389" s="321">
        <v>0</v>
      </c>
      <c r="R389" s="321">
        <v>0</v>
      </c>
      <c r="S389" s="321">
        <v>0</v>
      </c>
      <c r="T389" s="321">
        <v>0</v>
      </c>
      <c r="U389" s="322">
        <v>0</v>
      </c>
      <c r="V389" s="323">
        <v>0</v>
      </c>
      <c r="W389" s="303"/>
      <c r="X389" s="324">
        <v>0</v>
      </c>
      <c r="Y389" s="325">
        <v>0</v>
      </c>
    </row>
    <row r="390" spans="1:25" x14ac:dyDescent="0.3">
      <c r="E390" s="250" t="s">
        <v>1325</v>
      </c>
      <c r="F390" s="317">
        <v>4303814</v>
      </c>
      <c r="G390" s="318"/>
      <c r="H390" s="319">
        <v>5101210115</v>
      </c>
      <c r="I390" s="320"/>
      <c r="J390" s="337">
        <v>1199.1400000000001</v>
      </c>
      <c r="K390" s="321">
        <v>1210.5229999999999</v>
      </c>
      <c r="L390" s="321">
        <v>4314.9340000000002</v>
      </c>
      <c r="M390" s="321">
        <v>1914.704</v>
      </c>
      <c r="N390" s="321">
        <v>1671.6469999999999</v>
      </c>
      <c r="O390" s="321">
        <v>1114.6559999999999</v>
      </c>
      <c r="P390" s="321">
        <v>916.78300000000002</v>
      </c>
      <c r="Q390" s="321">
        <v>2208.2049999999999</v>
      </c>
      <c r="R390" s="321">
        <v>3313.1990000000001</v>
      </c>
      <c r="S390" s="321">
        <v>19063.129000000001</v>
      </c>
      <c r="T390" s="321">
        <v>1156.886</v>
      </c>
      <c r="U390" s="322">
        <v>5740.7420000000002</v>
      </c>
      <c r="V390" s="323">
        <v>43824.547999999995</v>
      </c>
      <c r="W390" s="303"/>
      <c r="X390" s="324">
        <v>5740.7420000000002</v>
      </c>
      <c r="Y390" s="325">
        <v>43824.547999999995</v>
      </c>
    </row>
    <row r="391" spans="1:25" x14ac:dyDescent="0.3">
      <c r="E391" s="250" t="s">
        <v>1326</v>
      </c>
      <c r="F391" s="317">
        <v>4303815</v>
      </c>
      <c r="G391" s="318"/>
      <c r="H391" s="319">
        <v>5101210109</v>
      </c>
      <c r="I391" s="320"/>
      <c r="J391" s="337">
        <v>0</v>
      </c>
      <c r="K391" s="321">
        <v>0</v>
      </c>
      <c r="L391" s="321">
        <v>0</v>
      </c>
      <c r="M391" s="321">
        <v>0</v>
      </c>
      <c r="N391" s="321">
        <v>0</v>
      </c>
      <c r="O391" s="321">
        <v>0</v>
      </c>
      <c r="P391" s="321">
        <v>0</v>
      </c>
      <c r="Q391" s="321">
        <v>0</v>
      </c>
      <c r="R391" s="321">
        <v>0</v>
      </c>
      <c r="S391" s="321">
        <v>0</v>
      </c>
      <c r="T391" s="321">
        <v>0</v>
      </c>
      <c r="U391" s="322">
        <v>0</v>
      </c>
      <c r="V391" s="323">
        <v>0</v>
      </c>
      <c r="W391" s="303"/>
      <c r="X391" s="324">
        <v>0</v>
      </c>
      <c r="Y391" s="325">
        <v>0</v>
      </c>
    </row>
    <row r="392" spans="1:25" x14ac:dyDescent="0.3">
      <c r="E392" s="250" t="s">
        <v>1327</v>
      </c>
      <c r="F392" s="317">
        <v>4303816</v>
      </c>
      <c r="G392" s="318"/>
      <c r="H392" s="319">
        <v>5101210105</v>
      </c>
      <c r="I392" s="320"/>
      <c r="J392" s="337">
        <v>5296.5</v>
      </c>
      <c r="K392" s="321">
        <v>2704.15</v>
      </c>
      <c r="L392" s="321">
        <v>2748.14</v>
      </c>
      <c r="M392" s="321">
        <v>2854.4</v>
      </c>
      <c r="N392" s="321">
        <v>2719.66</v>
      </c>
      <c r="O392" s="321">
        <v>2642.39</v>
      </c>
      <c r="P392" s="321">
        <v>2810.58</v>
      </c>
      <c r="Q392" s="321">
        <v>2775.97</v>
      </c>
      <c r="R392" s="321">
        <v>2990.2</v>
      </c>
      <c r="S392" s="321">
        <v>2767.17</v>
      </c>
      <c r="T392" s="321">
        <v>2846.78</v>
      </c>
      <c r="U392" s="322">
        <v>4231.5200000000004</v>
      </c>
      <c r="V392" s="323">
        <v>37387.460000000006</v>
      </c>
      <c r="W392" s="303"/>
      <c r="X392" s="324">
        <v>4231.5200000000004</v>
      </c>
      <c r="Y392" s="325">
        <v>37387.460000000006</v>
      </c>
    </row>
    <row r="393" spans="1:25" x14ac:dyDescent="0.3">
      <c r="E393" s="250" t="s">
        <v>1328</v>
      </c>
      <c r="F393" s="317">
        <v>4303817</v>
      </c>
      <c r="G393" s="318"/>
      <c r="H393" s="319"/>
      <c r="I393" s="320"/>
      <c r="J393" s="337">
        <v>0</v>
      </c>
      <c r="K393" s="321">
        <v>0</v>
      </c>
      <c r="L393" s="321">
        <v>0</v>
      </c>
      <c r="M393" s="321">
        <v>0</v>
      </c>
      <c r="N393" s="321">
        <v>0</v>
      </c>
      <c r="O393" s="321">
        <v>0</v>
      </c>
      <c r="P393" s="321">
        <v>0</v>
      </c>
      <c r="Q393" s="321">
        <v>524.66</v>
      </c>
      <c r="R393" s="321">
        <v>0</v>
      </c>
      <c r="S393" s="321">
        <v>0</v>
      </c>
      <c r="T393" s="321">
        <v>0</v>
      </c>
      <c r="U393" s="322">
        <v>0</v>
      </c>
      <c r="V393" s="323">
        <v>524.66</v>
      </c>
      <c r="W393" s="303"/>
      <c r="X393" s="324">
        <v>0</v>
      </c>
      <c r="Y393" s="325">
        <v>524.66</v>
      </c>
    </row>
    <row r="394" spans="1:25" x14ac:dyDescent="0.3">
      <c r="E394" s="250" t="s">
        <v>1329</v>
      </c>
      <c r="F394" s="317">
        <v>4303818</v>
      </c>
      <c r="G394" s="318"/>
      <c r="H394" s="319"/>
      <c r="I394" s="320"/>
      <c r="J394" s="337">
        <v>0</v>
      </c>
      <c r="K394" s="321">
        <v>0</v>
      </c>
      <c r="L394" s="321">
        <v>0</v>
      </c>
      <c r="M394" s="321">
        <v>0</v>
      </c>
      <c r="N394" s="321">
        <v>0</v>
      </c>
      <c r="O394" s="321">
        <v>0</v>
      </c>
      <c r="P394" s="321">
        <v>0</v>
      </c>
      <c r="Q394" s="321">
        <v>0</v>
      </c>
      <c r="R394" s="321">
        <v>0</v>
      </c>
      <c r="S394" s="321">
        <v>0</v>
      </c>
      <c r="T394" s="321">
        <v>0</v>
      </c>
      <c r="U394" s="322">
        <v>0</v>
      </c>
      <c r="V394" s="323">
        <v>0</v>
      </c>
      <c r="W394" s="303"/>
      <c r="X394" s="324">
        <v>0</v>
      </c>
      <c r="Y394" s="325">
        <v>0</v>
      </c>
    </row>
    <row r="395" spans="1:25" x14ac:dyDescent="0.3">
      <c r="E395" s="250" t="s">
        <v>1330</v>
      </c>
      <c r="F395" s="317">
        <v>4303820</v>
      </c>
      <c r="G395" s="318"/>
      <c r="H395" s="319"/>
      <c r="I395" s="320"/>
      <c r="J395" s="337">
        <v>0</v>
      </c>
      <c r="K395" s="321">
        <v>0</v>
      </c>
      <c r="L395" s="321">
        <v>0</v>
      </c>
      <c r="M395" s="321">
        <v>0</v>
      </c>
      <c r="N395" s="321">
        <v>0</v>
      </c>
      <c r="O395" s="321">
        <v>0</v>
      </c>
      <c r="P395" s="321">
        <v>0</v>
      </c>
      <c r="Q395" s="321">
        <v>0</v>
      </c>
      <c r="R395" s="321">
        <v>0</v>
      </c>
      <c r="S395" s="321">
        <v>0</v>
      </c>
      <c r="T395" s="321">
        <v>0</v>
      </c>
      <c r="U395" s="322">
        <v>0</v>
      </c>
      <c r="V395" s="323">
        <v>0</v>
      </c>
      <c r="W395" s="303"/>
      <c r="X395" s="324">
        <v>0</v>
      </c>
      <c r="Y395" s="325">
        <v>0</v>
      </c>
    </row>
    <row r="396" spans="1:25" x14ac:dyDescent="0.3">
      <c r="E396" s="250" t="s">
        <v>1331</v>
      </c>
      <c r="F396" s="317">
        <v>4303890</v>
      </c>
      <c r="G396" s="318"/>
      <c r="H396" s="319"/>
      <c r="I396" s="320"/>
      <c r="J396" s="337">
        <v>0</v>
      </c>
      <c r="K396" s="321">
        <v>0</v>
      </c>
      <c r="L396" s="321">
        <v>0</v>
      </c>
      <c r="M396" s="321">
        <v>88</v>
      </c>
      <c r="N396" s="321">
        <v>0</v>
      </c>
      <c r="O396" s="321">
        <v>0</v>
      </c>
      <c r="P396" s="321">
        <v>0</v>
      </c>
      <c r="Q396" s="321">
        <v>0</v>
      </c>
      <c r="R396" s="321">
        <v>0</v>
      </c>
      <c r="S396" s="321">
        <v>0</v>
      </c>
      <c r="T396" s="321">
        <v>0</v>
      </c>
      <c r="U396" s="322">
        <v>0</v>
      </c>
      <c r="V396" s="323">
        <v>88</v>
      </c>
      <c r="W396" s="303"/>
      <c r="X396" s="324">
        <v>0</v>
      </c>
      <c r="Y396" s="325">
        <v>88</v>
      </c>
    </row>
    <row r="397" spans="1:25" x14ac:dyDescent="0.3">
      <c r="A397" s="350"/>
      <c r="B397" s="350"/>
      <c r="C397" s="350"/>
      <c r="D397" s="350"/>
      <c r="E397" s="350" t="s">
        <v>1332</v>
      </c>
      <c r="F397" s="306">
        <v>4303899</v>
      </c>
      <c r="G397" s="307"/>
      <c r="H397" s="308"/>
      <c r="I397" s="309"/>
      <c r="J397" s="310">
        <v>0</v>
      </c>
      <c r="K397" s="311">
        <v>3258.6779999999999</v>
      </c>
      <c r="L397" s="311">
        <v>0</v>
      </c>
      <c r="M397" s="311">
        <v>3391.8159999999998</v>
      </c>
      <c r="N397" s="311">
        <v>0</v>
      </c>
      <c r="O397" s="311">
        <v>0</v>
      </c>
      <c r="P397" s="311">
        <v>25896.579000000002</v>
      </c>
      <c r="Q397" s="311">
        <v>3557.5569999999998</v>
      </c>
      <c r="R397" s="311">
        <v>1905.559</v>
      </c>
      <c r="S397" s="311">
        <v>53989.048999999999</v>
      </c>
      <c r="T397" s="311">
        <v>2820.9839999999999</v>
      </c>
      <c r="U397" s="312">
        <v>1023.644</v>
      </c>
      <c r="V397" s="313">
        <v>95843.865999999995</v>
      </c>
      <c r="W397" s="314"/>
      <c r="X397" s="315">
        <v>1023.644</v>
      </c>
      <c r="Y397" s="316">
        <v>95843.865999999995</v>
      </c>
    </row>
    <row r="398" spans="1:25" x14ac:dyDescent="0.3">
      <c r="A398" s="361"/>
      <c r="B398" s="361"/>
      <c r="C398" s="361"/>
      <c r="D398" s="361"/>
      <c r="E398" s="326" t="s">
        <v>1333</v>
      </c>
      <c r="F398" s="351"/>
      <c r="G398" s="352"/>
      <c r="H398" s="353"/>
      <c r="I398" s="354"/>
      <c r="J398" s="362">
        <v>0</v>
      </c>
      <c r="K398" s="355">
        <v>0</v>
      </c>
      <c r="L398" s="355">
        <v>0</v>
      </c>
      <c r="M398" s="355">
        <v>0</v>
      </c>
      <c r="N398" s="355">
        <v>0</v>
      </c>
      <c r="O398" s="355">
        <v>0</v>
      </c>
      <c r="P398" s="355">
        <v>0</v>
      </c>
      <c r="Q398" s="355">
        <v>0</v>
      </c>
      <c r="R398" s="355">
        <v>0</v>
      </c>
      <c r="S398" s="355">
        <v>0</v>
      </c>
      <c r="T398" s="355">
        <v>0</v>
      </c>
      <c r="U398" s="356">
        <v>0</v>
      </c>
      <c r="V398" s="357">
        <v>0</v>
      </c>
      <c r="W398" s="358"/>
      <c r="X398" s="359">
        <v>0</v>
      </c>
      <c r="Y398" s="360">
        <v>0</v>
      </c>
    </row>
    <row r="399" spans="1:25" x14ac:dyDescent="0.3">
      <c r="A399" s="361"/>
      <c r="B399" s="361"/>
      <c r="C399" s="361"/>
      <c r="D399" s="361"/>
      <c r="E399" s="326" t="s">
        <v>1334</v>
      </c>
      <c r="F399" s="351"/>
      <c r="G399" s="352"/>
      <c r="H399" s="353"/>
      <c r="I399" s="354"/>
      <c r="J399" s="362">
        <v>0</v>
      </c>
      <c r="K399" s="355">
        <v>0</v>
      </c>
      <c r="L399" s="355">
        <v>0</v>
      </c>
      <c r="M399" s="355">
        <v>0</v>
      </c>
      <c r="N399" s="355">
        <v>0</v>
      </c>
      <c r="O399" s="355">
        <v>0</v>
      </c>
      <c r="P399" s="355">
        <v>0</v>
      </c>
      <c r="Q399" s="355">
        <v>0</v>
      </c>
      <c r="R399" s="355">
        <v>0</v>
      </c>
      <c r="S399" s="355">
        <v>0</v>
      </c>
      <c r="T399" s="355">
        <v>0</v>
      </c>
      <c r="U399" s="356">
        <v>0</v>
      </c>
      <c r="V399" s="357">
        <v>0</v>
      </c>
      <c r="W399" s="358"/>
      <c r="X399" s="359">
        <v>0</v>
      </c>
      <c r="Y399" s="360">
        <v>0</v>
      </c>
    </row>
    <row r="400" spans="1:25" x14ac:dyDescent="0.3">
      <c r="A400" s="361"/>
      <c r="B400" s="361"/>
      <c r="C400" s="361"/>
      <c r="D400" s="361"/>
      <c r="E400" s="326" t="s">
        <v>1335</v>
      </c>
      <c r="F400" s="351"/>
      <c r="G400" s="352"/>
      <c r="H400" s="353"/>
      <c r="I400" s="354"/>
      <c r="J400" s="362">
        <v>0</v>
      </c>
      <c r="K400" s="355">
        <v>0</v>
      </c>
      <c r="L400" s="355">
        <v>0</v>
      </c>
      <c r="M400" s="355">
        <v>0</v>
      </c>
      <c r="N400" s="355">
        <v>0</v>
      </c>
      <c r="O400" s="355">
        <v>0</v>
      </c>
      <c r="P400" s="355">
        <v>0</v>
      </c>
      <c r="Q400" s="355">
        <v>0</v>
      </c>
      <c r="R400" s="355">
        <v>0</v>
      </c>
      <c r="S400" s="355">
        <v>0</v>
      </c>
      <c r="T400" s="355">
        <v>0</v>
      </c>
      <c r="U400" s="356">
        <v>0</v>
      </c>
      <c r="V400" s="357">
        <v>0</v>
      </c>
      <c r="W400" s="358"/>
      <c r="X400" s="359">
        <v>0</v>
      </c>
      <c r="Y400" s="360">
        <v>0</v>
      </c>
    </row>
    <row r="401" spans="1:25" x14ac:dyDescent="0.3">
      <c r="A401" s="233"/>
      <c r="B401" s="234" t="s">
        <v>20</v>
      </c>
      <c r="D401" s="293" t="s">
        <v>1336</v>
      </c>
      <c r="E401" s="294"/>
      <c r="F401" s="295" t="s">
        <v>1337</v>
      </c>
      <c r="G401" s="296"/>
      <c r="H401" s="297"/>
      <c r="I401" s="298"/>
      <c r="J401" s="299">
        <v>59387.175999999999</v>
      </c>
      <c r="K401" s="300">
        <v>60078.018999999993</v>
      </c>
      <c r="L401" s="300">
        <v>58979.416999999994</v>
      </c>
      <c r="M401" s="300">
        <v>58231.911</v>
      </c>
      <c r="N401" s="300">
        <v>57293.481999999996</v>
      </c>
      <c r="O401" s="300">
        <v>57256.081999999995</v>
      </c>
      <c r="P401" s="300">
        <v>57205.235000000008</v>
      </c>
      <c r="Q401" s="300">
        <v>57682.179000000004</v>
      </c>
      <c r="R401" s="300">
        <v>57283.812000000005</v>
      </c>
      <c r="S401" s="300">
        <v>56892.983</v>
      </c>
      <c r="T401" s="300">
        <v>59305.770000000004</v>
      </c>
      <c r="U401" s="301">
        <v>90789.443000000014</v>
      </c>
      <c r="V401" s="302">
        <v>730385.50900000008</v>
      </c>
      <c r="W401" s="303"/>
      <c r="X401" s="304">
        <v>90789.443000000014</v>
      </c>
      <c r="Y401" s="305">
        <v>730385.50900000008</v>
      </c>
    </row>
    <row r="402" spans="1:25" x14ac:dyDescent="0.3">
      <c r="E402" s="339" t="s">
        <v>1338</v>
      </c>
      <c r="F402" s="340" t="s">
        <v>1339</v>
      </c>
      <c r="G402" s="341"/>
      <c r="H402" s="342"/>
      <c r="I402" s="343"/>
      <c r="J402" s="344">
        <v>59387.175999999999</v>
      </c>
      <c r="K402" s="345">
        <v>60078.018999999993</v>
      </c>
      <c r="L402" s="345">
        <v>58979.416999999994</v>
      </c>
      <c r="M402" s="345">
        <v>58231.911</v>
      </c>
      <c r="N402" s="345">
        <v>57293.481999999996</v>
      </c>
      <c r="O402" s="345">
        <v>57256.081999999995</v>
      </c>
      <c r="P402" s="345">
        <v>57205.235000000008</v>
      </c>
      <c r="Q402" s="345">
        <v>57682.179000000004</v>
      </c>
      <c r="R402" s="345">
        <v>57283.812000000005</v>
      </c>
      <c r="S402" s="345">
        <v>56892.983</v>
      </c>
      <c r="T402" s="345">
        <v>59305.770000000004</v>
      </c>
      <c r="U402" s="346">
        <v>90789.443000000014</v>
      </c>
      <c r="V402" s="347">
        <v>730385.50900000008</v>
      </c>
      <c r="W402" s="303"/>
      <c r="X402" s="348">
        <v>90789.443000000014</v>
      </c>
      <c r="Y402" s="349">
        <v>730385.50900000008</v>
      </c>
    </row>
    <row r="403" spans="1:25" x14ac:dyDescent="0.3">
      <c r="E403" s="250" t="s">
        <v>1340</v>
      </c>
      <c r="F403" s="317">
        <v>4301701</v>
      </c>
      <c r="G403" s="318"/>
      <c r="H403" s="319">
        <v>5101230101</v>
      </c>
      <c r="I403" s="320"/>
      <c r="J403" s="337">
        <v>41933.548999999999</v>
      </c>
      <c r="K403" s="321">
        <v>42258.720999999998</v>
      </c>
      <c r="L403" s="321">
        <v>42018.464999999997</v>
      </c>
      <c r="M403" s="321">
        <v>41425.64</v>
      </c>
      <c r="N403" s="321">
        <v>40705.500999999997</v>
      </c>
      <c r="O403" s="321">
        <v>40705.500999999997</v>
      </c>
      <c r="P403" s="321">
        <v>40641.057000000001</v>
      </c>
      <c r="Q403" s="321">
        <v>40842.690999999999</v>
      </c>
      <c r="R403" s="321">
        <v>40649.987000000001</v>
      </c>
      <c r="S403" s="321">
        <v>40320.703999999998</v>
      </c>
      <c r="T403" s="321">
        <v>41922.425000000003</v>
      </c>
      <c r="U403" s="322">
        <v>63195.487000000001</v>
      </c>
      <c r="V403" s="323">
        <v>516619.728</v>
      </c>
      <c r="W403" s="303"/>
      <c r="X403" s="324">
        <v>63195.487000000001</v>
      </c>
      <c r="Y403" s="325">
        <v>516619.728</v>
      </c>
    </row>
    <row r="404" spans="1:25" x14ac:dyDescent="0.3">
      <c r="E404" s="250" t="s">
        <v>1341</v>
      </c>
      <c r="F404" s="317">
        <v>4301702</v>
      </c>
      <c r="G404" s="318"/>
      <c r="H404" s="319">
        <v>5101230103</v>
      </c>
      <c r="I404" s="320"/>
      <c r="J404" s="337">
        <v>0</v>
      </c>
      <c r="K404" s="321">
        <v>0</v>
      </c>
      <c r="L404" s="321">
        <v>0</v>
      </c>
      <c r="M404" s="321">
        <v>0</v>
      </c>
      <c r="N404" s="321">
        <v>0</v>
      </c>
      <c r="O404" s="321">
        <v>0</v>
      </c>
      <c r="P404" s="321">
        <v>0</v>
      </c>
      <c r="Q404" s="321">
        <v>0</v>
      </c>
      <c r="R404" s="321">
        <v>0</v>
      </c>
      <c r="S404" s="321">
        <v>0</v>
      </c>
      <c r="T404" s="321">
        <v>0</v>
      </c>
      <c r="U404" s="322">
        <v>0</v>
      </c>
      <c r="V404" s="323">
        <v>0</v>
      </c>
      <c r="W404" s="303"/>
      <c r="X404" s="324">
        <v>0</v>
      </c>
      <c r="Y404" s="325">
        <v>0</v>
      </c>
    </row>
    <row r="405" spans="1:25" x14ac:dyDescent="0.3">
      <c r="E405" s="250" t="s">
        <v>1342</v>
      </c>
      <c r="F405" s="317">
        <v>4301703</v>
      </c>
      <c r="G405" s="318"/>
      <c r="H405" s="319"/>
      <c r="I405" s="320"/>
      <c r="J405" s="337">
        <v>0</v>
      </c>
      <c r="K405" s="321">
        <v>0</v>
      </c>
      <c r="L405" s="321">
        <v>0</v>
      </c>
      <c r="M405" s="321">
        <v>0</v>
      </c>
      <c r="N405" s="321">
        <v>0</v>
      </c>
      <c r="O405" s="321">
        <v>0</v>
      </c>
      <c r="P405" s="321">
        <v>0</v>
      </c>
      <c r="Q405" s="321">
        <v>0</v>
      </c>
      <c r="R405" s="321">
        <v>0</v>
      </c>
      <c r="S405" s="321">
        <v>0</v>
      </c>
      <c r="T405" s="321">
        <v>0</v>
      </c>
      <c r="U405" s="322">
        <v>0</v>
      </c>
      <c r="V405" s="323">
        <v>0</v>
      </c>
      <c r="W405" s="303"/>
      <c r="X405" s="324">
        <v>0</v>
      </c>
      <c r="Y405" s="325">
        <v>0</v>
      </c>
    </row>
    <row r="406" spans="1:25" x14ac:dyDescent="0.3">
      <c r="E406" s="250" t="s">
        <v>1343</v>
      </c>
      <c r="F406" s="317">
        <v>4301705</v>
      </c>
      <c r="G406" s="318"/>
      <c r="H406" s="319"/>
      <c r="I406" s="320"/>
      <c r="J406" s="337">
        <v>0</v>
      </c>
      <c r="K406" s="321">
        <v>0</v>
      </c>
      <c r="L406" s="321">
        <v>0</v>
      </c>
      <c r="M406" s="321">
        <v>0</v>
      </c>
      <c r="N406" s="321">
        <v>0</v>
      </c>
      <c r="O406" s="321">
        <v>0</v>
      </c>
      <c r="P406" s="321">
        <v>0</v>
      </c>
      <c r="Q406" s="321">
        <v>0</v>
      </c>
      <c r="R406" s="321">
        <v>0</v>
      </c>
      <c r="S406" s="321">
        <v>0</v>
      </c>
      <c r="T406" s="321">
        <v>0</v>
      </c>
      <c r="U406" s="322">
        <v>0</v>
      </c>
      <c r="V406" s="323">
        <v>0</v>
      </c>
      <c r="W406" s="303"/>
      <c r="X406" s="324">
        <v>0</v>
      </c>
      <c r="Y406" s="325">
        <v>0</v>
      </c>
    </row>
    <row r="407" spans="1:25" x14ac:dyDescent="0.3">
      <c r="E407" s="250" t="s">
        <v>1344</v>
      </c>
      <c r="F407" s="317">
        <v>4301706</v>
      </c>
      <c r="G407" s="318"/>
      <c r="H407" s="319">
        <v>5101230105</v>
      </c>
      <c r="I407" s="320"/>
      <c r="J407" s="337">
        <v>0</v>
      </c>
      <c r="K407" s="321">
        <v>0</v>
      </c>
      <c r="L407" s="321">
        <v>3136.3649999999998</v>
      </c>
      <c r="M407" s="321">
        <v>1045.4549999999999</v>
      </c>
      <c r="N407" s="321">
        <v>1045.4549999999999</v>
      </c>
      <c r="O407" s="321">
        <v>1045.4549999999999</v>
      </c>
      <c r="P407" s="321">
        <v>1045.4549999999999</v>
      </c>
      <c r="Q407" s="321">
        <v>1045.4549999999999</v>
      </c>
      <c r="R407" s="321">
        <v>1045.4549999999999</v>
      </c>
      <c r="S407" s="321">
        <v>1045.4549999999999</v>
      </c>
      <c r="T407" s="321">
        <v>1045.4549999999999</v>
      </c>
      <c r="U407" s="322">
        <v>3727.2739999999999</v>
      </c>
      <c r="V407" s="323">
        <v>15227.278999999999</v>
      </c>
      <c r="W407" s="303"/>
      <c r="X407" s="324">
        <v>3727.2739999999999</v>
      </c>
      <c r="Y407" s="325">
        <v>15227.278999999999</v>
      </c>
    </row>
    <row r="408" spans="1:25" x14ac:dyDescent="0.3">
      <c r="E408" s="250" t="s">
        <v>1345</v>
      </c>
      <c r="F408" s="317">
        <v>4301707</v>
      </c>
      <c r="G408" s="318"/>
      <c r="H408" s="319"/>
      <c r="I408" s="320"/>
      <c r="J408" s="337">
        <v>450.59800000000001</v>
      </c>
      <c r="K408" s="321">
        <v>448.13200000000001</v>
      </c>
      <c r="L408" s="321">
        <v>442.2</v>
      </c>
      <c r="M408" s="321">
        <v>480.036</v>
      </c>
      <c r="N408" s="321">
        <v>529.5</v>
      </c>
      <c r="O408" s="321">
        <v>492.1</v>
      </c>
      <c r="P408" s="321">
        <v>426.8</v>
      </c>
      <c r="Q408" s="321">
        <v>626.4</v>
      </c>
      <c r="R408" s="321">
        <v>491.3</v>
      </c>
      <c r="S408" s="321">
        <v>547.79999999999995</v>
      </c>
      <c r="T408" s="321">
        <v>612.29999999999995</v>
      </c>
      <c r="U408" s="322">
        <v>484</v>
      </c>
      <c r="V408" s="323">
        <v>6031.1660000000011</v>
      </c>
      <c r="W408" s="303"/>
      <c r="X408" s="324">
        <v>484</v>
      </c>
      <c r="Y408" s="325">
        <v>6031.1660000000011</v>
      </c>
    </row>
    <row r="409" spans="1:25" x14ac:dyDescent="0.3">
      <c r="E409" s="250" t="s">
        <v>1346</v>
      </c>
      <c r="F409" s="317">
        <v>4301708</v>
      </c>
      <c r="G409" s="318"/>
      <c r="H409" s="319">
        <v>5101230109</v>
      </c>
      <c r="I409" s="320"/>
      <c r="J409" s="337">
        <v>15469.625</v>
      </c>
      <c r="K409" s="321">
        <v>15589.31</v>
      </c>
      <c r="L409" s="321">
        <v>15501.197</v>
      </c>
      <c r="M409" s="321">
        <v>15280.78</v>
      </c>
      <c r="N409" s="321">
        <v>15013.026</v>
      </c>
      <c r="O409" s="321">
        <v>15013.026</v>
      </c>
      <c r="P409" s="321">
        <v>14989.065000000001</v>
      </c>
      <c r="Q409" s="321">
        <v>15064.035</v>
      </c>
      <c r="R409" s="321">
        <v>14992.386</v>
      </c>
      <c r="S409" s="321">
        <v>14869.956</v>
      </c>
      <c r="T409" s="321">
        <v>15604.337</v>
      </c>
      <c r="U409" s="322">
        <v>23351.472000000002</v>
      </c>
      <c r="V409" s="323">
        <v>190738.21500000003</v>
      </c>
      <c r="W409" s="303"/>
      <c r="X409" s="324">
        <v>23351.472000000002</v>
      </c>
      <c r="Y409" s="325">
        <v>190738.21500000003</v>
      </c>
    </row>
    <row r="410" spans="1:25" x14ac:dyDescent="0.3">
      <c r="E410" s="250" t="s">
        <v>1347</v>
      </c>
      <c r="F410" s="317">
        <v>4301799</v>
      </c>
      <c r="G410" s="318"/>
      <c r="H410" s="319">
        <v>5101230199</v>
      </c>
      <c r="I410" s="320"/>
      <c r="J410" s="337">
        <v>1533.404</v>
      </c>
      <c r="K410" s="321">
        <v>1781.856</v>
      </c>
      <c r="L410" s="321">
        <v>-2118.81</v>
      </c>
      <c r="M410" s="321">
        <v>0</v>
      </c>
      <c r="N410" s="321">
        <v>0</v>
      </c>
      <c r="O410" s="321">
        <v>0</v>
      </c>
      <c r="P410" s="321">
        <v>102.858</v>
      </c>
      <c r="Q410" s="321">
        <v>103.598</v>
      </c>
      <c r="R410" s="321">
        <v>104.684</v>
      </c>
      <c r="S410" s="321">
        <v>109.068</v>
      </c>
      <c r="T410" s="321">
        <v>121.253</v>
      </c>
      <c r="U410" s="322">
        <v>31.21</v>
      </c>
      <c r="V410" s="323">
        <v>1769.1210000000001</v>
      </c>
      <c r="W410" s="303"/>
      <c r="X410" s="324">
        <v>31.21</v>
      </c>
      <c r="Y410" s="325">
        <v>1769.1210000000001</v>
      </c>
    </row>
    <row r="411" spans="1:25" x14ac:dyDescent="0.3">
      <c r="A411" s="326"/>
      <c r="B411" s="326"/>
      <c r="C411" s="326"/>
      <c r="D411" s="326"/>
      <c r="E411" s="326" t="s">
        <v>1348</v>
      </c>
      <c r="F411" s="336"/>
      <c r="G411" s="327"/>
      <c r="H411" s="328"/>
      <c r="I411" s="329"/>
      <c r="J411" s="338">
        <v>0</v>
      </c>
      <c r="K411" s="330">
        <v>0</v>
      </c>
      <c r="L411" s="330">
        <v>0</v>
      </c>
      <c r="M411" s="330">
        <v>0</v>
      </c>
      <c r="N411" s="330">
        <v>0</v>
      </c>
      <c r="O411" s="330">
        <v>0</v>
      </c>
      <c r="P411" s="330">
        <v>0</v>
      </c>
      <c r="Q411" s="330">
        <v>0</v>
      </c>
      <c r="R411" s="330">
        <v>0</v>
      </c>
      <c r="S411" s="330">
        <v>0</v>
      </c>
      <c r="T411" s="330">
        <v>0</v>
      </c>
      <c r="U411" s="331">
        <v>0</v>
      </c>
      <c r="V411" s="332">
        <v>0</v>
      </c>
      <c r="W411" s="333"/>
      <c r="X411" s="334">
        <v>0</v>
      </c>
      <c r="Y411" s="335">
        <v>0</v>
      </c>
    </row>
    <row r="412" spans="1:25" x14ac:dyDescent="0.3">
      <c r="A412" s="326"/>
      <c r="B412" s="326"/>
      <c r="C412" s="326"/>
      <c r="D412" s="326"/>
      <c r="E412" s="326" t="s">
        <v>1349</v>
      </c>
      <c r="F412" s="336"/>
      <c r="G412" s="327"/>
      <c r="H412" s="328"/>
      <c r="I412" s="329"/>
      <c r="J412" s="338">
        <v>0</v>
      </c>
      <c r="K412" s="330">
        <v>0</v>
      </c>
      <c r="L412" s="330">
        <v>0</v>
      </c>
      <c r="M412" s="330">
        <v>0</v>
      </c>
      <c r="N412" s="330">
        <v>0</v>
      </c>
      <c r="O412" s="330">
        <v>0</v>
      </c>
      <c r="P412" s="330">
        <v>0</v>
      </c>
      <c r="Q412" s="330">
        <v>0</v>
      </c>
      <c r="R412" s="330">
        <v>0</v>
      </c>
      <c r="S412" s="330">
        <v>0</v>
      </c>
      <c r="T412" s="330">
        <v>0</v>
      </c>
      <c r="U412" s="331">
        <v>0</v>
      </c>
      <c r="V412" s="332">
        <v>0</v>
      </c>
      <c r="W412" s="333"/>
      <c r="X412" s="334">
        <v>0</v>
      </c>
      <c r="Y412" s="335">
        <v>0</v>
      </c>
    </row>
    <row r="413" spans="1:25" x14ac:dyDescent="0.3">
      <c r="A413" s="326"/>
      <c r="B413" s="326"/>
      <c r="C413" s="326"/>
      <c r="D413" s="326"/>
      <c r="E413" s="326" t="s">
        <v>1350</v>
      </c>
      <c r="F413" s="336"/>
      <c r="G413" s="327"/>
      <c r="H413" s="328"/>
      <c r="I413" s="329"/>
      <c r="J413" s="338">
        <v>0</v>
      </c>
      <c r="K413" s="330">
        <v>0</v>
      </c>
      <c r="L413" s="330">
        <v>0</v>
      </c>
      <c r="M413" s="330">
        <v>0</v>
      </c>
      <c r="N413" s="330">
        <v>0</v>
      </c>
      <c r="O413" s="330">
        <v>0</v>
      </c>
      <c r="P413" s="330">
        <v>0</v>
      </c>
      <c r="Q413" s="330">
        <v>0</v>
      </c>
      <c r="R413" s="330">
        <v>0</v>
      </c>
      <c r="S413" s="330">
        <v>0</v>
      </c>
      <c r="T413" s="330">
        <v>0</v>
      </c>
      <c r="U413" s="331">
        <v>0</v>
      </c>
      <c r="V413" s="332">
        <v>0</v>
      </c>
      <c r="W413" s="333"/>
      <c r="X413" s="334">
        <v>0</v>
      </c>
      <c r="Y413" s="335">
        <v>0</v>
      </c>
    </row>
    <row r="414" spans="1:25" x14ac:dyDescent="0.3">
      <c r="E414" s="339" t="s">
        <v>1351</v>
      </c>
      <c r="F414" s="340" t="s">
        <v>1352</v>
      </c>
      <c r="G414" s="341"/>
      <c r="H414" s="342"/>
      <c r="I414" s="343"/>
      <c r="J414" s="344">
        <v>0</v>
      </c>
      <c r="K414" s="345">
        <v>0</v>
      </c>
      <c r="L414" s="345">
        <v>0</v>
      </c>
      <c r="M414" s="345">
        <v>0</v>
      </c>
      <c r="N414" s="345">
        <v>0</v>
      </c>
      <c r="O414" s="345">
        <v>0</v>
      </c>
      <c r="P414" s="345">
        <v>0</v>
      </c>
      <c r="Q414" s="345">
        <v>0</v>
      </c>
      <c r="R414" s="345">
        <v>0</v>
      </c>
      <c r="S414" s="345">
        <v>0</v>
      </c>
      <c r="T414" s="345">
        <v>0</v>
      </c>
      <c r="U414" s="346">
        <v>0</v>
      </c>
      <c r="V414" s="347">
        <v>0</v>
      </c>
      <c r="W414" s="303"/>
      <c r="X414" s="348">
        <v>0</v>
      </c>
      <c r="Y414" s="349">
        <v>0</v>
      </c>
    </row>
    <row r="415" spans="1:25" x14ac:dyDescent="0.3">
      <c r="E415" s="250" t="s">
        <v>1353</v>
      </c>
      <c r="F415" s="317">
        <v>4301781</v>
      </c>
      <c r="G415" s="318"/>
      <c r="H415" s="319">
        <v>5101230301</v>
      </c>
      <c r="I415" s="320"/>
      <c r="J415" s="337">
        <v>0</v>
      </c>
      <c r="K415" s="321">
        <v>0</v>
      </c>
      <c r="L415" s="321">
        <v>0</v>
      </c>
      <c r="M415" s="321">
        <v>0</v>
      </c>
      <c r="N415" s="321">
        <v>0</v>
      </c>
      <c r="O415" s="321">
        <v>0</v>
      </c>
      <c r="P415" s="321">
        <v>0</v>
      </c>
      <c r="Q415" s="321">
        <v>0</v>
      </c>
      <c r="R415" s="321">
        <v>0</v>
      </c>
      <c r="S415" s="321">
        <v>0</v>
      </c>
      <c r="T415" s="321">
        <v>0</v>
      </c>
      <c r="U415" s="322">
        <v>0</v>
      </c>
      <c r="V415" s="323">
        <v>0</v>
      </c>
      <c r="W415" s="303"/>
      <c r="X415" s="324">
        <v>0</v>
      </c>
      <c r="Y415" s="325">
        <v>0</v>
      </c>
    </row>
    <row r="416" spans="1:25" x14ac:dyDescent="0.3">
      <c r="A416" s="326"/>
      <c r="B416" s="326"/>
      <c r="C416" s="326"/>
      <c r="D416" s="326"/>
      <c r="E416" s="326" t="s">
        <v>1348</v>
      </c>
      <c r="F416" s="336"/>
      <c r="G416" s="327"/>
      <c r="H416" s="328"/>
      <c r="I416" s="329"/>
      <c r="J416" s="338">
        <v>0</v>
      </c>
      <c r="K416" s="330">
        <v>0</v>
      </c>
      <c r="L416" s="330">
        <v>0</v>
      </c>
      <c r="M416" s="330">
        <v>0</v>
      </c>
      <c r="N416" s="330">
        <v>0</v>
      </c>
      <c r="O416" s="330">
        <v>0</v>
      </c>
      <c r="P416" s="330">
        <v>0</v>
      </c>
      <c r="Q416" s="330">
        <v>0</v>
      </c>
      <c r="R416" s="330">
        <v>0</v>
      </c>
      <c r="S416" s="330">
        <v>0</v>
      </c>
      <c r="T416" s="330">
        <v>0</v>
      </c>
      <c r="U416" s="331">
        <v>0</v>
      </c>
      <c r="V416" s="332">
        <v>0</v>
      </c>
      <c r="W416" s="333"/>
      <c r="X416" s="334">
        <v>0</v>
      </c>
      <c r="Y416" s="335">
        <v>0</v>
      </c>
    </row>
    <row r="417" spans="1:25" x14ac:dyDescent="0.3">
      <c r="A417" s="326"/>
      <c r="B417" s="326"/>
      <c r="C417" s="326"/>
      <c r="D417" s="326"/>
      <c r="E417" s="326" t="s">
        <v>1349</v>
      </c>
      <c r="F417" s="336"/>
      <c r="G417" s="327"/>
      <c r="H417" s="328"/>
      <c r="I417" s="329"/>
      <c r="J417" s="338">
        <v>0</v>
      </c>
      <c r="K417" s="330">
        <v>0</v>
      </c>
      <c r="L417" s="330">
        <v>0</v>
      </c>
      <c r="M417" s="330">
        <v>0</v>
      </c>
      <c r="N417" s="330">
        <v>0</v>
      </c>
      <c r="O417" s="330">
        <v>0</v>
      </c>
      <c r="P417" s="330">
        <v>0</v>
      </c>
      <c r="Q417" s="330">
        <v>0</v>
      </c>
      <c r="R417" s="330">
        <v>0</v>
      </c>
      <c r="S417" s="330">
        <v>0</v>
      </c>
      <c r="T417" s="330">
        <v>0</v>
      </c>
      <c r="U417" s="331">
        <v>0</v>
      </c>
      <c r="V417" s="332">
        <v>0</v>
      </c>
      <c r="W417" s="333"/>
      <c r="X417" s="334">
        <v>0</v>
      </c>
      <c r="Y417" s="335">
        <v>0</v>
      </c>
    </row>
    <row r="418" spans="1:25" x14ac:dyDescent="0.3">
      <c r="A418" s="326"/>
      <c r="B418" s="326"/>
      <c r="C418" s="326"/>
      <c r="D418" s="326"/>
      <c r="E418" s="326" t="s">
        <v>1350</v>
      </c>
      <c r="F418" s="336"/>
      <c r="G418" s="327"/>
      <c r="H418" s="328"/>
      <c r="I418" s="329"/>
      <c r="J418" s="338">
        <v>0</v>
      </c>
      <c r="K418" s="330">
        <v>0</v>
      </c>
      <c r="L418" s="330">
        <v>0</v>
      </c>
      <c r="M418" s="330">
        <v>0</v>
      </c>
      <c r="N418" s="330">
        <v>0</v>
      </c>
      <c r="O418" s="330">
        <v>0</v>
      </c>
      <c r="P418" s="330">
        <v>0</v>
      </c>
      <c r="Q418" s="330">
        <v>0</v>
      </c>
      <c r="R418" s="330">
        <v>0</v>
      </c>
      <c r="S418" s="330">
        <v>0</v>
      </c>
      <c r="T418" s="330">
        <v>0</v>
      </c>
      <c r="U418" s="331">
        <v>0</v>
      </c>
      <c r="V418" s="332">
        <v>0</v>
      </c>
      <c r="W418" s="333"/>
      <c r="X418" s="334">
        <v>0</v>
      </c>
      <c r="Y418" s="335">
        <v>0</v>
      </c>
    </row>
    <row r="419" spans="1:25" x14ac:dyDescent="0.3">
      <c r="A419" s="233"/>
      <c r="B419" s="234" t="s">
        <v>21</v>
      </c>
      <c r="D419" s="293" t="s">
        <v>1354</v>
      </c>
      <c r="E419" s="294"/>
      <c r="F419" s="295" t="s">
        <v>1355</v>
      </c>
      <c r="G419" s="296"/>
      <c r="H419" s="297"/>
      <c r="I419" s="298"/>
      <c r="J419" s="299">
        <v>41604.349000000002</v>
      </c>
      <c r="K419" s="300">
        <v>18405.349999999999</v>
      </c>
      <c r="L419" s="300">
        <v>307223.72799999994</v>
      </c>
      <c r="M419" s="300">
        <v>39712.835999999996</v>
      </c>
      <c r="N419" s="300">
        <v>14626.178000000002</v>
      </c>
      <c r="O419" s="300">
        <v>318121.62299999996</v>
      </c>
      <c r="P419" s="300">
        <v>25490.596000000001</v>
      </c>
      <c r="Q419" s="300">
        <v>119136.14000000001</v>
      </c>
      <c r="R419" s="300">
        <v>140302.05900000001</v>
      </c>
      <c r="S419" s="300">
        <v>232967.21099999995</v>
      </c>
      <c r="T419" s="300">
        <v>237616.90100000001</v>
      </c>
      <c r="U419" s="301">
        <v>570355.13899999997</v>
      </c>
      <c r="V419" s="302">
        <v>2065562.1099999999</v>
      </c>
      <c r="W419" s="303"/>
      <c r="X419" s="304">
        <v>570355.13899999997</v>
      </c>
      <c r="Y419" s="305">
        <v>2065562.1099999999</v>
      </c>
    </row>
    <row r="420" spans="1:25" x14ac:dyDescent="0.3">
      <c r="E420" s="250" t="s">
        <v>1356</v>
      </c>
      <c r="F420" s="317">
        <v>4302002</v>
      </c>
      <c r="G420" s="318"/>
      <c r="H420" s="319">
        <v>5101530103</v>
      </c>
      <c r="I420" s="320"/>
      <c r="J420" s="337">
        <v>35000</v>
      </c>
      <c r="K420" s="321">
        <v>0</v>
      </c>
      <c r="L420" s="321">
        <v>0</v>
      </c>
      <c r="M420" s="321">
        <v>15000</v>
      </c>
      <c r="N420" s="321">
        <v>0</v>
      </c>
      <c r="O420" s="321">
        <v>285632.03200000001</v>
      </c>
      <c r="P420" s="321">
        <v>0</v>
      </c>
      <c r="Q420" s="321">
        <v>45454.546000000002</v>
      </c>
      <c r="R420" s="321">
        <v>45454.546000000002</v>
      </c>
      <c r="S420" s="321">
        <v>0</v>
      </c>
      <c r="T420" s="321">
        <v>20000</v>
      </c>
      <c r="U420" s="322">
        <v>299479.91200000001</v>
      </c>
      <c r="V420" s="323">
        <v>746021.03599999996</v>
      </c>
      <c r="W420" s="303"/>
      <c r="X420" s="324">
        <v>299479.91200000001</v>
      </c>
      <c r="Y420" s="325">
        <v>746021.03599999996</v>
      </c>
    </row>
    <row r="421" spans="1:25" x14ac:dyDescent="0.3">
      <c r="E421" s="250" t="s">
        <v>1357</v>
      </c>
      <c r="F421" s="317">
        <v>4302003</v>
      </c>
      <c r="G421" s="318"/>
      <c r="H421" s="319">
        <v>5101530105</v>
      </c>
      <c r="I421" s="320"/>
      <c r="J421" s="337">
        <v>0</v>
      </c>
      <c r="K421" s="321">
        <v>0</v>
      </c>
      <c r="L421" s="321">
        <v>293700</v>
      </c>
      <c r="M421" s="321">
        <v>8400</v>
      </c>
      <c r="N421" s="321">
        <v>0</v>
      </c>
      <c r="O421" s="321">
        <v>25000</v>
      </c>
      <c r="P421" s="321">
        <v>20000</v>
      </c>
      <c r="Q421" s="321">
        <v>10002.477999999999</v>
      </c>
      <c r="R421" s="321">
        <v>0</v>
      </c>
      <c r="S421" s="321">
        <v>43900</v>
      </c>
      <c r="T421" s="321">
        <v>10200</v>
      </c>
      <c r="U421" s="322">
        <v>25000</v>
      </c>
      <c r="V421" s="323">
        <v>436202.478</v>
      </c>
      <c r="W421" s="303"/>
      <c r="X421" s="324">
        <v>25000</v>
      </c>
      <c r="Y421" s="325">
        <v>436202.478</v>
      </c>
    </row>
    <row r="422" spans="1:25" x14ac:dyDescent="0.3">
      <c r="E422" s="250" t="s">
        <v>1358</v>
      </c>
      <c r="F422" s="317">
        <v>4302004</v>
      </c>
      <c r="G422" s="318"/>
      <c r="H422" s="319">
        <v>5101530107</v>
      </c>
      <c r="I422" s="320"/>
      <c r="J422" s="337">
        <v>954.83699999999999</v>
      </c>
      <c r="K422" s="321">
        <v>1624.3810000000001</v>
      </c>
      <c r="L422" s="321">
        <v>147.089</v>
      </c>
      <c r="M422" s="321">
        <v>2145.3690000000001</v>
      </c>
      <c r="N422" s="321">
        <v>10231.254000000001</v>
      </c>
      <c r="O422" s="321">
        <v>2773.13</v>
      </c>
      <c r="P422" s="321">
        <v>152.09899999999999</v>
      </c>
      <c r="Q422" s="321">
        <v>18116.493999999999</v>
      </c>
      <c r="R422" s="321">
        <v>150</v>
      </c>
      <c r="S422" s="321">
        <v>143762.20600000001</v>
      </c>
      <c r="T422" s="321">
        <v>26159.25</v>
      </c>
      <c r="U422" s="322">
        <v>28016.5</v>
      </c>
      <c r="V422" s="323">
        <v>234232.609</v>
      </c>
      <c r="W422" s="303"/>
      <c r="X422" s="324">
        <v>28016.5</v>
      </c>
      <c r="Y422" s="325">
        <v>234232.609</v>
      </c>
    </row>
    <row r="423" spans="1:25" x14ac:dyDescent="0.3">
      <c r="E423" s="250" t="s">
        <v>1359</v>
      </c>
      <c r="F423" s="317">
        <v>4302005</v>
      </c>
      <c r="G423" s="318"/>
      <c r="H423" s="319">
        <v>5101530109</v>
      </c>
      <c r="I423" s="320"/>
      <c r="J423" s="337">
        <v>0</v>
      </c>
      <c r="K423" s="321">
        <v>0</v>
      </c>
      <c r="L423" s="321">
        <v>0</v>
      </c>
      <c r="M423" s="321">
        <v>0</v>
      </c>
      <c r="N423" s="321">
        <v>0</v>
      </c>
      <c r="O423" s="321">
        <v>0</v>
      </c>
      <c r="P423" s="321">
        <v>0</v>
      </c>
      <c r="Q423" s="321">
        <v>0</v>
      </c>
      <c r="R423" s="321">
        <v>340</v>
      </c>
      <c r="S423" s="321">
        <v>7850.5339999999997</v>
      </c>
      <c r="T423" s="321">
        <v>0</v>
      </c>
      <c r="U423" s="322">
        <v>3400</v>
      </c>
      <c r="V423" s="323">
        <v>11590.534</v>
      </c>
      <c r="W423" s="303"/>
      <c r="X423" s="324">
        <v>3400</v>
      </c>
      <c r="Y423" s="325">
        <v>11590.534</v>
      </c>
    </row>
    <row r="424" spans="1:25" x14ac:dyDescent="0.3">
      <c r="E424" s="250" t="s">
        <v>1360</v>
      </c>
      <c r="F424" s="317">
        <v>4302006</v>
      </c>
      <c r="G424" s="318"/>
      <c r="H424" s="319">
        <v>5101530111</v>
      </c>
      <c r="I424" s="320">
        <v>5101530134</v>
      </c>
      <c r="J424" s="337">
        <v>0</v>
      </c>
      <c r="K424" s="321">
        <v>0</v>
      </c>
      <c r="L424" s="321">
        <v>0</v>
      </c>
      <c r="M424" s="321">
        <v>0</v>
      </c>
      <c r="N424" s="321">
        <v>0</v>
      </c>
      <c r="O424" s="321">
        <v>0</v>
      </c>
      <c r="P424" s="321">
        <v>0</v>
      </c>
      <c r="Q424" s="321">
        <v>0</v>
      </c>
      <c r="R424" s="321">
        <v>0</v>
      </c>
      <c r="S424" s="321">
        <v>0</v>
      </c>
      <c r="T424" s="321">
        <v>0</v>
      </c>
      <c r="U424" s="322">
        <v>0</v>
      </c>
      <c r="V424" s="323">
        <v>0</v>
      </c>
      <c r="W424" s="303"/>
      <c r="X424" s="324">
        <v>0</v>
      </c>
      <c r="Y424" s="325">
        <v>0</v>
      </c>
    </row>
    <row r="425" spans="1:25" x14ac:dyDescent="0.3">
      <c r="E425" s="250" t="s">
        <v>1361</v>
      </c>
      <c r="F425" s="317">
        <v>4302007</v>
      </c>
      <c r="G425" s="318"/>
      <c r="H425" s="319">
        <v>5101530113</v>
      </c>
      <c r="I425" s="320"/>
      <c r="J425" s="337">
        <v>0</v>
      </c>
      <c r="K425" s="321">
        <v>0</v>
      </c>
      <c r="L425" s="321">
        <v>0</v>
      </c>
      <c r="M425" s="321">
        <v>0</v>
      </c>
      <c r="N425" s="321">
        <v>0</v>
      </c>
      <c r="O425" s="321">
        <v>0</v>
      </c>
      <c r="P425" s="321">
        <v>0</v>
      </c>
      <c r="Q425" s="321">
        <v>0</v>
      </c>
      <c r="R425" s="321">
        <v>0</v>
      </c>
      <c r="S425" s="321">
        <v>0</v>
      </c>
      <c r="T425" s="321">
        <v>0</v>
      </c>
      <c r="U425" s="322">
        <v>0</v>
      </c>
      <c r="V425" s="323">
        <v>0</v>
      </c>
      <c r="W425" s="303"/>
      <c r="X425" s="324">
        <v>0</v>
      </c>
      <c r="Y425" s="325">
        <v>0</v>
      </c>
    </row>
    <row r="426" spans="1:25" x14ac:dyDescent="0.3">
      <c r="E426" s="250" t="s">
        <v>1362</v>
      </c>
      <c r="F426" s="317">
        <v>4302008</v>
      </c>
      <c r="G426" s="318"/>
      <c r="H426" s="319">
        <v>5101530115</v>
      </c>
      <c r="I426" s="320"/>
      <c r="J426" s="337">
        <v>134.566</v>
      </c>
      <c r="K426" s="321">
        <v>55.88</v>
      </c>
      <c r="L426" s="321">
        <v>231.36</v>
      </c>
      <c r="M426" s="321">
        <v>157.19999999999999</v>
      </c>
      <c r="N426" s="321">
        <v>61.52</v>
      </c>
      <c r="O426" s="321">
        <v>126.414</v>
      </c>
      <c r="P426" s="321">
        <v>172.09700000000001</v>
      </c>
      <c r="Q426" s="321">
        <v>349.35399999999998</v>
      </c>
      <c r="R426" s="321">
        <v>112.2</v>
      </c>
      <c r="S426" s="321">
        <v>209.392</v>
      </c>
      <c r="T426" s="321">
        <v>468.66</v>
      </c>
      <c r="U426" s="322">
        <v>336.14600000000002</v>
      </c>
      <c r="V426" s="323">
        <v>2414.7890000000002</v>
      </c>
      <c r="W426" s="303"/>
      <c r="X426" s="324">
        <v>336.14600000000002</v>
      </c>
      <c r="Y426" s="325">
        <v>2414.7890000000002</v>
      </c>
    </row>
    <row r="427" spans="1:25" x14ac:dyDescent="0.3">
      <c r="E427" s="250" t="s">
        <v>1363</v>
      </c>
      <c r="F427" s="317">
        <v>4302009</v>
      </c>
      <c r="G427" s="318"/>
      <c r="H427" s="319">
        <v>5101530117</v>
      </c>
      <c r="I427" s="320"/>
      <c r="J427" s="337">
        <v>0</v>
      </c>
      <c r="K427" s="321">
        <v>0</v>
      </c>
      <c r="L427" s="321">
        <v>0</v>
      </c>
      <c r="M427" s="321">
        <v>0</v>
      </c>
      <c r="N427" s="321">
        <v>0</v>
      </c>
      <c r="O427" s="321">
        <v>0</v>
      </c>
      <c r="P427" s="321">
        <v>0</v>
      </c>
      <c r="Q427" s="321">
        <v>0</v>
      </c>
      <c r="R427" s="321">
        <v>0</v>
      </c>
      <c r="S427" s="321">
        <v>0</v>
      </c>
      <c r="T427" s="321">
        <v>0</v>
      </c>
      <c r="U427" s="322">
        <v>0</v>
      </c>
      <c r="V427" s="323">
        <v>0</v>
      </c>
      <c r="W427" s="303"/>
      <c r="X427" s="324">
        <v>0</v>
      </c>
      <c r="Y427" s="325">
        <v>0</v>
      </c>
    </row>
    <row r="428" spans="1:25" x14ac:dyDescent="0.3">
      <c r="E428" s="250" t="s">
        <v>1364</v>
      </c>
      <c r="F428" s="317">
        <v>4302010</v>
      </c>
      <c r="G428" s="318"/>
      <c r="H428" s="319">
        <v>5101530119</v>
      </c>
      <c r="I428" s="320"/>
      <c r="J428" s="337">
        <v>0</v>
      </c>
      <c r="K428" s="321">
        <v>0</v>
      </c>
      <c r="L428" s="321">
        <v>0</v>
      </c>
      <c r="M428" s="321">
        <v>0</v>
      </c>
      <c r="N428" s="321">
        <v>0</v>
      </c>
      <c r="O428" s="321">
        <v>0</v>
      </c>
      <c r="P428" s="321">
        <v>0</v>
      </c>
      <c r="Q428" s="321">
        <v>0</v>
      </c>
      <c r="R428" s="321">
        <v>0</v>
      </c>
      <c r="S428" s="321">
        <v>0</v>
      </c>
      <c r="T428" s="321">
        <v>0</v>
      </c>
      <c r="U428" s="322">
        <v>0</v>
      </c>
      <c r="V428" s="323">
        <v>0</v>
      </c>
      <c r="W428" s="303"/>
      <c r="X428" s="324">
        <v>0</v>
      </c>
      <c r="Y428" s="325">
        <v>0</v>
      </c>
    </row>
    <row r="429" spans="1:25" x14ac:dyDescent="0.3">
      <c r="E429" s="250" t="s">
        <v>1365</v>
      </c>
      <c r="F429" s="317">
        <v>4302011</v>
      </c>
      <c r="G429" s="318"/>
      <c r="H429" s="319"/>
      <c r="I429" s="320"/>
      <c r="J429" s="337">
        <v>0</v>
      </c>
      <c r="K429" s="321">
        <v>0</v>
      </c>
      <c r="L429" s="321">
        <v>0</v>
      </c>
      <c r="M429" s="321">
        <v>0</v>
      </c>
      <c r="N429" s="321">
        <v>0</v>
      </c>
      <c r="O429" s="321">
        <v>0</v>
      </c>
      <c r="P429" s="321">
        <v>0</v>
      </c>
      <c r="Q429" s="321">
        <v>0</v>
      </c>
      <c r="R429" s="321">
        <v>0</v>
      </c>
      <c r="S429" s="321">
        <v>0</v>
      </c>
      <c r="T429" s="321">
        <v>0</v>
      </c>
      <c r="U429" s="322">
        <v>0</v>
      </c>
      <c r="V429" s="323">
        <v>0</v>
      </c>
      <c r="W429" s="303"/>
      <c r="X429" s="324">
        <v>0</v>
      </c>
      <c r="Y429" s="325">
        <v>0</v>
      </c>
    </row>
    <row r="430" spans="1:25" x14ac:dyDescent="0.3">
      <c r="E430" s="250" t="s">
        <v>1366</v>
      </c>
      <c r="F430" s="317">
        <v>4302012</v>
      </c>
      <c r="G430" s="318"/>
      <c r="H430" s="319">
        <v>5101530121</v>
      </c>
      <c r="I430" s="320"/>
      <c r="J430" s="337">
        <v>0</v>
      </c>
      <c r="K430" s="321">
        <v>0</v>
      </c>
      <c r="L430" s="321">
        <v>0</v>
      </c>
      <c r="M430" s="321">
        <v>0</v>
      </c>
      <c r="N430" s="321">
        <v>0</v>
      </c>
      <c r="O430" s="321">
        <v>0</v>
      </c>
      <c r="P430" s="321">
        <v>0</v>
      </c>
      <c r="Q430" s="321">
        <v>0</v>
      </c>
      <c r="R430" s="321">
        <v>0</v>
      </c>
      <c r="S430" s="321">
        <v>0</v>
      </c>
      <c r="T430" s="321">
        <v>0</v>
      </c>
      <c r="U430" s="322">
        <v>0</v>
      </c>
      <c r="V430" s="323">
        <v>0</v>
      </c>
      <c r="W430" s="303"/>
      <c r="X430" s="324">
        <v>0</v>
      </c>
      <c r="Y430" s="325">
        <v>0</v>
      </c>
    </row>
    <row r="431" spans="1:25" x14ac:dyDescent="0.3">
      <c r="E431" s="250" t="s">
        <v>1367</v>
      </c>
      <c r="F431" s="317">
        <v>4302013</v>
      </c>
      <c r="G431" s="318"/>
      <c r="H431" s="319">
        <v>5101530123</v>
      </c>
      <c r="I431" s="320"/>
      <c r="J431" s="337">
        <v>0</v>
      </c>
      <c r="K431" s="321">
        <v>59.43</v>
      </c>
      <c r="L431" s="321">
        <v>0</v>
      </c>
      <c r="M431" s="321">
        <v>0</v>
      </c>
      <c r="N431" s="321">
        <v>0</v>
      </c>
      <c r="O431" s="321">
        <v>254.703</v>
      </c>
      <c r="P431" s="321">
        <v>58.271999999999998</v>
      </c>
      <c r="Q431" s="321">
        <v>-33.502000000000002</v>
      </c>
      <c r="R431" s="321">
        <v>-41.351999999999997</v>
      </c>
      <c r="S431" s="321">
        <v>-6.2329999999999997</v>
      </c>
      <c r="T431" s="321">
        <v>0</v>
      </c>
      <c r="U431" s="322">
        <v>164.274</v>
      </c>
      <c r="V431" s="323">
        <v>455.59199999999998</v>
      </c>
      <c r="W431" s="303"/>
      <c r="X431" s="324">
        <v>164.274</v>
      </c>
      <c r="Y431" s="325">
        <v>455.59199999999998</v>
      </c>
    </row>
    <row r="432" spans="1:25" x14ac:dyDescent="0.3">
      <c r="E432" s="250" t="s">
        <v>1368</v>
      </c>
      <c r="F432" s="317">
        <v>4302014</v>
      </c>
      <c r="G432" s="318"/>
      <c r="H432" s="319">
        <v>5101530125</v>
      </c>
      <c r="I432" s="320"/>
      <c r="J432" s="337">
        <v>0</v>
      </c>
      <c r="K432" s="321">
        <v>0</v>
      </c>
      <c r="L432" s="321">
        <v>0</v>
      </c>
      <c r="M432" s="321">
        <v>0</v>
      </c>
      <c r="N432" s="321">
        <v>0</v>
      </c>
      <c r="O432" s="321">
        <v>0</v>
      </c>
      <c r="P432" s="321">
        <v>0</v>
      </c>
      <c r="Q432" s="321">
        <v>0</v>
      </c>
      <c r="R432" s="321">
        <v>0</v>
      </c>
      <c r="S432" s="321">
        <v>28560</v>
      </c>
      <c r="T432" s="321">
        <v>38400</v>
      </c>
      <c r="U432" s="322">
        <v>0</v>
      </c>
      <c r="V432" s="323">
        <v>66960</v>
      </c>
      <c r="W432" s="303"/>
      <c r="X432" s="324">
        <v>0</v>
      </c>
      <c r="Y432" s="325">
        <v>66960</v>
      </c>
    </row>
    <row r="433" spans="5:25" x14ac:dyDescent="0.3">
      <c r="E433" s="250" t="s">
        <v>1369</v>
      </c>
      <c r="F433" s="317">
        <v>4302015</v>
      </c>
      <c r="G433" s="318"/>
      <c r="H433" s="319">
        <v>5101530127</v>
      </c>
      <c r="I433" s="320"/>
      <c r="J433" s="337">
        <v>0</v>
      </c>
      <c r="K433" s="321">
        <v>0</v>
      </c>
      <c r="L433" s="321">
        <v>0</v>
      </c>
      <c r="M433" s="321">
        <v>0</v>
      </c>
      <c r="N433" s="321">
        <v>0</v>
      </c>
      <c r="O433" s="321">
        <v>0</v>
      </c>
      <c r="P433" s="321">
        <v>0</v>
      </c>
      <c r="Q433" s="321">
        <v>0</v>
      </c>
      <c r="R433" s="321">
        <v>0</v>
      </c>
      <c r="S433" s="321">
        <v>0</v>
      </c>
      <c r="T433" s="321">
        <v>0</v>
      </c>
      <c r="U433" s="322">
        <v>0</v>
      </c>
      <c r="V433" s="323">
        <v>0</v>
      </c>
      <c r="W433" s="303"/>
      <c r="X433" s="324">
        <v>0</v>
      </c>
      <c r="Y433" s="325">
        <v>0</v>
      </c>
    </row>
    <row r="434" spans="5:25" x14ac:dyDescent="0.3">
      <c r="E434" s="250" t="s">
        <v>1370</v>
      </c>
      <c r="F434" s="317">
        <v>4302016</v>
      </c>
      <c r="G434" s="318"/>
      <c r="H434" s="319">
        <v>5101530129</v>
      </c>
      <c r="I434" s="320"/>
      <c r="J434" s="337">
        <v>0</v>
      </c>
      <c r="K434" s="321">
        <v>0</v>
      </c>
      <c r="L434" s="321">
        <v>0</v>
      </c>
      <c r="M434" s="321">
        <v>0</v>
      </c>
      <c r="N434" s="321">
        <v>0</v>
      </c>
      <c r="O434" s="321">
        <v>0</v>
      </c>
      <c r="P434" s="321">
        <v>0</v>
      </c>
      <c r="Q434" s="321">
        <v>0</v>
      </c>
      <c r="R434" s="321">
        <v>0</v>
      </c>
      <c r="S434" s="321">
        <v>0</v>
      </c>
      <c r="T434" s="321">
        <v>0</v>
      </c>
      <c r="U434" s="322">
        <v>0</v>
      </c>
      <c r="V434" s="323">
        <v>0</v>
      </c>
      <c r="W434" s="303"/>
      <c r="X434" s="324">
        <v>0</v>
      </c>
      <c r="Y434" s="325">
        <v>0</v>
      </c>
    </row>
    <row r="435" spans="5:25" x14ac:dyDescent="0.3">
      <c r="E435" s="250" t="s">
        <v>1371</v>
      </c>
      <c r="F435" s="317">
        <v>4302017</v>
      </c>
      <c r="G435" s="318"/>
      <c r="H435" s="319">
        <v>5101530131</v>
      </c>
      <c r="I435" s="320"/>
      <c r="J435" s="337">
        <v>0</v>
      </c>
      <c r="K435" s="321">
        <v>0</v>
      </c>
      <c r="L435" s="321">
        <v>0</v>
      </c>
      <c r="M435" s="321">
        <v>0</v>
      </c>
      <c r="N435" s="321">
        <v>0</v>
      </c>
      <c r="O435" s="321">
        <v>0</v>
      </c>
      <c r="P435" s="321">
        <v>0</v>
      </c>
      <c r="Q435" s="321">
        <v>0</v>
      </c>
      <c r="R435" s="321">
        <v>0</v>
      </c>
      <c r="S435" s="321">
        <v>0</v>
      </c>
      <c r="T435" s="321">
        <v>0</v>
      </c>
      <c r="U435" s="322">
        <v>0</v>
      </c>
      <c r="V435" s="323">
        <v>0</v>
      </c>
      <c r="W435" s="303"/>
      <c r="X435" s="324">
        <v>0</v>
      </c>
      <c r="Y435" s="325">
        <v>0</v>
      </c>
    </row>
    <row r="436" spans="5:25" x14ac:dyDescent="0.3">
      <c r="E436" s="250" t="s">
        <v>1372</v>
      </c>
      <c r="F436" s="317">
        <v>4302018</v>
      </c>
      <c r="G436" s="318"/>
      <c r="H436" s="319">
        <v>5101530199</v>
      </c>
      <c r="I436" s="320"/>
      <c r="J436" s="337">
        <v>0</v>
      </c>
      <c r="K436" s="321">
        <v>0</v>
      </c>
      <c r="L436" s="321">
        <v>0</v>
      </c>
      <c r="M436" s="321">
        <v>0</v>
      </c>
      <c r="N436" s="321">
        <v>0</v>
      </c>
      <c r="O436" s="321">
        <v>0</v>
      </c>
      <c r="P436" s="321">
        <v>0</v>
      </c>
      <c r="Q436" s="321">
        <v>0</v>
      </c>
      <c r="R436" s="321">
        <v>0</v>
      </c>
      <c r="S436" s="321">
        <v>8.8000000000000007</v>
      </c>
      <c r="T436" s="321">
        <v>8.8000000000000007</v>
      </c>
      <c r="U436" s="322">
        <v>0</v>
      </c>
      <c r="V436" s="323">
        <v>17.600000000000001</v>
      </c>
      <c r="W436" s="303"/>
      <c r="X436" s="324">
        <v>0</v>
      </c>
      <c r="Y436" s="325">
        <v>17.600000000000001</v>
      </c>
    </row>
    <row r="437" spans="5:25" x14ac:dyDescent="0.3">
      <c r="E437" s="250" t="s">
        <v>1373</v>
      </c>
      <c r="F437" s="317">
        <v>4302020</v>
      </c>
      <c r="G437" s="318"/>
      <c r="H437" s="319">
        <v>5101530133</v>
      </c>
      <c r="I437" s="320"/>
      <c r="J437" s="337">
        <v>0</v>
      </c>
      <c r="K437" s="321">
        <v>0</v>
      </c>
      <c r="L437" s="321">
        <v>0</v>
      </c>
      <c r="M437" s="321">
        <v>0</v>
      </c>
      <c r="N437" s="321">
        <v>0</v>
      </c>
      <c r="O437" s="321">
        <v>0</v>
      </c>
      <c r="P437" s="321">
        <v>0</v>
      </c>
      <c r="Q437" s="321">
        <v>0</v>
      </c>
      <c r="R437" s="321">
        <v>0</v>
      </c>
      <c r="S437" s="321">
        <v>0</v>
      </c>
      <c r="T437" s="321">
        <v>0</v>
      </c>
      <c r="U437" s="322">
        <v>0</v>
      </c>
      <c r="V437" s="323">
        <v>0</v>
      </c>
      <c r="W437" s="303"/>
      <c r="X437" s="324">
        <v>0</v>
      </c>
      <c r="Y437" s="325">
        <v>0</v>
      </c>
    </row>
    <row r="438" spans="5:25" x14ac:dyDescent="0.3">
      <c r="E438" s="250" t="s">
        <v>1374</v>
      </c>
      <c r="F438" s="317">
        <v>4302022</v>
      </c>
      <c r="G438" s="318"/>
      <c r="H438" s="319"/>
      <c r="I438" s="320"/>
      <c r="J438" s="337">
        <v>0</v>
      </c>
      <c r="K438" s="321">
        <v>0</v>
      </c>
      <c r="L438" s="321">
        <v>0</v>
      </c>
      <c r="M438" s="321">
        <v>0</v>
      </c>
      <c r="N438" s="321">
        <v>0</v>
      </c>
      <c r="O438" s="321">
        <v>0</v>
      </c>
      <c r="P438" s="321">
        <v>0</v>
      </c>
      <c r="Q438" s="321">
        <v>0</v>
      </c>
      <c r="R438" s="321">
        <v>0</v>
      </c>
      <c r="S438" s="321">
        <v>0</v>
      </c>
      <c r="T438" s="321">
        <v>0</v>
      </c>
      <c r="U438" s="322">
        <v>0</v>
      </c>
      <c r="V438" s="323">
        <v>0</v>
      </c>
      <c r="W438" s="303"/>
      <c r="X438" s="324">
        <v>0</v>
      </c>
      <c r="Y438" s="325">
        <v>0</v>
      </c>
    </row>
    <row r="439" spans="5:25" x14ac:dyDescent="0.3">
      <c r="E439" s="250" t="s">
        <v>1375</v>
      </c>
      <c r="F439" s="317">
        <v>4302080</v>
      </c>
      <c r="G439" s="318"/>
      <c r="H439" s="319"/>
      <c r="I439" s="320"/>
      <c r="J439" s="337">
        <v>0</v>
      </c>
      <c r="K439" s="321">
        <v>0</v>
      </c>
      <c r="L439" s="321">
        <v>0</v>
      </c>
      <c r="M439" s="321">
        <v>0</v>
      </c>
      <c r="N439" s="321">
        <v>0</v>
      </c>
      <c r="O439" s="321">
        <v>0</v>
      </c>
      <c r="P439" s="321">
        <v>0</v>
      </c>
      <c r="Q439" s="321">
        <v>0</v>
      </c>
      <c r="R439" s="321">
        <v>0</v>
      </c>
      <c r="S439" s="321">
        <v>0</v>
      </c>
      <c r="T439" s="321">
        <v>0</v>
      </c>
      <c r="U439" s="322">
        <v>0</v>
      </c>
      <c r="V439" s="323">
        <v>0</v>
      </c>
      <c r="W439" s="303"/>
      <c r="X439" s="324">
        <v>0</v>
      </c>
      <c r="Y439" s="325">
        <v>0</v>
      </c>
    </row>
    <row r="440" spans="5:25" x14ac:dyDescent="0.3">
      <c r="E440" s="250" t="s">
        <v>1376</v>
      </c>
      <c r="F440" s="317">
        <v>4302081</v>
      </c>
      <c r="G440" s="318"/>
      <c r="H440" s="319"/>
      <c r="I440" s="320"/>
      <c r="J440" s="337">
        <v>0</v>
      </c>
      <c r="K440" s="321">
        <v>0</v>
      </c>
      <c r="L440" s="321">
        <v>0</v>
      </c>
      <c r="M440" s="321">
        <v>0</v>
      </c>
      <c r="N440" s="321">
        <v>0</v>
      </c>
      <c r="O440" s="321">
        <v>0</v>
      </c>
      <c r="P440" s="321">
        <v>0</v>
      </c>
      <c r="Q440" s="321">
        <v>0</v>
      </c>
      <c r="R440" s="321">
        <v>0</v>
      </c>
      <c r="S440" s="321">
        <v>0</v>
      </c>
      <c r="T440" s="321">
        <v>0</v>
      </c>
      <c r="U440" s="322">
        <v>0</v>
      </c>
      <c r="V440" s="323">
        <v>0</v>
      </c>
      <c r="W440" s="303"/>
      <c r="X440" s="324">
        <v>0</v>
      </c>
      <c r="Y440" s="325">
        <v>0</v>
      </c>
    </row>
    <row r="441" spans="5:25" x14ac:dyDescent="0.3">
      <c r="E441" s="250" t="s">
        <v>1377</v>
      </c>
      <c r="F441" s="317">
        <v>4302082</v>
      </c>
      <c r="G441" s="318"/>
      <c r="H441" s="319"/>
      <c r="I441" s="320"/>
      <c r="J441" s="337">
        <v>0</v>
      </c>
      <c r="K441" s="321">
        <v>0</v>
      </c>
      <c r="L441" s="321">
        <v>0</v>
      </c>
      <c r="M441" s="321">
        <v>0</v>
      </c>
      <c r="N441" s="321">
        <v>0</v>
      </c>
      <c r="O441" s="321">
        <v>0</v>
      </c>
      <c r="P441" s="321">
        <v>0</v>
      </c>
      <c r="Q441" s="321">
        <v>0</v>
      </c>
      <c r="R441" s="321">
        <v>0</v>
      </c>
      <c r="S441" s="321">
        <v>0</v>
      </c>
      <c r="T441" s="321">
        <v>0</v>
      </c>
      <c r="U441" s="322">
        <v>0</v>
      </c>
      <c r="V441" s="323">
        <v>0</v>
      </c>
      <c r="W441" s="303"/>
      <c r="X441" s="324">
        <v>0</v>
      </c>
      <c r="Y441" s="325">
        <v>0</v>
      </c>
    </row>
    <row r="442" spans="5:25" x14ac:dyDescent="0.3">
      <c r="E442" s="250" t="s">
        <v>1378</v>
      </c>
      <c r="F442" s="317">
        <v>4302083</v>
      </c>
      <c r="G442" s="318"/>
      <c r="H442" s="319"/>
      <c r="I442" s="320"/>
      <c r="J442" s="337">
        <v>0</v>
      </c>
      <c r="K442" s="321">
        <v>0</v>
      </c>
      <c r="L442" s="321">
        <v>0</v>
      </c>
      <c r="M442" s="321">
        <v>0</v>
      </c>
      <c r="N442" s="321">
        <v>0</v>
      </c>
      <c r="O442" s="321">
        <v>0</v>
      </c>
      <c r="P442" s="321">
        <v>0</v>
      </c>
      <c r="Q442" s="321">
        <v>0</v>
      </c>
      <c r="R442" s="321">
        <v>0</v>
      </c>
      <c r="S442" s="321">
        <v>0</v>
      </c>
      <c r="T442" s="321">
        <v>0</v>
      </c>
      <c r="U442" s="322">
        <v>0</v>
      </c>
      <c r="V442" s="323">
        <v>0</v>
      </c>
      <c r="W442" s="303"/>
      <c r="X442" s="324">
        <v>0</v>
      </c>
      <c r="Y442" s="325">
        <v>0</v>
      </c>
    </row>
    <row r="443" spans="5:25" x14ac:dyDescent="0.3">
      <c r="E443" s="250" t="s">
        <v>1379</v>
      </c>
      <c r="F443" s="317">
        <v>4302084</v>
      </c>
      <c r="G443" s="318"/>
      <c r="H443" s="319"/>
      <c r="I443" s="320"/>
      <c r="J443" s="337">
        <v>0</v>
      </c>
      <c r="K443" s="321">
        <v>0</v>
      </c>
      <c r="L443" s="321">
        <v>0</v>
      </c>
      <c r="M443" s="321">
        <v>0</v>
      </c>
      <c r="N443" s="321">
        <v>0</v>
      </c>
      <c r="O443" s="321">
        <v>0</v>
      </c>
      <c r="P443" s="321">
        <v>0</v>
      </c>
      <c r="Q443" s="321">
        <v>0</v>
      </c>
      <c r="R443" s="321">
        <v>0</v>
      </c>
      <c r="S443" s="321">
        <v>0</v>
      </c>
      <c r="T443" s="321">
        <v>0</v>
      </c>
      <c r="U443" s="322">
        <v>0</v>
      </c>
      <c r="V443" s="323">
        <v>0</v>
      </c>
      <c r="W443" s="303"/>
      <c r="X443" s="324">
        <v>0</v>
      </c>
      <c r="Y443" s="325">
        <v>0</v>
      </c>
    </row>
    <row r="444" spans="5:25" x14ac:dyDescent="0.3">
      <c r="E444" s="250" t="s">
        <v>1380</v>
      </c>
      <c r="F444" s="317">
        <v>4302085</v>
      </c>
      <c r="G444" s="318"/>
      <c r="H444" s="319"/>
      <c r="I444" s="320"/>
      <c r="J444" s="337">
        <v>0</v>
      </c>
      <c r="K444" s="321">
        <v>0</v>
      </c>
      <c r="L444" s="321">
        <v>0</v>
      </c>
      <c r="M444" s="321">
        <v>0</v>
      </c>
      <c r="N444" s="321">
        <v>0</v>
      </c>
      <c r="O444" s="321">
        <v>0</v>
      </c>
      <c r="P444" s="321">
        <v>0</v>
      </c>
      <c r="Q444" s="321">
        <v>0</v>
      </c>
      <c r="R444" s="321">
        <v>0</v>
      </c>
      <c r="S444" s="321">
        <v>0</v>
      </c>
      <c r="T444" s="321">
        <v>0</v>
      </c>
      <c r="U444" s="322">
        <v>0</v>
      </c>
      <c r="V444" s="323">
        <v>0</v>
      </c>
      <c r="W444" s="303"/>
      <c r="X444" s="324">
        <v>0</v>
      </c>
      <c r="Y444" s="325">
        <v>0</v>
      </c>
    </row>
    <row r="445" spans="5:25" x14ac:dyDescent="0.3">
      <c r="E445" s="250" t="s">
        <v>1381</v>
      </c>
      <c r="F445" s="317">
        <v>4302086</v>
      </c>
      <c r="G445" s="318"/>
      <c r="H445" s="319"/>
      <c r="I445" s="320"/>
      <c r="J445" s="337">
        <v>0</v>
      </c>
      <c r="K445" s="321">
        <v>0</v>
      </c>
      <c r="L445" s="321">
        <v>0</v>
      </c>
      <c r="M445" s="321">
        <v>0</v>
      </c>
      <c r="N445" s="321">
        <v>0</v>
      </c>
      <c r="O445" s="321">
        <v>0</v>
      </c>
      <c r="P445" s="321">
        <v>0</v>
      </c>
      <c r="Q445" s="321">
        <v>0</v>
      </c>
      <c r="R445" s="321">
        <v>0</v>
      </c>
      <c r="S445" s="321">
        <v>0</v>
      </c>
      <c r="T445" s="321">
        <v>0</v>
      </c>
      <c r="U445" s="322">
        <v>0</v>
      </c>
      <c r="V445" s="323">
        <v>0</v>
      </c>
      <c r="W445" s="303"/>
      <c r="X445" s="324">
        <v>0</v>
      </c>
      <c r="Y445" s="325">
        <v>0</v>
      </c>
    </row>
    <row r="446" spans="5:25" x14ac:dyDescent="0.3">
      <c r="E446" s="250" t="s">
        <v>1382</v>
      </c>
      <c r="F446" s="317">
        <v>4302087</v>
      </c>
      <c r="G446" s="318"/>
      <c r="H446" s="319"/>
      <c r="I446" s="320"/>
      <c r="J446" s="337">
        <v>0</v>
      </c>
      <c r="K446" s="321">
        <v>0</v>
      </c>
      <c r="L446" s="321">
        <v>0</v>
      </c>
      <c r="M446" s="321">
        <v>0</v>
      </c>
      <c r="N446" s="321">
        <v>0</v>
      </c>
      <c r="O446" s="321">
        <v>0</v>
      </c>
      <c r="P446" s="321">
        <v>0</v>
      </c>
      <c r="Q446" s="321">
        <v>0</v>
      </c>
      <c r="R446" s="321">
        <v>0</v>
      </c>
      <c r="S446" s="321">
        <v>0</v>
      </c>
      <c r="T446" s="321">
        <v>0</v>
      </c>
      <c r="U446" s="322">
        <v>0</v>
      </c>
      <c r="V446" s="323">
        <v>0</v>
      </c>
      <c r="W446" s="303"/>
      <c r="X446" s="324">
        <v>0</v>
      </c>
      <c r="Y446" s="325">
        <v>0</v>
      </c>
    </row>
    <row r="447" spans="5:25" x14ac:dyDescent="0.3">
      <c r="E447" s="250" t="s">
        <v>1383</v>
      </c>
      <c r="F447" s="317">
        <v>4302088</v>
      </c>
      <c r="G447" s="318"/>
      <c r="H447" s="319"/>
      <c r="I447" s="320"/>
      <c r="J447" s="337">
        <v>0</v>
      </c>
      <c r="K447" s="321">
        <v>0</v>
      </c>
      <c r="L447" s="321">
        <v>0</v>
      </c>
      <c r="M447" s="321">
        <v>0</v>
      </c>
      <c r="N447" s="321">
        <v>0</v>
      </c>
      <c r="O447" s="321">
        <v>0</v>
      </c>
      <c r="P447" s="321">
        <v>0</v>
      </c>
      <c r="Q447" s="321">
        <v>0</v>
      </c>
      <c r="R447" s="321">
        <v>0</v>
      </c>
      <c r="S447" s="321">
        <v>0</v>
      </c>
      <c r="T447" s="321">
        <v>0</v>
      </c>
      <c r="U447" s="322">
        <v>0</v>
      </c>
      <c r="V447" s="323">
        <v>0</v>
      </c>
      <c r="W447" s="303"/>
      <c r="X447" s="324">
        <v>0</v>
      </c>
      <c r="Y447" s="325">
        <v>0</v>
      </c>
    </row>
    <row r="448" spans="5:25" x14ac:dyDescent="0.3">
      <c r="E448" s="250" t="s">
        <v>1384</v>
      </c>
      <c r="F448" s="317">
        <v>4302089</v>
      </c>
      <c r="G448" s="318"/>
      <c r="H448" s="319"/>
      <c r="I448" s="320"/>
      <c r="J448" s="337">
        <v>0</v>
      </c>
      <c r="K448" s="321">
        <v>0</v>
      </c>
      <c r="L448" s="321">
        <v>0</v>
      </c>
      <c r="M448" s="321">
        <v>0</v>
      </c>
      <c r="N448" s="321">
        <v>0</v>
      </c>
      <c r="O448" s="321">
        <v>0</v>
      </c>
      <c r="P448" s="321">
        <v>0</v>
      </c>
      <c r="Q448" s="321">
        <v>0</v>
      </c>
      <c r="R448" s="321">
        <v>0</v>
      </c>
      <c r="S448" s="321">
        <v>0</v>
      </c>
      <c r="T448" s="321">
        <v>0</v>
      </c>
      <c r="U448" s="322">
        <v>0</v>
      </c>
      <c r="V448" s="323">
        <v>0</v>
      </c>
      <c r="W448" s="303"/>
      <c r="X448" s="324">
        <v>0</v>
      </c>
      <c r="Y448" s="325">
        <v>0</v>
      </c>
    </row>
    <row r="449" spans="1:25" x14ac:dyDescent="0.3">
      <c r="E449" s="250" t="s">
        <v>1385</v>
      </c>
      <c r="F449" s="317">
        <v>4302090</v>
      </c>
      <c r="G449" s="318"/>
      <c r="H449" s="319"/>
      <c r="I449" s="320"/>
      <c r="J449" s="337">
        <v>0</v>
      </c>
      <c r="K449" s="321">
        <v>0</v>
      </c>
      <c r="L449" s="321">
        <v>0</v>
      </c>
      <c r="M449" s="321">
        <v>0</v>
      </c>
      <c r="N449" s="321">
        <v>0</v>
      </c>
      <c r="O449" s="321">
        <v>0</v>
      </c>
      <c r="P449" s="321">
        <v>0</v>
      </c>
      <c r="Q449" s="321">
        <v>0</v>
      </c>
      <c r="R449" s="321">
        <v>0</v>
      </c>
      <c r="S449" s="321">
        <v>0</v>
      </c>
      <c r="T449" s="321">
        <v>0</v>
      </c>
      <c r="U449" s="322">
        <v>0</v>
      </c>
      <c r="V449" s="323">
        <v>0</v>
      </c>
      <c r="W449" s="303"/>
      <c r="X449" s="324">
        <v>0</v>
      </c>
      <c r="Y449" s="325">
        <v>0</v>
      </c>
    </row>
    <row r="450" spans="1:25" x14ac:dyDescent="0.3">
      <c r="E450" s="250" t="s">
        <v>1386</v>
      </c>
      <c r="F450" s="317">
        <v>4302091</v>
      </c>
      <c r="G450" s="318"/>
      <c r="H450" s="319"/>
      <c r="I450" s="320"/>
      <c r="J450" s="337">
        <v>28.466000000000001</v>
      </c>
      <c r="K450" s="321">
        <v>0</v>
      </c>
      <c r="L450" s="321">
        <v>0</v>
      </c>
      <c r="M450" s="321">
        <v>0</v>
      </c>
      <c r="N450" s="321">
        <v>0</v>
      </c>
      <c r="O450" s="321">
        <v>0</v>
      </c>
      <c r="P450" s="321">
        <v>0</v>
      </c>
      <c r="Q450" s="321">
        <v>0</v>
      </c>
      <c r="R450" s="321">
        <v>0</v>
      </c>
      <c r="S450" s="321">
        <v>0</v>
      </c>
      <c r="T450" s="321">
        <v>0</v>
      </c>
      <c r="U450" s="322">
        <v>0</v>
      </c>
      <c r="V450" s="323">
        <v>28.466000000000001</v>
      </c>
      <c r="W450" s="303"/>
      <c r="X450" s="324">
        <v>0</v>
      </c>
      <c r="Y450" s="325">
        <v>28.466000000000001</v>
      </c>
    </row>
    <row r="451" spans="1:25" x14ac:dyDescent="0.3">
      <c r="E451" s="250" t="s">
        <v>1387</v>
      </c>
      <c r="F451" s="317">
        <v>4302092</v>
      </c>
      <c r="G451" s="318"/>
      <c r="H451" s="319"/>
      <c r="I451" s="320"/>
      <c r="J451" s="337">
        <v>0</v>
      </c>
      <c r="K451" s="321">
        <v>0</v>
      </c>
      <c r="L451" s="321">
        <v>0</v>
      </c>
      <c r="M451" s="321">
        <v>0</v>
      </c>
      <c r="N451" s="321">
        <v>0</v>
      </c>
      <c r="O451" s="321">
        <v>0</v>
      </c>
      <c r="P451" s="321">
        <v>0</v>
      </c>
      <c r="Q451" s="321">
        <v>0</v>
      </c>
      <c r="R451" s="321">
        <v>0</v>
      </c>
      <c r="S451" s="321">
        <v>0</v>
      </c>
      <c r="T451" s="321">
        <v>0</v>
      </c>
      <c r="U451" s="322">
        <v>0</v>
      </c>
      <c r="V451" s="323">
        <v>0</v>
      </c>
      <c r="W451" s="303"/>
      <c r="X451" s="324">
        <v>0</v>
      </c>
      <c r="Y451" s="325">
        <v>0</v>
      </c>
    </row>
    <row r="452" spans="1:25" x14ac:dyDescent="0.3">
      <c r="E452" s="250" t="s">
        <v>1388</v>
      </c>
      <c r="F452" s="317">
        <v>4302094</v>
      </c>
      <c r="G452" s="318"/>
      <c r="H452" s="319"/>
      <c r="I452" s="320"/>
      <c r="J452" s="337">
        <v>0</v>
      </c>
      <c r="K452" s="321">
        <v>0</v>
      </c>
      <c r="L452" s="321">
        <v>0</v>
      </c>
      <c r="M452" s="321">
        <v>0</v>
      </c>
      <c r="N452" s="321">
        <v>0</v>
      </c>
      <c r="O452" s="321">
        <v>0</v>
      </c>
      <c r="P452" s="321">
        <v>0</v>
      </c>
      <c r="Q452" s="321">
        <v>0</v>
      </c>
      <c r="R452" s="321">
        <v>0</v>
      </c>
      <c r="S452" s="321">
        <v>0</v>
      </c>
      <c r="T452" s="321">
        <v>0</v>
      </c>
      <c r="U452" s="322">
        <v>0</v>
      </c>
      <c r="V452" s="323">
        <v>0</v>
      </c>
      <c r="W452" s="303"/>
      <c r="X452" s="324">
        <v>0</v>
      </c>
      <c r="Y452" s="325">
        <v>0</v>
      </c>
    </row>
    <row r="453" spans="1:25" x14ac:dyDescent="0.3">
      <c r="E453" s="250" t="s">
        <v>1389</v>
      </c>
      <c r="F453" s="317">
        <v>4302095</v>
      </c>
      <c r="G453" s="318"/>
      <c r="H453" s="319"/>
      <c r="I453" s="320"/>
      <c r="J453" s="337">
        <v>0</v>
      </c>
      <c r="K453" s="321">
        <v>0</v>
      </c>
      <c r="L453" s="321">
        <v>0</v>
      </c>
      <c r="M453" s="321">
        <v>0</v>
      </c>
      <c r="N453" s="321">
        <v>0</v>
      </c>
      <c r="O453" s="321">
        <v>0</v>
      </c>
      <c r="P453" s="321">
        <v>0</v>
      </c>
      <c r="Q453" s="321">
        <v>0</v>
      </c>
      <c r="R453" s="321">
        <v>0</v>
      </c>
      <c r="S453" s="321">
        <v>0</v>
      </c>
      <c r="T453" s="321">
        <v>0</v>
      </c>
      <c r="U453" s="322">
        <v>0</v>
      </c>
      <c r="V453" s="323">
        <v>0</v>
      </c>
      <c r="W453" s="303"/>
      <c r="X453" s="324">
        <v>0</v>
      </c>
      <c r="Y453" s="325">
        <v>0</v>
      </c>
    </row>
    <row r="454" spans="1:25" x14ac:dyDescent="0.3">
      <c r="E454" s="250" t="s">
        <v>1390</v>
      </c>
      <c r="F454" s="317">
        <v>4302096</v>
      </c>
      <c r="G454" s="318"/>
      <c r="H454" s="319"/>
      <c r="I454" s="320"/>
      <c r="J454" s="337">
        <v>0</v>
      </c>
      <c r="K454" s="321">
        <v>0</v>
      </c>
      <c r="L454" s="321">
        <v>0</v>
      </c>
      <c r="M454" s="321">
        <v>0</v>
      </c>
      <c r="N454" s="321">
        <v>0</v>
      </c>
      <c r="O454" s="321">
        <v>0</v>
      </c>
      <c r="P454" s="321">
        <v>0</v>
      </c>
      <c r="Q454" s="321">
        <v>0</v>
      </c>
      <c r="R454" s="321">
        <v>0</v>
      </c>
      <c r="S454" s="321">
        <v>0</v>
      </c>
      <c r="T454" s="321">
        <v>0</v>
      </c>
      <c r="U454" s="322">
        <v>0</v>
      </c>
      <c r="V454" s="323">
        <v>0</v>
      </c>
      <c r="W454" s="303"/>
      <c r="X454" s="324">
        <v>0</v>
      </c>
      <c r="Y454" s="325">
        <v>0</v>
      </c>
    </row>
    <row r="455" spans="1:25" x14ac:dyDescent="0.3">
      <c r="E455" s="250" t="s">
        <v>1391</v>
      </c>
      <c r="F455" s="317">
        <v>4302099</v>
      </c>
      <c r="G455" s="318"/>
      <c r="H455" s="319">
        <v>5101530101</v>
      </c>
      <c r="I455" s="320"/>
      <c r="J455" s="337">
        <v>5486.48</v>
      </c>
      <c r="K455" s="321">
        <v>16665.659</v>
      </c>
      <c r="L455" s="321">
        <v>13145.279</v>
      </c>
      <c r="M455" s="321">
        <v>14010.267</v>
      </c>
      <c r="N455" s="321">
        <v>4333.4040000000005</v>
      </c>
      <c r="O455" s="321">
        <v>4335.3440000000001</v>
      </c>
      <c r="P455" s="321">
        <v>5108.1279999999997</v>
      </c>
      <c r="Q455" s="321">
        <v>45246.77</v>
      </c>
      <c r="R455" s="321">
        <v>94286.664999999994</v>
      </c>
      <c r="S455" s="321">
        <v>8682.5120000000006</v>
      </c>
      <c r="T455" s="321">
        <v>142380.19099999999</v>
      </c>
      <c r="U455" s="322">
        <v>213958.307</v>
      </c>
      <c r="V455" s="323">
        <v>567639.00599999994</v>
      </c>
      <c r="W455" s="303"/>
      <c r="X455" s="324">
        <v>213958.307</v>
      </c>
      <c r="Y455" s="325">
        <v>567639.00599999994</v>
      </c>
    </row>
    <row r="456" spans="1:25" x14ac:dyDescent="0.3">
      <c r="A456" s="361"/>
      <c r="B456" s="361"/>
      <c r="C456" s="361"/>
      <c r="D456" s="361"/>
      <c r="E456" s="326" t="s">
        <v>1392</v>
      </c>
      <c r="F456" s="351"/>
      <c r="G456" s="352"/>
      <c r="H456" s="353">
        <v>5101530134</v>
      </c>
      <c r="I456" s="354"/>
      <c r="J456" s="362">
        <v>0</v>
      </c>
      <c r="K456" s="355">
        <v>0</v>
      </c>
      <c r="L456" s="355">
        <v>0</v>
      </c>
      <c r="M456" s="355">
        <v>0</v>
      </c>
      <c r="N456" s="355">
        <v>0</v>
      </c>
      <c r="O456" s="355">
        <v>0</v>
      </c>
      <c r="P456" s="355">
        <v>0</v>
      </c>
      <c r="Q456" s="355">
        <v>0</v>
      </c>
      <c r="R456" s="355">
        <v>0</v>
      </c>
      <c r="S456" s="355">
        <v>0</v>
      </c>
      <c r="T456" s="355">
        <v>0</v>
      </c>
      <c r="U456" s="356">
        <v>0</v>
      </c>
      <c r="V456" s="357">
        <v>0</v>
      </c>
      <c r="W456" s="358"/>
      <c r="X456" s="359">
        <v>0</v>
      </c>
      <c r="Y456" s="360">
        <v>0</v>
      </c>
    </row>
    <row r="457" spans="1:25" x14ac:dyDescent="0.3">
      <c r="A457" s="361"/>
      <c r="B457" s="361"/>
      <c r="C457" s="361"/>
      <c r="D457" s="361"/>
      <c r="E457" s="326" t="s">
        <v>1393</v>
      </c>
      <c r="F457" s="351"/>
      <c r="G457" s="352"/>
      <c r="H457" s="353"/>
      <c r="I457" s="354"/>
      <c r="J457" s="362">
        <v>0</v>
      </c>
      <c r="K457" s="355">
        <v>0</v>
      </c>
      <c r="L457" s="355">
        <v>0</v>
      </c>
      <c r="M457" s="355">
        <v>0</v>
      </c>
      <c r="N457" s="355">
        <v>0</v>
      </c>
      <c r="O457" s="355">
        <v>0</v>
      </c>
      <c r="P457" s="355">
        <v>0</v>
      </c>
      <c r="Q457" s="355">
        <v>0</v>
      </c>
      <c r="R457" s="355">
        <v>0</v>
      </c>
      <c r="S457" s="355">
        <v>0</v>
      </c>
      <c r="T457" s="355">
        <v>0</v>
      </c>
      <c r="U457" s="356">
        <v>0</v>
      </c>
      <c r="V457" s="357">
        <v>0</v>
      </c>
      <c r="W457" s="358"/>
      <c r="X457" s="359">
        <v>0</v>
      </c>
      <c r="Y457" s="360">
        <v>0</v>
      </c>
    </row>
    <row r="458" spans="1:25" x14ac:dyDescent="0.3">
      <c r="A458" s="361"/>
      <c r="B458" s="361"/>
      <c r="C458" s="361"/>
      <c r="D458" s="361"/>
      <c r="E458" s="326" t="s">
        <v>1394</v>
      </c>
      <c r="F458" s="351"/>
      <c r="G458" s="352"/>
      <c r="H458" s="353"/>
      <c r="I458" s="354"/>
      <c r="J458" s="362">
        <v>0</v>
      </c>
      <c r="K458" s="355">
        <v>0</v>
      </c>
      <c r="L458" s="355">
        <v>0</v>
      </c>
      <c r="M458" s="355">
        <v>0</v>
      </c>
      <c r="N458" s="355">
        <v>0</v>
      </c>
      <c r="O458" s="355">
        <v>0</v>
      </c>
      <c r="P458" s="355">
        <v>0</v>
      </c>
      <c r="Q458" s="355">
        <v>0</v>
      </c>
      <c r="R458" s="355">
        <v>0</v>
      </c>
      <c r="S458" s="355">
        <v>0</v>
      </c>
      <c r="T458" s="355">
        <v>0</v>
      </c>
      <c r="U458" s="356">
        <v>0</v>
      </c>
      <c r="V458" s="357">
        <v>0</v>
      </c>
      <c r="W458" s="358"/>
      <c r="X458" s="359">
        <v>0</v>
      </c>
      <c r="Y458" s="360">
        <v>0</v>
      </c>
    </row>
    <row r="459" spans="1:25" x14ac:dyDescent="0.3">
      <c r="A459" s="233"/>
      <c r="B459" s="234" t="s">
        <v>22</v>
      </c>
      <c r="D459" s="293" t="s">
        <v>1395</v>
      </c>
      <c r="E459" s="294"/>
      <c r="F459" s="295" t="s">
        <v>1396</v>
      </c>
      <c r="G459" s="296"/>
      <c r="H459" s="297"/>
      <c r="I459" s="298"/>
      <c r="J459" s="299">
        <v>11483.643999999998</v>
      </c>
      <c r="K459" s="300">
        <v>25648.002999999997</v>
      </c>
      <c r="L459" s="300">
        <v>17962.489000000001</v>
      </c>
      <c r="M459" s="300">
        <v>21301.642</v>
      </c>
      <c r="N459" s="300">
        <v>151540.39000000001</v>
      </c>
      <c r="O459" s="300">
        <v>33740.42</v>
      </c>
      <c r="P459" s="300">
        <v>16672.164000000001</v>
      </c>
      <c r="Q459" s="300">
        <v>15993.432000000001</v>
      </c>
      <c r="R459" s="300">
        <v>-125355.788</v>
      </c>
      <c r="S459" s="300">
        <v>15222.672999999999</v>
      </c>
      <c r="T459" s="300">
        <v>15670.978999999999</v>
      </c>
      <c r="U459" s="301">
        <v>15175.234</v>
      </c>
      <c r="V459" s="302">
        <v>215055.28200000001</v>
      </c>
      <c r="W459" s="303"/>
      <c r="X459" s="304">
        <v>15175.234</v>
      </c>
      <c r="Y459" s="305">
        <v>215055.28200000001</v>
      </c>
    </row>
    <row r="460" spans="1:25" x14ac:dyDescent="0.3">
      <c r="E460" s="250" t="s">
        <v>1397</v>
      </c>
      <c r="F460" s="317">
        <v>4302301</v>
      </c>
      <c r="G460" s="318"/>
      <c r="H460" s="319">
        <v>5101250101</v>
      </c>
      <c r="I460" s="320"/>
      <c r="J460" s="337">
        <v>5790.5590000000002</v>
      </c>
      <c r="K460" s="321">
        <v>10798.419</v>
      </c>
      <c r="L460" s="321">
        <v>6257.1930000000002</v>
      </c>
      <c r="M460" s="321">
        <v>9227.0360000000001</v>
      </c>
      <c r="N460" s="321">
        <v>6794.8339999999998</v>
      </c>
      <c r="O460" s="321">
        <v>6494.8990000000003</v>
      </c>
      <c r="P460" s="321">
        <v>6650.1</v>
      </c>
      <c r="Q460" s="321">
        <v>7196.058</v>
      </c>
      <c r="R460" s="321">
        <v>6037.3879999999999</v>
      </c>
      <c r="S460" s="321">
        <v>6692.0429999999997</v>
      </c>
      <c r="T460" s="321">
        <v>7143.53</v>
      </c>
      <c r="U460" s="322">
        <v>7455.8890000000001</v>
      </c>
      <c r="V460" s="323">
        <v>86537.947999999989</v>
      </c>
      <c r="W460" s="303"/>
      <c r="X460" s="324">
        <v>7455.8890000000001</v>
      </c>
      <c r="Y460" s="325">
        <v>86537.947999999989</v>
      </c>
    </row>
    <row r="461" spans="1:25" x14ac:dyDescent="0.3">
      <c r="E461" s="250" t="s">
        <v>1398</v>
      </c>
      <c r="F461" s="317">
        <v>4302302</v>
      </c>
      <c r="G461" s="318"/>
      <c r="H461" s="319">
        <v>5101250105</v>
      </c>
      <c r="I461" s="320"/>
      <c r="J461" s="337">
        <v>1150</v>
      </c>
      <c r="K461" s="321">
        <v>0</v>
      </c>
      <c r="L461" s="321">
        <v>0</v>
      </c>
      <c r="M461" s="321">
        <v>0</v>
      </c>
      <c r="N461" s="321">
        <v>0</v>
      </c>
      <c r="O461" s="321">
        <v>0</v>
      </c>
      <c r="P461" s="321">
        <v>0</v>
      </c>
      <c r="Q461" s="321">
        <v>0</v>
      </c>
      <c r="R461" s="321">
        <v>0</v>
      </c>
      <c r="S461" s="321">
        <v>0</v>
      </c>
      <c r="T461" s="321">
        <v>0</v>
      </c>
      <c r="U461" s="322">
        <v>0</v>
      </c>
      <c r="V461" s="323">
        <v>1150</v>
      </c>
      <c r="W461" s="303"/>
      <c r="X461" s="324">
        <v>0</v>
      </c>
      <c r="Y461" s="325">
        <v>1150</v>
      </c>
    </row>
    <row r="462" spans="1:25" x14ac:dyDescent="0.3">
      <c r="E462" s="250" t="s">
        <v>1399</v>
      </c>
      <c r="F462" s="317">
        <v>4302303</v>
      </c>
      <c r="G462" s="318"/>
      <c r="H462" s="319">
        <v>5101250103</v>
      </c>
      <c r="I462" s="320"/>
      <c r="J462" s="337">
        <v>130.07</v>
      </c>
      <c r="K462" s="321">
        <v>130.07</v>
      </c>
      <c r="L462" s="321">
        <v>1228.271</v>
      </c>
      <c r="M462" s="321">
        <v>1228.271</v>
      </c>
      <c r="N462" s="321">
        <v>1228.271</v>
      </c>
      <c r="O462" s="321">
        <v>1228.271</v>
      </c>
      <c r="P462" s="321">
        <v>1228.271</v>
      </c>
      <c r="Q462" s="321">
        <v>1228.271</v>
      </c>
      <c r="R462" s="321">
        <v>1228.271</v>
      </c>
      <c r="S462" s="321">
        <v>1228.271</v>
      </c>
      <c r="T462" s="321">
        <v>1228.271</v>
      </c>
      <c r="U462" s="322">
        <v>1144.701</v>
      </c>
      <c r="V462" s="323">
        <v>12459.279999999999</v>
      </c>
      <c r="W462" s="303"/>
      <c r="X462" s="324">
        <v>1144.701</v>
      </c>
      <c r="Y462" s="325">
        <v>12459.279999999999</v>
      </c>
    </row>
    <row r="463" spans="1:25" x14ac:dyDescent="0.3">
      <c r="E463" s="250" t="s">
        <v>1400</v>
      </c>
      <c r="F463" s="317">
        <v>4302304</v>
      </c>
      <c r="G463" s="318"/>
      <c r="H463" s="319">
        <v>5101250109</v>
      </c>
      <c r="I463" s="320"/>
      <c r="J463" s="337">
        <v>2067.1149999999998</v>
      </c>
      <c r="K463" s="321">
        <v>4179.5339999999997</v>
      </c>
      <c r="L463" s="321">
        <v>4847.1149999999998</v>
      </c>
      <c r="M463" s="321">
        <v>4032.1149999999998</v>
      </c>
      <c r="N463" s="321">
        <v>4032.1149999999998</v>
      </c>
      <c r="O463" s="321">
        <v>4124.92</v>
      </c>
      <c r="P463" s="321">
        <v>4168.5330000000004</v>
      </c>
      <c r="Q463" s="321">
        <v>4168.5330000000004</v>
      </c>
      <c r="R463" s="321">
        <v>4168.5330000000004</v>
      </c>
      <c r="S463" s="321">
        <v>4188.3090000000002</v>
      </c>
      <c r="T463" s="321">
        <v>4339.5680000000002</v>
      </c>
      <c r="U463" s="322">
        <v>4017.2739999999999</v>
      </c>
      <c r="V463" s="323">
        <v>48333.663999999997</v>
      </c>
      <c r="W463" s="303"/>
      <c r="X463" s="324">
        <v>4017.2739999999999</v>
      </c>
      <c r="Y463" s="325">
        <v>48333.663999999997</v>
      </c>
    </row>
    <row r="464" spans="1:25" x14ac:dyDescent="0.3">
      <c r="E464" s="250" t="s">
        <v>1401</v>
      </c>
      <c r="F464" s="376">
        <v>4302306</v>
      </c>
      <c r="G464" s="318"/>
      <c r="H464" s="319">
        <v>5101250111</v>
      </c>
      <c r="I464" s="320"/>
      <c r="J464" s="337">
        <v>0</v>
      </c>
      <c r="K464" s="321">
        <v>0</v>
      </c>
      <c r="L464" s="321">
        <v>0</v>
      </c>
      <c r="M464" s="321">
        <v>0</v>
      </c>
      <c r="N464" s="321">
        <v>0</v>
      </c>
      <c r="O464" s="321">
        <v>0</v>
      </c>
      <c r="P464" s="321">
        <v>0</v>
      </c>
      <c r="Q464" s="321">
        <v>0</v>
      </c>
      <c r="R464" s="321">
        <v>0</v>
      </c>
      <c r="S464" s="321">
        <v>0</v>
      </c>
      <c r="T464" s="321">
        <v>0</v>
      </c>
      <c r="U464" s="322">
        <v>0</v>
      </c>
      <c r="V464" s="323">
        <v>0</v>
      </c>
      <c r="W464" s="303"/>
      <c r="X464" s="324">
        <v>0</v>
      </c>
      <c r="Y464" s="325">
        <v>0</v>
      </c>
    </row>
    <row r="465" spans="1:25" x14ac:dyDescent="0.3">
      <c r="A465" s="326"/>
      <c r="B465" s="326"/>
      <c r="C465" s="326"/>
      <c r="D465" s="326"/>
      <c r="E465" s="250" t="s">
        <v>1402</v>
      </c>
      <c r="F465" s="376">
        <v>4302307</v>
      </c>
      <c r="G465" s="377"/>
      <c r="H465" s="378"/>
      <c r="I465" s="379"/>
      <c r="J465" s="337">
        <v>0</v>
      </c>
      <c r="K465" s="321">
        <v>0</v>
      </c>
      <c r="L465" s="321">
        <v>0</v>
      </c>
      <c r="M465" s="321">
        <v>0</v>
      </c>
      <c r="N465" s="321">
        <v>0</v>
      </c>
      <c r="O465" s="321">
        <v>0</v>
      </c>
      <c r="P465" s="321">
        <v>0</v>
      </c>
      <c r="Q465" s="321">
        <v>0</v>
      </c>
      <c r="R465" s="321">
        <v>0</v>
      </c>
      <c r="S465" s="321">
        <v>0</v>
      </c>
      <c r="T465" s="321">
        <v>0</v>
      </c>
      <c r="U465" s="322">
        <v>0</v>
      </c>
      <c r="V465" s="323">
        <v>0</v>
      </c>
      <c r="W465" s="303"/>
      <c r="X465" s="324">
        <v>0</v>
      </c>
      <c r="Y465" s="325">
        <v>0</v>
      </c>
    </row>
    <row r="466" spans="1:25" x14ac:dyDescent="0.3">
      <c r="A466" s="326"/>
      <c r="B466" s="326"/>
      <c r="C466" s="326"/>
      <c r="D466" s="326"/>
      <c r="E466" s="250" t="s">
        <v>1403</v>
      </c>
      <c r="F466" s="376">
        <v>4302308</v>
      </c>
      <c r="G466" s="377"/>
      <c r="H466" s="378"/>
      <c r="I466" s="379"/>
      <c r="J466" s="337">
        <v>0</v>
      </c>
      <c r="K466" s="321">
        <v>0</v>
      </c>
      <c r="L466" s="321">
        <v>0</v>
      </c>
      <c r="M466" s="321">
        <v>0</v>
      </c>
      <c r="N466" s="321">
        <v>133227.5</v>
      </c>
      <c r="O466" s="321">
        <v>16500</v>
      </c>
      <c r="P466" s="321">
        <v>0</v>
      </c>
      <c r="Q466" s="321">
        <v>0</v>
      </c>
      <c r="R466" s="321">
        <v>-139737</v>
      </c>
      <c r="S466" s="321">
        <v>0</v>
      </c>
      <c r="T466" s="321">
        <v>0</v>
      </c>
      <c r="U466" s="322">
        <v>0</v>
      </c>
      <c r="V466" s="323">
        <v>9990.5</v>
      </c>
      <c r="W466" s="303"/>
      <c r="X466" s="324">
        <v>0</v>
      </c>
      <c r="Y466" s="325">
        <v>9990.5</v>
      </c>
    </row>
    <row r="467" spans="1:25" x14ac:dyDescent="0.3">
      <c r="E467" s="250" t="s">
        <v>1404</v>
      </c>
      <c r="F467" s="376">
        <v>4302309</v>
      </c>
      <c r="G467" s="318"/>
      <c r="H467" s="319">
        <v>5101250199</v>
      </c>
      <c r="I467" s="320"/>
      <c r="J467" s="337">
        <v>2345.9</v>
      </c>
      <c r="K467" s="321">
        <v>10539.98</v>
      </c>
      <c r="L467" s="321">
        <v>5629.91</v>
      </c>
      <c r="M467" s="321">
        <v>6814.22</v>
      </c>
      <c r="N467" s="321">
        <v>6257.67</v>
      </c>
      <c r="O467" s="321">
        <v>5392.33</v>
      </c>
      <c r="P467" s="321">
        <v>4625.26</v>
      </c>
      <c r="Q467" s="321">
        <v>3400.57</v>
      </c>
      <c r="R467" s="321">
        <v>2947.02</v>
      </c>
      <c r="S467" s="321">
        <v>3114.05</v>
      </c>
      <c r="T467" s="321">
        <v>2959.61</v>
      </c>
      <c r="U467" s="322">
        <v>2557.37</v>
      </c>
      <c r="V467" s="323">
        <v>56583.890000000007</v>
      </c>
      <c r="W467" s="303"/>
      <c r="X467" s="324">
        <v>2557.37</v>
      </c>
      <c r="Y467" s="325">
        <v>56583.890000000007</v>
      </c>
    </row>
    <row r="468" spans="1:25" x14ac:dyDescent="0.3">
      <c r="A468" s="326"/>
      <c r="B468" s="326"/>
      <c r="C468" s="326"/>
      <c r="D468" s="326"/>
      <c r="E468" s="250" t="s">
        <v>1405</v>
      </c>
      <c r="F468" s="306">
        <v>4302310</v>
      </c>
      <c r="G468" s="307"/>
      <c r="H468" s="308"/>
      <c r="I468" s="309"/>
      <c r="J468" s="310">
        <v>0</v>
      </c>
      <c r="K468" s="311">
        <v>0</v>
      </c>
      <c r="L468" s="311">
        <v>0</v>
      </c>
      <c r="M468" s="311">
        <v>0</v>
      </c>
      <c r="N468" s="311">
        <v>0</v>
      </c>
      <c r="O468" s="311">
        <v>0</v>
      </c>
      <c r="P468" s="311">
        <v>0</v>
      </c>
      <c r="Q468" s="311">
        <v>0</v>
      </c>
      <c r="R468" s="311">
        <v>0</v>
      </c>
      <c r="S468" s="311">
        <v>0</v>
      </c>
      <c r="T468" s="311">
        <v>0</v>
      </c>
      <c r="U468" s="312">
        <v>0</v>
      </c>
      <c r="V468" s="313">
        <v>0</v>
      </c>
      <c r="W468" s="314"/>
      <c r="X468" s="315">
        <v>0</v>
      </c>
      <c r="Y468" s="316">
        <v>0</v>
      </c>
    </row>
    <row r="469" spans="1:25" x14ac:dyDescent="0.3">
      <c r="A469" s="2"/>
      <c r="B469" s="2"/>
      <c r="C469" s="2"/>
      <c r="D469" s="2"/>
      <c r="E469" s="2" t="s">
        <v>1406</v>
      </c>
      <c r="F469" s="380">
        <v>4302311</v>
      </c>
      <c r="G469" s="381"/>
      <c r="H469" s="382"/>
      <c r="I469" s="383"/>
      <c r="J469" s="384">
        <v>0</v>
      </c>
      <c r="K469" s="385">
        <v>0</v>
      </c>
      <c r="L469" s="385">
        <v>0</v>
      </c>
      <c r="M469" s="385">
        <v>0</v>
      </c>
      <c r="N469" s="385">
        <v>0</v>
      </c>
      <c r="O469" s="385">
        <v>0</v>
      </c>
      <c r="P469" s="385">
        <v>0</v>
      </c>
      <c r="Q469" s="385">
        <v>0</v>
      </c>
      <c r="R469" s="385">
        <v>0</v>
      </c>
      <c r="S469" s="385">
        <v>0</v>
      </c>
      <c r="T469" s="385">
        <v>0</v>
      </c>
      <c r="U469" s="386">
        <v>0</v>
      </c>
      <c r="V469" s="387">
        <v>0</v>
      </c>
      <c r="W469" s="388"/>
      <c r="X469" s="389">
        <v>0</v>
      </c>
      <c r="Y469" s="390">
        <v>0</v>
      </c>
    </row>
    <row r="470" spans="1:25" x14ac:dyDescent="0.3">
      <c r="A470" s="326"/>
      <c r="B470" s="326"/>
      <c r="C470" s="326"/>
      <c r="D470" s="326"/>
      <c r="E470" s="326" t="s">
        <v>1407</v>
      </c>
      <c r="F470" s="336"/>
      <c r="G470" s="327"/>
      <c r="H470" s="328"/>
      <c r="I470" s="329"/>
      <c r="J470" s="338">
        <v>0</v>
      </c>
      <c r="K470" s="330">
        <v>0</v>
      </c>
      <c r="L470" s="330">
        <v>0</v>
      </c>
      <c r="M470" s="330">
        <v>0</v>
      </c>
      <c r="N470" s="330">
        <v>0</v>
      </c>
      <c r="O470" s="330">
        <v>0</v>
      </c>
      <c r="P470" s="330">
        <v>0</v>
      </c>
      <c r="Q470" s="330">
        <v>0</v>
      </c>
      <c r="R470" s="330">
        <v>0</v>
      </c>
      <c r="S470" s="330">
        <v>0</v>
      </c>
      <c r="T470" s="330">
        <v>0</v>
      </c>
      <c r="U470" s="331">
        <v>0</v>
      </c>
      <c r="V470" s="332">
        <v>0</v>
      </c>
      <c r="W470" s="333"/>
      <c r="X470" s="334">
        <v>0</v>
      </c>
      <c r="Y470" s="335">
        <v>0</v>
      </c>
    </row>
    <row r="471" spans="1:25" x14ac:dyDescent="0.3">
      <c r="A471" s="326"/>
      <c r="B471" s="326"/>
      <c r="C471" s="326"/>
      <c r="D471" s="326"/>
      <c r="E471" s="326" t="s">
        <v>1408</v>
      </c>
      <c r="F471" s="336"/>
      <c r="G471" s="327"/>
      <c r="H471" s="328"/>
      <c r="I471" s="329"/>
      <c r="J471" s="338">
        <v>0</v>
      </c>
      <c r="K471" s="330">
        <v>0</v>
      </c>
      <c r="L471" s="330">
        <v>0</v>
      </c>
      <c r="M471" s="330">
        <v>0</v>
      </c>
      <c r="N471" s="330">
        <v>0</v>
      </c>
      <c r="O471" s="330">
        <v>0</v>
      </c>
      <c r="P471" s="330">
        <v>0</v>
      </c>
      <c r="Q471" s="330">
        <v>0</v>
      </c>
      <c r="R471" s="330">
        <v>0</v>
      </c>
      <c r="S471" s="330">
        <v>0</v>
      </c>
      <c r="T471" s="330">
        <v>0</v>
      </c>
      <c r="U471" s="331">
        <v>0</v>
      </c>
      <c r="V471" s="332">
        <v>0</v>
      </c>
      <c r="W471" s="333"/>
      <c r="X471" s="334">
        <v>0</v>
      </c>
      <c r="Y471" s="335">
        <v>0</v>
      </c>
    </row>
    <row r="472" spans="1:25" x14ac:dyDescent="0.3">
      <c r="A472" s="233"/>
      <c r="B472" s="234" t="s">
        <v>23</v>
      </c>
      <c r="D472" s="293" t="s">
        <v>1409</v>
      </c>
      <c r="E472" s="294"/>
      <c r="F472" s="295" t="s">
        <v>1410</v>
      </c>
      <c r="G472" s="296"/>
      <c r="H472" s="297"/>
      <c r="I472" s="298"/>
      <c r="J472" s="299">
        <v>0</v>
      </c>
      <c r="K472" s="300">
        <v>0</v>
      </c>
      <c r="L472" s="300">
        <v>0</v>
      </c>
      <c r="M472" s="300">
        <v>0</v>
      </c>
      <c r="N472" s="300">
        <v>0</v>
      </c>
      <c r="O472" s="300">
        <v>0</v>
      </c>
      <c r="P472" s="300">
        <v>0</v>
      </c>
      <c r="Q472" s="300">
        <v>0</v>
      </c>
      <c r="R472" s="300">
        <v>0</v>
      </c>
      <c r="S472" s="300">
        <v>0</v>
      </c>
      <c r="T472" s="300">
        <v>0</v>
      </c>
      <c r="U472" s="301">
        <v>0</v>
      </c>
      <c r="V472" s="302">
        <v>0</v>
      </c>
      <c r="W472" s="303"/>
      <c r="X472" s="304">
        <v>0</v>
      </c>
      <c r="Y472" s="305">
        <v>0</v>
      </c>
    </row>
    <row r="473" spans="1:25" x14ac:dyDescent="0.3">
      <c r="E473" s="250" t="s">
        <v>1411</v>
      </c>
      <c r="F473" s="317">
        <v>4302601</v>
      </c>
      <c r="G473" s="318"/>
      <c r="H473" s="319">
        <v>5101270101</v>
      </c>
      <c r="I473" s="320"/>
      <c r="J473" s="337">
        <v>0</v>
      </c>
      <c r="K473" s="321">
        <v>0</v>
      </c>
      <c r="L473" s="321">
        <v>0</v>
      </c>
      <c r="M473" s="321">
        <v>0</v>
      </c>
      <c r="N473" s="321">
        <v>0</v>
      </c>
      <c r="O473" s="321">
        <v>0</v>
      </c>
      <c r="P473" s="321">
        <v>0</v>
      </c>
      <c r="Q473" s="321">
        <v>0</v>
      </c>
      <c r="R473" s="321">
        <v>0</v>
      </c>
      <c r="S473" s="321">
        <v>0</v>
      </c>
      <c r="T473" s="321">
        <v>0</v>
      </c>
      <c r="U473" s="322">
        <v>0</v>
      </c>
      <c r="V473" s="323">
        <v>0</v>
      </c>
      <c r="W473" s="303"/>
      <c r="X473" s="324">
        <v>0</v>
      </c>
      <c r="Y473" s="325">
        <v>0</v>
      </c>
    </row>
    <row r="474" spans="1:25" x14ac:dyDescent="0.3">
      <c r="E474" s="250" t="s">
        <v>1412</v>
      </c>
      <c r="F474" s="317">
        <v>4302603</v>
      </c>
      <c r="G474" s="318"/>
      <c r="H474" s="319"/>
      <c r="I474" s="320"/>
      <c r="J474" s="337">
        <v>0</v>
      </c>
      <c r="K474" s="321">
        <v>0</v>
      </c>
      <c r="L474" s="321">
        <v>0</v>
      </c>
      <c r="M474" s="321">
        <v>0</v>
      </c>
      <c r="N474" s="321">
        <v>0</v>
      </c>
      <c r="O474" s="321">
        <v>0</v>
      </c>
      <c r="P474" s="321">
        <v>0</v>
      </c>
      <c r="Q474" s="321">
        <v>0</v>
      </c>
      <c r="R474" s="321">
        <v>0</v>
      </c>
      <c r="S474" s="321">
        <v>0</v>
      </c>
      <c r="T474" s="321">
        <v>0</v>
      </c>
      <c r="U474" s="322">
        <v>0</v>
      </c>
      <c r="V474" s="323">
        <v>0</v>
      </c>
      <c r="W474" s="303"/>
      <c r="X474" s="324">
        <v>0</v>
      </c>
      <c r="Y474" s="325">
        <v>0</v>
      </c>
    </row>
    <row r="475" spans="1:25" x14ac:dyDescent="0.3">
      <c r="E475" s="250" t="s">
        <v>1413</v>
      </c>
      <c r="F475" s="317">
        <v>4302604</v>
      </c>
      <c r="G475" s="318"/>
      <c r="H475" s="319">
        <v>5101270105</v>
      </c>
      <c r="I475" s="320"/>
      <c r="J475" s="337">
        <v>0</v>
      </c>
      <c r="K475" s="321">
        <v>0</v>
      </c>
      <c r="L475" s="321">
        <v>0</v>
      </c>
      <c r="M475" s="321">
        <v>0</v>
      </c>
      <c r="N475" s="321">
        <v>0</v>
      </c>
      <c r="O475" s="321">
        <v>0</v>
      </c>
      <c r="P475" s="321">
        <v>0</v>
      </c>
      <c r="Q475" s="321">
        <v>0</v>
      </c>
      <c r="R475" s="321">
        <v>0</v>
      </c>
      <c r="S475" s="321">
        <v>0</v>
      </c>
      <c r="T475" s="321">
        <v>0</v>
      </c>
      <c r="U475" s="322">
        <v>0</v>
      </c>
      <c r="V475" s="323">
        <v>0</v>
      </c>
      <c r="W475" s="303"/>
      <c r="X475" s="324">
        <v>0</v>
      </c>
      <c r="Y475" s="325">
        <v>0</v>
      </c>
    </row>
    <row r="476" spans="1:25" x14ac:dyDescent="0.3">
      <c r="E476" s="250" t="s">
        <v>1414</v>
      </c>
      <c r="F476" s="317">
        <v>4302605</v>
      </c>
      <c r="G476" s="318"/>
      <c r="H476" s="319"/>
      <c r="I476" s="320"/>
      <c r="J476" s="337">
        <v>0</v>
      </c>
      <c r="K476" s="321">
        <v>0</v>
      </c>
      <c r="L476" s="321">
        <v>0</v>
      </c>
      <c r="M476" s="321">
        <v>0</v>
      </c>
      <c r="N476" s="321">
        <v>0</v>
      </c>
      <c r="O476" s="321">
        <v>0</v>
      </c>
      <c r="P476" s="321">
        <v>0</v>
      </c>
      <c r="Q476" s="321">
        <v>0</v>
      </c>
      <c r="R476" s="321">
        <v>0</v>
      </c>
      <c r="S476" s="321">
        <v>0</v>
      </c>
      <c r="T476" s="321">
        <v>0</v>
      </c>
      <c r="U476" s="322">
        <v>0</v>
      </c>
      <c r="V476" s="323">
        <v>0</v>
      </c>
      <c r="W476" s="303"/>
      <c r="X476" s="324">
        <v>0</v>
      </c>
      <c r="Y476" s="325">
        <v>0</v>
      </c>
    </row>
    <row r="477" spans="1:25" x14ac:dyDescent="0.3">
      <c r="E477" s="250" t="s">
        <v>1415</v>
      </c>
      <c r="F477" s="317">
        <v>4302607</v>
      </c>
      <c r="G477" s="318"/>
      <c r="H477" s="319"/>
      <c r="I477" s="320"/>
      <c r="J477" s="337">
        <v>0</v>
      </c>
      <c r="K477" s="321">
        <v>0</v>
      </c>
      <c r="L477" s="321">
        <v>0</v>
      </c>
      <c r="M477" s="321">
        <v>0</v>
      </c>
      <c r="N477" s="321">
        <v>0</v>
      </c>
      <c r="O477" s="321">
        <v>0</v>
      </c>
      <c r="P477" s="321">
        <v>0</v>
      </c>
      <c r="Q477" s="321">
        <v>0</v>
      </c>
      <c r="R477" s="321">
        <v>0</v>
      </c>
      <c r="S477" s="321">
        <v>0</v>
      </c>
      <c r="T477" s="321">
        <v>0</v>
      </c>
      <c r="U477" s="322">
        <v>0</v>
      </c>
      <c r="V477" s="323">
        <v>0</v>
      </c>
      <c r="W477" s="303"/>
      <c r="X477" s="324">
        <v>0</v>
      </c>
      <c r="Y477" s="325">
        <v>0</v>
      </c>
    </row>
    <row r="478" spans="1:25" x14ac:dyDescent="0.3">
      <c r="E478" s="250" t="s">
        <v>1416</v>
      </c>
      <c r="F478" s="317">
        <v>4302611</v>
      </c>
      <c r="G478" s="318"/>
      <c r="H478" s="319"/>
      <c r="I478" s="320"/>
      <c r="J478" s="337">
        <v>0</v>
      </c>
      <c r="K478" s="321">
        <v>0</v>
      </c>
      <c r="L478" s="321">
        <v>0</v>
      </c>
      <c r="M478" s="321">
        <v>0</v>
      </c>
      <c r="N478" s="321">
        <v>0</v>
      </c>
      <c r="O478" s="321">
        <v>0</v>
      </c>
      <c r="P478" s="321">
        <v>0</v>
      </c>
      <c r="Q478" s="321">
        <v>0</v>
      </c>
      <c r="R478" s="321">
        <v>0</v>
      </c>
      <c r="S478" s="321">
        <v>0</v>
      </c>
      <c r="T478" s="321">
        <v>0</v>
      </c>
      <c r="U478" s="322">
        <v>0</v>
      </c>
      <c r="V478" s="323">
        <v>0</v>
      </c>
      <c r="W478" s="303"/>
      <c r="X478" s="324">
        <v>0</v>
      </c>
      <c r="Y478" s="325">
        <v>0</v>
      </c>
    </row>
    <row r="479" spans="1:25" x14ac:dyDescent="0.3">
      <c r="E479" s="250" t="s">
        <v>1417</v>
      </c>
      <c r="F479" s="317">
        <v>4302612</v>
      </c>
      <c r="G479" s="318"/>
      <c r="H479" s="319"/>
      <c r="I479" s="320"/>
      <c r="J479" s="337">
        <v>0</v>
      </c>
      <c r="K479" s="321">
        <v>0</v>
      </c>
      <c r="L479" s="321">
        <v>0</v>
      </c>
      <c r="M479" s="321">
        <v>0</v>
      </c>
      <c r="N479" s="321">
        <v>0</v>
      </c>
      <c r="O479" s="321">
        <v>0</v>
      </c>
      <c r="P479" s="321">
        <v>0</v>
      </c>
      <c r="Q479" s="321">
        <v>0</v>
      </c>
      <c r="R479" s="321">
        <v>0</v>
      </c>
      <c r="S479" s="321">
        <v>0</v>
      </c>
      <c r="T479" s="321">
        <v>0</v>
      </c>
      <c r="U479" s="322">
        <v>0</v>
      </c>
      <c r="V479" s="323">
        <v>0</v>
      </c>
      <c r="W479" s="303"/>
      <c r="X479" s="324">
        <v>0</v>
      </c>
      <c r="Y479" s="325">
        <v>0</v>
      </c>
    </row>
    <row r="480" spans="1:25" x14ac:dyDescent="0.3">
      <c r="E480" s="250" t="s">
        <v>1418</v>
      </c>
      <c r="F480" s="317">
        <v>4302699</v>
      </c>
      <c r="G480" s="318"/>
      <c r="H480" s="319">
        <v>5101270199</v>
      </c>
      <c r="I480" s="320"/>
      <c r="J480" s="337">
        <v>0</v>
      </c>
      <c r="K480" s="321">
        <v>0</v>
      </c>
      <c r="L480" s="321">
        <v>0</v>
      </c>
      <c r="M480" s="321">
        <v>0</v>
      </c>
      <c r="N480" s="321">
        <v>0</v>
      </c>
      <c r="O480" s="321">
        <v>0</v>
      </c>
      <c r="P480" s="321">
        <v>0</v>
      </c>
      <c r="Q480" s="321">
        <v>0</v>
      </c>
      <c r="R480" s="321">
        <v>0</v>
      </c>
      <c r="S480" s="321">
        <v>0</v>
      </c>
      <c r="T480" s="321">
        <v>0</v>
      </c>
      <c r="U480" s="322">
        <v>0</v>
      </c>
      <c r="V480" s="323">
        <v>0</v>
      </c>
      <c r="W480" s="303"/>
      <c r="X480" s="324">
        <v>0</v>
      </c>
      <c r="Y480" s="325">
        <v>0</v>
      </c>
    </row>
    <row r="481" spans="1:25" x14ac:dyDescent="0.3">
      <c r="A481" s="361"/>
      <c r="B481" s="361"/>
      <c r="C481" s="361"/>
      <c r="D481" s="361"/>
      <c r="E481" s="350" t="s">
        <v>1419</v>
      </c>
      <c r="F481" s="306">
        <v>4302613</v>
      </c>
      <c r="G481" s="307"/>
      <c r="H481" s="308"/>
      <c r="I481" s="309"/>
      <c r="J481" s="310">
        <v>0</v>
      </c>
      <c r="K481" s="311">
        <v>0</v>
      </c>
      <c r="L481" s="311">
        <v>0</v>
      </c>
      <c r="M481" s="311">
        <v>0</v>
      </c>
      <c r="N481" s="311">
        <v>0</v>
      </c>
      <c r="O481" s="311">
        <v>0</v>
      </c>
      <c r="P481" s="311">
        <v>0</v>
      </c>
      <c r="Q481" s="311">
        <v>0</v>
      </c>
      <c r="R481" s="311">
        <v>0</v>
      </c>
      <c r="S481" s="311">
        <v>0</v>
      </c>
      <c r="T481" s="311">
        <v>0</v>
      </c>
      <c r="U481" s="312">
        <v>0</v>
      </c>
      <c r="V481" s="313">
        <v>0</v>
      </c>
      <c r="W481" s="314"/>
      <c r="X481" s="315">
        <v>0</v>
      </c>
      <c r="Y481" s="316">
        <v>0</v>
      </c>
    </row>
    <row r="482" spans="1:25" x14ac:dyDescent="0.3">
      <c r="A482" s="361"/>
      <c r="B482" s="361"/>
      <c r="C482" s="361"/>
      <c r="D482" s="361"/>
      <c r="E482" s="326" t="s">
        <v>1420</v>
      </c>
      <c r="F482" s="351"/>
      <c r="G482" s="352"/>
      <c r="H482" s="353"/>
      <c r="I482" s="354"/>
      <c r="J482" s="362">
        <v>0</v>
      </c>
      <c r="K482" s="355">
        <v>0</v>
      </c>
      <c r="L482" s="355">
        <v>0</v>
      </c>
      <c r="M482" s="355">
        <v>0</v>
      </c>
      <c r="N482" s="355">
        <v>0</v>
      </c>
      <c r="O482" s="355">
        <v>0</v>
      </c>
      <c r="P482" s="355">
        <v>0</v>
      </c>
      <c r="Q482" s="355">
        <v>0</v>
      </c>
      <c r="R482" s="355">
        <v>0</v>
      </c>
      <c r="S482" s="355">
        <v>0</v>
      </c>
      <c r="T482" s="355">
        <v>0</v>
      </c>
      <c r="U482" s="356">
        <v>0</v>
      </c>
      <c r="V482" s="357">
        <v>0</v>
      </c>
      <c r="W482" s="358"/>
      <c r="X482" s="359">
        <v>0</v>
      </c>
      <c r="Y482" s="360">
        <v>0</v>
      </c>
    </row>
    <row r="483" spans="1:25" x14ac:dyDescent="0.3">
      <c r="A483" s="361"/>
      <c r="B483" s="361"/>
      <c r="C483" s="361"/>
      <c r="D483" s="361"/>
      <c r="E483" s="326" t="s">
        <v>1421</v>
      </c>
      <c r="F483" s="351"/>
      <c r="G483" s="352"/>
      <c r="H483" s="353"/>
      <c r="I483" s="354"/>
      <c r="J483" s="362">
        <v>0</v>
      </c>
      <c r="K483" s="355">
        <v>0</v>
      </c>
      <c r="L483" s="355">
        <v>0</v>
      </c>
      <c r="M483" s="355">
        <v>0</v>
      </c>
      <c r="N483" s="355">
        <v>0</v>
      </c>
      <c r="O483" s="355">
        <v>0</v>
      </c>
      <c r="P483" s="355">
        <v>0</v>
      </c>
      <c r="Q483" s="355">
        <v>0</v>
      </c>
      <c r="R483" s="355">
        <v>0</v>
      </c>
      <c r="S483" s="355">
        <v>0</v>
      </c>
      <c r="T483" s="355">
        <v>0</v>
      </c>
      <c r="U483" s="356">
        <v>0</v>
      </c>
      <c r="V483" s="357">
        <v>0</v>
      </c>
      <c r="W483" s="358"/>
      <c r="X483" s="359">
        <v>0</v>
      </c>
      <c r="Y483" s="360">
        <v>0</v>
      </c>
    </row>
    <row r="484" spans="1:25" x14ac:dyDescent="0.3">
      <c r="A484" s="233"/>
      <c r="B484" s="234" t="s">
        <v>16</v>
      </c>
      <c r="D484" s="293" t="s">
        <v>1422</v>
      </c>
      <c r="E484" s="294"/>
      <c r="F484" s="295" t="s">
        <v>1423</v>
      </c>
      <c r="G484" s="296"/>
      <c r="H484" s="297"/>
      <c r="I484" s="298"/>
      <c r="J484" s="299">
        <v>0</v>
      </c>
      <c r="K484" s="300">
        <v>0</v>
      </c>
      <c r="L484" s="300">
        <v>0</v>
      </c>
      <c r="M484" s="300">
        <v>0</v>
      </c>
      <c r="N484" s="300">
        <v>0</v>
      </c>
      <c r="O484" s="300">
        <v>0</v>
      </c>
      <c r="P484" s="300">
        <v>0</v>
      </c>
      <c r="Q484" s="300">
        <v>0</v>
      </c>
      <c r="R484" s="300">
        <v>0</v>
      </c>
      <c r="S484" s="300">
        <v>0</v>
      </c>
      <c r="T484" s="300">
        <v>0</v>
      </c>
      <c r="U484" s="301">
        <v>801.42</v>
      </c>
      <c r="V484" s="302">
        <v>801.42</v>
      </c>
      <c r="W484" s="303"/>
      <c r="X484" s="304">
        <v>801.42</v>
      </c>
      <c r="Y484" s="305">
        <v>801.42</v>
      </c>
    </row>
    <row r="485" spans="1:25" x14ac:dyDescent="0.3">
      <c r="E485" s="250" t="s">
        <v>1424</v>
      </c>
      <c r="F485" s="317">
        <v>4300801</v>
      </c>
      <c r="G485" s="318"/>
      <c r="H485" s="319">
        <v>5101290101</v>
      </c>
      <c r="I485" s="320"/>
      <c r="J485" s="337">
        <v>0</v>
      </c>
      <c r="K485" s="321">
        <v>0</v>
      </c>
      <c r="L485" s="321">
        <v>0</v>
      </c>
      <c r="M485" s="321">
        <v>0</v>
      </c>
      <c r="N485" s="321">
        <v>0</v>
      </c>
      <c r="O485" s="321">
        <v>0</v>
      </c>
      <c r="P485" s="321">
        <v>0</v>
      </c>
      <c r="Q485" s="321">
        <v>0</v>
      </c>
      <c r="R485" s="321">
        <v>0</v>
      </c>
      <c r="S485" s="321">
        <v>0</v>
      </c>
      <c r="T485" s="321">
        <v>0</v>
      </c>
      <c r="U485" s="322">
        <v>0</v>
      </c>
      <c r="V485" s="323">
        <v>0</v>
      </c>
      <c r="W485" s="303"/>
      <c r="X485" s="324">
        <v>0</v>
      </c>
      <c r="Y485" s="325">
        <v>0</v>
      </c>
    </row>
    <row r="486" spans="1:25" x14ac:dyDescent="0.3">
      <c r="E486" s="250" t="s">
        <v>1425</v>
      </c>
      <c r="F486" s="317">
        <v>4300802</v>
      </c>
      <c r="G486" s="318"/>
      <c r="H486" s="319">
        <v>5101290103</v>
      </c>
      <c r="I486" s="320"/>
      <c r="J486" s="337">
        <v>0</v>
      </c>
      <c r="K486" s="321">
        <v>0</v>
      </c>
      <c r="L486" s="321">
        <v>0</v>
      </c>
      <c r="M486" s="321">
        <v>0</v>
      </c>
      <c r="N486" s="321">
        <v>0</v>
      </c>
      <c r="O486" s="321">
        <v>0</v>
      </c>
      <c r="P486" s="321">
        <v>0</v>
      </c>
      <c r="Q486" s="321">
        <v>0</v>
      </c>
      <c r="R486" s="321">
        <v>0</v>
      </c>
      <c r="S486" s="321">
        <v>0</v>
      </c>
      <c r="T486" s="321">
        <v>0</v>
      </c>
      <c r="U486" s="322">
        <v>0</v>
      </c>
      <c r="V486" s="323">
        <v>0</v>
      </c>
      <c r="W486" s="303"/>
      <c r="X486" s="324">
        <v>0</v>
      </c>
      <c r="Y486" s="325">
        <v>0</v>
      </c>
    </row>
    <row r="487" spans="1:25" x14ac:dyDescent="0.3">
      <c r="E487" s="250" t="s">
        <v>1426</v>
      </c>
      <c r="F487" s="317">
        <v>4300803</v>
      </c>
      <c r="G487" s="318"/>
      <c r="H487" s="319"/>
      <c r="I487" s="320"/>
      <c r="J487" s="337">
        <v>0</v>
      </c>
      <c r="K487" s="321">
        <v>0</v>
      </c>
      <c r="L487" s="321">
        <v>0</v>
      </c>
      <c r="M487" s="321">
        <v>0</v>
      </c>
      <c r="N487" s="321">
        <v>0</v>
      </c>
      <c r="O487" s="321">
        <v>0</v>
      </c>
      <c r="P487" s="321">
        <v>0</v>
      </c>
      <c r="Q487" s="321">
        <v>0</v>
      </c>
      <c r="R487" s="321">
        <v>0</v>
      </c>
      <c r="S487" s="321">
        <v>0</v>
      </c>
      <c r="T487" s="321">
        <v>0</v>
      </c>
      <c r="U487" s="322">
        <v>0</v>
      </c>
      <c r="V487" s="323">
        <v>0</v>
      </c>
      <c r="W487" s="303"/>
      <c r="X487" s="324">
        <v>0</v>
      </c>
      <c r="Y487" s="325">
        <v>0</v>
      </c>
    </row>
    <row r="488" spans="1:25" x14ac:dyDescent="0.3">
      <c r="E488" s="250" t="s">
        <v>1427</v>
      </c>
      <c r="F488" s="317">
        <v>4300805</v>
      </c>
      <c r="G488" s="318"/>
      <c r="H488" s="319"/>
      <c r="I488" s="320"/>
      <c r="J488" s="337">
        <v>0</v>
      </c>
      <c r="K488" s="321">
        <v>0</v>
      </c>
      <c r="L488" s="321">
        <v>0</v>
      </c>
      <c r="M488" s="321">
        <v>0</v>
      </c>
      <c r="N488" s="321">
        <v>0</v>
      </c>
      <c r="O488" s="321">
        <v>0</v>
      </c>
      <c r="P488" s="321">
        <v>0</v>
      </c>
      <c r="Q488" s="321">
        <v>0</v>
      </c>
      <c r="R488" s="321">
        <v>0</v>
      </c>
      <c r="S488" s="321">
        <v>0</v>
      </c>
      <c r="T488" s="321">
        <v>0</v>
      </c>
      <c r="U488" s="322">
        <v>0</v>
      </c>
      <c r="V488" s="323">
        <v>0</v>
      </c>
      <c r="W488" s="303"/>
      <c r="X488" s="324">
        <v>0</v>
      </c>
      <c r="Y488" s="325">
        <v>0</v>
      </c>
    </row>
    <row r="489" spans="1:25" x14ac:dyDescent="0.3">
      <c r="E489" s="250" t="s">
        <v>1428</v>
      </c>
      <c r="F489" s="317">
        <v>4300899</v>
      </c>
      <c r="G489" s="318"/>
      <c r="H489" s="319">
        <v>5101290199</v>
      </c>
      <c r="I489" s="320"/>
      <c r="J489" s="337">
        <v>0</v>
      </c>
      <c r="K489" s="321">
        <v>0</v>
      </c>
      <c r="L489" s="321">
        <v>0</v>
      </c>
      <c r="M489" s="321">
        <v>0</v>
      </c>
      <c r="N489" s="321">
        <v>0</v>
      </c>
      <c r="O489" s="321">
        <v>0</v>
      </c>
      <c r="P489" s="321">
        <v>0</v>
      </c>
      <c r="Q489" s="321">
        <v>0</v>
      </c>
      <c r="R489" s="321">
        <v>0</v>
      </c>
      <c r="S489" s="321">
        <v>0</v>
      </c>
      <c r="T489" s="321">
        <v>0</v>
      </c>
      <c r="U489" s="322">
        <v>801.42</v>
      </c>
      <c r="V489" s="323">
        <v>801.42</v>
      </c>
      <c r="W489" s="303"/>
      <c r="X489" s="324">
        <v>801.42</v>
      </c>
      <c r="Y489" s="325">
        <v>801.42</v>
      </c>
    </row>
    <row r="490" spans="1:25" x14ac:dyDescent="0.3">
      <c r="A490" s="326"/>
      <c r="B490" s="326"/>
      <c r="C490" s="326"/>
      <c r="D490" s="326"/>
      <c r="E490" s="326" t="s">
        <v>1429</v>
      </c>
      <c r="F490" s="336"/>
      <c r="G490" s="327"/>
      <c r="H490" s="328"/>
      <c r="I490" s="329"/>
      <c r="J490" s="338">
        <v>0</v>
      </c>
      <c r="K490" s="330">
        <v>0</v>
      </c>
      <c r="L490" s="330">
        <v>0</v>
      </c>
      <c r="M490" s="330">
        <v>0</v>
      </c>
      <c r="N490" s="330">
        <v>0</v>
      </c>
      <c r="O490" s="330">
        <v>0</v>
      </c>
      <c r="P490" s="330">
        <v>0</v>
      </c>
      <c r="Q490" s="330">
        <v>0</v>
      </c>
      <c r="R490" s="330">
        <v>0</v>
      </c>
      <c r="S490" s="330">
        <v>0</v>
      </c>
      <c r="T490" s="330">
        <v>0</v>
      </c>
      <c r="U490" s="331">
        <v>0</v>
      </c>
      <c r="V490" s="332">
        <v>0</v>
      </c>
      <c r="W490" s="333"/>
      <c r="X490" s="334">
        <v>0</v>
      </c>
      <c r="Y490" s="335">
        <v>0</v>
      </c>
    </row>
    <row r="491" spans="1:25" x14ac:dyDescent="0.3">
      <c r="A491" s="326"/>
      <c r="B491" s="326"/>
      <c r="C491" s="326"/>
      <c r="D491" s="326"/>
      <c r="E491" s="326" t="s">
        <v>1430</v>
      </c>
      <c r="F491" s="336"/>
      <c r="G491" s="327"/>
      <c r="H491" s="328"/>
      <c r="I491" s="329"/>
      <c r="J491" s="338">
        <v>0</v>
      </c>
      <c r="K491" s="330">
        <v>0</v>
      </c>
      <c r="L491" s="330">
        <v>0</v>
      </c>
      <c r="M491" s="330">
        <v>0</v>
      </c>
      <c r="N491" s="330">
        <v>0</v>
      </c>
      <c r="O491" s="330">
        <v>0</v>
      </c>
      <c r="P491" s="330">
        <v>0</v>
      </c>
      <c r="Q491" s="330">
        <v>0</v>
      </c>
      <c r="R491" s="330">
        <v>0</v>
      </c>
      <c r="S491" s="330">
        <v>0</v>
      </c>
      <c r="T491" s="330">
        <v>0</v>
      </c>
      <c r="U491" s="331">
        <v>0</v>
      </c>
      <c r="V491" s="332">
        <v>0</v>
      </c>
      <c r="W491" s="333"/>
      <c r="X491" s="334">
        <v>0</v>
      </c>
      <c r="Y491" s="335">
        <v>0</v>
      </c>
    </row>
    <row r="492" spans="1:25" x14ac:dyDescent="0.3">
      <c r="A492" s="326"/>
      <c r="B492" s="326"/>
      <c r="C492" s="326"/>
      <c r="D492" s="326"/>
      <c r="E492" s="326" t="s">
        <v>1431</v>
      </c>
      <c r="F492" s="336"/>
      <c r="G492" s="327"/>
      <c r="H492" s="328"/>
      <c r="I492" s="329"/>
      <c r="J492" s="338">
        <v>0</v>
      </c>
      <c r="K492" s="330">
        <v>0</v>
      </c>
      <c r="L492" s="330">
        <v>0</v>
      </c>
      <c r="M492" s="330">
        <v>0</v>
      </c>
      <c r="N492" s="330">
        <v>0</v>
      </c>
      <c r="O492" s="330">
        <v>0</v>
      </c>
      <c r="P492" s="330">
        <v>0</v>
      </c>
      <c r="Q492" s="330">
        <v>0</v>
      </c>
      <c r="R492" s="330">
        <v>0</v>
      </c>
      <c r="S492" s="330">
        <v>0</v>
      </c>
      <c r="T492" s="330">
        <v>0</v>
      </c>
      <c r="U492" s="331">
        <v>0</v>
      </c>
      <c r="V492" s="332">
        <v>0</v>
      </c>
      <c r="W492" s="333"/>
      <c r="X492" s="334">
        <v>0</v>
      </c>
      <c r="Y492" s="335">
        <v>0</v>
      </c>
    </row>
    <row r="493" spans="1:25" x14ac:dyDescent="0.3">
      <c r="A493" s="233"/>
      <c r="B493" s="234" t="s">
        <v>24</v>
      </c>
      <c r="D493" s="293" t="s">
        <v>1432</v>
      </c>
      <c r="E493" s="294"/>
      <c r="F493" s="295" t="s">
        <v>1433</v>
      </c>
      <c r="G493" s="296"/>
      <c r="H493" s="297"/>
      <c r="I493" s="298"/>
      <c r="J493" s="299">
        <v>13057.53</v>
      </c>
      <c r="K493" s="300">
        <v>15311.64</v>
      </c>
      <c r="L493" s="300">
        <v>131678.01800000001</v>
      </c>
      <c r="M493" s="300">
        <v>12958.95</v>
      </c>
      <c r="N493" s="300">
        <v>20000</v>
      </c>
      <c r="O493" s="300">
        <v>1379.5119999999999</v>
      </c>
      <c r="P493" s="300">
        <v>20000</v>
      </c>
      <c r="Q493" s="300">
        <v>40000</v>
      </c>
      <c r="R493" s="300">
        <v>-83182.119000000006</v>
      </c>
      <c r="S493" s="300">
        <v>312.39999999999998</v>
      </c>
      <c r="T493" s="300">
        <v>0</v>
      </c>
      <c r="U493" s="301">
        <v>-153225.08100000001</v>
      </c>
      <c r="V493" s="302">
        <v>18290.849999999984</v>
      </c>
      <c r="W493" s="303"/>
      <c r="X493" s="304">
        <v>-153225.08100000001</v>
      </c>
      <c r="Y493" s="305">
        <v>18290.849999999984</v>
      </c>
    </row>
    <row r="494" spans="1:25" x14ac:dyDescent="0.3">
      <c r="E494" s="250" t="s">
        <v>1434</v>
      </c>
      <c r="F494" s="317">
        <v>4302902</v>
      </c>
      <c r="G494" s="318"/>
      <c r="H494" s="319">
        <v>5101310105</v>
      </c>
      <c r="I494" s="320"/>
      <c r="J494" s="337">
        <v>0</v>
      </c>
      <c r="K494" s="321">
        <v>0</v>
      </c>
      <c r="L494" s="321">
        <v>0</v>
      </c>
      <c r="M494" s="321">
        <v>0</v>
      </c>
      <c r="N494" s="321">
        <v>0</v>
      </c>
      <c r="O494" s="321">
        <v>0</v>
      </c>
      <c r="P494" s="321">
        <v>0</v>
      </c>
      <c r="Q494" s="321">
        <v>0</v>
      </c>
      <c r="R494" s="321">
        <v>0</v>
      </c>
      <c r="S494" s="321">
        <v>0</v>
      </c>
      <c r="T494" s="321">
        <v>0</v>
      </c>
      <c r="U494" s="322">
        <v>0</v>
      </c>
      <c r="V494" s="323">
        <v>0</v>
      </c>
      <c r="W494" s="303"/>
      <c r="X494" s="324">
        <v>0</v>
      </c>
      <c r="Y494" s="325">
        <v>0</v>
      </c>
    </row>
    <row r="495" spans="1:25" x14ac:dyDescent="0.3">
      <c r="E495" s="250" t="s">
        <v>1435</v>
      </c>
      <c r="F495" s="317">
        <v>4302903</v>
      </c>
      <c r="G495" s="318"/>
      <c r="H495" s="319">
        <v>5101310103</v>
      </c>
      <c r="I495" s="320"/>
      <c r="J495" s="337">
        <v>3057.53</v>
      </c>
      <c r="K495" s="321">
        <v>2761.64</v>
      </c>
      <c r="L495" s="321">
        <v>3057.53</v>
      </c>
      <c r="M495" s="321">
        <v>2958.95</v>
      </c>
      <c r="N495" s="321">
        <v>0</v>
      </c>
      <c r="O495" s="321">
        <v>0</v>
      </c>
      <c r="P495" s="321">
        <v>0</v>
      </c>
      <c r="Q495" s="321">
        <v>0</v>
      </c>
      <c r="R495" s="321">
        <v>0</v>
      </c>
      <c r="S495" s="321">
        <v>0</v>
      </c>
      <c r="T495" s="321">
        <v>0</v>
      </c>
      <c r="U495" s="322">
        <v>0</v>
      </c>
      <c r="V495" s="323">
        <v>11835.650000000001</v>
      </c>
      <c r="W495" s="303"/>
      <c r="X495" s="324">
        <v>0</v>
      </c>
      <c r="Y495" s="325">
        <v>11835.650000000001</v>
      </c>
    </row>
    <row r="496" spans="1:25" x14ac:dyDescent="0.3">
      <c r="E496" s="250" t="s">
        <v>1436</v>
      </c>
      <c r="F496" s="317">
        <v>4302904</v>
      </c>
      <c r="G496" s="318"/>
      <c r="H496" s="319"/>
      <c r="I496" s="320"/>
      <c r="J496" s="337">
        <v>0</v>
      </c>
      <c r="K496" s="321">
        <v>0</v>
      </c>
      <c r="L496" s="321">
        <v>0</v>
      </c>
      <c r="M496" s="321">
        <v>0</v>
      </c>
      <c r="N496" s="321">
        <v>0</v>
      </c>
      <c r="O496" s="321">
        <v>0</v>
      </c>
      <c r="P496" s="321">
        <v>0</v>
      </c>
      <c r="Q496" s="321">
        <v>0</v>
      </c>
      <c r="R496" s="321">
        <v>0</v>
      </c>
      <c r="S496" s="321">
        <v>0</v>
      </c>
      <c r="T496" s="321">
        <v>0</v>
      </c>
      <c r="U496" s="322">
        <v>0</v>
      </c>
      <c r="V496" s="323">
        <v>0</v>
      </c>
      <c r="W496" s="303"/>
      <c r="X496" s="324">
        <v>0</v>
      </c>
      <c r="Y496" s="325">
        <v>0</v>
      </c>
    </row>
    <row r="497" spans="1:25" x14ac:dyDescent="0.3">
      <c r="E497" s="250" t="s">
        <v>1437</v>
      </c>
      <c r="F497" s="317">
        <v>4302906</v>
      </c>
      <c r="G497" s="318"/>
      <c r="H497" s="319">
        <v>5101310101</v>
      </c>
      <c r="I497" s="320"/>
      <c r="J497" s="337">
        <v>0</v>
      </c>
      <c r="K497" s="321">
        <v>0</v>
      </c>
      <c r="L497" s="321">
        <v>0</v>
      </c>
      <c r="M497" s="321">
        <v>0</v>
      </c>
      <c r="N497" s="321">
        <v>0</v>
      </c>
      <c r="O497" s="321">
        <v>0</v>
      </c>
      <c r="P497" s="321">
        <v>0</v>
      </c>
      <c r="Q497" s="321">
        <v>0</v>
      </c>
      <c r="R497" s="321">
        <v>0</v>
      </c>
      <c r="S497" s="321">
        <v>0</v>
      </c>
      <c r="T497" s="321">
        <v>0</v>
      </c>
      <c r="U497" s="322">
        <v>0</v>
      </c>
      <c r="V497" s="323">
        <v>0</v>
      </c>
      <c r="W497" s="303"/>
      <c r="X497" s="324">
        <v>0</v>
      </c>
      <c r="Y497" s="325">
        <v>0</v>
      </c>
    </row>
    <row r="498" spans="1:25" x14ac:dyDescent="0.3">
      <c r="E498" s="250" t="s">
        <v>1438</v>
      </c>
      <c r="F498" s="317">
        <v>4302907</v>
      </c>
      <c r="G498" s="318"/>
      <c r="H498" s="319"/>
      <c r="I498" s="320"/>
      <c r="J498" s="337">
        <v>0</v>
      </c>
      <c r="K498" s="321">
        <v>0</v>
      </c>
      <c r="L498" s="321">
        <v>0</v>
      </c>
      <c r="M498" s="321">
        <v>0</v>
      </c>
      <c r="N498" s="321">
        <v>0</v>
      </c>
      <c r="O498" s="321">
        <v>0</v>
      </c>
      <c r="P498" s="321">
        <v>0</v>
      </c>
      <c r="Q498" s="321">
        <v>0</v>
      </c>
      <c r="R498" s="321">
        <v>0</v>
      </c>
      <c r="S498" s="321">
        <v>0</v>
      </c>
      <c r="T498" s="321">
        <v>0</v>
      </c>
      <c r="U498" s="322">
        <v>0</v>
      </c>
      <c r="V498" s="323">
        <v>0</v>
      </c>
      <c r="W498" s="303"/>
      <c r="X498" s="324">
        <v>0</v>
      </c>
      <c r="Y498" s="325">
        <v>0</v>
      </c>
    </row>
    <row r="499" spans="1:25" x14ac:dyDescent="0.3">
      <c r="E499" s="250" t="s">
        <v>1439</v>
      </c>
      <c r="F499" s="317">
        <v>4302908</v>
      </c>
      <c r="G499" s="318"/>
      <c r="H499" s="319">
        <v>5101310199</v>
      </c>
      <c r="I499" s="320"/>
      <c r="J499" s="337">
        <v>0</v>
      </c>
      <c r="K499" s="321">
        <v>0</v>
      </c>
      <c r="L499" s="321">
        <v>0</v>
      </c>
      <c r="M499" s="321">
        <v>0</v>
      </c>
      <c r="N499" s="321">
        <v>0</v>
      </c>
      <c r="O499" s="321">
        <v>0</v>
      </c>
      <c r="P499" s="321">
        <v>0</v>
      </c>
      <c r="Q499" s="321">
        <v>0</v>
      </c>
      <c r="R499" s="321">
        <v>0</v>
      </c>
      <c r="S499" s="321">
        <v>0</v>
      </c>
      <c r="T499" s="321">
        <v>0</v>
      </c>
      <c r="U499" s="322">
        <v>0</v>
      </c>
      <c r="V499" s="323">
        <v>0</v>
      </c>
      <c r="W499" s="303"/>
      <c r="X499" s="324">
        <v>0</v>
      </c>
      <c r="Y499" s="325">
        <v>0</v>
      </c>
    </row>
    <row r="500" spans="1:25" x14ac:dyDescent="0.3">
      <c r="A500" s="350"/>
      <c r="B500" s="350"/>
      <c r="C500" s="350"/>
      <c r="D500" s="350"/>
      <c r="E500" s="350" t="s">
        <v>1440</v>
      </c>
      <c r="F500" s="306">
        <v>4302999</v>
      </c>
      <c r="G500" s="307"/>
      <c r="H500" s="308"/>
      <c r="I500" s="309"/>
      <c r="J500" s="310">
        <v>10000</v>
      </c>
      <c r="K500" s="311">
        <v>12550</v>
      </c>
      <c r="L500" s="311">
        <v>128620.488</v>
      </c>
      <c r="M500" s="311">
        <v>10000</v>
      </c>
      <c r="N500" s="311">
        <v>20000</v>
      </c>
      <c r="O500" s="311">
        <v>1379.5119999999999</v>
      </c>
      <c r="P500" s="311">
        <v>20000</v>
      </c>
      <c r="Q500" s="311">
        <v>40000</v>
      </c>
      <c r="R500" s="311">
        <v>-83182.119000000006</v>
      </c>
      <c r="S500" s="311">
        <v>312.39999999999998</v>
      </c>
      <c r="T500" s="311">
        <v>0</v>
      </c>
      <c r="U500" s="312">
        <v>-153225.08100000001</v>
      </c>
      <c r="V500" s="313">
        <v>6455.1999999999825</v>
      </c>
      <c r="W500" s="314"/>
      <c r="X500" s="315">
        <v>-153225.08100000001</v>
      </c>
      <c r="Y500" s="316">
        <v>6455.1999999999825</v>
      </c>
    </row>
    <row r="501" spans="1:25" x14ac:dyDescent="0.3">
      <c r="A501" s="361"/>
      <c r="B501" s="361"/>
      <c r="C501" s="361"/>
      <c r="D501" s="361"/>
      <c r="E501" s="326" t="s">
        <v>1441</v>
      </c>
      <c r="F501" s="351"/>
      <c r="G501" s="352"/>
      <c r="H501" s="353"/>
      <c r="I501" s="354"/>
      <c r="J501" s="362">
        <v>0</v>
      </c>
      <c r="K501" s="355">
        <v>0</v>
      </c>
      <c r="L501" s="355">
        <v>0</v>
      </c>
      <c r="M501" s="355">
        <v>0</v>
      </c>
      <c r="N501" s="355">
        <v>0</v>
      </c>
      <c r="O501" s="355">
        <v>0</v>
      </c>
      <c r="P501" s="355">
        <v>0</v>
      </c>
      <c r="Q501" s="355">
        <v>0</v>
      </c>
      <c r="R501" s="355">
        <v>0</v>
      </c>
      <c r="S501" s="355">
        <v>0</v>
      </c>
      <c r="T501" s="355">
        <v>0</v>
      </c>
      <c r="U501" s="356">
        <v>0</v>
      </c>
      <c r="V501" s="357">
        <v>0</v>
      </c>
      <c r="W501" s="358"/>
      <c r="X501" s="359">
        <v>0</v>
      </c>
      <c r="Y501" s="360">
        <v>0</v>
      </c>
    </row>
    <row r="502" spans="1:25" x14ac:dyDescent="0.3">
      <c r="A502" s="361"/>
      <c r="B502" s="361"/>
      <c r="C502" s="361"/>
      <c r="D502" s="361"/>
      <c r="E502" s="326" t="s">
        <v>1442</v>
      </c>
      <c r="F502" s="351"/>
      <c r="G502" s="352"/>
      <c r="H502" s="353"/>
      <c r="I502" s="354"/>
      <c r="J502" s="362">
        <v>0</v>
      </c>
      <c r="K502" s="355">
        <v>0</v>
      </c>
      <c r="L502" s="355">
        <v>0</v>
      </c>
      <c r="M502" s="355">
        <v>0</v>
      </c>
      <c r="N502" s="355">
        <v>0</v>
      </c>
      <c r="O502" s="355">
        <v>0</v>
      </c>
      <c r="P502" s="355">
        <v>0</v>
      </c>
      <c r="Q502" s="355">
        <v>0</v>
      </c>
      <c r="R502" s="355">
        <v>0</v>
      </c>
      <c r="S502" s="355">
        <v>0</v>
      </c>
      <c r="T502" s="355">
        <v>0</v>
      </c>
      <c r="U502" s="356">
        <v>0</v>
      </c>
      <c r="V502" s="357">
        <v>0</v>
      </c>
      <c r="W502" s="358"/>
      <c r="X502" s="359">
        <v>0</v>
      </c>
      <c r="Y502" s="360">
        <v>0</v>
      </c>
    </row>
    <row r="503" spans="1:25" x14ac:dyDescent="0.3">
      <c r="A503" s="361"/>
      <c r="B503" s="361"/>
      <c r="C503" s="361"/>
      <c r="D503" s="361"/>
      <c r="E503" s="326" t="s">
        <v>1443</v>
      </c>
      <c r="F503" s="351"/>
      <c r="G503" s="352"/>
      <c r="H503" s="353"/>
      <c r="I503" s="354"/>
      <c r="J503" s="362">
        <v>0</v>
      </c>
      <c r="K503" s="355">
        <v>0</v>
      </c>
      <c r="L503" s="355">
        <v>0</v>
      </c>
      <c r="M503" s="355">
        <v>0</v>
      </c>
      <c r="N503" s="355">
        <v>0</v>
      </c>
      <c r="O503" s="355">
        <v>0</v>
      </c>
      <c r="P503" s="355">
        <v>0</v>
      </c>
      <c r="Q503" s="355">
        <v>0</v>
      </c>
      <c r="R503" s="355">
        <v>0</v>
      </c>
      <c r="S503" s="355">
        <v>0</v>
      </c>
      <c r="T503" s="355">
        <v>0</v>
      </c>
      <c r="U503" s="356">
        <v>0</v>
      </c>
      <c r="V503" s="357">
        <v>0</v>
      </c>
      <c r="W503" s="358"/>
      <c r="X503" s="359">
        <v>0</v>
      </c>
      <c r="Y503" s="360">
        <v>0</v>
      </c>
    </row>
    <row r="504" spans="1:25" x14ac:dyDescent="0.3">
      <c r="A504" s="233"/>
      <c r="B504" s="234" t="s">
        <v>25</v>
      </c>
      <c r="D504" s="293" t="s">
        <v>1444</v>
      </c>
      <c r="E504" s="294"/>
      <c r="F504" s="295" t="s">
        <v>1445</v>
      </c>
      <c r="G504" s="296"/>
      <c r="H504" s="297"/>
      <c r="I504" s="298"/>
      <c r="J504" s="299">
        <v>428298.56799999997</v>
      </c>
      <c r="K504" s="300">
        <v>341281.45</v>
      </c>
      <c r="L504" s="300">
        <v>446992.62900000002</v>
      </c>
      <c r="M504" s="300">
        <v>595029.05799999996</v>
      </c>
      <c r="N504" s="300">
        <v>658021.946</v>
      </c>
      <c r="O504" s="300">
        <v>231249.959</v>
      </c>
      <c r="P504" s="300">
        <v>887175.49900000007</v>
      </c>
      <c r="Q504" s="300">
        <v>912015.02400000021</v>
      </c>
      <c r="R504" s="300">
        <v>-4478836.0789999999</v>
      </c>
      <c r="S504" s="300">
        <v>202.03800000000001</v>
      </c>
      <c r="T504" s="300">
        <v>9942.3799999999992</v>
      </c>
      <c r="U504" s="301">
        <v>16766.148000000001</v>
      </c>
      <c r="V504" s="302">
        <v>48138.62000000017</v>
      </c>
      <c r="W504" s="303"/>
      <c r="X504" s="304">
        <v>16766.148000000001</v>
      </c>
      <c r="Y504" s="305">
        <v>48138.62000000017</v>
      </c>
    </row>
    <row r="505" spans="1:25" x14ac:dyDescent="0.3">
      <c r="E505" s="250" t="s">
        <v>1446</v>
      </c>
      <c r="F505" s="317">
        <v>4303201</v>
      </c>
      <c r="G505" s="318"/>
      <c r="H505" s="319">
        <v>5101330101</v>
      </c>
      <c r="I505" s="320"/>
      <c r="J505" s="337">
        <v>432068.84399999998</v>
      </c>
      <c r="K505" s="321">
        <v>391090.109</v>
      </c>
      <c r="L505" s="321">
        <v>473187.01</v>
      </c>
      <c r="M505" s="321">
        <v>595295.42799999996</v>
      </c>
      <c r="N505" s="321">
        <v>657674.42700000003</v>
      </c>
      <c r="O505" s="321">
        <v>231209.359</v>
      </c>
      <c r="P505" s="321">
        <v>959580.60800000001</v>
      </c>
      <c r="Q505" s="321">
        <v>-3170338.76</v>
      </c>
      <c r="R505" s="321">
        <v>-88278.288</v>
      </c>
      <c r="S505" s="321">
        <v>210.583</v>
      </c>
      <c r="T505" s="321">
        <v>65.5</v>
      </c>
      <c r="U505" s="322">
        <v>69.858999999999995</v>
      </c>
      <c r="V505" s="323">
        <v>481834.67900000035</v>
      </c>
      <c r="W505" s="303"/>
      <c r="X505" s="324">
        <v>69.858999999999995</v>
      </c>
      <c r="Y505" s="325">
        <v>481834.67900000035</v>
      </c>
    </row>
    <row r="506" spans="1:25" x14ac:dyDescent="0.3">
      <c r="E506" s="250" t="s">
        <v>1447</v>
      </c>
      <c r="F506" s="317">
        <v>4303202</v>
      </c>
      <c r="G506" s="318"/>
      <c r="H506" s="319">
        <v>5101330103</v>
      </c>
      <c r="I506" s="320"/>
      <c r="J506" s="337">
        <v>0</v>
      </c>
      <c r="K506" s="321">
        <v>0</v>
      </c>
      <c r="L506" s="321">
        <v>0</v>
      </c>
      <c r="M506" s="321">
        <v>0</v>
      </c>
      <c r="N506" s="321">
        <v>0</v>
      </c>
      <c r="O506" s="321">
        <v>0</v>
      </c>
      <c r="P506" s="321">
        <v>0</v>
      </c>
      <c r="Q506" s="321">
        <v>0</v>
      </c>
      <c r="R506" s="321">
        <v>0</v>
      </c>
      <c r="S506" s="321">
        <v>0</v>
      </c>
      <c r="T506" s="321">
        <v>0</v>
      </c>
      <c r="U506" s="322">
        <v>0</v>
      </c>
      <c r="V506" s="323">
        <v>0</v>
      </c>
      <c r="W506" s="303"/>
      <c r="X506" s="324">
        <v>0</v>
      </c>
      <c r="Y506" s="325">
        <v>0</v>
      </c>
    </row>
    <row r="507" spans="1:25" x14ac:dyDescent="0.3">
      <c r="E507" s="250" t="s">
        <v>1448</v>
      </c>
      <c r="F507" s="317">
        <v>4303203</v>
      </c>
      <c r="G507" s="318"/>
      <c r="H507" s="319">
        <v>5101330105</v>
      </c>
      <c r="I507" s="320"/>
      <c r="J507" s="337">
        <v>0</v>
      </c>
      <c r="K507" s="321">
        <v>0</v>
      </c>
      <c r="L507" s="321">
        <v>0</v>
      </c>
      <c r="M507" s="321">
        <v>0</v>
      </c>
      <c r="N507" s="321">
        <v>0</v>
      </c>
      <c r="O507" s="321">
        <v>0</v>
      </c>
      <c r="P507" s="321">
        <v>0</v>
      </c>
      <c r="Q507" s="321">
        <v>0</v>
      </c>
      <c r="R507" s="321">
        <v>0</v>
      </c>
      <c r="S507" s="321">
        <v>0</v>
      </c>
      <c r="T507" s="321">
        <v>0</v>
      </c>
      <c r="U507" s="322">
        <v>0</v>
      </c>
      <c r="V507" s="323">
        <v>0</v>
      </c>
      <c r="W507" s="303"/>
      <c r="X507" s="324">
        <v>0</v>
      </c>
      <c r="Y507" s="325">
        <v>0</v>
      </c>
    </row>
    <row r="508" spans="1:25" x14ac:dyDescent="0.3">
      <c r="E508" s="250" t="s">
        <v>1449</v>
      </c>
      <c r="F508" s="317">
        <v>4303204</v>
      </c>
      <c r="G508" s="318"/>
      <c r="H508" s="319">
        <v>5101330199</v>
      </c>
      <c r="I508" s="320"/>
      <c r="J508" s="337">
        <v>0</v>
      </c>
      <c r="K508" s="321">
        <v>0</v>
      </c>
      <c r="L508" s="321">
        <v>0</v>
      </c>
      <c r="M508" s="321">
        <v>0</v>
      </c>
      <c r="N508" s="321">
        <v>0</v>
      </c>
      <c r="O508" s="321">
        <v>0</v>
      </c>
      <c r="P508" s="321">
        <v>0</v>
      </c>
      <c r="Q508" s="321">
        <v>0</v>
      </c>
      <c r="R508" s="321">
        <v>0</v>
      </c>
      <c r="S508" s="321">
        <v>0</v>
      </c>
      <c r="T508" s="321">
        <v>0</v>
      </c>
      <c r="U508" s="322">
        <v>0</v>
      </c>
      <c r="V508" s="323">
        <v>0</v>
      </c>
      <c r="W508" s="303"/>
      <c r="X508" s="324">
        <v>0</v>
      </c>
      <c r="Y508" s="325">
        <v>0</v>
      </c>
    </row>
    <row r="509" spans="1:25" x14ac:dyDescent="0.3">
      <c r="E509" s="250" t="s">
        <v>1450</v>
      </c>
      <c r="F509" s="317">
        <v>4303205</v>
      </c>
      <c r="G509" s="318"/>
      <c r="H509" s="319"/>
      <c r="I509" s="320"/>
      <c r="J509" s="337">
        <v>0</v>
      </c>
      <c r="K509" s="321">
        <v>0</v>
      </c>
      <c r="L509" s="321">
        <v>0</v>
      </c>
      <c r="M509" s="321">
        <v>0</v>
      </c>
      <c r="N509" s="321">
        <v>0</v>
      </c>
      <c r="O509" s="321">
        <v>0</v>
      </c>
      <c r="P509" s="321">
        <v>0</v>
      </c>
      <c r="Q509" s="321">
        <v>0</v>
      </c>
      <c r="R509" s="321">
        <v>0</v>
      </c>
      <c r="S509" s="321">
        <v>0</v>
      </c>
      <c r="T509" s="321">
        <v>0</v>
      </c>
      <c r="U509" s="322">
        <v>1.8</v>
      </c>
      <c r="V509" s="323">
        <v>1.8</v>
      </c>
      <c r="W509" s="303"/>
      <c r="X509" s="324">
        <v>1.8</v>
      </c>
      <c r="Y509" s="325">
        <v>1.8</v>
      </c>
    </row>
    <row r="510" spans="1:25" x14ac:dyDescent="0.3">
      <c r="E510" s="250" t="s">
        <v>1451</v>
      </c>
      <c r="F510" s="317">
        <v>4303210</v>
      </c>
      <c r="G510" s="318"/>
      <c r="H510" s="319"/>
      <c r="I510" s="320"/>
      <c r="J510" s="337">
        <v>0</v>
      </c>
      <c r="K510" s="321">
        <v>0</v>
      </c>
      <c r="L510" s="321">
        <v>0</v>
      </c>
      <c r="M510" s="321">
        <v>0</v>
      </c>
      <c r="N510" s="321">
        <v>0</v>
      </c>
      <c r="O510" s="321">
        <v>0</v>
      </c>
      <c r="P510" s="321">
        <v>0</v>
      </c>
      <c r="Q510" s="321">
        <v>0</v>
      </c>
      <c r="R510" s="321">
        <v>0</v>
      </c>
      <c r="S510" s="321">
        <v>0</v>
      </c>
      <c r="T510" s="321">
        <v>0</v>
      </c>
      <c r="U510" s="322">
        <v>0</v>
      </c>
      <c r="V510" s="323">
        <v>0</v>
      </c>
      <c r="W510" s="303"/>
      <c r="X510" s="324">
        <v>0</v>
      </c>
      <c r="Y510" s="325">
        <v>0</v>
      </c>
    </row>
    <row r="511" spans="1:25" x14ac:dyDescent="0.3">
      <c r="E511" s="250" t="s">
        <v>1452</v>
      </c>
      <c r="F511" s="317">
        <v>4303214</v>
      </c>
      <c r="G511" s="318"/>
      <c r="H511" s="319"/>
      <c r="I511" s="320"/>
      <c r="J511" s="337">
        <v>0</v>
      </c>
      <c r="K511" s="321">
        <v>0</v>
      </c>
      <c r="L511" s="321">
        <v>0</v>
      </c>
      <c r="M511" s="321">
        <v>0</v>
      </c>
      <c r="N511" s="321">
        <v>0</v>
      </c>
      <c r="O511" s="321">
        <v>0</v>
      </c>
      <c r="P511" s="321">
        <v>0</v>
      </c>
      <c r="Q511" s="321">
        <v>0</v>
      </c>
      <c r="R511" s="321">
        <v>0</v>
      </c>
      <c r="S511" s="321">
        <v>0</v>
      </c>
      <c r="T511" s="321">
        <v>0</v>
      </c>
      <c r="U511" s="322">
        <v>0</v>
      </c>
      <c r="V511" s="323">
        <v>0</v>
      </c>
      <c r="W511" s="303"/>
      <c r="X511" s="324">
        <v>0</v>
      </c>
      <c r="Y511" s="325">
        <v>0</v>
      </c>
    </row>
    <row r="512" spans="1:25" x14ac:dyDescent="0.3">
      <c r="E512" s="250" t="s">
        <v>1453</v>
      </c>
      <c r="F512" s="317">
        <v>4303215</v>
      </c>
      <c r="G512" s="318"/>
      <c r="H512" s="319"/>
      <c r="I512" s="320"/>
      <c r="J512" s="337">
        <v>0</v>
      </c>
      <c r="K512" s="321">
        <v>0</v>
      </c>
      <c r="L512" s="321">
        <v>0</v>
      </c>
      <c r="M512" s="321">
        <v>0</v>
      </c>
      <c r="N512" s="321">
        <v>0</v>
      </c>
      <c r="O512" s="321">
        <v>0</v>
      </c>
      <c r="P512" s="321">
        <v>0</v>
      </c>
      <c r="Q512" s="321">
        <v>0</v>
      </c>
      <c r="R512" s="321">
        <v>0</v>
      </c>
      <c r="S512" s="321">
        <v>0</v>
      </c>
      <c r="T512" s="321">
        <v>0</v>
      </c>
      <c r="U512" s="322">
        <v>0</v>
      </c>
      <c r="V512" s="323">
        <v>0</v>
      </c>
      <c r="W512" s="303"/>
      <c r="X512" s="324">
        <v>0</v>
      </c>
      <c r="Y512" s="325">
        <v>0</v>
      </c>
    </row>
    <row r="513" spans="1:25" x14ac:dyDescent="0.3">
      <c r="E513" s="250" t="s">
        <v>1454</v>
      </c>
      <c r="F513" s="317">
        <v>4303216</v>
      </c>
      <c r="G513" s="318"/>
      <c r="H513" s="319"/>
      <c r="I513" s="320"/>
      <c r="J513" s="337">
        <v>0</v>
      </c>
      <c r="K513" s="321">
        <v>0</v>
      </c>
      <c r="L513" s="321">
        <v>0</v>
      </c>
      <c r="M513" s="321">
        <v>0</v>
      </c>
      <c r="N513" s="321">
        <v>0</v>
      </c>
      <c r="O513" s="321">
        <v>0</v>
      </c>
      <c r="P513" s="321">
        <v>0</v>
      </c>
      <c r="Q513" s="321">
        <v>0</v>
      </c>
      <c r="R513" s="321">
        <v>0</v>
      </c>
      <c r="S513" s="321">
        <v>0</v>
      </c>
      <c r="T513" s="321">
        <v>0</v>
      </c>
      <c r="U513" s="322">
        <v>0</v>
      </c>
      <c r="V513" s="323">
        <v>0</v>
      </c>
      <c r="W513" s="303"/>
      <c r="X513" s="324">
        <v>0</v>
      </c>
      <c r="Y513" s="325">
        <v>0</v>
      </c>
    </row>
    <row r="514" spans="1:25" x14ac:dyDescent="0.3">
      <c r="E514" s="250" t="s">
        <v>1455</v>
      </c>
      <c r="F514" s="317">
        <v>4303217</v>
      </c>
      <c r="G514" s="318"/>
      <c r="H514" s="319"/>
      <c r="I514" s="320"/>
      <c r="J514" s="337">
        <v>0</v>
      </c>
      <c r="K514" s="321">
        <v>0</v>
      </c>
      <c r="L514" s="321">
        <v>0</v>
      </c>
      <c r="M514" s="321">
        <v>0</v>
      </c>
      <c r="N514" s="321">
        <v>0</v>
      </c>
      <c r="O514" s="321">
        <v>0</v>
      </c>
      <c r="P514" s="321">
        <v>0</v>
      </c>
      <c r="Q514" s="321">
        <v>0</v>
      </c>
      <c r="R514" s="321">
        <v>0</v>
      </c>
      <c r="S514" s="321">
        <v>0</v>
      </c>
      <c r="T514" s="321">
        <v>0</v>
      </c>
      <c r="U514" s="322">
        <v>0</v>
      </c>
      <c r="V514" s="323">
        <v>0</v>
      </c>
      <c r="W514" s="303"/>
      <c r="X514" s="324">
        <v>0</v>
      </c>
      <c r="Y514" s="325">
        <v>0</v>
      </c>
    </row>
    <row r="515" spans="1:25" x14ac:dyDescent="0.3">
      <c r="E515" s="250" t="s">
        <v>1456</v>
      </c>
      <c r="F515" s="317">
        <v>4303218</v>
      </c>
      <c r="G515" s="318"/>
      <c r="H515" s="319"/>
      <c r="I515" s="320"/>
      <c r="J515" s="337">
        <v>0</v>
      </c>
      <c r="K515" s="321">
        <v>0</v>
      </c>
      <c r="L515" s="321">
        <v>0</v>
      </c>
      <c r="M515" s="321">
        <v>0</v>
      </c>
      <c r="N515" s="321">
        <v>0</v>
      </c>
      <c r="O515" s="321">
        <v>0</v>
      </c>
      <c r="P515" s="321">
        <v>0</v>
      </c>
      <c r="Q515" s="321">
        <v>0</v>
      </c>
      <c r="R515" s="321">
        <v>0</v>
      </c>
      <c r="S515" s="321">
        <v>0</v>
      </c>
      <c r="T515" s="321">
        <v>0</v>
      </c>
      <c r="U515" s="322">
        <v>0</v>
      </c>
      <c r="V515" s="323">
        <v>0</v>
      </c>
      <c r="W515" s="303"/>
      <c r="X515" s="324">
        <v>0</v>
      </c>
      <c r="Y515" s="325">
        <v>0</v>
      </c>
    </row>
    <row r="516" spans="1:25" x14ac:dyDescent="0.3">
      <c r="E516" s="250" t="s">
        <v>1457</v>
      </c>
      <c r="F516" s="317">
        <v>4303220</v>
      </c>
      <c r="G516" s="318"/>
      <c r="H516" s="319"/>
      <c r="I516" s="320"/>
      <c r="J516" s="337">
        <v>0</v>
      </c>
      <c r="K516" s="321">
        <v>0</v>
      </c>
      <c r="L516" s="321">
        <v>0</v>
      </c>
      <c r="M516" s="321">
        <v>0</v>
      </c>
      <c r="N516" s="321">
        <v>0</v>
      </c>
      <c r="O516" s="321">
        <v>0</v>
      </c>
      <c r="P516" s="321">
        <v>0</v>
      </c>
      <c r="Q516" s="321">
        <v>0</v>
      </c>
      <c r="R516" s="321">
        <v>0</v>
      </c>
      <c r="S516" s="321">
        <v>0</v>
      </c>
      <c r="T516" s="321">
        <v>0</v>
      </c>
      <c r="U516" s="322">
        <v>0</v>
      </c>
      <c r="V516" s="323">
        <v>0</v>
      </c>
      <c r="W516" s="303"/>
      <c r="X516" s="324">
        <v>0</v>
      </c>
      <c r="Y516" s="325">
        <v>0</v>
      </c>
    </row>
    <row r="517" spans="1:25" x14ac:dyDescent="0.3">
      <c r="E517" s="250" t="s">
        <v>1458</v>
      </c>
      <c r="F517" s="317">
        <v>4303221</v>
      </c>
      <c r="G517" s="318"/>
      <c r="H517" s="319"/>
      <c r="I517" s="320"/>
      <c r="J517" s="337">
        <v>0</v>
      </c>
      <c r="K517" s="321">
        <v>0</v>
      </c>
      <c r="L517" s="321">
        <v>0</v>
      </c>
      <c r="M517" s="321">
        <v>0</v>
      </c>
      <c r="N517" s="321">
        <v>0</v>
      </c>
      <c r="O517" s="321">
        <v>0</v>
      </c>
      <c r="P517" s="321">
        <v>0</v>
      </c>
      <c r="Q517" s="321">
        <v>0</v>
      </c>
      <c r="R517" s="321">
        <v>0</v>
      </c>
      <c r="S517" s="321">
        <v>0</v>
      </c>
      <c r="T517" s="321">
        <v>0</v>
      </c>
      <c r="U517" s="322">
        <v>0</v>
      </c>
      <c r="V517" s="323">
        <v>0</v>
      </c>
      <c r="W517" s="303"/>
      <c r="X517" s="324">
        <v>0</v>
      </c>
      <c r="Y517" s="325">
        <v>0</v>
      </c>
    </row>
    <row r="518" spans="1:25" x14ac:dyDescent="0.3">
      <c r="E518" s="250" t="s">
        <v>1459</v>
      </c>
      <c r="F518" s="317">
        <v>4303299</v>
      </c>
      <c r="G518" s="318"/>
      <c r="H518" s="319"/>
      <c r="I518" s="320"/>
      <c r="J518" s="337">
        <v>-3770.2759999999998</v>
      </c>
      <c r="K518" s="321">
        <v>-49808.659</v>
      </c>
      <c r="L518" s="321">
        <v>-26194.381000000001</v>
      </c>
      <c r="M518" s="321">
        <v>-266.37</v>
      </c>
      <c r="N518" s="321">
        <v>347.51900000000001</v>
      </c>
      <c r="O518" s="321">
        <v>40.6</v>
      </c>
      <c r="P518" s="321">
        <v>-72405.108999999997</v>
      </c>
      <c r="Q518" s="321">
        <v>4082353.784</v>
      </c>
      <c r="R518" s="321">
        <v>-4390557.7910000002</v>
      </c>
      <c r="S518" s="321">
        <v>-8.5449999999999999</v>
      </c>
      <c r="T518" s="321">
        <v>9876.8799999999992</v>
      </c>
      <c r="U518" s="322">
        <v>16694.489000000001</v>
      </c>
      <c r="V518" s="323">
        <v>-433697.85900000017</v>
      </c>
      <c r="W518" s="303"/>
      <c r="X518" s="324">
        <v>16694.489000000001</v>
      </c>
      <c r="Y518" s="325">
        <v>-433697.85900000017</v>
      </c>
    </row>
    <row r="519" spans="1:25" x14ac:dyDescent="0.3">
      <c r="A519" s="361"/>
      <c r="B519" s="361"/>
      <c r="C519" s="361"/>
      <c r="D519" s="361"/>
      <c r="E519" s="326" t="s">
        <v>1460</v>
      </c>
      <c r="F519" s="351"/>
      <c r="G519" s="352"/>
      <c r="H519" s="353"/>
      <c r="I519" s="354"/>
      <c r="J519" s="362">
        <v>0</v>
      </c>
      <c r="K519" s="355">
        <v>0</v>
      </c>
      <c r="L519" s="355">
        <v>0</v>
      </c>
      <c r="M519" s="355">
        <v>0</v>
      </c>
      <c r="N519" s="355">
        <v>0</v>
      </c>
      <c r="O519" s="355">
        <v>0</v>
      </c>
      <c r="P519" s="355">
        <v>0</v>
      </c>
      <c r="Q519" s="355">
        <v>0</v>
      </c>
      <c r="R519" s="355">
        <v>0</v>
      </c>
      <c r="S519" s="355">
        <v>0</v>
      </c>
      <c r="T519" s="355">
        <v>0</v>
      </c>
      <c r="U519" s="356">
        <v>0</v>
      </c>
      <c r="V519" s="357">
        <v>0</v>
      </c>
      <c r="W519" s="358"/>
      <c r="X519" s="359">
        <v>0</v>
      </c>
      <c r="Y519" s="360">
        <v>0</v>
      </c>
    </row>
    <row r="520" spans="1:25" x14ac:dyDescent="0.3">
      <c r="A520" s="361"/>
      <c r="B520" s="361"/>
      <c r="C520" s="361"/>
      <c r="D520" s="361"/>
      <c r="E520" s="326" t="s">
        <v>1461</v>
      </c>
      <c r="F520" s="351"/>
      <c r="G520" s="352"/>
      <c r="H520" s="353"/>
      <c r="I520" s="354"/>
      <c r="J520" s="362">
        <v>0</v>
      </c>
      <c r="K520" s="355">
        <v>0</v>
      </c>
      <c r="L520" s="355">
        <v>0</v>
      </c>
      <c r="M520" s="355">
        <v>0</v>
      </c>
      <c r="N520" s="355">
        <v>0</v>
      </c>
      <c r="O520" s="355">
        <v>0</v>
      </c>
      <c r="P520" s="355">
        <v>0</v>
      </c>
      <c r="Q520" s="355">
        <v>0</v>
      </c>
      <c r="R520" s="355">
        <v>0</v>
      </c>
      <c r="S520" s="355">
        <v>0</v>
      </c>
      <c r="T520" s="355">
        <v>0</v>
      </c>
      <c r="U520" s="356">
        <v>0</v>
      </c>
      <c r="V520" s="357">
        <v>0</v>
      </c>
      <c r="W520" s="358"/>
      <c r="X520" s="359">
        <v>0</v>
      </c>
      <c r="Y520" s="360">
        <v>0</v>
      </c>
    </row>
    <row r="521" spans="1:25" x14ac:dyDescent="0.3">
      <c r="A521" s="361"/>
      <c r="B521" s="361"/>
      <c r="C521" s="361"/>
      <c r="D521" s="361"/>
      <c r="E521" s="326" t="s">
        <v>1462</v>
      </c>
      <c r="F521" s="351"/>
      <c r="G521" s="352"/>
      <c r="H521" s="353"/>
      <c r="I521" s="354"/>
      <c r="J521" s="362">
        <v>0</v>
      </c>
      <c r="K521" s="355">
        <v>0</v>
      </c>
      <c r="L521" s="355">
        <v>0</v>
      </c>
      <c r="M521" s="355">
        <v>0</v>
      </c>
      <c r="N521" s="355">
        <v>0</v>
      </c>
      <c r="O521" s="355">
        <v>0</v>
      </c>
      <c r="P521" s="355">
        <v>0</v>
      </c>
      <c r="Q521" s="355">
        <v>0</v>
      </c>
      <c r="R521" s="355">
        <v>0</v>
      </c>
      <c r="S521" s="355">
        <v>0</v>
      </c>
      <c r="T521" s="355">
        <v>0</v>
      </c>
      <c r="U521" s="356">
        <v>0</v>
      </c>
      <c r="V521" s="357">
        <v>0</v>
      </c>
      <c r="W521" s="358"/>
      <c r="X521" s="359">
        <v>0</v>
      </c>
      <c r="Y521" s="360">
        <v>0</v>
      </c>
    </row>
    <row r="522" spans="1:25" x14ac:dyDescent="0.3">
      <c r="A522" s="233"/>
      <c r="B522" s="234" t="s">
        <v>26</v>
      </c>
      <c r="D522" s="293" t="s">
        <v>1463</v>
      </c>
      <c r="E522" s="294"/>
      <c r="F522" s="295" t="s">
        <v>1464</v>
      </c>
      <c r="G522" s="296"/>
      <c r="H522" s="297"/>
      <c r="I522" s="298"/>
      <c r="J522" s="299">
        <v>0</v>
      </c>
      <c r="K522" s="300">
        <v>0</v>
      </c>
      <c r="L522" s="300">
        <v>0</v>
      </c>
      <c r="M522" s="300">
        <v>0</v>
      </c>
      <c r="N522" s="300">
        <v>0</v>
      </c>
      <c r="O522" s="300">
        <v>0</v>
      </c>
      <c r="P522" s="300">
        <v>0</v>
      </c>
      <c r="Q522" s="300">
        <v>0</v>
      </c>
      <c r="R522" s="300">
        <v>0</v>
      </c>
      <c r="S522" s="300">
        <v>0</v>
      </c>
      <c r="T522" s="300">
        <v>0</v>
      </c>
      <c r="U522" s="301">
        <v>0</v>
      </c>
      <c r="V522" s="302">
        <v>0</v>
      </c>
      <c r="W522" s="303"/>
      <c r="X522" s="304">
        <v>0</v>
      </c>
      <c r="Y522" s="305">
        <v>0</v>
      </c>
    </row>
    <row r="523" spans="1:25" x14ac:dyDescent="0.3">
      <c r="E523" s="250" t="s">
        <v>1465</v>
      </c>
      <c r="F523" s="317">
        <v>4303501</v>
      </c>
      <c r="G523" s="318"/>
      <c r="H523" s="319">
        <v>5101350101</v>
      </c>
      <c r="I523" s="320"/>
      <c r="J523" s="337">
        <v>0</v>
      </c>
      <c r="K523" s="321">
        <v>0</v>
      </c>
      <c r="L523" s="321">
        <v>0</v>
      </c>
      <c r="M523" s="321">
        <v>0</v>
      </c>
      <c r="N523" s="321">
        <v>0</v>
      </c>
      <c r="O523" s="321">
        <v>0</v>
      </c>
      <c r="P523" s="321">
        <v>0</v>
      </c>
      <c r="Q523" s="321">
        <v>0</v>
      </c>
      <c r="R523" s="321">
        <v>0</v>
      </c>
      <c r="S523" s="321">
        <v>0</v>
      </c>
      <c r="T523" s="321">
        <v>0</v>
      </c>
      <c r="U523" s="322">
        <v>0</v>
      </c>
      <c r="V523" s="323">
        <v>0</v>
      </c>
      <c r="W523" s="303"/>
      <c r="X523" s="324">
        <v>0</v>
      </c>
      <c r="Y523" s="325">
        <v>0</v>
      </c>
    </row>
    <row r="524" spans="1:25" x14ac:dyDescent="0.3">
      <c r="E524" s="250" t="s">
        <v>1466</v>
      </c>
      <c r="F524" s="317">
        <v>4303502</v>
      </c>
      <c r="G524" s="318"/>
      <c r="H524" s="319">
        <v>5101350103</v>
      </c>
      <c r="I524" s="320"/>
      <c r="J524" s="337">
        <v>0</v>
      </c>
      <c r="K524" s="321">
        <v>0</v>
      </c>
      <c r="L524" s="321">
        <v>0</v>
      </c>
      <c r="M524" s="321">
        <v>0</v>
      </c>
      <c r="N524" s="321">
        <v>0</v>
      </c>
      <c r="O524" s="321">
        <v>0</v>
      </c>
      <c r="P524" s="321">
        <v>0</v>
      </c>
      <c r="Q524" s="321">
        <v>0</v>
      </c>
      <c r="R524" s="321">
        <v>0</v>
      </c>
      <c r="S524" s="321">
        <v>0</v>
      </c>
      <c r="T524" s="321">
        <v>0</v>
      </c>
      <c r="U524" s="322">
        <v>0</v>
      </c>
      <c r="V524" s="323">
        <v>0</v>
      </c>
      <c r="W524" s="303"/>
      <c r="X524" s="324">
        <v>0</v>
      </c>
      <c r="Y524" s="325">
        <v>0</v>
      </c>
    </row>
    <row r="525" spans="1:25" x14ac:dyDescent="0.3">
      <c r="E525" s="250" t="s">
        <v>1467</v>
      </c>
      <c r="F525" s="317">
        <v>4303504</v>
      </c>
      <c r="G525" s="318"/>
      <c r="H525" s="319">
        <v>5101350105</v>
      </c>
      <c r="I525" s="320"/>
      <c r="J525" s="337">
        <v>0</v>
      </c>
      <c r="K525" s="321">
        <v>0</v>
      </c>
      <c r="L525" s="321">
        <v>0</v>
      </c>
      <c r="M525" s="321">
        <v>0</v>
      </c>
      <c r="N525" s="321">
        <v>0</v>
      </c>
      <c r="O525" s="321">
        <v>0</v>
      </c>
      <c r="P525" s="321">
        <v>0</v>
      </c>
      <c r="Q525" s="321">
        <v>0</v>
      </c>
      <c r="R525" s="321">
        <v>0</v>
      </c>
      <c r="S525" s="321">
        <v>0</v>
      </c>
      <c r="T525" s="321">
        <v>0</v>
      </c>
      <c r="U525" s="322">
        <v>0</v>
      </c>
      <c r="V525" s="323">
        <v>0</v>
      </c>
      <c r="W525" s="303"/>
      <c r="X525" s="324">
        <v>0</v>
      </c>
      <c r="Y525" s="325">
        <v>0</v>
      </c>
    </row>
    <row r="526" spans="1:25" x14ac:dyDescent="0.3">
      <c r="E526" s="250" t="s">
        <v>1468</v>
      </c>
      <c r="F526" s="317">
        <v>4303599</v>
      </c>
      <c r="G526" s="318"/>
      <c r="H526" s="319">
        <v>5101350199</v>
      </c>
      <c r="I526" s="320"/>
      <c r="J526" s="337">
        <v>0</v>
      </c>
      <c r="K526" s="321">
        <v>0</v>
      </c>
      <c r="L526" s="321">
        <v>0</v>
      </c>
      <c r="M526" s="321">
        <v>0</v>
      </c>
      <c r="N526" s="321">
        <v>0</v>
      </c>
      <c r="O526" s="321">
        <v>0</v>
      </c>
      <c r="P526" s="321">
        <v>0</v>
      </c>
      <c r="Q526" s="321">
        <v>0</v>
      </c>
      <c r="R526" s="321">
        <v>0</v>
      </c>
      <c r="S526" s="321">
        <v>0</v>
      </c>
      <c r="T526" s="321">
        <v>0</v>
      </c>
      <c r="U526" s="322">
        <v>0</v>
      </c>
      <c r="V526" s="323">
        <v>0</v>
      </c>
      <c r="W526" s="303"/>
      <c r="X526" s="324">
        <v>0</v>
      </c>
      <c r="Y526" s="325">
        <v>0</v>
      </c>
    </row>
    <row r="527" spans="1:25" x14ac:dyDescent="0.3">
      <c r="A527" s="326"/>
      <c r="B527" s="326"/>
      <c r="C527" s="326"/>
      <c r="D527" s="326"/>
      <c r="E527" s="326" t="s">
        <v>1469</v>
      </c>
      <c r="F527" s="336"/>
      <c r="G527" s="327"/>
      <c r="H527" s="328"/>
      <c r="I527" s="329"/>
      <c r="J527" s="338">
        <v>0</v>
      </c>
      <c r="K527" s="330">
        <v>0</v>
      </c>
      <c r="L527" s="330">
        <v>0</v>
      </c>
      <c r="M527" s="330">
        <v>0</v>
      </c>
      <c r="N527" s="330">
        <v>0</v>
      </c>
      <c r="O527" s="330">
        <v>0</v>
      </c>
      <c r="P527" s="330">
        <v>0</v>
      </c>
      <c r="Q527" s="330">
        <v>0</v>
      </c>
      <c r="R527" s="330">
        <v>0</v>
      </c>
      <c r="S527" s="330">
        <v>0</v>
      </c>
      <c r="T527" s="330">
        <v>0</v>
      </c>
      <c r="U527" s="331">
        <v>0</v>
      </c>
      <c r="V527" s="332">
        <v>0</v>
      </c>
      <c r="W527" s="333"/>
      <c r="X527" s="334">
        <v>0</v>
      </c>
      <c r="Y527" s="335">
        <v>0</v>
      </c>
    </row>
    <row r="528" spans="1:25" x14ac:dyDescent="0.3">
      <c r="A528" s="326"/>
      <c r="B528" s="326"/>
      <c r="C528" s="326"/>
      <c r="D528" s="326"/>
      <c r="E528" s="326" t="s">
        <v>1470</v>
      </c>
      <c r="F528" s="336"/>
      <c r="G528" s="327"/>
      <c r="H528" s="328"/>
      <c r="I528" s="329"/>
      <c r="J528" s="338">
        <v>0</v>
      </c>
      <c r="K528" s="330">
        <v>0</v>
      </c>
      <c r="L528" s="330">
        <v>0</v>
      </c>
      <c r="M528" s="330">
        <v>0</v>
      </c>
      <c r="N528" s="330">
        <v>0</v>
      </c>
      <c r="O528" s="330">
        <v>0</v>
      </c>
      <c r="P528" s="330">
        <v>0</v>
      </c>
      <c r="Q528" s="330">
        <v>0</v>
      </c>
      <c r="R528" s="330">
        <v>0</v>
      </c>
      <c r="S528" s="330">
        <v>0</v>
      </c>
      <c r="T528" s="330">
        <v>0</v>
      </c>
      <c r="U528" s="331">
        <v>0</v>
      </c>
      <c r="V528" s="332">
        <v>0</v>
      </c>
      <c r="W528" s="333"/>
      <c r="X528" s="334">
        <v>0</v>
      </c>
      <c r="Y528" s="335">
        <v>0</v>
      </c>
    </row>
    <row r="529" spans="1:25" x14ac:dyDescent="0.3">
      <c r="A529" s="326"/>
      <c r="B529" s="326"/>
      <c r="C529" s="326"/>
      <c r="D529" s="326"/>
      <c r="E529" s="326" t="s">
        <v>1471</v>
      </c>
      <c r="F529" s="336"/>
      <c r="G529" s="327"/>
      <c r="H529" s="328"/>
      <c r="I529" s="329"/>
      <c r="J529" s="338">
        <v>0</v>
      </c>
      <c r="K529" s="330">
        <v>0</v>
      </c>
      <c r="L529" s="330">
        <v>0</v>
      </c>
      <c r="M529" s="330">
        <v>0</v>
      </c>
      <c r="N529" s="330">
        <v>0</v>
      </c>
      <c r="O529" s="330">
        <v>0</v>
      </c>
      <c r="P529" s="330">
        <v>0</v>
      </c>
      <c r="Q529" s="330">
        <v>0</v>
      </c>
      <c r="R529" s="330">
        <v>0</v>
      </c>
      <c r="S529" s="330">
        <v>0</v>
      </c>
      <c r="T529" s="330">
        <v>0</v>
      </c>
      <c r="U529" s="331">
        <v>0</v>
      </c>
      <c r="V529" s="332">
        <v>0</v>
      </c>
      <c r="W529" s="333"/>
      <c r="X529" s="334">
        <v>0</v>
      </c>
      <c r="Y529" s="335">
        <v>0</v>
      </c>
    </row>
    <row r="530" spans="1:25" x14ac:dyDescent="0.3">
      <c r="A530" s="233"/>
      <c r="B530" s="234" t="s">
        <v>18</v>
      </c>
      <c r="D530" s="293" t="s">
        <v>1472</v>
      </c>
      <c r="E530" s="294"/>
      <c r="F530" s="295" t="s">
        <v>1473</v>
      </c>
      <c r="G530" s="296"/>
      <c r="H530" s="297"/>
      <c r="I530" s="298"/>
      <c r="J530" s="299">
        <v>3026.5050000000001</v>
      </c>
      <c r="K530" s="300">
        <v>3226.0229999999997</v>
      </c>
      <c r="L530" s="300">
        <v>3197.9059999999999</v>
      </c>
      <c r="M530" s="300">
        <v>3171.46</v>
      </c>
      <c r="N530" s="300">
        <v>3007.3519999999999</v>
      </c>
      <c r="O530" s="300">
        <v>3024.8070000000002</v>
      </c>
      <c r="P530" s="300">
        <v>3132.1469999999999</v>
      </c>
      <c r="Q530" s="300">
        <v>3150.877</v>
      </c>
      <c r="R530" s="300">
        <v>3176.6019999999999</v>
      </c>
      <c r="S530" s="300">
        <v>3072.8209999999999</v>
      </c>
      <c r="T530" s="300">
        <v>3152.2200000000003</v>
      </c>
      <c r="U530" s="301">
        <v>3731.8610000000003</v>
      </c>
      <c r="V530" s="302">
        <v>38070.580999999991</v>
      </c>
      <c r="W530" s="303"/>
      <c r="X530" s="304">
        <v>3731.8610000000003</v>
      </c>
      <c r="Y530" s="305">
        <v>38070.580999999991</v>
      </c>
    </row>
    <row r="531" spans="1:25" x14ac:dyDescent="0.3">
      <c r="E531" s="250" t="s">
        <v>1474</v>
      </c>
      <c r="F531" s="317">
        <v>4301401</v>
      </c>
      <c r="G531" s="318"/>
      <c r="H531" s="319">
        <v>5101370101</v>
      </c>
      <c r="I531" s="320"/>
      <c r="J531" s="337">
        <v>0</v>
      </c>
      <c r="K531" s="321">
        <v>0</v>
      </c>
      <c r="L531" s="321">
        <v>0</v>
      </c>
      <c r="M531" s="321">
        <v>0</v>
      </c>
      <c r="N531" s="321">
        <v>0</v>
      </c>
      <c r="O531" s="321">
        <v>0</v>
      </c>
      <c r="P531" s="321">
        <v>0</v>
      </c>
      <c r="Q531" s="321">
        <v>0</v>
      </c>
      <c r="R531" s="321">
        <v>0</v>
      </c>
      <c r="S531" s="321">
        <v>0</v>
      </c>
      <c r="T531" s="321">
        <v>0</v>
      </c>
      <c r="U531" s="322">
        <v>0</v>
      </c>
      <c r="V531" s="323">
        <v>0</v>
      </c>
      <c r="W531" s="303"/>
      <c r="X531" s="324">
        <v>0</v>
      </c>
      <c r="Y531" s="325">
        <v>0</v>
      </c>
    </row>
    <row r="532" spans="1:25" x14ac:dyDescent="0.3">
      <c r="E532" s="250" t="s">
        <v>1475</v>
      </c>
      <c r="F532" s="317">
        <v>4301402</v>
      </c>
      <c r="G532" s="318"/>
      <c r="H532" s="319">
        <v>5101370103</v>
      </c>
      <c r="I532" s="320"/>
      <c r="J532" s="337">
        <v>0</v>
      </c>
      <c r="K532" s="321">
        <v>0</v>
      </c>
      <c r="L532" s="321">
        <v>0</v>
      </c>
      <c r="M532" s="321">
        <v>0</v>
      </c>
      <c r="N532" s="321">
        <v>0</v>
      </c>
      <c r="O532" s="321">
        <v>0</v>
      </c>
      <c r="P532" s="321">
        <v>0</v>
      </c>
      <c r="Q532" s="321">
        <v>0</v>
      </c>
      <c r="R532" s="321">
        <v>0</v>
      </c>
      <c r="S532" s="321">
        <v>0</v>
      </c>
      <c r="T532" s="321">
        <v>0</v>
      </c>
      <c r="U532" s="322">
        <v>0</v>
      </c>
      <c r="V532" s="323">
        <v>0</v>
      </c>
      <c r="W532" s="303"/>
      <c r="X532" s="324">
        <v>0</v>
      </c>
      <c r="Y532" s="325">
        <v>0</v>
      </c>
    </row>
    <row r="533" spans="1:25" x14ac:dyDescent="0.3">
      <c r="E533" s="250" t="s">
        <v>1476</v>
      </c>
      <c r="F533" s="317">
        <v>4301403</v>
      </c>
      <c r="G533" s="318"/>
      <c r="H533" s="319">
        <v>5101370105</v>
      </c>
      <c r="I533" s="320"/>
      <c r="J533" s="337">
        <v>0</v>
      </c>
      <c r="K533" s="321">
        <v>0</v>
      </c>
      <c r="L533" s="321">
        <v>0</v>
      </c>
      <c r="M533" s="321">
        <v>0</v>
      </c>
      <c r="N533" s="321">
        <v>0</v>
      </c>
      <c r="O533" s="321">
        <v>0</v>
      </c>
      <c r="P533" s="321">
        <v>0</v>
      </c>
      <c r="Q533" s="321">
        <v>0</v>
      </c>
      <c r="R533" s="321">
        <v>0</v>
      </c>
      <c r="S533" s="321">
        <v>0</v>
      </c>
      <c r="T533" s="321">
        <v>0</v>
      </c>
      <c r="U533" s="322">
        <v>0</v>
      </c>
      <c r="V533" s="323">
        <v>0</v>
      </c>
      <c r="W533" s="303"/>
      <c r="X533" s="324">
        <v>0</v>
      </c>
      <c r="Y533" s="325">
        <v>0</v>
      </c>
    </row>
    <row r="534" spans="1:25" x14ac:dyDescent="0.3">
      <c r="E534" s="250" t="s">
        <v>1477</v>
      </c>
      <c r="F534" s="317">
        <v>4301404</v>
      </c>
      <c r="G534" s="318"/>
      <c r="H534" s="319">
        <v>5101370107</v>
      </c>
      <c r="I534" s="320"/>
      <c r="J534" s="337">
        <v>0</v>
      </c>
      <c r="K534" s="321">
        <v>65.215999999999994</v>
      </c>
      <c r="L534" s="321">
        <v>65.215000000000003</v>
      </c>
      <c r="M534" s="321">
        <v>66.72</v>
      </c>
      <c r="N534" s="321">
        <v>65.716999999999999</v>
      </c>
      <c r="O534" s="321">
        <v>65.715999999999994</v>
      </c>
      <c r="P534" s="321">
        <v>107.646</v>
      </c>
      <c r="Q534" s="321">
        <v>107.748</v>
      </c>
      <c r="R534" s="321">
        <v>107.747</v>
      </c>
      <c r="S534" s="321">
        <v>108.92700000000001</v>
      </c>
      <c r="T534" s="321">
        <v>108.041</v>
      </c>
      <c r="U534" s="322">
        <v>196.36600000000001</v>
      </c>
      <c r="V534" s="323">
        <v>1065.059</v>
      </c>
      <c r="W534" s="303"/>
      <c r="X534" s="324">
        <v>196.36600000000001</v>
      </c>
      <c r="Y534" s="325">
        <v>1065.059</v>
      </c>
    </row>
    <row r="535" spans="1:25" x14ac:dyDescent="0.3">
      <c r="E535" s="250" t="s">
        <v>1478</v>
      </c>
      <c r="F535" s="317">
        <v>4301405</v>
      </c>
      <c r="G535" s="318"/>
      <c r="H535" s="319">
        <v>5101370109</v>
      </c>
      <c r="I535" s="320"/>
      <c r="J535" s="337">
        <v>0</v>
      </c>
      <c r="K535" s="321">
        <v>0</v>
      </c>
      <c r="L535" s="321">
        <v>0</v>
      </c>
      <c r="M535" s="321">
        <v>0</v>
      </c>
      <c r="N535" s="321">
        <v>0</v>
      </c>
      <c r="O535" s="321">
        <v>0</v>
      </c>
      <c r="P535" s="321">
        <v>0</v>
      </c>
      <c r="Q535" s="321">
        <v>0</v>
      </c>
      <c r="R535" s="321">
        <v>0</v>
      </c>
      <c r="S535" s="321">
        <v>0</v>
      </c>
      <c r="T535" s="321">
        <v>0</v>
      </c>
      <c r="U535" s="322">
        <v>0</v>
      </c>
      <c r="V535" s="323">
        <v>0</v>
      </c>
      <c r="W535" s="303"/>
      <c r="X535" s="324">
        <v>0</v>
      </c>
      <c r="Y535" s="325">
        <v>0</v>
      </c>
    </row>
    <row r="536" spans="1:25" x14ac:dyDescent="0.3">
      <c r="E536" s="250" t="s">
        <v>1479</v>
      </c>
      <c r="F536" s="317">
        <v>4301406</v>
      </c>
      <c r="G536" s="318"/>
      <c r="H536" s="319">
        <v>5101370111</v>
      </c>
      <c r="I536" s="320"/>
      <c r="J536" s="337">
        <v>0</v>
      </c>
      <c r="K536" s="321">
        <v>0</v>
      </c>
      <c r="L536" s="321">
        <v>0</v>
      </c>
      <c r="M536" s="321">
        <v>0</v>
      </c>
      <c r="N536" s="321">
        <v>0</v>
      </c>
      <c r="O536" s="321">
        <v>0</v>
      </c>
      <c r="P536" s="321">
        <v>0</v>
      </c>
      <c r="Q536" s="321">
        <v>0</v>
      </c>
      <c r="R536" s="321">
        <v>0</v>
      </c>
      <c r="S536" s="321">
        <v>0</v>
      </c>
      <c r="T536" s="321">
        <v>0</v>
      </c>
      <c r="U536" s="322">
        <v>0</v>
      </c>
      <c r="V536" s="323">
        <v>0</v>
      </c>
      <c r="W536" s="303"/>
      <c r="X536" s="324">
        <v>0</v>
      </c>
      <c r="Y536" s="325">
        <v>0</v>
      </c>
    </row>
    <row r="537" spans="1:25" x14ac:dyDescent="0.3">
      <c r="E537" s="250" t="s">
        <v>1480</v>
      </c>
      <c r="F537" s="317">
        <v>4301407</v>
      </c>
      <c r="G537" s="318"/>
      <c r="H537" s="319">
        <v>5101370113</v>
      </c>
      <c r="I537" s="320"/>
      <c r="J537" s="337">
        <v>0</v>
      </c>
      <c r="K537" s="321">
        <v>0</v>
      </c>
      <c r="L537" s="321">
        <v>0</v>
      </c>
      <c r="M537" s="321">
        <v>0</v>
      </c>
      <c r="N537" s="321">
        <v>0</v>
      </c>
      <c r="O537" s="321">
        <v>0</v>
      </c>
      <c r="P537" s="321">
        <v>0</v>
      </c>
      <c r="Q537" s="321">
        <v>0</v>
      </c>
      <c r="R537" s="321">
        <v>0</v>
      </c>
      <c r="S537" s="321">
        <v>0</v>
      </c>
      <c r="T537" s="321">
        <v>0</v>
      </c>
      <c r="U537" s="322">
        <v>0</v>
      </c>
      <c r="V537" s="323">
        <v>0</v>
      </c>
      <c r="W537" s="303"/>
      <c r="X537" s="324">
        <v>0</v>
      </c>
      <c r="Y537" s="325">
        <v>0</v>
      </c>
    </row>
    <row r="538" spans="1:25" x14ac:dyDescent="0.3">
      <c r="E538" s="250" t="s">
        <v>1481</v>
      </c>
      <c r="F538" s="317">
        <v>4301408</v>
      </c>
      <c r="G538" s="318"/>
      <c r="H538" s="319">
        <v>5101370115</v>
      </c>
      <c r="I538" s="320"/>
      <c r="J538" s="337">
        <v>77.539000000000001</v>
      </c>
      <c r="K538" s="321">
        <v>77.537999999999997</v>
      </c>
      <c r="L538" s="321">
        <v>77.539000000000001</v>
      </c>
      <c r="M538" s="321">
        <v>78.075999999999993</v>
      </c>
      <c r="N538" s="321">
        <v>77.674000000000007</v>
      </c>
      <c r="O538" s="321">
        <v>77.673000000000002</v>
      </c>
      <c r="P538" s="321">
        <v>77.635000000000005</v>
      </c>
      <c r="Q538" s="321">
        <v>77.667000000000002</v>
      </c>
      <c r="R538" s="321">
        <v>77.668000000000006</v>
      </c>
      <c r="S538" s="321">
        <v>77.668000000000006</v>
      </c>
      <c r="T538" s="321">
        <v>77.667000000000002</v>
      </c>
      <c r="U538" s="322">
        <v>77.668000000000006</v>
      </c>
      <c r="V538" s="323">
        <v>932.01200000000006</v>
      </c>
      <c r="W538" s="303"/>
      <c r="X538" s="324">
        <v>77.668000000000006</v>
      </c>
      <c r="Y538" s="325">
        <v>932.01200000000006</v>
      </c>
    </row>
    <row r="539" spans="1:25" x14ac:dyDescent="0.3">
      <c r="E539" s="250" t="s">
        <v>1482</v>
      </c>
      <c r="F539" s="317">
        <v>4301410</v>
      </c>
      <c r="G539" s="318"/>
      <c r="H539" s="319">
        <v>5101370117</v>
      </c>
      <c r="I539" s="320"/>
      <c r="J539" s="337">
        <v>2948.9659999999999</v>
      </c>
      <c r="K539" s="321">
        <v>3083.2689999999998</v>
      </c>
      <c r="L539" s="321">
        <v>3055.152</v>
      </c>
      <c r="M539" s="321">
        <v>3026.6640000000002</v>
      </c>
      <c r="N539" s="321">
        <v>2863.9609999999998</v>
      </c>
      <c r="O539" s="321">
        <v>2881.4180000000001</v>
      </c>
      <c r="P539" s="321">
        <v>2946.866</v>
      </c>
      <c r="Q539" s="321">
        <v>2965.462</v>
      </c>
      <c r="R539" s="321">
        <v>2991.1869999999999</v>
      </c>
      <c r="S539" s="321">
        <v>2886.2260000000001</v>
      </c>
      <c r="T539" s="321">
        <v>2966.5120000000002</v>
      </c>
      <c r="U539" s="322">
        <v>3457.8270000000002</v>
      </c>
      <c r="V539" s="323">
        <v>36073.509999999995</v>
      </c>
      <c r="W539" s="303"/>
      <c r="X539" s="324">
        <v>3457.8270000000002</v>
      </c>
      <c r="Y539" s="325">
        <v>36073.509999999995</v>
      </c>
    </row>
    <row r="540" spans="1:25" x14ac:dyDescent="0.3">
      <c r="E540" s="250" t="s">
        <v>1483</v>
      </c>
      <c r="F540" s="317">
        <v>4301496</v>
      </c>
      <c r="G540" s="318"/>
      <c r="H540" s="319">
        <v>5101370119</v>
      </c>
      <c r="I540" s="320"/>
      <c r="J540" s="337">
        <v>0</v>
      </c>
      <c r="K540" s="321">
        <v>0</v>
      </c>
      <c r="L540" s="321">
        <v>0</v>
      </c>
      <c r="M540" s="321">
        <v>0</v>
      </c>
      <c r="N540" s="321">
        <v>0</v>
      </c>
      <c r="O540" s="321">
        <v>0</v>
      </c>
      <c r="P540" s="321">
        <v>0</v>
      </c>
      <c r="Q540" s="321">
        <v>0</v>
      </c>
      <c r="R540" s="321">
        <v>0</v>
      </c>
      <c r="S540" s="321">
        <v>0</v>
      </c>
      <c r="T540" s="321">
        <v>0</v>
      </c>
      <c r="U540" s="322">
        <v>0</v>
      </c>
      <c r="V540" s="323">
        <v>0</v>
      </c>
      <c r="W540" s="303"/>
      <c r="X540" s="324">
        <v>0</v>
      </c>
      <c r="Y540" s="325">
        <v>0</v>
      </c>
    </row>
    <row r="541" spans="1:25" x14ac:dyDescent="0.3">
      <c r="E541" s="250" t="s">
        <v>1484</v>
      </c>
      <c r="F541" s="317">
        <v>4301497</v>
      </c>
      <c r="G541" s="318"/>
      <c r="H541" s="319"/>
      <c r="I541" s="320"/>
      <c r="J541" s="337">
        <v>0</v>
      </c>
      <c r="K541" s="321">
        <v>0</v>
      </c>
      <c r="L541" s="321">
        <v>0</v>
      </c>
      <c r="M541" s="321">
        <v>0</v>
      </c>
      <c r="N541" s="321">
        <v>0</v>
      </c>
      <c r="O541" s="321">
        <v>0</v>
      </c>
      <c r="P541" s="321">
        <v>0</v>
      </c>
      <c r="Q541" s="321">
        <v>0</v>
      </c>
      <c r="R541" s="321">
        <v>0</v>
      </c>
      <c r="S541" s="321">
        <v>0</v>
      </c>
      <c r="T541" s="321">
        <v>0</v>
      </c>
      <c r="U541" s="322">
        <v>0</v>
      </c>
      <c r="V541" s="323">
        <v>0</v>
      </c>
      <c r="W541" s="303"/>
      <c r="X541" s="324">
        <v>0</v>
      </c>
      <c r="Y541" s="325">
        <v>0</v>
      </c>
    </row>
    <row r="542" spans="1:25" x14ac:dyDescent="0.3">
      <c r="E542" s="250" t="s">
        <v>1485</v>
      </c>
      <c r="F542" s="317">
        <v>4301480</v>
      </c>
      <c r="G542" s="318"/>
      <c r="H542" s="319">
        <v>5101370199</v>
      </c>
      <c r="I542" s="320"/>
      <c r="J542" s="337">
        <v>0</v>
      </c>
      <c r="K542" s="321">
        <v>0</v>
      </c>
      <c r="L542" s="321">
        <v>0</v>
      </c>
      <c r="M542" s="321">
        <v>0</v>
      </c>
      <c r="N542" s="321">
        <v>0</v>
      </c>
      <c r="O542" s="321">
        <v>0</v>
      </c>
      <c r="P542" s="321">
        <v>0</v>
      </c>
      <c r="Q542" s="321">
        <v>0</v>
      </c>
      <c r="R542" s="321">
        <v>0</v>
      </c>
      <c r="S542" s="321">
        <v>0</v>
      </c>
      <c r="T542" s="321">
        <v>0</v>
      </c>
      <c r="U542" s="322">
        <v>0</v>
      </c>
      <c r="V542" s="323">
        <v>0</v>
      </c>
      <c r="W542" s="303"/>
      <c r="X542" s="324">
        <v>0</v>
      </c>
      <c r="Y542" s="325">
        <v>0</v>
      </c>
    </row>
    <row r="543" spans="1:25" x14ac:dyDescent="0.3">
      <c r="E543" s="250" t="s">
        <v>1486</v>
      </c>
      <c r="F543" s="317">
        <v>4301411</v>
      </c>
      <c r="G543" s="318"/>
      <c r="H543" s="319"/>
      <c r="I543" s="320"/>
      <c r="J543" s="337">
        <v>0</v>
      </c>
      <c r="K543" s="321">
        <v>0</v>
      </c>
      <c r="L543" s="321">
        <v>0</v>
      </c>
      <c r="M543" s="321">
        <v>0</v>
      </c>
      <c r="N543" s="321">
        <v>0</v>
      </c>
      <c r="O543" s="321">
        <v>0</v>
      </c>
      <c r="P543" s="321">
        <v>0</v>
      </c>
      <c r="Q543" s="321">
        <v>0</v>
      </c>
      <c r="R543" s="321">
        <v>0</v>
      </c>
      <c r="S543" s="321">
        <v>0</v>
      </c>
      <c r="T543" s="321">
        <v>0</v>
      </c>
      <c r="U543" s="322">
        <v>0</v>
      </c>
      <c r="V543" s="323">
        <v>0</v>
      </c>
      <c r="W543" s="303"/>
      <c r="X543" s="324">
        <v>0</v>
      </c>
      <c r="Y543" s="325">
        <v>0</v>
      </c>
    </row>
    <row r="544" spans="1:25" x14ac:dyDescent="0.3">
      <c r="A544" s="326"/>
      <c r="B544" s="326"/>
      <c r="C544" s="326"/>
      <c r="D544" s="326"/>
      <c r="E544" s="326" t="s">
        <v>1487</v>
      </c>
      <c r="F544" s="336"/>
      <c r="G544" s="327"/>
      <c r="H544" s="328"/>
      <c r="I544" s="329"/>
      <c r="J544" s="338">
        <v>0</v>
      </c>
      <c r="K544" s="330">
        <v>0</v>
      </c>
      <c r="L544" s="330">
        <v>0</v>
      </c>
      <c r="M544" s="330">
        <v>0</v>
      </c>
      <c r="N544" s="330">
        <v>0</v>
      </c>
      <c r="O544" s="330">
        <v>0</v>
      </c>
      <c r="P544" s="330">
        <v>0</v>
      </c>
      <c r="Q544" s="330">
        <v>0</v>
      </c>
      <c r="R544" s="330">
        <v>0</v>
      </c>
      <c r="S544" s="330">
        <v>0</v>
      </c>
      <c r="T544" s="330">
        <v>0</v>
      </c>
      <c r="U544" s="331">
        <v>0</v>
      </c>
      <c r="V544" s="332">
        <v>0</v>
      </c>
      <c r="W544" s="333"/>
      <c r="X544" s="334">
        <v>0</v>
      </c>
      <c r="Y544" s="335">
        <v>0</v>
      </c>
    </row>
    <row r="545" spans="1:25" x14ac:dyDescent="0.3">
      <c r="A545" s="326"/>
      <c r="B545" s="326"/>
      <c r="C545" s="326"/>
      <c r="D545" s="326"/>
      <c r="E545" s="326" t="s">
        <v>1488</v>
      </c>
      <c r="F545" s="336"/>
      <c r="G545" s="327"/>
      <c r="H545" s="328"/>
      <c r="I545" s="329"/>
      <c r="J545" s="338">
        <v>0</v>
      </c>
      <c r="K545" s="330">
        <v>0</v>
      </c>
      <c r="L545" s="330">
        <v>0</v>
      </c>
      <c r="M545" s="330">
        <v>0</v>
      </c>
      <c r="N545" s="330">
        <v>0</v>
      </c>
      <c r="O545" s="330">
        <v>0</v>
      </c>
      <c r="P545" s="330">
        <v>0</v>
      </c>
      <c r="Q545" s="330">
        <v>0</v>
      </c>
      <c r="R545" s="330">
        <v>0</v>
      </c>
      <c r="S545" s="330">
        <v>0</v>
      </c>
      <c r="T545" s="330">
        <v>0</v>
      </c>
      <c r="U545" s="331">
        <v>0</v>
      </c>
      <c r="V545" s="332">
        <v>0</v>
      </c>
      <c r="W545" s="333"/>
      <c r="X545" s="334">
        <v>0</v>
      </c>
      <c r="Y545" s="335">
        <v>0</v>
      </c>
    </row>
    <row r="546" spans="1:25" x14ac:dyDescent="0.3">
      <c r="A546" s="326"/>
      <c r="B546" s="326"/>
      <c r="C546" s="326"/>
      <c r="D546" s="326"/>
      <c r="E546" s="326" t="s">
        <v>1489</v>
      </c>
      <c r="F546" s="336"/>
      <c r="G546" s="327"/>
      <c r="H546" s="328"/>
      <c r="I546" s="329"/>
      <c r="J546" s="338">
        <v>0</v>
      </c>
      <c r="K546" s="330">
        <v>0</v>
      </c>
      <c r="L546" s="330">
        <v>0</v>
      </c>
      <c r="M546" s="330">
        <v>0</v>
      </c>
      <c r="N546" s="330">
        <v>0</v>
      </c>
      <c r="O546" s="330">
        <v>0</v>
      </c>
      <c r="P546" s="330">
        <v>0</v>
      </c>
      <c r="Q546" s="330">
        <v>0</v>
      </c>
      <c r="R546" s="330">
        <v>0</v>
      </c>
      <c r="S546" s="330">
        <v>0</v>
      </c>
      <c r="T546" s="330">
        <v>0</v>
      </c>
      <c r="U546" s="331">
        <v>0</v>
      </c>
      <c r="V546" s="332">
        <v>0</v>
      </c>
      <c r="W546" s="333"/>
      <c r="X546" s="334">
        <v>0</v>
      </c>
      <c r="Y546" s="335">
        <v>0</v>
      </c>
    </row>
    <row r="547" spans="1:25" x14ac:dyDescent="0.3">
      <c r="A547" s="233"/>
      <c r="B547" s="234" t="s">
        <v>18</v>
      </c>
      <c r="D547" s="293" t="s">
        <v>1490</v>
      </c>
      <c r="E547" s="294"/>
      <c r="F547" s="295" t="s">
        <v>1491</v>
      </c>
      <c r="G547" s="296"/>
      <c r="H547" s="297"/>
      <c r="I547" s="298"/>
      <c r="J547" s="299">
        <v>0</v>
      </c>
      <c r="K547" s="300">
        <v>0</v>
      </c>
      <c r="L547" s="300">
        <v>0</v>
      </c>
      <c r="M547" s="300">
        <v>0</v>
      </c>
      <c r="N547" s="300">
        <v>0</v>
      </c>
      <c r="O547" s="300">
        <v>0</v>
      </c>
      <c r="P547" s="300">
        <v>0</v>
      </c>
      <c r="Q547" s="300">
        <v>0</v>
      </c>
      <c r="R547" s="300">
        <v>0</v>
      </c>
      <c r="S547" s="300">
        <v>0</v>
      </c>
      <c r="T547" s="300">
        <v>0</v>
      </c>
      <c r="U547" s="301">
        <v>0</v>
      </c>
      <c r="V547" s="302">
        <v>0</v>
      </c>
      <c r="W547" s="303"/>
      <c r="X547" s="304">
        <v>0</v>
      </c>
      <c r="Y547" s="305">
        <v>0</v>
      </c>
    </row>
    <row r="548" spans="1:25" x14ac:dyDescent="0.3">
      <c r="E548" s="250" t="s">
        <v>1492</v>
      </c>
      <c r="F548" s="317">
        <v>4301491</v>
      </c>
      <c r="G548" s="318"/>
      <c r="H548" s="319">
        <v>5101370200</v>
      </c>
      <c r="I548" s="320"/>
      <c r="J548" s="337">
        <v>0</v>
      </c>
      <c r="K548" s="321">
        <v>0</v>
      </c>
      <c r="L548" s="321">
        <v>0</v>
      </c>
      <c r="M548" s="321">
        <v>0</v>
      </c>
      <c r="N548" s="321">
        <v>0</v>
      </c>
      <c r="O548" s="321">
        <v>0</v>
      </c>
      <c r="P548" s="321">
        <v>0</v>
      </c>
      <c r="Q548" s="321">
        <v>0</v>
      </c>
      <c r="R548" s="321">
        <v>0</v>
      </c>
      <c r="S548" s="321">
        <v>0</v>
      </c>
      <c r="T548" s="321">
        <v>0</v>
      </c>
      <c r="U548" s="322">
        <v>0</v>
      </c>
      <c r="V548" s="323">
        <v>0</v>
      </c>
      <c r="W548" s="303"/>
      <c r="X548" s="324">
        <v>0</v>
      </c>
      <c r="Y548" s="325">
        <v>0</v>
      </c>
    </row>
    <row r="549" spans="1:25" x14ac:dyDescent="0.3">
      <c r="E549" s="250" t="s">
        <v>1493</v>
      </c>
      <c r="F549" s="317">
        <v>4301492</v>
      </c>
      <c r="G549" s="318"/>
      <c r="H549" s="319"/>
      <c r="I549" s="320"/>
      <c r="J549" s="337">
        <v>0</v>
      </c>
      <c r="K549" s="321">
        <v>0</v>
      </c>
      <c r="L549" s="321">
        <v>0</v>
      </c>
      <c r="M549" s="321">
        <v>0</v>
      </c>
      <c r="N549" s="321">
        <v>0</v>
      </c>
      <c r="O549" s="321">
        <v>0</v>
      </c>
      <c r="P549" s="321">
        <v>0</v>
      </c>
      <c r="Q549" s="321">
        <v>0</v>
      </c>
      <c r="R549" s="321">
        <v>0</v>
      </c>
      <c r="S549" s="321">
        <v>0</v>
      </c>
      <c r="T549" s="321">
        <v>0</v>
      </c>
      <c r="U549" s="322">
        <v>0</v>
      </c>
      <c r="V549" s="323">
        <v>0</v>
      </c>
      <c r="W549" s="303"/>
      <c r="X549" s="324">
        <v>0</v>
      </c>
      <c r="Y549" s="325">
        <v>0</v>
      </c>
    </row>
    <row r="550" spans="1:25" x14ac:dyDescent="0.3">
      <c r="E550" s="250" t="s">
        <v>1494</v>
      </c>
      <c r="F550" s="317">
        <v>4301493</v>
      </c>
      <c r="G550" s="318"/>
      <c r="H550" s="319"/>
      <c r="I550" s="320"/>
      <c r="J550" s="337">
        <v>0</v>
      </c>
      <c r="K550" s="321">
        <v>0</v>
      </c>
      <c r="L550" s="321">
        <v>0</v>
      </c>
      <c r="M550" s="321">
        <v>0</v>
      </c>
      <c r="N550" s="321">
        <v>0</v>
      </c>
      <c r="O550" s="321">
        <v>0</v>
      </c>
      <c r="P550" s="321">
        <v>0</v>
      </c>
      <c r="Q550" s="321">
        <v>0</v>
      </c>
      <c r="R550" s="321">
        <v>0</v>
      </c>
      <c r="S550" s="321">
        <v>0</v>
      </c>
      <c r="T550" s="321">
        <v>0</v>
      </c>
      <c r="U550" s="322">
        <v>0</v>
      </c>
      <c r="V550" s="323">
        <v>0</v>
      </c>
      <c r="W550" s="303"/>
      <c r="X550" s="324">
        <v>0</v>
      </c>
      <c r="Y550" s="325">
        <v>0</v>
      </c>
    </row>
    <row r="551" spans="1:25" x14ac:dyDescent="0.3">
      <c r="E551" s="250" t="s">
        <v>1495</v>
      </c>
      <c r="F551" s="317">
        <v>4301494</v>
      </c>
      <c r="G551" s="318"/>
      <c r="H551" s="319">
        <v>5101370203</v>
      </c>
      <c r="I551" s="320"/>
      <c r="J551" s="337">
        <v>0</v>
      </c>
      <c r="K551" s="321">
        <v>0</v>
      </c>
      <c r="L551" s="321">
        <v>0</v>
      </c>
      <c r="M551" s="321">
        <v>0</v>
      </c>
      <c r="N551" s="321">
        <v>0</v>
      </c>
      <c r="O551" s="321">
        <v>0</v>
      </c>
      <c r="P551" s="321">
        <v>0</v>
      </c>
      <c r="Q551" s="321">
        <v>0</v>
      </c>
      <c r="R551" s="321">
        <v>0</v>
      </c>
      <c r="S551" s="321">
        <v>0</v>
      </c>
      <c r="T551" s="321">
        <v>0</v>
      </c>
      <c r="U551" s="322">
        <v>0</v>
      </c>
      <c r="V551" s="323">
        <v>0</v>
      </c>
      <c r="W551" s="303"/>
      <c r="X551" s="324">
        <v>0</v>
      </c>
      <c r="Y551" s="325">
        <v>0</v>
      </c>
    </row>
    <row r="552" spans="1:25" x14ac:dyDescent="0.3">
      <c r="E552" s="250" t="s">
        <v>1496</v>
      </c>
      <c r="F552" s="317">
        <v>4301495</v>
      </c>
      <c r="G552" s="318"/>
      <c r="H552" s="319"/>
      <c r="I552" s="320"/>
      <c r="J552" s="337">
        <v>0</v>
      </c>
      <c r="K552" s="321">
        <v>0</v>
      </c>
      <c r="L552" s="321">
        <v>0</v>
      </c>
      <c r="M552" s="321">
        <v>0</v>
      </c>
      <c r="N552" s="321">
        <v>0</v>
      </c>
      <c r="O552" s="321">
        <v>0</v>
      </c>
      <c r="P552" s="321">
        <v>0</v>
      </c>
      <c r="Q552" s="321">
        <v>0</v>
      </c>
      <c r="R552" s="321">
        <v>0</v>
      </c>
      <c r="S552" s="321">
        <v>0</v>
      </c>
      <c r="T552" s="321">
        <v>0</v>
      </c>
      <c r="U552" s="322">
        <v>0</v>
      </c>
      <c r="V552" s="323">
        <v>0</v>
      </c>
      <c r="W552" s="303"/>
      <c r="X552" s="324">
        <v>0</v>
      </c>
      <c r="Y552" s="325">
        <v>0</v>
      </c>
    </row>
    <row r="553" spans="1:25" x14ac:dyDescent="0.3">
      <c r="E553" s="250" t="s">
        <v>1497</v>
      </c>
      <c r="F553" s="317">
        <v>4301500</v>
      </c>
      <c r="G553" s="318"/>
      <c r="H553" s="319"/>
      <c r="I553" s="320"/>
      <c r="J553" s="337">
        <v>0</v>
      </c>
      <c r="K553" s="321">
        <v>0</v>
      </c>
      <c r="L553" s="321">
        <v>0</v>
      </c>
      <c r="M553" s="321">
        <v>0</v>
      </c>
      <c r="N553" s="321">
        <v>0</v>
      </c>
      <c r="O553" s="321">
        <v>0</v>
      </c>
      <c r="P553" s="321">
        <v>0</v>
      </c>
      <c r="Q553" s="321">
        <v>0</v>
      </c>
      <c r="R553" s="321">
        <v>0</v>
      </c>
      <c r="S553" s="321">
        <v>0</v>
      </c>
      <c r="T553" s="321">
        <v>0</v>
      </c>
      <c r="U553" s="322">
        <v>0</v>
      </c>
      <c r="V553" s="323">
        <v>0</v>
      </c>
      <c r="W553" s="303"/>
      <c r="X553" s="324">
        <v>0</v>
      </c>
      <c r="Y553" s="325">
        <v>0</v>
      </c>
    </row>
    <row r="554" spans="1:25" x14ac:dyDescent="0.3">
      <c r="A554" s="361"/>
      <c r="B554" s="361"/>
      <c r="C554" s="361"/>
      <c r="D554" s="361"/>
      <c r="E554" s="326" t="s">
        <v>1498</v>
      </c>
      <c r="F554" s="351"/>
      <c r="G554" s="352"/>
      <c r="H554" s="353"/>
      <c r="I554" s="354"/>
      <c r="J554" s="362">
        <v>0</v>
      </c>
      <c r="K554" s="355">
        <v>0</v>
      </c>
      <c r="L554" s="355">
        <v>0</v>
      </c>
      <c r="M554" s="355">
        <v>0</v>
      </c>
      <c r="N554" s="355">
        <v>0</v>
      </c>
      <c r="O554" s="355">
        <v>0</v>
      </c>
      <c r="P554" s="355">
        <v>0</v>
      </c>
      <c r="Q554" s="355">
        <v>0</v>
      </c>
      <c r="R554" s="355">
        <v>0</v>
      </c>
      <c r="S554" s="355">
        <v>0</v>
      </c>
      <c r="T554" s="355">
        <v>0</v>
      </c>
      <c r="U554" s="356">
        <v>0</v>
      </c>
      <c r="V554" s="357">
        <v>0</v>
      </c>
      <c r="W554" s="358"/>
      <c r="X554" s="359">
        <v>0</v>
      </c>
      <c r="Y554" s="360">
        <v>0</v>
      </c>
    </row>
    <row r="555" spans="1:25" x14ac:dyDescent="0.3">
      <c r="A555" s="361"/>
      <c r="B555" s="361"/>
      <c r="C555" s="361"/>
      <c r="D555" s="361"/>
      <c r="E555" s="326" t="s">
        <v>1499</v>
      </c>
      <c r="F555" s="351"/>
      <c r="G555" s="352"/>
      <c r="H555" s="353"/>
      <c r="I555" s="354"/>
      <c r="J555" s="362">
        <v>0</v>
      </c>
      <c r="K555" s="355">
        <v>0</v>
      </c>
      <c r="L555" s="355">
        <v>0</v>
      </c>
      <c r="M555" s="355">
        <v>0</v>
      </c>
      <c r="N555" s="355">
        <v>0</v>
      </c>
      <c r="O555" s="355">
        <v>0</v>
      </c>
      <c r="P555" s="355">
        <v>0</v>
      </c>
      <c r="Q555" s="355">
        <v>0</v>
      </c>
      <c r="R555" s="355">
        <v>0</v>
      </c>
      <c r="S555" s="355">
        <v>0</v>
      </c>
      <c r="T555" s="355">
        <v>0</v>
      </c>
      <c r="U555" s="356">
        <v>0</v>
      </c>
      <c r="V555" s="357">
        <v>0</v>
      </c>
      <c r="W555" s="358"/>
      <c r="X555" s="359">
        <v>0</v>
      </c>
      <c r="Y555" s="360">
        <v>0</v>
      </c>
    </row>
    <row r="556" spans="1:25" x14ac:dyDescent="0.3">
      <c r="A556" s="361"/>
      <c r="B556" s="361"/>
      <c r="C556" s="361"/>
      <c r="D556" s="361"/>
      <c r="E556" s="326" t="s">
        <v>1500</v>
      </c>
      <c r="F556" s="351"/>
      <c r="G556" s="352"/>
      <c r="H556" s="353"/>
      <c r="I556" s="354"/>
      <c r="J556" s="362">
        <v>0</v>
      </c>
      <c r="K556" s="355">
        <v>0</v>
      </c>
      <c r="L556" s="355">
        <v>0</v>
      </c>
      <c r="M556" s="355">
        <v>0</v>
      </c>
      <c r="N556" s="355">
        <v>0</v>
      </c>
      <c r="O556" s="355">
        <v>0</v>
      </c>
      <c r="P556" s="355">
        <v>0</v>
      </c>
      <c r="Q556" s="355">
        <v>0</v>
      </c>
      <c r="R556" s="355">
        <v>0</v>
      </c>
      <c r="S556" s="355">
        <v>0</v>
      </c>
      <c r="T556" s="355">
        <v>0</v>
      </c>
      <c r="U556" s="356">
        <v>0</v>
      </c>
      <c r="V556" s="357">
        <v>0</v>
      </c>
      <c r="W556" s="358"/>
      <c r="X556" s="359">
        <v>0</v>
      </c>
      <c r="Y556" s="360">
        <v>0</v>
      </c>
    </row>
    <row r="557" spans="1:25" x14ac:dyDescent="0.3">
      <c r="A557" s="233"/>
      <c r="B557" s="234" t="s">
        <v>19</v>
      </c>
      <c r="D557" s="293" t="s">
        <v>1501</v>
      </c>
      <c r="E557" s="294"/>
      <c r="F557" s="295" t="s">
        <v>1502</v>
      </c>
      <c r="G557" s="296"/>
      <c r="H557" s="297"/>
      <c r="I557" s="298"/>
      <c r="J557" s="299">
        <v>48192.348000000005</v>
      </c>
      <c r="K557" s="300">
        <v>27139.254999999997</v>
      </c>
      <c r="L557" s="300">
        <v>27139.258000000002</v>
      </c>
      <c r="M557" s="300">
        <v>27139.254000000001</v>
      </c>
      <c r="N557" s="300">
        <v>27139.255999999998</v>
      </c>
      <c r="O557" s="300">
        <v>27139.255999999998</v>
      </c>
      <c r="P557" s="300">
        <v>22815.902999999998</v>
      </c>
      <c r="Q557" s="300">
        <v>22815.904999999999</v>
      </c>
      <c r="R557" s="300">
        <v>22815.907999999999</v>
      </c>
      <c r="S557" s="300">
        <v>22815.901999999998</v>
      </c>
      <c r="T557" s="300">
        <v>22815.905999999999</v>
      </c>
      <c r="U557" s="301">
        <v>51114.869999999995</v>
      </c>
      <c r="V557" s="302">
        <v>349083.02100000001</v>
      </c>
      <c r="W557" s="303"/>
      <c r="X557" s="304">
        <v>51114.869999999995</v>
      </c>
      <c r="Y557" s="305">
        <v>349083.02100000001</v>
      </c>
    </row>
    <row r="558" spans="1:25" x14ac:dyDescent="0.3">
      <c r="E558" s="250" t="s">
        <v>1503</v>
      </c>
      <c r="F558" s="317">
        <v>4309501</v>
      </c>
      <c r="G558" s="318"/>
      <c r="H558" s="319">
        <v>5101390199</v>
      </c>
      <c r="I558" s="320"/>
      <c r="J558" s="337">
        <v>0</v>
      </c>
      <c r="K558" s="321">
        <v>0</v>
      </c>
      <c r="L558" s="321">
        <v>0</v>
      </c>
      <c r="M558" s="321">
        <v>0</v>
      </c>
      <c r="N558" s="321">
        <v>0</v>
      </c>
      <c r="O558" s="321">
        <v>0</v>
      </c>
      <c r="P558" s="321">
        <v>0</v>
      </c>
      <c r="Q558" s="321">
        <v>0</v>
      </c>
      <c r="R558" s="321">
        <v>0</v>
      </c>
      <c r="S558" s="321">
        <v>0</v>
      </c>
      <c r="T558" s="321">
        <v>0</v>
      </c>
      <c r="U558" s="322">
        <v>0</v>
      </c>
      <c r="V558" s="323">
        <v>0</v>
      </c>
      <c r="W558" s="303"/>
      <c r="X558" s="324">
        <v>0</v>
      </c>
      <c r="Y558" s="325">
        <v>0</v>
      </c>
    </row>
    <row r="559" spans="1:25" x14ac:dyDescent="0.3">
      <c r="E559" s="250" t="s">
        <v>1504</v>
      </c>
      <c r="F559" s="317">
        <v>4309503</v>
      </c>
      <c r="G559" s="318"/>
      <c r="H559" s="319">
        <v>5101390105</v>
      </c>
      <c r="I559" s="320"/>
      <c r="J559" s="337">
        <v>156.83199999999999</v>
      </c>
      <c r="K559" s="321">
        <v>95.28</v>
      </c>
      <c r="L559" s="321">
        <v>95.281999999999996</v>
      </c>
      <c r="M559" s="321">
        <v>95.281000000000006</v>
      </c>
      <c r="N559" s="321">
        <v>95.28</v>
      </c>
      <c r="O559" s="321">
        <v>95.281999999999996</v>
      </c>
      <c r="P559" s="321">
        <v>95.28</v>
      </c>
      <c r="Q559" s="321">
        <v>95.281999999999996</v>
      </c>
      <c r="R559" s="321">
        <v>95.281999999999996</v>
      </c>
      <c r="S559" s="321">
        <v>95.28</v>
      </c>
      <c r="T559" s="321">
        <v>95.281999999999996</v>
      </c>
      <c r="U559" s="322">
        <v>38.296999999999997</v>
      </c>
      <c r="V559" s="323">
        <v>1147.94</v>
      </c>
      <c r="W559" s="303"/>
      <c r="X559" s="324">
        <v>38.296999999999997</v>
      </c>
      <c r="Y559" s="325">
        <v>1147.94</v>
      </c>
    </row>
    <row r="560" spans="1:25" x14ac:dyDescent="0.3">
      <c r="E560" s="250" t="s">
        <v>1505</v>
      </c>
      <c r="F560" s="317">
        <v>4309509</v>
      </c>
      <c r="G560" s="318"/>
      <c r="H560" s="319">
        <v>5101390115</v>
      </c>
      <c r="I560" s="320"/>
      <c r="J560" s="337">
        <v>47406.8</v>
      </c>
      <c r="K560" s="321">
        <v>26611.902999999998</v>
      </c>
      <c r="L560" s="321">
        <v>26611.901000000002</v>
      </c>
      <c r="M560" s="321">
        <v>26611.901000000002</v>
      </c>
      <c r="N560" s="321">
        <v>26611.901999999998</v>
      </c>
      <c r="O560" s="321">
        <v>26611.901999999998</v>
      </c>
      <c r="P560" s="321">
        <v>22288.547999999999</v>
      </c>
      <c r="Q560" s="321">
        <v>22288.550999999999</v>
      </c>
      <c r="R560" s="321">
        <v>22288.550999999999</v>
      </c>
      <c r="S560" s="321">
        <v>22288.55</v>
      </c>
      <c r="T560" s="321">
        <v>22288.55</v>
      </c>
      <c r="U560" s="322">
        <v>51015.514999999999</v>
      </c>
      <c r="V560" s="323">
        <v>342924.57400000002</v>
      </c>
      <c r="W560" s="303"/>
      <c r="X560" s="324">
        <v>51015.514999999999</v>
      </c>
      <c r="Y560" s="325">
        <v>342924.57400000002</v>
      </c>
    </row>
    <row r="561" spans="1:25" x14ac:dyDescent="0.3">
      <c r="E561" s="250" t="s">
        <v>1506</v>
      </c>
      <c r="F561" s="317">
        <v>4309502</v>
      </c>
      <c r="G561" s="318"/>
      <c r="H561" s="319">
        <v>5101390103</v>
      </c>
      <c r="I561" s="320"/>
      <c r="J561" s="337">
        <v>628.71600000000001</v>
      </c>
      <c r="K561" s="321">
        <v>432.072</v>
      </c>
      <c r="L561" s="321">
        <v>432.07499999999999</v>
      </c>
      <c r="M561" s="321">
        <v>432.072</v>
      </c>
      <c r="N561" s="321">
        <v>432.07400000000001</v>
      </c>
      <c r="O561" s="321">
        <v>432.072</v>
      </c>
      <c r="P561" s="321">
        <v>432.07499999999999</v>
      </c>
      <c r="Q561" s="321">
        <v>432.072</v>
      </c>
      <c r="R561" s="321">
        <v>432.07499999999999</v>
      </c>
      <c r="S561" s="321">
        <v>432.072</v>
      </c>
      <c r="T561" s="321">
        <v>432.07400000000001</v>
      </c>
      <c r="U561" s="322">
        <v>61.058</v>
      </c>
      <c r="V561" s="323">
        <v>5010.5069999999996</v>
      </c>
      <c r="W561" s="303"/>
      <c r="X561" s="324">
        <v>61.058</v>
      </c>
      <c r="Y561" s="325">
        <v>5010.5069999999996</v>
      </c>
    </row>
    <row r="562" spans="1:25" x14ac:dyDescent="0.3">
      <c r="E562" s="250" t="s">
        <v>1507</v>
      </c>
      <c r="F562" s="317">
        <v>4309780</v>
      </c>
      <c r="G562" s="318"/>
      <c r="H562" s="319"/>
      <c r="I562" s="320"/>
      <c r="J562" s="337">
        <v>0</v>
      </c>
      <c r="K562" s="321">
        <v>0</v>
      </c>
      <c r="L562" s="321">
        <v>0</v>
      </c>
      <c r="M562" s="321">
        <v>0</v>
      </c>
      <c r="N562" s="321">
        <v>0</v>
      </c>
      <c r="O562" s="321">
        <v>0</v>
      </c>
      <c r="P562" s="321">
        <v>0</v>
      </c>
      <c r="Q562" s="321">
        <v>0</v>
      </c>
      <c r="R562" s="321">
        <v>0</v>
      </c>
      <c r="S562" s="321">
        <v>0</v>
      </c>
      <c r="T562" s="321">
        <v>0</v>
      </c>
      <c r="U562" s="322">
        <v>0</v>
      </c>
      <c r="V562" s="323">
        <v>0</v>
      </c>
      <c r="W562" s="303"/>
      <c r="X562" s="324">
        <v>0</v>
      </c>
      <c r="Y562" s="325">
        <v>0</v>
      </c>
    </row>
    <row r="563" spans="1:25" x14ac:dyDescent="0.3">
      <c r="E563" s="250" t="s">
        <v>1508</v>
      </c>
      <c r="F563" s="317">
        <v>4309505</v>
      </c>
      <c r="G563" s="318"/>
      <c r="H563" s="319"/>
      <c r="I563" s="320"/>
      <c r="J563" s="337">
        <v>0</v>
      </c>
      <c r="K563" s="321">
        <v>0</v>
      </c>
      <c r="L563" s="321">
        <v>0</v>
      </c>
      <c r="M563" s="321">
        <v>0</v>
      </c>
      <c r="N563" s="321">
        <v>0</v>
      </c>
      <c r="O563" s="321">
        <v>0</v>
      </c>
      <c r="P563" s="321">
        <v>0</v>
      </c>
      <c r="Q563" s="321">
        <v>0</v>
      </c>
      <c r="R563" s="321">
        <v>0</v>
      </c>
      <c r="S563" s="321">
        <v>0</v>
      </c>
      <c r="T563" s="321">
        <v>0</v>
      </c>
      <c r="U563" s="322">
        <v>0</v>
      </c>
      <c r="V563" s="323">
        <v>0</v>
      </c>
      <c r="W563" s="303"/>
      <c r="X563" s="324">
        <v>0</v>
      </c>
      <c r="Y563" s="325">
        <v>0</v>
      </c>
    </row>
    <row r="564" spans="1:25" x14ac:dyDescent="0.3">
      <c r="A564" s="350"/>
      <c r="B564" s="350"/>
      <c r="C564" s="350"/>
      <c r="D564" s="350"/>
      <c r="E564" s="250" t="s">
        <v>1509</v>
      </c>
      <c r="F564" s="306">
        <v>4309600</v>
      </c>
      <c r="G564" s="307"/>
      <c r="H564" s="308">
        <v>5101390117</v>
      </c>
      <c r="I564" s="309"/>
      <c r="J564" s="310">
        <v>0</v>
      </c>
      <c r="K564" s="311">
        <v>0</v>
      </c>
      <c r="L564" s="311">
        <v>0</v>
      </c>
      <c r="M564" s="311">
        <v>0</v>
      </c>
      <c r="N564" s="311">
        <v>0</v>
      </c>
      <c r="O564" s="311">
        <v>0</v>
      </c>
      <c r="P564" s="311">
        <v>0</v>
      </c>
      <c r="Q564" s="311">
        <v>0</v>
      </c>
      <c r="R564" s="311">
        <v>0</v>
      </c>
      <c r="S564" s="311">
        <v>0</v>
      </c>
      <c r="T564" s="311">
        <v>0</v>
      </c>
      <c r="U564" s="312">
        <v>0</v>
      </c>
      <c r="V564" s="313">
        <v>0</v>
      </c>
      <c r="W564" s="314"/>
      <c r="X564" s="315">
        <v>0</v>
      </c>
      <c r="Y564" s="316">
        <v>0</v>
      </c>
    </row>
    <row r="565" spans="1:25" x14ac:dyDescent="0.3">
      <c r="C565" s="361"/>
      <c r="D565" s="361"/>
      <c r="E565" s="326" t="s">
        <v>1510</v>
      </c>
      <c r="F565" s="351"/>
      <c r="G565" s="352"/>
      <c r="H565" s="353"/>
      <c r="I565" s="354"/>
      <c r="J565" s="362">
        <v>0</v>
      </c>
      <c r="K565" s="355">
        <v>0</v>
      </c>
      <c r="L565" s="355">
        <v>0</v>
      </c>
      <c r="M565" s="355">
        <v>0</v>
      </c>
      <c r="N565" s="355">
        <v>0</v>
      </c>
      <c r="O565" s="355">
        <v>0</v>
      </c>
      <c r="P565" s="355">
        <v>0</v>
      </c>
      <c r="Q565" s="355">
        <v>0</v>
      </c>
      <c r="R565" s="355">
        <v>0</v>
      </c>
      <c r="S565" s="355">
        <v>0</v>
      </c>
      <c r="T565" s="355">
        <v>0</v>
      </c>
      <c r="U565" s="356">
        <v>0</v>
      </c>
      <c r="V565" s="357">
        <v>0</v>
      </c>
      <c r="W565" s="358"/>
      <c r="X565" s="359">
        <v>0</v>
      </c>
      <c r="Y565" s="360">
        <v>0</v>
      </c>
    </row>
    <row r="566" spans="1:25" x14ac:dyDescent="0.3">
      <c r="A566" s="361"/>
      <c r="B566" s="361"/>
      <c r="C566" s="361"/>
      <c r="D566" s="361"/>
      <c r="E566" s="326" t="s">
        <v>1511</v>
      </c>
      <c r="F566" s="351"/>
      <c r="G566" s="352"/>
      <c r="H566" s="353"/>
      <c r="I566" s="354"/>
      <c r="J566" s="362">
        <v>0</v>
      </c>
      <c r="K566" s="355">
        <v>0</v>
      </c>
      <c r="L566" s="355">
        <v>0</v>
      </c>
      <c r="M566" s="355">
        <v>0</v>
      </c>
      <c r="N566" s="355">
        <v>0</v>
      </c>
      <c r="O566" s="355">
        <v>0</v>
      </c>
      <c r="P566" s="355">
        <v>0</v>
      </c>
      <c r="Q566" s="355">
        <v>0</v>
      </c>
      <c r="R566" s="355">
        <v>0</v>
      </c>
      <c r="S566" s="355">
        <v>0</v>
      </c>
      <c r="T566" s="355">
        <v>0</v>
      </c>
      <c r="U566" s="356">
        <v>0</v>
      </c>
      <c r="V566" s="357">
        <v>0</v>
      </c>
      <c r="W566" s="358"/>
      <c r="X566" s="359">
        <v>0</v>
      </c>
      <c r="Y566" s="360">
        <v>0</v>
      </c>
    </row>
    <row r="567" spans="1:25" x14ac:dyDescent="0.3">
      <c r="A567" s="361"/>
      <c r="B567" s="361"/>
      <c r="C567" s="361"/>
      <c r="D567" s="361"/>
      <c r="E567" s="326" t="s">
        <v>1512</v>
      </c>
      <c r="F567" s="351"/>
      <c r="G567" s="352"/>
      <c r="H567" s="353"/>
      <c r="I567" s="354"/>
      <c r="J567" s="362">
        <v>0</v>
      </c>
      <c r="K567" s="355">
        <v>0</v>
      </c>
      <c r="L567" s="355">
        <v>0</v>
      </c>
      <c r="M567" s="355">
        <v>0</v>
      </c>
      <c r="N567" s="355">
        <v>0</v>
      </c>
      <c r="O567" s="355">
        <v>0</v>
      </c>
      <c r="P567" s="355">
        <v>0</v>
      </c>
      <c r="Q567" s="355">
        <v>0</v>
      </c>
      <c r="R567" s="355">
        <v>0</v>
      </c>
      <c r="S567" s="355">
        <v>0</v>
      </c>
      <c r="T567" s="355">
        <v>0</v>
      </c>
      <c r="U567" s="356">
        <v>0</v>
      </c>
      <c r="V567" s="357">
        <v>0</v>
      </c>
      <c r="W567" s="358"/>
      <c r="X567" s="359">
        <v>0</v>
      </c>
      <c r="Y567" s="360">
        <v>0</v>
      </c>
    </row>
    <row r="568" spans="1:25" x14ac:dyDescent="0.3">
      <c r="A568" s="233"/>
      <c r="B568" s="234" t="s">
        <v>18</v>
      </c>
      <c r="D568" s="293" t="s">
        <v>1513</v>
      </c>
      <c r="E568" s="294"/>
      <c r="F568" s="295" t="s">
        <v>1514</v>
      </c>
      <c r="G568" s="296"/>
      <c r="H568" s="297"/>
      <c r="I568" s="298"/>
      <c r="J568" s="299">
        <v>0</v>
      </c>
      <c r="K568" s="300">
        <v>0</v>
      </c>
      <c r="L568" s="300">
        <v>0</v>
      </c>
      <c r="M568" s="300">
        <v>0</v>
      </c>
      <c r="N568" s="300">
        <v>0</v>
      </c>
      <c r="O568" s="300">
        <v>0</v>
      </c>
      <c r="P568" s="300">
        <v>0</v>
      </c>
      <c r="Q568" s="300">
        <v>0</v>
      </c>
      <c r="R568" s="300">
        <v>0</v>
      </c>
      <c r="S568" s="300">
        <v>0</v>
      </c>
      <c r="T568" s="300">
        <v>0</v>
      </c>
      <c r="U568" s="301">
        <v>0</v>
      </c>
      <c r="V568" s="302">
        <v>0</v>
      </c>
      <c r="W568" s="303"/>
      <c r="X568" s="304">
        <v>0</v>
      </c>
      <c r="Y568" s="305">
        <v>0</v>
      </c>
    </row>
    <row r="569" spans="1:25" x14ac:dyDescent="0.3">
      <c r="E569" s="250" t="s">
        <v>1515</v>
      </c>
      <c r="F569" s="317">
        <v>4309683</v>
      </c>
      <c r="G569" s="318"/>
      <c r="H569" s="319"/>
      <c r="I569" s="320"/>
      <c r="J569" s="337">
        <v>0</v>
      </c>
      <c r="K569" s="321">
        <v>0</v>
      </c>
      <c r="L569" s="321">
        <v>0</v>
      </c>
      <c r="M569" s="321">
        <v>0</v>
      </c>
      <c r="N569" s="321">
        <v>0</v>
      </c>
      <c r="O569" s="321">
        <v>0</v>
      </c>
      <c r="P569" s="321">
        <v>0</v>
      </c>
      <c r="Q569" s="321">
        <v>0</v>
      </c>
      <c r="R569" s="321">
        <v>0</v>
      </c>
      <c r="S569" s="321">
        <v>0</v>
      </c>
      <c r="T569" s="321">
        <v>0</v>
      </c>
      <c r="U569" s="322">
        <v>0</v>
      </c>
      <c r="V569" s="323">
        <v>0</v>
      </c>
      <c r="W569" s="303"/>
      <c r="X569" s="324">
        <v>0</v>
      </c>
      <c r="Y569" s="325">
        <v>0</v>
      </c>
    </row>
    <row r="570" spans="1:25" x14ac:dyDescent="0.3">
      <c r="E570" s="250" t="s">
        <v>1516</v>
      </c>
      <c r="F570" s="317">
        <v>4309681</v>
      </c>
      <c r="G570" s="318"/>
      <c r="H570" s="319">
        <v>5101410200</v>
      </c>
      <c r="I570" s="320"/>
      <c r="J570" s="337">
        <v>0</v>
      </c>
      <c r="K570" s="321">
        <v>0</v>
      </c>
      <c r="L570" s="321">
        <v>0</v>
      </c>
      <c r="M570" s="321">
        <v>0</v>
      </c>
      <c r="N570" s="321">
        <v>0</v>
      </c>
      <c r="O570" s="321">
        <v>0</v>
      </c>
      <c r="P570" s="321">
        <v>0</v>
      </c>
      <c r="Q570" s="321">
        <v>0</v>
      </c>
      <c r="R570" s="321">
        <v>0</v>
      </c>
      <c r="S570" s="321">
        <v>0</v>
      </c>
      <c r="T570" s="321">
        <v>0</v>
      </c>
      <c r="U570" s="322">
        <v>0</v>
      </c>
      <c r="V570" s="323">
        <v>0</v>
      </c>
      <c r="W570" s="303"/>
      <c r="X570" s="324">
        <v>0</v>
      </c>
      <c r="Y570" s="325">
        <v>0</v>
      </c>
    </row>
    <row r="571" spans="1:25" x14ac:dyDescent="0.3">
      <c r="E571" s="250" t="s">
        <v>1517</v>
      </c>
      <c r="F571" s="317">
        <v>4309685</v>
      </c>
      <c r="G571" s="318"/>
      <c r="H571" s="319">
        <v>5101410101</v>
      </c>
      <c r="I571" s="320"/>
      <c r="J571" s="337">
        <v>0</v>
      </c>
      <c r="K571" s="321">
        <v>0</v>
      </c>
      <c r="L571" s="321">
        <v>0</v>
      </c>
      <c r="M571" s="321">
        <v>0</v>
      </c>
      <c r="N571" s="321">
        <v>0</v>
      </c>
      <c r="O571" s="321">
        <v>0</v>
      </c>
      <c r="P571" s="321">
        <v>0</v>
      </c>
      <c r="Q571" s="321">
        <v>0</v>
      </c>
      <c r="R571" s="321">
        <v>0</v>
      </c>
      <c r="S571" s="321">
        <v>0</v>
      </c>
      <c r="T571" s="321">
        <v>0</v>
      </c>
      <c r="U571" s="322">
        <v>0</v>
      </c>
      <c r="V571" s="323">
        <v>0</v>
      </c>
      <c r="W571" s="303"/>
      <c r="X571" s="324">
        <v>0</v>
      </c>
      <c r="Y571" s="325">
        <v>0</v>
      </c>
    </row>
    <row r="572" spans="1:25" x14ac:dyDescent="0.3">
      <c r="A572" s="361"/>
      <c r="B572" s="361"/>
      <c r="C572" s="361"/>
      <c r="D572" s="361"/>
      <c r="E572" s="326" t="s">
        <v>1518</v>
      </c>
      <c r="F572" s="351"/>
      <c r="G572" s="352"/>
      <c r="H572" s="353"/>
      <c r="I572" s="354"/>
      <c r="J572" s="362">
        <v>0</v>
      </c>
      <c r="K572" s="355">
        <v>0</v>
      </c>
      <c r="L572" s="355">
        <v>0</v>
      </c>
      <c r="M572" s="355">
        <v>0</v>
      </c>
      <c r="N572" s="355">
        <v>0</v>
      </c>
      <c r="O572" s="355">
        <v>0</v>
      </c>
      <c r="P572" s="355">
        <v>0</v>
      </c>
      <c r="Q572" s="355">
        <v>0</v>
      </c>
      <c r="R572" s="355">
        <v>0</v>
      </c>
      <c r="S572" s="355">
        <v>0</v>
      </c>
      <c r="T572" s="355">
        <v>0</v>
      </c>
      <c r="U572" s="356">
        <v>0</v>
      </c>
      <c r="V572" s="357">
        <v>0</v>
      </c>
      <c r="W572" s="358"/>
      <c r="X572" s="359">
        <v>0</v>
      </c>
      <c r="Y572" s="360">
        <v>0</v>
      </c>
    </row>
    <row r="573" spans="1:25" x14ac:dyDescent="0.3">
      <c r="A573" s="361"/>
      <c r="B573" s="361"/>
      <c r="C573" s="361"/>
      <c r="D573" s="361"/>
      <c r="E573" s="326" t="s">
        <v>1518</v>
      </c>
      <c r="F573" s="351"/>
      <c r="G573" s="352"/>
      <c r="H573" s="353"/>
      <c r="I573" s="354"/>
      <c r="J573" s="362">
        <v>0</v>
      </c>
      <c r="K573" s="355">
        <v>0</v>
      </c>
      <c r="L573" s="355">
        <v>0</v>
      </c>
      <c r="M573" s="355">
        <v>0</v>
      </c>
      <c r="N573" s="355">
        <v>0</v>
      </c>
      <c r="O573" s="355">
        <v>0</v>
      </c>
      <c r="P573" s="355">
        <v>0</v>
      </c>
      <c r="Q573" s="355">
        <v>0</v>
      </c>
      <c r="R573" s="355">
        <v>0</v>
      </c>
      <c r="S573" s="355">
        <v>0</v>
      </c>
      <c r="T573" s="355">
        <v>0</v>
      </c>
      <c r="U573" s="356">
        <v>0</v>
      </c>
      <c r="V573" s="357">
        <v>0</v>
      </c>
      <c r="W573" s="358"/>
      <c r="X573" s="359">
        <v>0</v>
      </c>
      <c r="Y573" s="360">
        <v>0</v>
      </c>
    </row>
    <row r="574" spans="1:25" x14ac:dyDescent="0.3">
      <c r="A574" s="361"/>
      <c r="B574" s="361"/>
      <c r="C574" s="361"/>
      <c r="D574" s="361"/>
      <c r="E574" s="326" t="s">
        <v>1519</v>
      </c>
      <c r="F574" s="351"/>
      <c r="G574" s="352"/>
      <c r="H574" s="353"/>
      <c r="I574" s="354"/>
      <c r="J574" s="362">
        <v>0</v>
      </c>
      <c r="K574" s="355">
        <v>0</v>
      </c>
      <c r="L574" s="355">
        <v>0</v>
      </c>
      <c r="M574" s="355">
        <v>0</v>
      </c>
      <c r="N574" s="355">
        <v>0</v>
      </c>
      <c r="O574" s="355">
        <v>0</v>
      </c>
      <c r="P574" s="355">
        <v>0</v>
      </c>
      <c r="Q574" s="355">
        <v>0</v>
      </c>
      <c r="R574" s="355">
        <v>0</v>
      </c>
      <c r="S574" s="355">
        <v>0</v>
      </c>
      <c r="T574" s="355">
        <v>0</v>
      </c>
      <c r="U574" s="356">
        <v>0</v>
      </c>
      <c r="V574" s="357">
        <v>0</v>
      </c>
      <c r="W574" s="358"/>
      <c r="X574" s="359">
        <v>0</v>
      </c>
      <c r="Y574" s="360">
        <v>0</v>
      </c>
    </row>
    <row r="575" spans="1:25" x14ac:dyDescent="0.3">
      <c r="A575" s="233"/>
      <c r="B575" s="234" t="s">
        <v>41</v>
      </c>
      <c r="D575" s="293" t="s">
        <v>1520</v>
      </c>
      <c r="E575" s="294"/>
      <c r="F575" s="295" t="s">
        <v>1521</v>
      </c>
      <c r="G575" s="296"/>
      <c r="H575" s="297"/>
      <c r="I575" s="298"/>
      <c r="J575" s="299">
        <v>0</v>
      </c>
      <c r="K575" s="300">
        <v>0</v>
      </c>
      <c r="L575" s="300">
        <v>59196.637000000002</v>
      </c>
      <c r="M575" s="300">
        <v>0</v>
      </c>
      <c r="N575" s="300">
        <v>0</v>
      </c>
      <c r="O575" s="300">
        <v>0</v>
      </c>
      <c r="P575" s="300">
        <v>0</v>
      </c>
      <c r="Q575" s="300">
        <v>0</v>
      </c>
      <c r="R575" s="300">
        <v>0</v>
      </c>
      <c r="S575" s="300">
        <v>0</v>
      </c>
      <c r="T575" s="300">
        <v>0</v>
      </c>
      <c r="U575" s="301">
        <v>0</v>
      </c>
      <c r="V575" s="302">
        <v>59196.637000000002</v>
      </c>
      <c r="W575" s="303"/>
      <c r="X575" s="304">
        <v>0</v>
      </c>
      <c r="Y575" s="305">
        <v>59196.637000000002</v>
      </c>
    </row>
    <row r="576" spans="1:25" x14ac:dyDescent="0.3">
      <c r="E576" s="250" t="s">
        <v>1522</v>
      </c>
      <c r="F576" s="317">
        <v>4309201</v>
      </c>
      <c r="G576" s="318"/>
      <c r="H576" s="319">
        <v>5101430101</v>
      </c>
      <c r="I576" s="320"/>
      <c r="J576" s="337">
        <v>0</v>
      </c>
      <c r="K576" s="321">
        <v>0</v>
      </c>
      <c r="L576" s="321">
        <v>-270</v>
      </c>
      <c r="M576" s="321">
        <v>0</v>
      </c>
      <c r="N576" s="321">
        <v>0</v>
      </c>
      <c r="O576" s="321">
        <v>0</v>
      </c>
      <c r="P576" s="321">
        <v>0</v>
      </c>
      <c r="Q576" s="321">
        <v>0</v>
      </c>
      <c r="R576" s="321">
        <v>0</v>
      </c>
      <c r="S576" s="321">
        <v>0</v>
      </c>
      <c r="T576" s="321">
        <v>0</v>
      </c>
      <c r="U576" s="322">
        <v>0</v>
      </c>
      <c r="V576" s="323">
        <v>-270</v>
      </c>
      <c r="W576" s="303"/>
      <c r="X576" s="324">
        <v>0</v>
      </c>
      <c r="Y576" s="325">
        <v>-270</v>
      </c>
    </row>
    <row r="577" spans="1:25" x14ac:dyDescent="0.3">
      <c r="E577" s="250" t="s">
        <v>1523</v>
      </c>
      <c r="F577" s="317">
        <v>4309202</v>
      </c>
      <c r="G577" s="318"/>
      <c r="H577" s="319"/>
      <c r="I577" s="320"/>
      <c r="J577" s="337">
        <v>0</v>
      </c>
      <c r="K577" s="321">
        <v>0</v>
      </c>
      <c r="L577" s="321">
        <v>0</v>
      </c>
      <c r="M577" s="321">
        <v>0</v>
      </c>
      <c r="N577" s="321">
        <v>0</v>
      </c>
      <c r="O577" s="321">
        <v>0</v>
      </c>
      <c r="P577" s="321">
        <v>0</v>
      </c>
      <c r="Q577" s="321">
        <v>0</v>
      </c>
      <c r="R577" s="321">
        <v>0</v>
      </c>
      <c r="S577" s="321">
        <v>0</v>
      </c>
      <c r="T577" s="321">
        <v>0</v>
      </c>
      <c r="U577" s="322">
        <v>0</v>
      </c>
      <c r="V577" s="323">
        <v>0</v>
      </c>
      <c r="W577" s="303"/>
      <c r="X577" s="324">
        <v>0</v>
      </c>
      <c r="Y577" s="325">
        <v>0</v>
      </c>
    </row>
    <row r="578" spans="1:25" x14ac:dyDescent="0.3">
      <c r="E578" s="250" t="s">
        <v>1524</v>
      </c>
      <c r="F578" s="317">
        <v>4309203</v>
      </c>
      <c r="G578" s="318"/>
      <c r="H578" s="319"/>
      <c r="I578" s="320"/>
      <c r="J578" s="337">
        <v>0</v>
      </c>
      <c r="K578" s="321">
        <v>0</v>
      </c>
      <c r="L578" s="321">
        <v>59466.637000000002</v>
      </c>
      <c r="M578" s="321">
        <v>0</v>
      </c>
      <c r="N578" s="321">
        <v>0</v>
      </c>
      <c r="O578" s="321">
        <v>0</v>
      </c>
      <c r="P578" s="321">
        <v>0</v>
      </c>
      <c r="Q578" s="321">
        <v>0</v>
      </c>
      <c r="R578" s="321">
        <v>0</v>
      </c>
      <c r="S578" s="321">
        <v>0</v>
      </c>
      <c r="T578" s="321">
        <v>0</v>
      </c>
      <c r="U578" s="322">
        <v>0</v>
      </c>
      <c r="V578" s="323">
        <v>59466.637000000002</v>
      </c>
      <c r="W578" s="303"/>
      <c r="X578" s="324">
        <v>0</v>
      </c>
      <c r="Y578" s="325">
        <v>59466.637000000002</v>
      </c>
    </row>
    <row r="579" spans="1:25" x14ac:dyDescent="0.3">
      <c r="E579" s="250" t="s">
        <v>1525</v>
      </c>
      <c r="F579" s="317">
        <v>4309206</v>
      </c>
      <c r="G579" s="318"/>
      <c r="H579" s="319"/>
      <c r="I579" s="320"/>
      <c r="J579" s="337">
        <v>0</v>
      </c>
      <c r="K579" s="321">
        <v>0</v>
      </c>
      <c r="L579" s="321">
        <v>0</v>
      </c>
      <c r="M579" s="321">
        <v>0</v>
      </c>
      <c r="N579" s="321">
        <v>0</v>
      </c>
      <c r="O579" s="321">
        <v>0</v>
      </c>
      <c r="P579" s="321">
        <v>0</v>
      </c>
      <c r="Q579" s="321">
        <v>0</v>
      </c>
      <c r="R579" s="321">
        <v>0</v>
      </c>
      <c r="S579" s="321">
        <v>0</v>
      </c>
      <c r="T579" s="321">
        <v>0</v>
      </c>
      <c r="U579" s="322">
        <v>0</v>
      </c>
      <c r="V579" s="323">
        <v>0</v>
      </c>
      <c r="W579" s="303"/>
      <c r="X579" s="324">
        <v>0</v>
      </c>
      <c r="Y579" s="325">
        <v>0</v>
      </c>
    </row>
    <row r="580" spans="1:25" x14ac:dyDescent="0.3">
      <c r="A580" s="361"/>
      <c r="B580" s="361"/>
      <c r="C580" s="361"/>
      <c r="D580" s="361"/>
      <c r="E580" s="361" t="s">
        <v>1526</v>
      </c>
      <c r="F580" s="351"/>
      <c r="G580" s="352"/>
      <c r="H580" s="353"/>
      <c r="I580" s="354"/>
      <c r="J580" s="362">
        <v>0</v>
      </c>
      <c r="K580" s="355">
        <v>0</v>
      </c>
      <c r="L580" s="355">
        <v>0</v>
      </c>
      <c r="M580" s="355">
        <v>0</v>
      </c>
      <c r="N580" s="355">
        <v>0</v>
      </c>
      <c r="O580" s="355">
        <v>0</v>
      </c>
      <c r="P580" s="355">
        <v>0</v>
      </c>
      <c r="Q580" s="355">
        <v>0</v>
      </c>
      <c r="R580" s="355">
        <v>0</v>
      </c>
      <c r="S580" s="355">
        <v>0</v>
      </c>
      <c r="T580" s="355">
        <v>0</v>
      </c>
      <c r="U580" s="356">
        <v>0</v>
      </c>
      <c r="V580" s="357">
        <v>0</v>
      </c>
      <c r="W580" s="358"/>
      <c r="X580" s="359">
        <v>0</v>
      </c>
      <c r="Y580" s="360">
        <v>0</v>
      </c>
    </row>
    <row r="581" spans="1:25" x14ac:dyDescent="0.3">
      <c r="A581" s="361"/>
      <c r="B581" s="361"/>
      <c r="C581" s="361"/>
      <c r="D581" s="361"/>
      <c r="E581" s="326" t="s">
        <v>1527</v>
      </c>
      <c r="F581" s="351"/>
      <c r="G581" s="352"/>
      <c r="H581" s="353"/>
      <c r="I581" s="354"/>
      <c r="J581" s="362">
        <v>0</v>
      </c>
      <c r="K581" s="355">
        <v>0</v>
      </c>
      <c r="L581" s="355">
        <v>0</v>
      </c>
      <c r="M581" s="355">
        <v>0</v>
      </c>
      <c r="N581" s="355">
        <v>0</v>
      </c>
      <c r="O581" s="355">
        <v>0</v>
      </c>
      <c r="P581" s="355">
        <v>0</v>
      </c>
      <c r="Q581" s="355">
        <v>0</v>
      </c>
      <c r="R581" s="355">
        <v>0</v>
      </c>
      <c r="S581" s="355">
        <v>0</v>
      </c>
      <c r="T581" s="355">
        <v>0</v>
      </c>
      <c r="U581" s="356">
        <v>0</v>
      </c>
      <c r="V581" s="357">
        <v>0</v>
      </c>
      <c r="W581" s="358"/>
      <c r="X581" s="359">
        <v>0</v>
      </c>
      <c r="Y581" s="360">
        <v>0</v>
      </c>
    </row>
    <row r="582" spans="1:25" x14ac:dyDescent="0.3">
      <c r="A582" s="361"/>
      <c r="B582" s="361"/>
      <c r="C582" s="361"/>
      <c r="D582" s="361"/>
      <c r="E582" s="326" t="s">
        <v>1528</v>
      </c>
      <c r="F582" s="351"/>
      <c r="G582" s="352"/>
      <c r="H582" s="353"/>
      <c r="I582" s="354"/>
      <c r="J582" s="362">
        <v>0</v>
      </c>
      <c r="K582" s="355">
        <v>0</v>
      </c>
      <c r="L582" s="355">
        <v>0</v>
      </c>
      <c r="M582" s="355">
        <v>0</v>
      </c>
      <c r="N582" s="355">
        <v>0</v>
      </c>
      <c r="O582" s="355">
        <v>0</v>
      </c>
      <c r="P582" s="355">
        <v>0</v>
      </c>
      <c r="Q582" s="355">
        <v>0</v>
      </c>
      <c r="R582" s="355">
        <v>0</v>
      </c>
      <c r="S582" s="355">
        <v>0</v>
      </c>
      <c r="T582" s="355">
        <v>0</v>
      </c>
      <c r="U582" s="356">
        <v>0</v>
      </c>
      <c r="V582" s="357">
        <v>0</v>
      </c>
      <c r="W582" s="358"/>
      <c r="X582" s="359">
        <v>0</v>
      </c>
      <c r="Y582" s="360">
        <v>0</v>
      </c>
    </row>
    <row r="583" spans="1:25" x14ac:dyDescent="0.3">
      <c r="A583" s="361"/>
      <c r="B583" s="361"/>
      <c r="C583" s="361"/>
      <c r="D583" s="361"/>
      <c r="E583" s="326" t="s">
        <v>1529</v>
      </c>
      <c r="F583" s="351"/>
      <c r="G583" s="352"/>
      <c r="H583" s="353"/>
      <c r="I583" s="354"/>
      <c r="J583" s="362">
        <v>0</v>
      </c>
      <c r="K583" s="355">
        <v>0</v>
      </c>
      <c r="L583" s="355">
        <v>0</v>
      </c>
      <c r="M583" s="355">
        <v>0</v>
      </c>
      <c r="N583" s="355">
        <v>0</v>
      </c>
      <c r="O583" s="355">
        <v>0</v>
      </c>
      <c r="P583" s="355">
        <v>0</v>
      </c>
      <c r="Q583" s="355">
        <v>0</v>
      </c>
      <c r="R583" s="355">
        <v>0</v>
      </c>
      <c r="S583" s="355">
        <v>0</v>
      </c>
      <c r="T583" s="355">
        <v>0</v>
      </c>
      <c r="U583" s="356">
        <v>0</v>
      </c>
      <c r="V583" s="357">
        <v>0</v>
      </c>
      <c r="W583" s="358"/>
      <c r="X583" s="359">
        <v>0</v>
      </c>
      <c r="Y583" s="360">
        <v>0</v>
      </c>
    </row>
    <row r="584" spans="1:25" x14ac:dyDescent="0.3">
      <c r="A584" s="361"/>
      <c r="B584" s="361"/>
      <c r="C584" s="361"/>
      <c r="D584" s="361"/>
      <c r="E584" s="326" t="s">
        <v>1530</v>
      </c>
      <c r="F584" s="351"/>
      <c r="G584" s="352"/>
      <c r="H584" s="353"/>
      <c r="I584" s="354"/>
      <c r="J584" s="362">
        <v>0</v>
      </c>
      <c r="K584" s="355">
        <v>0</v>
      </c>
      <c r="L584" s="355">
        <v>0</v>
      </c>
      <c r="M584" s="355">
        <v>0</v>
      </c>
      <c r="N584" s="355">
        <v>0</v>
      </c>
      <c r="O584" s="355">
        <v>0</v>
      </c>
      <c r="P584" s="355">
        <v>0</v>
      </c>
      <c r="Q584" s="355">
        <v>0</v>
      </c>
      <c r="R584" s="355">
        <v>0</v>
      </c>
      <c r="S584" s="355">
        <v>0</v>
      </c>
      <c r="T584" s="355">
        <v>0</v>
      </c>
      <c r="U584" s="356">
        <v>0</v>
      </c>
      <c r="V584" s="357">
        <v>0</v>
      </c>
      <c r="W584" s="358"/>
      <c r="X584" s="359">
        <v>0</v>
      </c>
      <c r="Y584" s="360">
        <v>0</v>
      </c>
    </row>
    <row r="585" spans="1:25" x14ac:dyDescent="0.3">
      <c r="A585" s="233"/>
      <c r="B585" s="234" t="s">
        <v>41</v>
      </c>
      <c r="D585" s="293" t="s">
        <v>1531</v>
      </c>
      <c r="E585" s="294"/>
      <c r="F585" s="295" t="s">
        <v>1532</v>
      </c>
      <c r="G585" s="296"/>
      <c r="H585" s="297"/>
      <c r="I585" s="298"/>
      <c r="J585" s="299">
        <v>0</v>
      </c>
      <c r="K585" s="300">
        <v>0</v>
      </c>
      <c r="L585" s="300">
        <v>0</v>
      </c>
      <c r="M585" s="300">
        <v>0</v>
      </c>
      <c r="N585" s="300">
        <v>0</v>
      </c>
      <c r="O585" s="300">
        <v>0</v>
      </c>
      <c r="P585" s="300">
        <v>0</v>
      </c>
      <c r="Q585" s="300">
        <v>0</v>
      </c>
      <c r="R585" s="300">
        <v>0</v>
      </c>
      <c r="S585" s="300">
        <v>0</v>
      </c>
      <c r="T585" s="300">
        <v>0</v>
      </c>
      <c r="U585" s="301">
        <v>0</v>
      </c>
      <c r="V585" s="302">
        <v>0</v>
      </c>
      <c r="W585" s="303"/>
      <c r="X585" s="304">
        <v>0</v>
      </c>
      <c r="Y585" s="305">
        <v>0</v>
      </c>
    </row>
    <row r="586" spans="1:25" x14ac:dyDescent="0.3">
      <c r="E586" s="250" t="s">
        <v>1533</v>
      </c>
      <c r="F586" s="317">
        <v>4404000</v>
      </c>
      <c r="G586" s="318"/>
      <c r="H586" s="319"/>
      <c r="I586" s="320"/>
      <c r="J586" s="337">
        <v>0</v>
      </c>
      <c r="K586" s="321">
        <v>0</v>
      </c>
      <c r="L586" s="321">
        <v>0</v>
      </c>
      <c r="M586" s="321">
        <v>0</v>
      </c>
      <c r="N586" s="321">
        <v>0</v>
      </c>
      <c r="O586" s="321">
        <v>0</v>
      </c>
      <c r="P586" s="321">
        <v>0</v>
      </c>
      <c r="Q586" s="321">
        <v>0</v>
      </c>
      <c r="R586" s="321">
        <v>0</v>
      </c>
      <c r="S586" s="321">
        <v>0</v>
      </c>
      <c r="T586" s="321">
        <v>0</v>
      </c>
      <c r="U586" s="322">
        <v>0</v>
      </c>
      <c r="V586" s="323">
        <v>0</v>
      </c>
      <c r="W586" s="303"/>
      <c r="X586" s="324">
        <v>0</v>
      </c>
      <c r="Y586" s="325">
        <v>0</v>
      </c>
    </row>
    <row r="587" spans="1:25" x14ac:dyDescent="0.3">
      <c r="A587" s="326"/>
      <c r="B587" s="326"/>
      <c r="C587" s="326"/>
      <c r="D587" s="326"/>
      <c r="E587" s="326" t="s">
        <v>1534</v>
      </c>
      <c r="F587" s="336"/>
      <c r="G587" s="327"/>
      <c r="H587" s="328"/>
      <c r="I587" s="329"/>
      <c r="J587" s="338">
        <v>0</v>
      </c>
      <c r="K587" s="330">
        <v>0</v>
      </c>
      <c r="L587" s="330">
        <v>0</v>
      </c>
      <c r="M587" s="330">
        <v>0</v>
      </c>
      <c r="N587" s="330">
        <v>0</v>
      </c>
      <c r="O587" s="330">
        <v>0</v>
      </c>
      <c r="P587" s="330">
        <v>0</v>
      </c>
      <c r="Q587" s="330">
        <v>0</v>
      </c>
      <c r="R587" s="330">
        <v>0</v>
      </c>
      <c r="S587" s="330">
        <v>0</v>
      </c>
      <c r="T587" s="330">
        <v>0</v>
      </c>
      <c r="U587" s="331">
        <v>0</v>
      </c>
      <c r="V587" s="332">
        <v>0</v>
      </c>
      <c r="W587" s="333"/>
      <c r="X587" s="334">
        <v>0</v>
      </c>
      <c r="Y587" s="335">
        <v>0</v>
      </c>
    </row>
    <row r="588" spans="1:25" x14ac:dyDescent="0.3">
      <c r="A588" s="326"/>
      <c r="B588" s="326"/>
      <c r="C588" s="326"/>
      <c r="D588" s="326"/>
      <c r="E588" s="326" t="s">
        <v>1535</v>
      </c>
      <c r="F588" s="336"/>
      <c r="G588" s="327"/>
      <c r="H588" s="328"/>
      <c r="I588" s="329"/>
      <c r="J588" s="338">
        <v>0</v>
      </c>
      <c r="K588" s="330">
        <v>0</v>
      </c>
      <c r="L588" s="330">
        <v>0</v>
      </c>
      <c r="M588" s="330">
        <v>0</v>
      </c>
      <c r="N588" s="330">
        <v>0</v>
      </c>
      <c r="O588" s="330">
        <v>0</v>
      </c>
      <c r="P588" s="330">
        <v>0</v>
      </c>
      <c r="Q588" s="330">
        <v>0</v>
      </c>
      <c r="R588" s="330">
        <v>0</v>
      </c>
      <c r="S588" s="330">
        <v>0</v>
      </c>
      <c r="T588" s="330">
        <v>0</v>
      </c>
      <c r="U588" s="331">
        <v>0</v>
      </c>
      <c r="V588" s="332">
        <v>0</v>
      </c>
      <c r="W588" s="333"/>
      <c r="X588" s="334">
        <v>0</v>
      </c>
      <c r="Y588" s="335">
        <v>0</v>
      </c>
    </row>
    <row r="589" spans="1:25" x14ac:dyDescent="0.3">
      <c r="A589" s="326"/>
      <c r="B589" s="326"/>
      <c r="C589" s="326"/>
      <c r="D589" s="326"/>
      <c r="E589" s="326" t="s">
        <v>1536</v>
      </c>
      <c r="F589" s="336"/>
      <c r="G589" s="327"/>
      <c r="H589" s="328"/>
      <c r="I589" s="329"/>
      <c r="J589" s="338">
        <v>0</v>
      </c>
      <c r="K589" s="330">
        <v>0</v>
      </c>
      <c r="L589" s="330">
        <v>0</v>
      </c>
      <c r="M589" s="330">
        <v>0</v>
      </c>
      <c r="N589" s="330">
        <v>0</v>
      </c>
      <c r="O589" s="330">
        <v>0</v>
      </c>
      <c r="P589" s="330">
        <v>0</v>
      </c>
      <c r="Q589" s="330">
        <v>0</v>
      </c>
      <c r="R589" s="330">
        <v>0</v>
      </c>
      <c r="S589" s="330">
        <v>0</v>
      </c>
      <c r="T589" s="330">
        <v>0</v>
      </c>
      <c r="U589" s="331">
        <v>0</v>
      </c>
      <c r="V589" s="332">
        <v>0</v>
      </c>
      <c r="W589" s="333"/>
      <c r="X589" s="334">
        <v>0</v>
      </c>
      <c r="Y589" s="335">
        <v>0</v>
      </c>
    </row>
    <row r="590" spans="1:25" x14ac:dyDescent="0.3">
      <c r="A590" s="233"/>
      <c r="B590" s="234" t="s">
        <v>28</v>
      </c>
      <c r="D590" s="293" t="s">
        <v>1537</v>
      </c>
      <c r="E590" s="294"/>
      <c r="F590" s="295" t="s">
        <v>1538</v>
      </c>
      <c r="G590" s="296"/>
      <c r="H590" s="297"/>
      <c r="I590" s="298"/>
      <c r="J590" s="299">
        <v>0</v>
      </c>
      <c r="K590" s="300">
        <v>0</v>
      </c>
      <c r="L590" s="300">
        <v>0</v>
      </c>
      <c r="M590" s="300">
        <v>4.96</v>
      </c>
      <c r="N590" s="300">
        <v>0</v>
      </c>
      <c r="O590" s="300">
        <v>0</v>
      </c>
      <c r="P590" s="300">
        <v>157</v>
      </c>
      <c r="Q590" s="300">
        <v>0</v>
      </c>
      <c r="R590" s="300">
        <v>287</v>
      </c>
      <c r="S590" s="300">
        <v>0</v>
      </c>
      <c r="T590" s="300">
        <v>0</v>
      </c>
      <c r="U590" s="301">
        <v>1708.5</v>
      </c>
      <c r="V590" s="302">
        <v>2157.46</v>
      </c>
      <c r="W590" s="303"/>
      <c r="X590" s="304">
        <v>1708.5</v>
      </c>
      <c r="Y590" s="305">
        <v>2157.46</v>
      </c>
    </row>
    <row r="591" spans="1:25" x14ac:dyDescent="0.3">
      <c r="E591" s="250" t="s">
        <v>1539</v>
      </c>
      <c r="F591" s="317">
        <v>4304101</v>
      </c>
      <c r="G591" s="318"/>
      <c r="H591" s="319">
        <v>5101450199</v>
      </c>
      <c r="I591" s="320"/>
      <c r="J591" s="337">
        <v>0</v>
      </c>
      <c r="K591" s="321">
        <v>0</v>
      </c>
      <c r="L591" s="321">
        <v>0</v>
      </c>
      <c r="M591" s="321">
        <v>0</v>
      </c>
      <c r="N591" s="321">
        <v>0</v>
      </c>
      <c r="O591" s="321">
        <v>0</v>
      </c>
      <c r="P591" s="321">
        <v>0</v>
      </c>
      <c r="Q591" s="321">
        <v>0</v>
      </c>
      <c r="R591" s="321">
        <v>0</v>
      </c>
      <c r="S591" s="321">
        <v>0</v>
      </c>
      <c r="T591" s="321">
        <v>0</v>
      </c>
      <c r="U591" s="322">
        <v>0</v>
      </c>
      <c r="V591" s="323">
        <v>0</v>
      </c>
      <c r="W591" s="303"/>
      <c r="X591" s="324">
        <v>0</v>
      </c>
      <c r="Y591" s="325">
        <v>0</v>
      </c>
    </row>
    <row r="592" spans="1:25" x14ac:dyDescent="0.3">
      <c r="E592" s="250" t="s">
        <v>1540</v>
      </c>
      <c r="F592" s="317">
        <v>4304102</v>
      </c>
      <c r="G592" s="318"/>
      <c r="H592" s="319"/>
      <c r="I592" s="320"/>
      <c r="J592" s="337">
        <v>0</v>
      </c>
      <c r="K592" s="321">
        <v>0</v>
      </c>
      <c r="L592" s="321">
        <v>0</v>
      </c>
      <c r="M592" s="321">
        <v>0</v>
      </c>
      <c r="N592" s="321">
        <v>0</v>
      </c>
      <c r="O592" s="321">
        <v>0</v>
      </c>
      <c r="P592" s="321">
        <v>0</v>
      </c>
      <c r="Q592" s="321">
        <v>0</v>
      </c>
      <c r="R592" s="321">
        <v>0</v>
      </c>
      <c r="S592" s="321">
        <v>0</v>
      </c>
      <c r="T592" s="321">
        <v>0</v>
      </c>
      <c r="U592" s="322">
        <v>0</v>
      </c>
      <c r="V592" s="323">
        <v>0</v>
      </c>
      <c r="W592" s="303"/>
      <c r="X592" s="324">
        <v>0</v>
      </c>
      <c r="Y592" s="325">
        <v>0</v>
      </c>
    </row>
    <row r="593" spans="1:25" x14ac:dyDescent="0.3">
      <c r="A593" s="361"/>
      <c r="B593" s="361"/>
      <c r="E593" s="250" t="s">
        <v>1541</v>
      </c>
      <c r="F593" s="317">
        <v>4304103</v>
      </c>
      <c r="G593" s="318"/>
      <c r="H593" s="319">
        <v>5101450101</v>
      </c>
      <c r="I593" s="320"/>
      <c r="J593" s="337">
        <v>0</v>
      </c>
      <c r="K593" s="321">
        <v>0</v>
      </c>
      <c r="L593" s="321">
        <v>0</v>
      </c>
      <c r="M593" s="321">
        <v>0</v>
      </c>
      <c r="N593" s="321">
        <v>0</v>
      </c>
      <c r="O593" s="321">
        <v>0</v>
      </c>
      <c r="P593" s="321">
        <v>0</v>
      </c>
      <c r="Q593" s="321">
        <v>0</v>
      </c>
      <c r="R593" s="321">
        <v>0</v>
      </c>
      <c r="S593" s="321">
        <v>0</v>
      </c>
      <c r="T593" s="321">
        <v>0</v>
      </c>
      <c r="U593" s="322">
        <v>0</v>
      </c>
      <c r="V593" s="323">
        <v>0</v>
      </c>
      <c r="W593" s="303"/>
      <c r="X593" s="324">
        <v>0</v>
      </c>
      <c r="Y593" s="325">
        <v>0</v>
      </c>
    </row>
    <row r="594" spans="1:25" x14ac:dyDescent="0.3">
      <c r="E594" s="250" t="s">
        <v>1542</v>
      </c>
      <c r="F594" s="317">
        <v>4304104</v>
      </c>
      <c r="G594" s="318"/>
      <c r="H594" s="319">
        <v>5101450103</v>
      </c>
      <c r="I594" s="320"/>
      <c r="J594" s="337">
        <v>0</v>
      </c>
      <c r="K594" s="321">
        <v>0</v>
      </c>
      <c r="L594" s="321">
        <v>0</v>
      </c>
      <c r="M594" s="321">
        <v>0</v>
      </c>
      <c r="N594" s="321">
        <v>0</v>
      </c>
      <c r="O594" s="321">
        <v>0</v>
      </c>
      <c r="P594" s="321">
        <v>0</v>
      </c>
      <c r="Q594" s="321">
        <v>0</v>
      </c>
      <c r="R594" s="321">
        <v>0</v>
      </c>
      <c r="S594" s="321">
        <v>0</v>
      </c>
      <c r="T594" s="321">
        <v>0</v>
      </c>
      <c r="U594" s="322">
        <v>0</v>
      </c>
      <c r="V594" s="323">
        <v>0</v>
      </c>
      <c r="W594" s="303"/>
      <c r="X594" s="324">
        <v>0</v>
      </c>
      <c r="Y594" s="325">
        <v>0</v>
      </c>
    </row>
    <row r="595" spans="1:25" x14ac:dyDescent="0.3">
      <c r="E595" s="250" t="s">
        <v>1543</v>
      </c>
      <c r="F595" s="317">
        <v>4304105</v>
      </c>
      <c r="G595" s="318"/>
      <c r="H595" s="319"/>
      <c r="I595" s="320"/>
      <c r="J595" s="337">
        <v>0</v>
      </c>
      <c r="K595" s="321">
        <v>0</v>
      </c>
      <c r="L595" s="321">
        <v>0</v>
      </c>
      <c r="M595" s="321">
        <v>0</v>
      </c>
      <c r="N595" s="321">
        <v>0</v>
      </c>
      <c r="O595" s="321">
        <v>0</v>
      </c>
      <c r="P595" s="321">
        <v>157</v>
      </c>
      <c r="Q595" s="321">
        <v>0</v>
      </c>
      <c r="R595" s="321">
        <v>287</v>
      </c>
      <c r="S595" s="321">
        <v>0</v>
      </c>
      <c r="T595" s="321">
        <v>0</v>
      </c>
      <c r="U595" s="322">
        <v>0</v>
      </c>
      <c r="V595" s="323">
        <v>444</v>
      </c>
      <c r="W595" s="303"/>
      <c r="X595" s="324">
        <v>0</v>
      </c>
      <c r="Y595" s="325">
        <v>444</v>
      </c>
    </row>
    <row r="596" spans="1:25" x14ac:dyDescent="0.3">
      <c r="E596" s="250" t="s">
        <v>1544</v>
      </c>
      <c r="F596" s="317">
        <v>4304106</v>
      </c>
      <c r="G596" s="318"/>
      <c r="H596" s="319"/>
      <c r="I596" s="320"/>
      <c r="J596" s="337">
        <v>0</v>
      </c>
      <c r="K596" s="321">
        <v>0</v>
      </c>
      <c r="L596" s="321">
        <v>0</v>
      </c>
      <c r="M596" s="321">
        <v>0</v>
      </c>
      <c r="N596" s="321">
        <v>0</v>
      </c>
      <c r="O596" s="321">
        <v>0</v>
      </c>
      <c r="P596" s="321">
        <v>0</v>
      </c>
      <c r="Q596" s="321">
        <v>0</v>
      </c>
      <c r="R596" s="321">
        <v>0</v>
      </c>
      <c r="S596" s="321">
        <v>0</v>
      </c>
      <c r="T596" s="321">
        <v>0</v>
      </c>
      <c r="U596" s="322">
        <v>0</v>
      </c>
      <c r="V596" s="323">
        <v>0</v>
      </c>
      <c r="W596" s="303"/>
      <c r="X596" s="324">
        <v>0</v>
      </c>
      <c r="Y596" s="325">
        <v>0</v>
      </c>
    </row>
    <row r="597" spans="1:25" x14ac:dyDescent="0.3">
      <c r="E597" s="250" t="s">
        <v>1545</v>
      </c>
      <c r="F597" s="317">
        <v>4304107</v>
      </c>
      <c r="G597" s="318"/>
      <c r="H597" s="319"/>
      <c r="I597" s="320"/>
      <c r="J597" s="337">
        <v>0</v>
      </c>
      <c r="K597" s="321">
        <v>0</v>
      </c>
      <c r="L597" s="321">
        <v>0</v>
      </c>
      <c r="M597" s="321">
        <v>0</v>
      </c>
      <c r="N597" s="321">
        <v>0</v>
      </c>
      <c r="O597" s="321">
        <v>0</v>
      </c>
      <c r="P597" s="321">
        <v>0</v>
      </c>
      <c r="Q597" s="321">
        <v>0</v>
      </c>
      <c r="R597" s="321">
        <v>0</v>
      </c>
      <c r="S597" s="321">
        <v>0</v>
      </c>
      <c r="T597" s="321">
        <v>0</v>
      </c>
      <c r="U597" s="322">
        <v>0</v>
      </c>
      <c r="V597" s="323">
        <v>0</v>
      </c>
      <c r="W597" s="303"/>
      <c r="X597" s="324">
        <v>0</v>
      </c>
      <c r="Y597" s="325">
        <v>0</v>
      </c>
    </row>
    <row r="598" spans="1:25" x14ac:dyDescent="0.3">
      <c r="E598" s="250" t="s">
        <v>1546</v>
      </c>
      <c r="F598" s="317">
        <v>4304108</v>
      </c>
      <c r="G598" s="318"/>
      <c r="H598" s="319"/>
      <c r="I598" s="320"/>
      <c r="J598" s="337">
        <v>0</v>
      </c>
      <c r="K598" s="321">
        <v>0</v>
      </c>
      <c r="L598" s="321">
        <v>0</v>
      </c>
      <c r="M598" s="321">
        <v>0</v>
      </c>
      <c r="N598" s="321">
        <v>0</v>
      </c>
      <c r="O598" s="321">
        <v>0</v>
      </c>
      <c r="P598" s="321">
        <v>0</v>
      </c>
      <c r="Q598" s="321">
        <v>0</v>
      </c>
      <c r="R598" s="321">
        <v>0</v>
      </c>
      <c r="S598" s="321">
        <v>0</v>
      </c>
      <c r="T598" s="321">
        <v>0</v>
      </c>
      <c r="U598" s="322">
        <v>0</v>
      </c>
      <c r="V598" s="323">
        <v>0</v>
      </c>
      <c r="W598" s="303"/>
      <c r="X598" s="324">
        <v>0</v>
      </c>
      <c r="Y598" s="325">
        <v>0</v>
      </c>
    </row>
    <row r="599" spans="1:25" x14ac:dyDescent="0.3">
      <c r="E599" s="250" t="s">
        <v>1547</v>
      </c>
      <c r="F599" s="317">
        <v>4304109</v>
      </c>
      <c r="G599" s="318"/>
      <c r="H599" s="319"/>
      <c r="I599" s="320"/>
      <c r="J599" s="337">
        <v>0</v>
      </c>
      <c r="K599" s="321">
        <v>0</v>
      </c>
      <c r="L599" s="321">
        <v>0</v>
      </c>
      <c r="M599" s="321">
        <v>0</v>
      </c>
      <c r="N599" s="321">
        <v>0</v>
      </c>
      <c r="O599" s="321">
        <v>0</v>
      </c>
      <c r="P599" s="321">
        <v>0</v>
      </c>
      <c r="Q599" s="321">
        <v>0</v>
      </c>
      <c r="R599" s="321">
        <v>0</v>
      </c>
      <c r="S599" s="321">
        <v>0</v>
      </c>
      <c r="T599" s="321">
        <v>0</v>
      </c>
      <c r="U599" s="322">
        <v>0</v>
      </c>
      <c r="V599" s="323">
        <v>0</v>
      </c>
      <c r="W599" s="303"/>
      <c r="X599" s="324">
        <v>0</v>
      </c>
      <c r="Y599" s="325">
        <v>0</v>
      </c>
    </row>
    <row r="600" spans="1:25" x14ac:dyDescent="0.3">
      <c r="E600" s="250" t="s">
        <v>1548</v>
      </c>
      <c r="F600" s="317">
        <v>4304110</v>
      </c>
      <c r="G600" s="318"/>
      <c r="H600" s="319"/>
      <c r="I600" s="320"/>
      <c r="J600" s="337">
        <v>0</v>
      </c>
      <c r="K600" s="321">
        <v>0</v>
      </c>
      <c r="L600" s="321">
        <v>0</v>
      </c>
      <c r="M600" s="321">
        <v>0</v>
      </c>
      <c r="N600" s="321">
        <v>0</v>
      </c>
      <c r="O600" s="321">
        <v>0</v>
      </c>
      <c r="P600" s="321">
        <v>0</v>
      </c>
      <c r="Q600" s="321">
        <v>0</v>
      </c>
      <c r="R600" s="321">
        <v>0</v>
      </c>
      <c r="S600" s="321">
        <v>0</v>
      </c>
      <c r="T600" s="321">
        <v>0</v>
      </c>
      <c r="U600" s="322">
        <v>0</v>
      </c>
      <c r="V600" s="323">
        <v>0</v>
      </c>
      <c r="W600" s="303"/>
      <c r="X600" s="324">
        <v>0</v>
      </c>
      <c r="Y600" s="325">
        <v>0</v>
      </c>
    </row>
    <row r="601" spans="1:25" x14ac:dyDescent="0.3">
      <c r="E601" s="250" t="s">
        <v>1549</v>
      </c>
      <c r="F601" s="317">
        <v>4304199</v>
      </c>
      <c r="G601" s="318"/>
      <c r="H601" s="319"/>
      <c r="I601" s="320"/>
      <c r="J601" s="337">
        <v>0</v>
      </c>
      <c r="K601" s="321">
        <v>0</v>
      </c>
      <c r="L601" s="321">
        <v>0</v>
      </c>
      <c r="M601" s="321">
        <v>4.96</v>
      </c>
      <c r="N601" s="321">
        <v>0</v>
      </c>
      <c r="O601" s="321">
        <v>0</v>
      </c>
      <c r="P601" s="321">
        <v>0</v>
      </c>
      <c r="Q601" s="321">
        <v>0</v>
      </c>
      <c r="R601" s="321">
        <v>0</v>
      </c>
      <c r="S601" s="321">
        <v>0</v>
      </c>
      <c r="T601" s="321">
        <v>0</v>
      </c>
      <c r="U601" s="322">
        <v>1708.5</v>
      </c>
      <c r="V601" s="323">
        <v>1713.46</v>
      </c>
      <c r="W601" s="303"/>
      <c r="X601" s="324">
        <v>1708.5</v>
      </c>
      <c r="Y601" s="325">
        <v>1713.46</v>
      </c>
    </row>
    <row r="602" spans="1:25" x14ac:dyDescent="0.3">
      <c r="A602" s="326"/>
      <c r="B602" s="326"/>
      <c r="C602" s="326"/>
      <c r="D602" s="326"/>
      <c r="E602" s="326" t="s">
        <v>1550</v>
      </c>
      <c r="F602" s="336"/>
      <c r="G602" s="327"/>
      <c r="H602" s="328"/>
      <c r="I602" s="329"/>
      <c r="J602" s="338">
        <v>0</v>
      </c>
      <c r="K602" s="330">
        <v>0</v>
      </c>
      <c r="L602" s="330">
        <v>0</v>
      </c>
      <c r="M602" s="330">
        <v>0</v>
      </c>
      <c r="N602" s="330">
        <v>0</v>
      </c>
      <c r="O602" s="330">
        <v>0</v>
      </c>
      <c r="P602" s="330">
        <v>0</v>
      </c>
      <c r="Q602" s="330">
        <v>0</v>
      </c>
      <c r="R602" s="330">
        <v>0</v>
      </c>
      <c r="S602" s="330">
        <v>0</v>
      </c>
      <c r="T602" s="330">
        <v>0</v>
      </c>
      <c r="U602" s="331">
        <v>0</v>
      </c>
      <c r="V602" s="332">
        <v>0</v>
      </c>
      <c r="W602" s="333"/>
      <c r="X602" s="334">
        <v>0</v>
      </c>
      <c r="Y602" s="335">
        <v>0</v>
      </c>
    </row>
    <row r="603" spans="1:25" x14ac:dyDescent="0.3">
      <c r="A603" s="326"/>
      <c r="B603" s="326"/>
      <c r="C603" s="326"/>
      <c r="D603" s="326"/>
      <c r="E603" s="326" t="s">
        <v>1551</v>
      </c>
      <c r="F603" s="336"/>
      <c r="G603" s="327"/>
      <c r="H603" s="328"/>
      <c r="I603" s="329"/>
      <c r="J603" s="338">
        <v>0</v>
      </c>
      <c r="K603" s="330">
        <v>0</v>
      </c>
      <c r="L603" s="330">
        <v>0</v>
      </c>
      <c r="M603" s="330">
        <v>0</v>
      </c>
      <c r="N603" s="330">
        <v>0</v>
      </c>
      <c r="O603" s="330">
        <v>0</v>
      </c>
      <c r="P603" s="330">
        <v>0</v>
      </c>
      <c r="Q603" s="330">
        <v>0</v>
      </c>
      <c r="R603" s="330">
        <v>0</v>
      </c>
      <c r="S603" s="330">
        <v>0</v>
      </c>
      <c r="T603" s="330">
        <v>0</v>
      </c>
      <c r="U603" s="331">
        <v>0</v>
      </c>
      <c r="V603" s="332">
        <v>0</v>
      </c>
      <c r="W603" s="333"/>
      <c r="X603" s="334">
        <v>0</v>
      </c>
      <c r="Y603" s="335">
        <v>0</v>
      </c>
    </row>
    <row r="604" spans="1:25" x14ac:dyDescent="0.3">
      <c r="A604" s="326"/>
      <c r="B604" s="326"/>
      <c r="C604" s="326"/>
      <c r="D604" s="326"/>
      <c r="E604" s="326" t="s">
        <v>1552</v>
      </c>
      <c r="F604" s="336"/>
      <c r="G604" s="327"/>
      <c r="H604" s="328"/>
      <c r="I604" s="329"/>
      <c r="J604" s="338">
        <v>0</v>
      </c>
      <c r="K604" s="330">
        <v>0</v>
      </c>
      <c r="L604" s="330">
        <v>0</v>
      </c>
      <c r="M604" s="330">
        <v>0</v>
      </c>
      <c r="N604" s="330">
        <v>0</v>
      </c>
      <c r="O604" s="330">
        <v>0</v>
      </c>
      <c r="P604" s="330">
        <v>0</v>
      </c>
      <c r="Q604" s="330">
        <v>0</v>
      </c>
      <c r="R604" s="330">
        <v>0</v>
      </c>
      <c r="S604" s="330">
        <v>0</v>
      </c>
      <c r="T604" s="330">
        <v>0</v>
      </c>
      <c r="U604" s="331">
        <v>0</v>
      </c>
      <c r="V604" s="332">
        <v>0</v>
      </c>
      <c r="W604" s="333"/>
      <c r="X604" s="334">
        <v>0</v>
      </c>
      <c r="Y604" s="335">
        <v>0</v>
      </c>
    </row>
    <row r="605" spans="1:25" x14ac:dyDescent="0.3">
      <c r="A605" s="233"/>
      <c r="B605" s="234" t="s">
        <v>30</v>
      </c>
      <c r="D605" s="293" t="s">
        <v>1553</v>
      </c>
      <c r="E605" s="294"/>
      <c r="F605" s="295" t="s">
        <v>1554</v>
      </c>
      <c r="G605" s="296"/>
      <c r="H605" s="297"/>
      <c r="I605" s="298"/>
      <c r="J605" s="299">
        <v>0</v>
      </c>
      <c r="K605" s="300">
        <v>0</v>
      </c>
      <c r="L605" s="300">
        <v>0</v>
      </c>
      <c r="M605" s="300">
        <v>0</v>
      </c>
      <c r="N605" s="300">
        <v>0</v>
      </c>
      <c r="O605" s="300">
        <v>0</v>
      </c>
      <c r="P605" s="300">
        <v>0</v>
      </c>
      <c r="Q605" s="300">
        <v>0</v>
      </c>
      <c r="R605" s="300">
        <v>0</v>
      </c>
      <c r="S605" s="300">
        <v>0</v>
      </c>
      <c r="T605" s="300">
        <v>0</v>
      </c>
      <c r="U605" s="301">
        <v>0</v>
      </c>
      <c r="V605" s="302">
        <v>0</v>
      </c>
      <c r="W605" s="303"/>
      <c r="X605" s="304">
        <v>0</v>
      </c>
      <c r="Y605" s="305">
        <v>0</v>
      </c>
    </row>
    <row r="606" spans="1:25" x14ac:dyDescent="0.3">
      <c r="E606" s="250" t="s">
        <v>1555</v>
      </c>
      <c r="F606" s="317">
        <v>4304702</v>
      </c>
      <c r="G606" s="318"/>
      <c r="H606" s="319"/>
      <c r="I606" s="320"/>
      <c r="J606" s="337">
        <v>0</v>
      </c>
      <c r="K606" s="321">
        <v>0</v>
      </c>
      <c r="L606" s="321">
        <v>0</v>
      </c>
      <c r="M606" s="321">
        <v>0</v>
      </c>
      <c r="N606" s="321">
        <v>0</v>
      </c>
      <c r="O606" s="321">
        <v>0</v>
      </c>
      <c r="P606" s="321">
        <v>0</v>
      </c>
      <c r="Q606" s="321">
        <v>0</v>
      </c>
      <c r="R606" s="321">
        <v>0</v>
      </c>
      <c r="S606" s="321">
        <v>0</v>
      </c>
      <c r="T606" s="321">
        <v>0</v>
      </c>
      <c r="U606" s="322">
        <v>0</v>
      </c>
      <c r="V606" s="323">
        <v>0</v>
      </c>
      <c r="W606" s="303"/>
      <c r="X606" s="324">
        <v>0</v>
      </c>
      <c r="Y606" s="325">
        <v>0</v>
      </c>
    </row>
    <row r="607" spans="1:25" x14ac:dyDescent="0.3">
      <c r="E607" s="250" t="s">
        <v>1556</v>
      </c>
      <c r="F607" s="317">
        <v>4304703</v>
      </c>
      <c r="G607" s="318"/>
      <c r="H607" s="319"/>
      <c r="I607" s="320"/>
      <c r="J607" s="337">
        <v>0</v>
      </c>
      <c r="K607" s="321">
        <v>0</v>
      </c>
      <c r="L607" s="321">
        <v>0</v>
      </c>
      <c r="M607" s="321">
        <v>0</v>
      </c>
      <c r="N607" s="321">
        <v>0</v>
      </c>
      <c r="O607" s="321">
        <v>0</v>
      </c>
      <c r="P607" s="321">
        <v>0</v>
      </c>
      <c r="Q607" s="321">
        <v>0</v>
      </c>
      <c r="R607" s="321">
        <v>0</v>
      </c>
      <c r="S607" s="321">
        <v>0</v>
      </c>
      <c r="T607" s="321">
        <v>0</v>
      </c>
      <c r="U607" s="322">
        <v>0</v>
      </c>
      <c r="V607" s="323">
        <v>0</v>
      </c>
      <c r="W607" s="303"/>
      <c r="X607" s="324">
        <v>0</v>
      </c>
      <c r="Y607" s="325">
        <v>0</v>
      </c>
    </row>
    <row r="608" spans="1:25" x14ac:dyDescent="0.3">
      <c r="E608" s="250" t="s">
        <v>1557</v>
      </c>
      <c r="F608" s="317">
        <v>4304707</v>
      </c>
      <c r="G608" s="318"/>
      <c r="H608" s="319">
        <v>5101470199</v>
      </c>
      <c r="I608" s="320"/>
      <c r="J608" s="337">
        <v>0</v>
      </c>
      <c r="K608" s="321">
        <v>0</v>
      </c>
      <c r="L608" s="321">
        <v>0</v>
      </c>
      <c r="M608" s="321">
        <v>0</v>
      </c>
      <c r="N608" s="321">
        <v>0</v>
      </c>
      <c r="O608" s="321">
        <v>0</v>
      </c>
      <c r="P608" s="321">
        <v>0</v>
      </c>
      <c r="Q608" s="321">
        <v>0</v>
      </c>
      <c r="R608" s="321">
        <v>0</v>
      </c>
      <c r="S608" s="321">
        <v>0</v>
      </c>
      <c r="T608" s="321">
        <v>0</v>
      </c>
      <c r="U608" s="322">
        <v>0</v>
      </c>
      <c r="V608" s="323">
        <v>0</v>
      </c>
      <c r="W608" s="303"/>
      <c r="X608" s="324">
        <v>0</v>
      </c>
      <c r="Y608" s="325">
        <v>0</v>
      </c>
    </row>
    <row r="609" spans="1:25" x14ac:dyDescent="0.3">
      <c r="E609" s="250" t="s">
        <v>1558</v>
      </c>
      <c r="F609" s="317">
        <v>4304799</v>
      </c>
      <c r="G609" s="318"/>
      <c r="H609" s="319"/>
      <c r="I609" s="320"/>
      <c r="J609" s="337">
        <v>0</v>
      </c>
      <c r="K609" s="321">
        <v>0</v>
      </c>
      <c r="L609" s="321">
        <v>0</v>
      </c>
      <c r="M609" s="321">
        <v>0</v>
      </c>
      <c r="N609" s="321">
        <v>0</v>
      </c>
      <c r="O609" s="321">
        <v>0</v>
      </c>
      <c r="P609" s="321">
        <v>0</v>
      </c>
      <c r="Q609" s="321">
        <v>0</v>
      </c>
      <c r="R609" s="321">
        <v>0</v>
      </c>
      <c r="S609" s="321">
        <v>0</v>
      </c>
      <c r="T609" s="321">
        <v>0</v>
      </c>
      <c r="U609" s="322">
        <v>0</v>
      </c>
      <c r="V609" s="323">
        <v>0</v>
      </c>
      <c r="W609" s="303"/>
      <c r="X609" s="324">
        <v>0</v>
      </c>
      <c r="Y609" s="325">
        <v>0</v>
      </c>
    </row>
    <row r="610" spans="1:25" x14ac:dyDescent="0.3">
      <c r="A610" s="326"/>
      <c r="B610" s="326"/>
      <c r="C610" s="326"/>
      <c r="D610" s="326"/>
      <c r="E610" s="326" t="s">
        <v>1559</v>
      </c>
      <c r="F610" s="336"/>
      <c r="G610" s="327"/>
      <c r="H610" s="328"/>
      <c r="I610" s="329"/>
      <c r="J610" s="338">
        <v>0</v>
      </c>
      <c r="K610" s="330">
        <v>0</v>
      </c>
      <c r="L610" s="330">
        <v>0</v>
      </c>
      <c r="M610" s="330">
        <v>0</v>
      </c>
      <c r="N610" s="330">
        <v>0</v>
      </c>
      <c r="O610" s="330">
        <v>0</v>
      </c>
      <c r="P610" s="330">
        <v>0</v>
      </c>
      <c r="Q610" s="330">
        <v>0</v>
      </c>
      <c r="R610" s="330">
        <v>0</v>
      </c>
      <c r="S610" s="330">
        <v>0</v>
      </c>
      <c r="T610" s="330">
        <v>0</v>
      </c>
      <c r="U610" s="331">
        <v>0</v>
      </c>
      <c r="V610" s="332">
        <v>0</v>
      </c>
      <c r="W610" s="333"/>
      <c r="X610" s="334">
        <v>0</v>
      </c>
      <c r="Y610" s="335">
        <v>0</v>
      </c>
    </row>
    <row r="611" spans="1:25" x14ac:dyDescent="0.3">
      <c r="A611" s="326"/>
      <c r="B611" s="326"/>
      <c r="C611" s="326"/>
      <c r="D611" s="326"/>
      <c r="E611" s="326" t="s">
        <v>1560</v>
      </c>
      <c r="F611" s="336"/>
      <c r="G611" s="327"/>
      <c r="H611" s="328"/>
      <c r="I611" s="329"/>
      <c r="J611" s="338">
        <v>0</v>
      </c>
      <c r="K611" s="330">
        <v>0</v>
      </c>
      <c r="L611" s="330">
        <v>0</v>
      </c>
      <c r="M611" s="330">
        <v>0</v>
      </c>
      <c r="N611" s="330">
        <v>0</v>
      </c>
      <c r="O611" s="330">
        <v>0</v>
      </c>
      <c r="P611" s="330">
        <v>0</v>
      </c>
      <c r="Q611" s="330">
        <v>0</v>
      </c>
      <c r="R611" s="330">
        <v>0</v>
      </c>
      <c r="S611" s="330">
        <v>0</v>
      </c>
      <c r="T611" s="330">
        <v>0</v>
      </c>
      <c r="U611" s="331">
        <v>0</v>
      </c>
      <c r="V611" s="332">
        <v>0</v>
      </c>
      <c r="W611" s="333"/>
      <c r="X611" s="334">
        <v>0</v>
      </c>
      <c r="Y611" s="335">
        <v>0</v>
      </c>
    </row>
    <row r="612" spans="1:25" x14ac:dyDescent="0.3">
      <c r="A612" s="326"/>
      <c r="B612" s="326"/>
      <c r="C612" s="326"/>
      <c r="D612" s="326"/>
      <c r="E612" s="326" t="s">
        <v>1561</v>
      </c>
      <c r="F612" s="336"/>
      <c r="G612" s="327"/>
      <c r="H612" s="328"/>
      <c r="I612" s="329"/>
      <c r="J612" s="338">
        <v>0</v>
      </c>
      <c r="K612" s="330">
        <v>0</v>
      </c>
      <c r="L612" s="330">
        <v>0</v>
      </c>
      <c r="M612" s="330">
        <v>0</v>
      </c>
      <c r="N612" s="330">
        <v>0</v>
      </c>
      <c r="O612" s="330">
        <v>0</v>
      </c>
      <c r="P612" s="330">
        <v>0</v>
      </c>
      <c r="Q612" s="330">
        <v>0</v>
      </c>
      <c r="R612" s="330">
        <v>0</v>
      </c>
      <c r="S612" s="330">
        <v>0</v>
      </c>
      <c r="T612" s="330">
        <v>0</v>
      </c>
      <c r="U612" s="331">
        <v>0</v>
      </c>
      <c r="V612" s="332">
        <v>0</v>
      </c>
      <c r="W612" s="333"/>
      <c r="X612" s="334">
        <v>0</v>
      </c>
      <c r="Y612" s="335">
        <v>0</v>
      </c>
    </row>
    <row r="613" spans="1:25" x14ac:dyDescent="0.3">
      <c r="A613" s="233"/>
      <c r="B613" s="234" t="s">
        <v>34</v>
      </c>
      <c r="D613" s="293" t="s">
        <v>1562</v>
      </c>
      <c r="E613" s="294"/>
      <c r="F613" s="295" t="s">
        <v>1563</v>
      </c>
      <c r="G613" s="296"/>
      <c r="H613" s="297"/>
      <c r="I613" s="298"/>
      <c r="J613" s="299">
        <v>375.07</v>
      </c>
      <c r="K613" s="300">
        <v>344.01099999999997</v>
      </c>
      <c r="L613" s="300">
        <v>108.15</v>
      </c>
      <c r="M613" s="300">
        <v>119.47</v>
      </c>
      <c r="N613" s="300">
        <v>38.200000000000003</v>
      </c>
      <c r="O613" s="300">
        <v>163.5</v>
      </c>
      <c r="P613" s="300">
        <v>28.55</v>
      </c>
      <c r="Q613" s="300">
        <v>192.54999999999998</v>
      </c>
      <c r="R613" s="300">
        <v>342.03000000000003</v>
      </c>
      <c r="S613" s="300">
        <v>134.19999999999999</v>
      </c>
      <c r="T613" s="300">
        <v>94.05</v>
      </c>
      <c r="U613" s="301">
        <v>708.18499999999995</v>
      </c>
      <c r="V613" s="302">
        <v>2647.9659999999999</v>
      </c>
      <c r="W613" s="303"/>
      <c r="X613" s="304">
        <v>708.18499999999995</v>
      </c>
      <c r="Y613" s="305">
        <v>2647.9659999999999</v>
      </c>
    </row>
    <row r="614" spans="1:25" x14ac:dyDescent="0.3">
      <c r="E614" s="250" t="s">
        <v>1564</v>
      </c>
      <c r="F614" s="317">
        <v>4305901</v>
      </c>
      <c r="G614" s="318"/>
      <c r="H614" s="319">
        <v>5101550101</v>
      </c>
      <c r="I614" s="320"/>
      <c r="J614" s="337">
        <v>173.7</v>
      </c>
      <c r="K614" s="321">
        <v>191.06100000000001</v>
      </c>
      <c r="L614" s="321">
        <v>66.900000000000006</v>
      </c>
      <c r="M614" s="321">
        <v>65.52</v>
      </c>
      <c r="N614" s="321">
        <v>16</v>
      </c>
      <c r="O614" s="321">
        <v>122.25</v>
      </c>
      <c r="P614" s="321">
        <v>0</v>
      </c>
      <c r="Q614" s="321">
        <v>176.7</v>
      </c>
      <c r="R614" s="321">
        <v>294.43</v>
      </c>
      <c r="S614" s="321">
        <v>124.7</v>
      </c>
      <c r="T614" s="321">
        <v>64.349999999999994</v>
      </c>
      <c r="U614" s="322">
        <v>450.66500000000002</v>
      </c>
      <c r="V614" s="323">
        <v>1746.2759999999998</v>
      </c>
      <c r="W614" s="303"/>
      <c r="X614" s="324">
        <v>450.66500000000002</v>
      </c>
      <c r="Y614" s="325">
        <v>1746.2759999999998</v>
      </c>
    </row>
    <row r="615" spans="1:25" x14ac:dyDescent="0.3">
      <c r="E615" s="250" t="s">
        <v>1565</v>
      </c>
      <c r="F615" s="317">
        <v>4305902</v>
      </c>
      <c r="G615" s="318"/>
      <c r="H615" s="319"/>
      <c r="I615" s="320"/>
      <c r="J615" s="337">
        <v>0</v>
      </c>
      <c r="K615" s="321">
        <v>0</v>
      </c>
      <c r="L615" s="321">
        <v>0</v>
      </c>
      <c r="M615" s="321">
        <v>0</v>
      </c>
      <c r="N615" s="321">
        <v>0</v>
      </c>
      <c r="O615" s="321">
        <v>0</v>
      </c>
      <c r="P615" s="321">
        <v>0</v>
      </c>
      <c r="Q615" s="321">
        <v>0</v>
      </c>
      <c r="R615" s="321">
        <v>0</v>
      </c>
      <c r="S615" s="321">
        <v>0</v>
      </c>
      <c r="T615" s="321">
        <v>0</v>
      </c>
      <c r="U615" s="322">
        <v>0</v>
      </c>
      <c r="V615" s="323">
        <v>0</v>
      </c>
      <c r="W615" s="303"/>
      <c r="X615" s="324">
        <v>0</v>
      </c>
      <c r="Y615" s="325">
        <v>0</v>
      </c>
    </row>
    <row r="616" spans="1:25" x14ac:dyDescent="0.3">
      <c r="E616" s="250" t="s">
        <v>1566</v>
      </c>
      <c r="F616" s="317">
        <v>4305904</v>
      </c>
      <c r="G616" s="318"/>
      <c r="H616" s="319"/>
      <c r="I616" s="320"/>
      <c r="J616" s="337">
        <v>0</v>
      </c>
      <c r="K616" s="321">
        <v>0</v>
      </c>
      <c r="L616" s="321">
        <v>0</v>
      </c>
      <c r="M616" s="321">
        <v>0</v>
      </c>
      <c r="N616" s="321">
        <v>0</v>
      </c>
      <c r="O616" s="321">
        <v>0</v>
      </c>
      <c r="P616" s="321">
        <v>0</v>
      </c>
      <c r="Q616" s="321">
        <v>0</v>
      </c>
      <c r="R616" s="321">
        <v>0</v>
      </c>
      <c r="S616" s="321">
        <v>0</v>
      </c>
      <c r="T616" s="321">
        <v>0</v>
      </c>
      <c r="U616" s="322">
        <v>0</v>
      </c>
      <c r="V616" s="323">
        <v>0</v>
      </c>
      <c r="W616" s="303"/>
      <c r="X616" s="324">
        <v>0</v>
      </c>
      <c r="Y616" s="325">
        <v>0</v>
      </c>
    </row>
    <row r="617" spans="1:25" x14ac:dyDescent="0.3">
      <c r="E617" s="250" t="s">
        <v>1567</v>
      </c>
      <c r="F617" s="317">
        <v>4305999</v>
      </c>
      <c r="G617" s="318"/>
      <c r="H617" s="319">
        <v>5101550199</v>
      </c>
      <c r="I617" s="320"/>
      <c r="J617" s="337">
        <v>201.37</v>
      </c>
      <c r="K617" s="321">
        <v>152.94999999999999</v>
      </c>
      <c r="L617" s="321">
        <v>41.25</v>
      </c>
      <c r="M617" s="321">
        <v>53.95</v>
      </c>
      <c r="N617" s="321">
        <v>22.2</v>
      </c>
      <c r="O617" s="321">
        <v>41.25</v>
      </c>
      <c r="P617" s="321">
        <v>28.55</v>
      </c>
      <c r="Q617" s="321">
        <v>15.85</v>
      </c>
      <c r="R617" s="321">
        <v>47.6</v>
      </c>
      <c r="S617" s="321">
        <v>9.5</v>
      </c>
      <c r="T617" s="321">
        <v>29.7</v>
      </c>
      <c r="U617" s="322">
        <v>257.52</v>
      </c>
      <c r="V617" s="323">
        <v>901.69</v>
      </c>
      <c r="W617" s="303"/>
      <c r="X617" s="324">
        <v>257.52</v>
      </c>
      <c r="Y617" s="325">
        <v>901.69</v>
      </c>
    </row>
    <row r="618" spans="1:25" x14ac:dyDescent="0.3">
      <c r="A618" s="326"/>
      <c r="B618" s="326"/>
      <c r="C618" s="326"/>
      <c r="D618" s="326"/>
      <c r="E618" s="326" t="s">
        <v>1568</v>
      </c>
      <c r="F618" s="336"/>
      <c r="G618" s="327"/>
      <c r="H618" s="328"/>
      <c r="I618" s="329"/>
      <c r="J618" s="338">
        <v>0</v>
      </c>
      <c r="K618" s="330">
        <v>0</v>
      </c>
      <c r="L618" s="330">
        <v>0</v>
      </c>
      <c r="M618" s="330">
        <v>0</v>
      </c>
      <c r="N618" s="330">
        <v>0</v>
      </c>
      <c r="O618" s="330">
        <v>0</v>
      </c>
      <c r="P618" s="330">
        <v>0</v>
      </c>
      <c r="Q618" s="330">
        <v>0</v>
      </c>
      <c r="R618" s="330">
        <v>0</v>
      </c>
      <c r="S618" s="330">
        <v>0</v>
      </c>
      <c r="T618" s="330">
        <v>0</v>
      </c>
      <c r="U618" s="331">
        <v>0</v>
      </c>
      <c r="V618" s="332">
        <v>0</v>
      </c>
      <c r="W618" s="333"/>
      <c r="X618" s="334">
        <v>0</v>
      </c>
      <c r="Y618" s="335">
        <v>0</v>
      </c>
    </row>
    <row r="619" spans="1:25" x14ac:dyDescent="0.3">
      <c r="A619" s="326"/>
      <c r="B619" s="326"/>
      <c r="C619" s="326"/>
      <c r="D619" s="326"/>
      <c r="E619" s="326" t="s">
        <v>1569</v>
      </c>
      <c r="F619" s="336"/>
      <c r="G619" s="327"/>
      <c r="H619" s="328"/>
      <c r="I619" s="329"/>
      <c r="J619" s="338">
        <v>0</v>
      </c>
      <c r="K619" s="330">
        <v>0</v>
      </c>
      <c r="L619" s="330">
        <v>0</v>
      </c>
      <c r="M619" s="330">
        <v>0</v>
      </c>
      <c r="N619" s="330">
        <v>0</v>
      </c>
      <c r="O619" s="330">
        <v>0</v>
      </c>
      <c r="P619" s="330">
        <v>0</v>
      </c>
      <c r="Q619" s="330">
        <v>0</v>
      </c>
      <c r="R619" s="330">
        <v>0</v>
      </c>
      <c r="S619" s="330">
        <v>0</v>
      </c>
      <c r="T619" s="330">
        <v>0</v>
      </c>
      <c r="U619" s="331">
        <v>0</v>
      </c>
      <c r="V619" s="332">
        <v>0</v>
      </c>
      <c r="W619" s="333"/>
      <c r="X619" s="334">
        <v>0</v>
      </c>
      <c r="Y619" s="335">
        <v>0</v>
      </c>
    </row>
    <row r="620" spans="1:25" x14ac:dyDescent="0.3">
      <c r="A620" s="326"/>
      <c r="B620" s="326"/>
      <c r="C620" s="326"/>
      <c r="D620" s="326"/>
      <c r="E620" s="326" t="s">
        <v>1570</v>
      </c>
      <c r="F620" s="336"/>
      <c r="G620" s="327"/>
      <c r="H620" s="328"/>
      <c r="I620" s="329"/>
      <c r="J620" s="338">
        <v>0</v>
      </c>
      <c r="K620" s="330">
        <v>0</v>
      </c>
      <c r="L620" s="330">
        <v>0</v>
      </c>
      <c r="M620" s="330">
        <v>0</v>
      </c>
      <c r="N620" s="330">
        <v>0</v>
      </c>
      <c r="O620" s="330">
        <v>0</v>
      </c>
      <c r="P620" s="330">
        <v>0</v>
      </c>
      <c r="Q620" s="330">
        <v>0</v>
      </c>
      <c r="R620" s="330">
        <v>0</v>
      </c>
      <c r="S620" s="330">
        <v>0</v>
      </c>
      <c r="T620" s="330">
        <v>0</v>
      </c>
      <c r="U620" s="331">
        <v>0</v>
      </c>
      <c r="V620" s="332">
        <v>0</v>
      </c>
      <c r="W620" s="333"/>
      <c r="X620" s="334">
        <v>0</v>
      </c>
      <c r="Y620" s="335">
        <v>0</v>
      </c>
    </row>
    <row r="621" spans="1:25" x14ac:dyDescent="0.3">
      <c r="A621" s="233"/>
      <c r="B621" s="234" t="s">
        <v>29</v>
      </c>
      <c r="D621" s="293" t="s">
        <v>1571</v>
      </c>
      <c r="E621" s="294"/>
      <c r="F621" s="295" t="s">
        <v>1572</v>
      </c>
      <c r="G621" s="296"/>
      <c r="H621" s="297"/>
      <c r="I621" s="298"/>
      <c r="J621" s="299">
        <v>1490.57</v>
      </c>
      <c r="K621" s="300">
        <v>845.87699999999995</v>
      </c>
      <c r="L621" s="300">
        <v>886.91399999999999</v>
      </c>
      <c r="M621" s="300">
        <v>2192.6400000000003</v>
      </c>
      <c r="N621" s="300">
        <v>873.29899999999998</v>
      </c>
      <c r="O621" s="300">
        <v>780.16800000000001</v>
      </c>
      <c r="P621" s="300">
        <v>984.21600000000012</v>
      </c>
      <c r="Q621" s="300">
        <v>1225.9560000000001</v>
      </c>
      <c r="R621" s="300">
        <v>766.94100000000003</v>
      </c>
      <c r="S621" s="300">
        <v>552.83799999999997</v>
      </c>
      <c r="T621" s="300">
        <v>623.78700000000003</v>
      </c>
      <c r="U621" s="301">
        <v>1498.6870000000001</v>
      </c>
      <c r="V621" s="302">
        <v>12721.893</v>
      </c>
      <c r="W621" s="303"/>
      <c r="X621" s="304">
        <v>1498.6870000000001</v>
      </c>
      <c r="Y621" s="305">
        <v>12721.893</v>
      </c>
    </row>
    <row r="622" spans="1:25" x14ac:dyDescent="0.3">
      <c r="E622" s="250" t="s">
        <v>1573</v>
      </c>
      <c r="F622" s="317">
        <v>4304401</v>
      </c>
      <c r="G622" s="318"/>
      <c r="H622" s="319">
        <v>5101490101</v>
      </c>
      <c r="I622" s="320"/>
      <c r="J622" s="337">
        <v>171.40600000000001</v>
      </c>
      <c r="K622" s="321">
        <v>154.18899999999999</v>
      </c>
      <c r="L622" s="321">
        <v>339.95</v>
      </c>
      <c r="M622" s="321">
        <v>161.779</v>
      </c>
      <c r="N622" s="321">
        <v>46.1</v>
      </c>
      <c r="O622" s="321">
        <v>120.97</v>
      </c>
      <c r="P622" s="321">
        <v>303.22300000000001</v>
      </c>
      <c r="Q622" s="321">
        <v>273.52</v>
      </c>
      <c r="R622" s="321">
        <v>239.1</v>
      </c>
      <c r="S622" s="321">
        <v>0.47</v>
      </c>
      <c r="T622" s="321">
        <v>67.5</v>
      </c>
      <c r="U622" s="322">
        <v>418.42500000000001</v>
      </c>
      <c r="V622" s="323">
        <v>2296.6320000000001</v>
      </c>
      <c r="W622" s="303"/>
      <c r="X622" s="324">
        <v>418.42500000000001</v>
      </c>
      <c r="Y622" s="325">
        <v>2296.6320000000001</v>
      </c>
    </row>
    <row r="623" spans="1:25" x14ac:dyDescent="0.3">
      <c r="E623" s="250" t="s">
        <v>1574</v>
      </c>
      <c r="F623" s="317">
        <v>4304402</v>
      </c>
      <c r="G623" s="318"/>
      <c r="H623" s="319">
        <v>5101490103</v>
      </c>
      <c r="I623" s="320"/>
      <c r="J623" s="337">
        <v>435</v>
      </c>
      <c r="K623" s="321">
        <v>278</v>
      </c>
      <c r="L623" s="321">
        <v>88</v>
      </c>
      <c r="M623" s="321">
        <v>333</v>
      </c>
      <c r="N623" s="321">
        <v>167</v>
      </c>
      <c r="O623" s="321">
        <v>218</v>
      </c>
      <c r="P623" s="321">
        <v>326.64999999999998</v>
      </c>
      <c r="Q623" s="321">
        <v>321</v>
      </c>
      <c r="R623" s="321">
        <v>365.404</v>
      </c>
      <c r="S623" s="321">
        <v>128</v>
      </c>
      <c r="T623" s="321">
        <v>457.9</v>
      </c>
      <c r="U623" s="322">
        <v>626.9</v>
      </c>
      <c r="V623" s="323">
        <v>3744.8540000000003</v>
      </c>
      <c r="W623" s="303"/>
      <c r="X623" s="324">
        <v>626.9</v>
      </c>
      <c r="Y623" s="325">
        <v>3744.8540000000003</v>
      </c>
    </row>
    <row r="624" spans="1:25" x14ac:dyDescent="0.3">
      <c r="E624" s="250" t="s">
        <v>1575</v>
      </c>
      <c r="F624" s="317">
        <v>4304403</v>
      </c>
      <c r="G624" s="318"/>
      <c r="H624" s="319">
        <v>5101490105</v>
      </c>
      <c r="I624" s="320"/>
      <c r="J624" s="337">
        <v>0</v>
      </c>
      <c r="K624" s="321">
        <v>0</v>
      </c>
      <c r="L624" s="321">
        <v>0</v>
      </c>
      <c r="M624" s="321">
        <v>0</v>
      </c>
      <c r="N624" s="321">
        <v>0</v>
      </c>
      <c r="O624" s="321">
        <v>0</v>
      </c>
      <c r="P624" s="321">
        <v>0</v>
      </c>
      <c r="Q624" s="321">
        <v>0</v>
      </c>
      <c r="R624" s="321">
        <v>0</v>
      </c>
      <c r="S624" s="321">
        <v>0</v>
      </c>
      <c r="T624" s="321">
        <v>0</v>
      </c>
      <c r="U624" s="322">
        <v>0</v>
      </c>
      <c r="V624" s="323">
        <v>0</v>
      </c>
      <c r="W624" s="303"/>
      <c r="X624" s="324">
        <v>0</v>
      </c>
      <c r="Y624" s="325">
        <v>0</v>
      </c>
    </row>
    <row r="625" spans="1:25" x14ac:dyDescent="0.3">
      <c r="E625" s="250" t="s">
        <v>1576</v>
      </c>
      <c r="F625" s="317">
        <v>4304404</v>
      </c>
      <c r="G625" s="318"/>
      <c r="H625" s="319"/>
      <c r="I625" s="320"/>
      <c r="J625" s="337">
        <v>0</v>
      </c>
      <c r="K625" s="321">
        <v>0</v>
      </c>
      <c r="L625" s="321">
        <v>0</v>
      </c>
      <c r="M625" s="321">
        <v>0</v>
      </c>
      <c r="N625" s="321">
        <v>0</v>
      </c>
      <c r="O625" s="321">
        <v>0</v>
      </c>
      <c r="P625" s="321">
        <v>0</v>
      </c>
      <c r="Q625" s="321">
        <v>0</v>
      </c>
      <c r="R625" s="321">
        <v>0</v>
      </c>
      <c r="S625" s="321">
        <v>0</v>
      </c>
      <c r="T625" s="321">
        <v>8.6</v>
      </c>
      <c r="U625" s="322">
        <v>8.4</v>
      </c>
      <c r="V625" s="323">
        <v>17</v>
      </c>
      <c r="W625" s="303"/>
      <c r="X625" s="324">
        <v>8.4</v>
      </c>
      <c r="Y625" s="325">
        <v>17</v>
      </c>
    </row>
    <row r="626" spans="1:25" x14ac:dyDescent="0.3">
      <c r="E626" s="250" t="s">
        <v>1577</v>
      </c>
      <c r="F626" s="317">
        <v>4304405</v>
      </c>
      <c r="G626" s="318"/>
      <c r="H626" s="319">
        <v>5101490107</v>
      </c>
      <c r="I626" s="320"/>
      <c r="J626" s="337">
        <v>0</v>
      </c>
      <c r="K626" s="321">
        <v>0</v>
      </c>
      <c r="L626" s="321">
        <v>0</v>
      </c>
      <c r="M626" s="321">
        <v>0</v>
      </c>
      <c r="N626" s="321">
        <v>0</v>
      </c>
      <c r="O626" s="321">
        <v>0</v>
      </c>
      <c r="P626" s="321">
        <v>0</v>
      </c>
      <c r="Q626" s="321">
        <v>0</v>
      </c>
      <c r="R626" s="321">
        <v>0</v>
      </c>
      <c r="S626" s="321">
        <v>0</v>
      </c>
      <c r="T626" s="321">
        <v>0</v>
      </c>
      <c r="U626" s="322">
        <v>0</v>
      </c>
      <c r="V626" s="323">
        <v>0</v>
      </c>
      <c r="W626" s="303"/>
      <c r="X626" s="324">
        <v>0</v>
      </c>
      <c r="Y626" s="325">
        <v>0</v>
      </c>
    </row>
    <row r="627" spans="1:25" x14ac:dyDescent="0.3">
      <c r="E627" s="250" t="s">
        <v>1578</v>
      </c>
      <c r="F627" s="317">
        <v>4304406</v>
      </c>
      <c r="G627" s="318"/>
      <c r="H627" s="319">
        <v>5101490109</v>
      </c>
      <c r="I627" s="320"/>
      <c r="J627" s="337">
        <v>0</v>
      </c>
      <c r="K627" s="321">
        <v>0</v>
      </c>
      <c r="L627" s="321">
        <v>0</v>
      </c>
      <c r="M627" s="321">
        <v>0</v>
      </c>
      <c r="N627" s="321">
        <v>0</v>
      </c>
      <c r="O627" s="321">
        <v>0</v>
      </c>
      <c r="P627" s="321">
        <v>0</v>
      </c>
      <c r="Q627" s="321">
        <v>0</v>
      </c>
      <c r="R627" s="321">
        <v>0</v>
      </c>
      <c r="S627" s="321">
        <v>0</v>
      </c>
      <c r="T627" s="321">
        <v>0</v>
      </c>
      <c r="U627" s="322">
        <v>0</v>
      </c>
      <c r="V627" s="323">
        <v>0</v>
      </c>
      <c r="W627" s="303"/>
      <c r="X627" s="324">
        <v>0</v>
      </c>
      <c r="Y627" s="325">
        <v>0</v>
      </c>
    </row>
    <row r="628" spans="1:25" x14ac:dyDescent="0.3">
      <c r="E628" s="250" t="s">
        <v>1579</v>
      </c>
      <c r="F628" s="317">
        <v>4304499</v>
      </c>
      <c r="G628" s="318"/>
      <c r="H628" s="319">
        <v>5101490199</v>
      </c>
      <c r="I628" s="320"/>
      <c r="J628" s="337">
        <v>884.16399999999999</v>
      </c>
      <c r="K628" s="321">
        <v>413.68799999999999</v>
      </c>
      <c r="L628" s="321">
        <v>458.964</v>
      </c>
      <c r="M628" s="321">
        <v>1697.8610000000001</v>
      </c>
      <c r="N628" s="321">
        <v>660.19899999999996</v>
      </c>
      <c r="O628" s="321">
        <v>441.19799999999998</v>
      </c>
      <c r="P628" s="321">
        <v>354.34300000000002</v>
      </c>
      <c r="Q628" s="321">
        <v>631.43600000000004</v>
      </c>
      <c r="R628" s="321">
        <v>162.43700000000001</v>
      </c>
      <c r="S628" s="321">
        <v>424.36799999999999</v>
      </c>
      <c r="T628" s="321">
        <v>89.787000000000006</v>
      </c>
      <c r="U628" s="322">
        <v>444.96199999999999</v>
      </c>
      <c r="V628" s="323">
        <v>6663.4069999999992</v>
      </c>
      <c r="W628" s="303"/>
      <c r="X628" s="324">
        <v>444.96199999999999</v>
      </c>
      <c r="Y628" s="325">
        <v>6663.4069999999992</v>
      </c>
    </row>
    <row r="629" spans="1:25" x14ac:dyDescent="0.3">
      <c r="A629" s="326"/>
      <c r="B629" s="326"/>
      <c r="C629" s="326"/>
      <c r="D629" s="326"/>
      <c r="E629" s="326" t="s">
        <v>1580</v>
      </c>
      <c r="F629" s="336"/>
      <c r="G629" s="327"/>
      <c r="H629" s="328"/>
      <c r="I629" s="329"/>
      <c r="J629" s="338">
        <v>0</v>
      </c>
      <c r="K629" s="330">
        <v>0</v>
      </c>
      <c r="L629" s="330">
        <v>0</v>
      </c>
      <c r="M629" s="330">
        <v>0</v>
      </c>
      <c r="N629" s="330">
        <v>0</v>
      </c>
      <c r="O629" s="330">
        <v>0</v>
      </c>
      <c r="P629" s="330">
        <v>0</v>
      </c>
      <c r="Q629" s="330">
        <v>0</v>
      </c>
      <c r="R629" s="330">
        <v>0</v>
      </c>
      <c r="S629" s="330">
        <v>0</v>
      </c>
      <c r="T629" s="330">
        <v>0</v>
      </c>
      <c r="U629" s="331">
        <v>0</v>
      </c>
      <c r="V629" s="332">
        <v>0</v>
      </c>
      <c r="W629" s="333"/>
      <c r="X629" s="334">
        <v>0</v>
      </c>
      <c r="Y629" s="335">
        <v>0</v>
      </c>
    </row>
    <row r="630" spans="1:25" x14ac:dyDescent="0.3">
      <c r="A630" s="326"/>
      <c r="B630" s="326"/>
      <c r="C630" s="326"/>
      <c r="D630" s="326"/>
      <c r="E630" s="326" t="s">
        <v>1581</v>
      </c>
      <c r="F630" s="336"/>
      <c r="G630" s="327"/>
      <c r="H630" s="328"/>
      <c r="I630" s="329"/>
      <c r="J630" s="338">
        <v>0</v>
      </c>
      <c r="K630" s="330">
        <v>0</v>
      </c>
      <c r="L630" s="330">
        <v>0</v>
      </c>
      <c r="M630" s="330">
        <v>0</v>
      </c>
      <c r="N630" s="330">
        <v>0</v>
      </c>
      <c r="O630" s="330">
        <v>0</v>
      </c>
      <c r="P630" s="330">
        <v>0</v>
      </c>
      <c r="Q630" s="330">
        <v>0</v>
      </c>
      <c r="R630" s="330">
        <v>0</v>
      </c>
      <c r="S630" s="330">
        <v>0</v>
      </c>
      <c r="T630" s="330">
        <v>0</v>
      </c>
      <c r="U630" s="331">
        <v>0</v>
      </c>
      <c r="V630" s="332">
        <v>0</v>
      </c>
      <c r="W630" s="333"/>
      <c r="X630" s="334">
        <v>0</v>
      </c>
      <c r="Y630" s="335">
        <v>0</v>
      </c>
    </row>
    <row r="631" spans="1:25" x14ac:dyDescent="0.3">
      <c r="A631" s="326"/>
      <c r="B631" s="326"/>
      <c r="C631" s="326"/>
      <c r="D631" s="326"/>
      <c r="E631" s="326" t="s">
        <v>1582</v>
      </c>
      <c r="F631" s="336"/>
      <c r="G631" s="327"/>
      <c r="H631" s="328"/>
      <c r="I631" s="329"/>
      <c r="J631" s="338">
        <v>0</v>
      </c>
      <c r="K631" s="330">
        <v>0</v>
      </c>
      <c r="L631" s="330">
        <v>0</v>
      </c>
      <c r="M631" s="330">
        <v>0</v>
      </c>
      <c r="N631" s="330">
        <v>0</v>
      </c>
      <c r="O631" s="330">
        <v>0</v>
      </c>
      <c r="P631" s="330">
        <v>0</v>
      </c>
      <c r="Q631" s="330">
        <v>0</v>
      </c>
      <c r="R631" s="330">
        <v>0</v>
      </c>
      <c r="S631" s="330">
        <v>0</v>
      </c>
      <c r="T631" s="330">
        <v>0</v>
      </c>
      <c r="U631" s="331">
        <v>0</v>
      </c>
      <c r="V631" s="332">
        <v>0</v>
      </c>
      <c r="W631" s="333"/>
      <c r="X631" s="334">
        <v>0</v>
      </c>
      <c r="Y631" s="335">
        <v>0</v>
      </c>
    </row>
    <row r="632" spans="1:25" x14ac:dyDescent="0.3">
      <c r="A632" s="233"/>
      <c r="B632" s="234" t="s">
        <v>38</v>
      </c>
      <c r="D632" s="293" t="s">
        <v>1583</v>
      </c>
      <c r="E632" s="294"/>
      <c r="F632" s="295" t="s">
        <v>1584</v>
      </c>
      <c r="G632" s="296"/>
      <c r="H632" s="297"/>
      <c r="I632" s="298"/>
      <c r="J632" s="299">
        <v>861.774</v>
      </c>
      <c r="K632" s="300">
        <v>3728.0749999999998</v>
      </c>
      <c r="L632" s="300">
        <v>3906.5949999999998</v>
      </c>
      <c r="M632" s="300">
        <v>3245.7</v>
      </c>
      <c r="N632" s="300">
        <v>752.77</v>
      </c>
      <c r="O632" s="300">
        <v>1124</v>
      </c>
      <c r="P632" s="300">
        <v>1333.8</v>
      </c>
      <c r="Q632" s="300">
        <v>2768.6</v>
      </c>
      <c r="R632" s="300">
        <v>1742.89</v>
      </c>
      <c r="S632" s="300">
        <v>962.4</v>
      </c>
      <c r="T632" s="300">
        <v>827.73</v>
      </c>
      <c r="U632" s="301">
        <v>6156.152</v>
      </c>
      <c r="V632" s="302">
        <v>27410.485999999997</v>
      </c>
      <c r="W632" s="303"/>
      <c r="X632" s="304">
        <v>6156.152</v>
      </c>
      <c r="Y632" s="305">
        <v>27410.485999999997</v>
      </c>
    </row>
    <row r="633" spans="1:25" x14ac:dyDescent="0.3">
      <c r="E633" s="250" t="s">
        <v>1585</v>
      </c>
      <c r="F633" s="317">
        <v>4307112</v>
      </c>
      <c r="G633" s="318"/>
      <c r="H633" s="319"/>
      <c r="I633" s="320"/>
      <c r="J633" s="337">
        <v>0</v>
      </c>
      <c r="K633" s="321">
        <v>0</v>
      </c>
      <c r="L633" s="321">
        <v>0</v>
      </c>
      <c r="M633" s="321">
        <v>0</v>
      </c>
      <c r="N633" s="321">
        <v>0</v>
      </c>
      <c r="O633" s="321">
        <v>0</v>
      </c>
      <c r="P633" s="321">
        <v>0</v>
      </c>
      <c r="Q633" s="321">
        <v>0</v>
      </c>
      <c r="R633" s="321">
        <v>0</v>
      </c>
      <c r="S633" s="321">
        <v>0</v>
      </c>
      <c r="T633" s="321">
        <v>0</v>
      </c>
      <c r="U633" s="322">
        <v>0</v>
      </c>
      <c r="V633" s="323">
        <v>0</v>
      </c>
      <c r="W633" s="303"/>
      <c r="X633" s="324">
        <v>0</v>
      </c>
      <c r="Y633" s="325">
        <v>0</v>
      </c>
    </row>
    <row r="634" spans="1:25" x14ac:dyDescent="0.3">
      <c r="E634" s="250" t="s">
        <v>1586</v>
      </c>
      <c r="F634" s="317">
        <v>4307109</v>
      </c>
      <c r="G634" s="318"/>
      <c r="H634" s="319"/>
      <c r="I634" s="320"/>
      <c r="J634" s="337">
        <v>0</v>
      </c>
      <c r="K634" s="321">
        <v>0</v>
      </c>
      <c r="L634" s="321">
        <v>0</v>
      </c>
      <c r="M634" s="321">
        <v>0</v>
      </c>
      <c r="N634" s="321">
        <v>0</v>
      </c>
      <c r="O634" s="321">
        <v>0</v>
      </c>
      <c r="P634" s="321">
        <v>0</v>
      </c>
      <c r="Q634" s="321">
        <v>0</v>
      </c>
      <c r="R634" s="321">
        <v>0</v>
      </c>
      <c r="S634" s="321">
        <v>0</v>
      </c>
      <c r="T634" s="321">
        <v>0</v>
      </c>
      <c r="U634" s="322">
        <v>0</v>
      </c>
      <c r="V634" s="323">
        <v>0</v>
      </c>
      <c r="W634" s="303"/>
      <c r="X634" s="324">
        <v>0</v>
      </c>
      <c r="Y634" s="325">
        <v>0</v>
      </c>
    </row>
    <row r="635" spans="1:25" x14ac:dyDescent="0.3">
      <c r="E635" s="250" t="s">
        <v>1587</v>
      </c>
      <c r="F635" s="317">
        <v>4307105</v>
      </c>
      <c r="G635" s="318"/>
      <c r="H635" s="319"/>
      <c r="I635" s="320"/>
      <c r="J635" s="337">
        <v>0</v>
      </c>
      <c r="K635" s="321">
        <v>0</v>
      </c>
      <c r="L635" s="321">
        <v>0</v>
      </c>
      <c r="M635" s="321">
        <v>0</v>
      </c>
      <c r="N635" s="321">
        <v>0</v>
      </c>
      <c r="O635" s="321">
        <v>0</v>
      </c>
      <c r="P635" s="321">
        <v>0</v>
      </c>
      <c r="Q635" s="321">
        <v>0</v>
      </c>
      <c r="R635" s="321">
        <v>0</v>
      </c>
      <c r="S635" s="321">
        <v>0</v>
      </c>
      <c r="T635" s="321">
        <v>0</v>
      </c>
      <c r="U635" s="322">
        <v>0</v>
      </c>
      <c r="V635" s="323">
        <v>0</v>
      </c>
      <c r="W635" s="303"/>
      <c r="X635" s="324">
        <v>0</v>
      </c>
      <c r="Y635" s="325">
        <v>0</v>
      </c>
    </row>
    <row r="636" spans="1:25" x14ac:dyDescent="0.3">
      <c r="E636" s="250" t="s">
        <v>1588</v>
      </c>
      <c r="F636" s="317">
        <v>4307100</v>
      </c>
      <c r="G636" s="318"/>
      <c r="H636" s="319">
        <v>5101510101</v>
      </c>
      <c r="I636" s="320"/>
      <c r="J636" s="337">
        <v>861.774</v>
      </c>
      <c r="K636" s="321">
        <v>3728.0749999999998</v>
      </c>
      <c r="L636" s="321">
        <v>3906.5949999999998</v>
      </c>
      <c r="M636" s="321">
        <v>3245.7</v>
      </c>
      <c r="N636" s="321">
        <v>752.77</v>
      </c>
      <c r="O636" s="321">
        <v>1124</v>
      </c>
      <c r="P636" s="321">
        <v>1333.8</v>
      </c>
      <c r="Q636" s="321">
        <v>2768.6</v>
      </c>
      <c r="R636" s="321">
        <v>1742.89</v>
      </c>
      <c r="S636" s="321">
        <v>962.4</v>
      </c>
      <c r="T636" s="321">
        <v>827.73</v>
      </c>
      <c r="U636" s="322">
        <v>6156.152</v>
      </c>
      <c r="V636" s="323">
        <v>27410.485999999997</v>
      </c>
      <c r="W636" s="303"/>
      <c r="X636" s="324">
        <v>6156.152</v>
      </c>
      <c r="Y636" s="325">
        <v>27410.485999999997</v>
      </c>
    </row>
    <row r="637" spans="1:25" x14ac:dyDescent="0.3">
      <c r="E637" s="250" t="s">
        <v>1589</v>
      </c>
      <c r="F637" s="317">
        <v>4307111</v>
      </c>
      <c r="G637" s="318"/>
      <c r="H637" s="319">
        <v>5101510103</v>
      </c>
      <c r="I637" s="320"/>
      <c r="J637" s="337">
        <v>0</v>
      </c>
      <c r="K637" s="321">
        <v>0</v>
      </c>
      <c r="L637" s="321">
        <v>0</v>
      </c>
      <c r="M637" s="321">
        <v>0</v>
      </c>
      <c r="N637" s="321">
        <v>0</v>
      </c>
      <c r="O637" s="321">
        <v>0</v>
      </c>
      <c r="P637" s="321">
        <v>0</v>
      </c>
      <c r="Q637" s="321">
        <v>0</v>
      </c>
      <c r="R637" s="321">
        <v>0</v>
      </c>
      <c r="S637" s="321">
        <v>0</v>
      </c>
      <c r="T637" s="321">
        <v>0</v>
      </c>
      <c r="U637" s="322">
        <v>0</v>
      </c>
      <c r="V637" s="323">
        <v>0</v>
      </c>
      <c r="W637" s="303"/>
      <c r="X637" s="324">
        <v>0</v>
      </c>
      <c r="Y637" s="325">
        <v>0</v>
      </c>
    </row>
    <row r="638" spans="1:25" x14ac:dyDescent="0.3">
      <c r="E638" s="250" t="s">
        <v>1590</v>
      </c>
      <c r="F638" s="317">
        <v>4307113</v>
      </c>
      <c r="G638" s="318"/>
      <c r="H638" s="319"/>
      <c r="I638" s="320"/>
      <c r="J638" s="337">
        <v>0</v>
      </c>
      <c r="K638" s="321">
        <v>0</v>
      </c>
      <c r="L638" s="321">
        <v>0</v>
      </c>
      <c r="M638" s="321">
        <v>0</v>
      </c>
      <c r="N638" s="321">
        <v>0</v>
      </c>
      <c r="O638" s="321">
        <v>0</v>
      </c>
      <c r="P638" s="321">
        <v>0</v>
      </c>
      <c r="Q638" s="321">
        <v>0</v>
      </c>
      <c r="R638" s="321">
        <v>0</v>
      </c>
      <c r="S638" s="321">
        <v>0</v>
      </c>
      <c r="T638" s="321">
        <v>0</v>
      </c>
      <c r="U638" s="322">
        <v>0</v>
      </c>
      <c r="V638" s="323">
        <v>0</v>
      </c>
      <c r="W638" s="303"/>
      <c r="X638" s="324">
        <v>0</v>
      </c>
      <c r="Y638" s="325">
        <v>0</v>
      </c>
    </row>
    <row r="639" spans="1:25" x14ac:dyDescent="0.3">
      <c r="A639" s="361"/>
      <c r="B639" s="361"/>
      <c r="C639" s="361"/>
      <c r="D639" s="361"/>
      <c r="E639" s="326" t="s">
        <v>1591</v>
      </c>
      <c r="F639" s="351"/>
      <c r="G639" s="352"/>
      <c r="H639" s="353"/>
      <c r="I639" s="354"/>
      <c r="J639" s="362">
        <v>0</v>
      </c>
      <c r="K639" s="355">
        <v>0</v>
      </c>
      <c r="L639" s="355">
        <v>0</v>
      </c>
      <c r="M639" s="355">
        <v>0</v>
      </c>
      <c r="N639" s="355">
        <v>0</v>
      </c>
      <c r="O639" s="355">
        <v>0</v>
      </c>
      <c r="P639" s="355">
        <v>0</v>
      </c>
      <c r="Q639" s="355">
        <v>0</v>
      </c>
      <c r="R639" s="355">
        <v>0</v>
      </c>
      <c r="S639" s="355">
        <v>0</v>
      </c>
      <c r="T639" s="355">
        <v>0</v>
      </c>
      <c r="U639" s="356">
        <v>0</v>
      </c>
      <c r="V639" s="357">
        <v>0</v>
      </c>
      <c r="W639" s="358"/>
      <c r="X639" s="359">
        <v>0</v>
      </c>
      <c r="Y639" s="360">
        <v>0</v>
      </c>
    </row>
    <row r="640" spans="1:25" x14ac:dyDescent="0.3">
      <c r="A640" s="361"/>
      <c r="B640" s="361"/>
      <c r="C640" s="361"/>
      <c r="D640" s="361"/>
      <c r="E640" s="326" t="s">
        <v>1592</v>
      </c>
      <c r="F640" s="351"/>
      <c r="G640" s="352"/>
      <c r="H640" s="353"/>
      <c r="I640" s="354"/>
      <c r="J640" s="362">
        <v>0</v>
      </c>
      <c r="K640" s="355">
        <v>0</v>
      </c>
      <c r="L640" s="355">
        <v>0</v>
      </c>
      <c r="M640" s="355">
        <v>0</v>
      </c>
      <c r="N640" s="355">
        <v>0</v>
      </c>
      <c r="O640" s="355">
        <v>0</v>
      </c>
      <c r="P640" s="355">
        <v>0</v>
      </c>
      <c r="Q640" s="355">
        <v>0</v>
      </c>
      <c r="R640" s="355">
        <v>0</v>
      </c>
      <c r="S640" s="355">
        <v>0</v>
      </c>
      <c r="T640" s="355">
        <v>0</v>
      </c>
      <c r="U640" s="356">
        <v>0</v>
      </c>
      <c r="V640" s="357">
        <v>0</v>
      </c>
      <c r="W640" s="358"/>
      <c r="X640" s="359">
        <v>0</v>
      </c>
      <c r="Y640" s="360">
        <v>0</v>
      </c>
    </row>
    <row r="641" spans="1:25" x14ac:dyDescent="0.3">
      <c r="A641" s="361"/>
      <c r="B641" s="361"/>
      <c r="C641" s="361"/>
      <c r="D641" s="361"/>
      <c r="E641" s="326" t="s">
        <v>1593</v>
      </c>
      <c r="F641" s="351"/>
      <c r="G641" s="352"/>
      <c r="H641" s="353"/>
      <c r="I641" s="354"/>
      <c r="J641" s="362">
        <v>0</v>
      </c>
      <c r="K641" s="355">
        <v>0</v>
      </c>
      <c r="L641" s="355">
        <v>0</v>
      </c>
      <c r="M641" s="355">
        <v>0</v>
      </c>
      <c r="N641" s="355">
        <v>0</v>
      </c>
      <c r="O641" s="355">
        <v>0</v>
      </c>
      <c r="P641" s="355">
        <v>0</v>
      </c>
      <c r="Q641" s="355">
        <v>0</v>
      </c>
      <c r="R641" s="355">
        <v>0</v>
      </c>
      <c r="S641" s="355">
        <v>0</v>
      </c>
      <c r="T641" s="355">
        <v>0</v>
      </c>
      <c r="U641" s="356">
        <v>0</v>
      </c>
      <c r="V641" s="357">
        <v>0</v>
      </c>
      <c r="W641" s="358"/>
      <c r="X641" s="359">
        <v>0</v>
      </c>
      <c r="Y641" s="360">
        <v>0</v>
      </c>
    </row>
    <row r="642" spans="1:25" x14ac:dyDescent="0.3">
      <c r="A642" s="233"/>
      <c r="B642" s="234" t="s">
        <v>36</v>
      </c>
      <c r="D642" s="293" t="s">
        <v>1594</v>
      </c>
      <c r="E642" s="294"/>
      <c r="F642" s="295" t="s">
        <v>1595</v>
      </c>
      <c r="G642" s="296"/>
      <c r="H642" s="297"/>
      <c r="I642" s="298"/>
      <c r="J642" s="299">
        <v>0</v>
      </c>
      <c r="K642" s="300">
        <v>0</v>
      </c>
      <c r="L642" s="300">
        <v>0</v>
      </c>
      <c r="M642" s="300">
        <v>0</v>
      </c>
      <c r="N642" s="300">
        <v>0</v>
      </c>
      <c r="O642" s="300">
        <v>0</v>
      </c>
      <c r="P642" s="300">
        <v>0</v>
      </c>
      <c r="Q642" s="300">
        <v>0</v>
      </c>
      <c r="R642" s="300">
        <v>0</v>
      </c>
      <c r="S642" s="300">
        <v>0</v>
      </c>
      <c r="T642" s="300">
        <v>0</v>
      </c>
      <c r="U642" s="301">
        <v>0</v>
      </c>
      <c r="V642" s="302">
        <v>0</v>
      </c>
      <c r="W642" s="303"/>
      <c r="X642" s="304">
        <v>0</v>
      </c>
      <c r="Y642" s="305">
        <v>0</v>
      </c>
    </row>
    <row r="643" spans="1:25" x14ac:dyDescent="0.3">
      <c r="E643" s="250" t="s">
        <v>1596</v>
      </c>
      <c r="F643" s="317">
        <v>4306501</v>
      </c>
      <c r="G643" s="318"/>
      <c r="H643" s="319">
        <v>5101570101</v>
      </c>
      <c r="I643" s="320"/>
      <c r="J643" s="337">
        <v>0</v>
      </c>
      <c r="K643" s="321">
        <v>0</v>
      </c>
      <c r="L643" s="321">
        <v>0</v>
      </c>
      <c r="M643" s="321">
        <v>0</v>
      </c>
      <c r="N643" s="321">
        <v>0</v>
      </c>
      <c r="O643" s="321">
        <v>0</v>
      </c>
      <c r="P643" s="321">
        <v>0</v>
      </c>
      <c r="Q643" s="321">
        <v>0</v>
      </c>
      <c r="R643" s="321">
        <v>0</v>
      </c>
      <c r="S643" s="321">
        <v>0</v>
      </c>
      <c r="T643" s="321">
        <v>0</v>
      </c>
      <c r="U643" s="322">
        <v>0</v>
      </c>
      <c r="V643" s="323">
        <v>0</v>
      </c>
      <c r="W643" s="303"/>
      <c r="X643" s="324">
        <v>0</v>
      </c>
      <c r="Y643" s="325">
        <v>0</v>
      </c>
    </row>
    <row r="644" spans="1:25" x14ac:dyDescent="0.3">
      <c r="E644" s="250" t="s">
        <v>1597</v>
      </c>
      <c r="F644" s="317">
        <v>4306502</v>
      </c>
      <c r="G644" s="318"/>
      <c r="H644" s="319"/>
      <c r="I644" s="320"/>
      <c r="J644" s="337">
        <v>0</v>
      </c>
      <c r="K644" s="321">
        <v>0</v>
      </c>
      <c r="L644" s="321">
        <v>0</v>
      </c>
      <c r="M644" s="321">
        <v>0</v>
      </c>
      <c r="N644" s="321">
        <v>0</v>
      </c>
      <c r="O644" s="321">
        <v>0</v>
      </c>
      <c r="P644" s="321">
        <v>0</v>
      </c>
      <c r="Q644" s="321">
        <v>0</v>
      </c>
      <c r="R644" s="321">
        <v>0</v>
      </c>
      <c r="S644" s="321">
        <v>0</v>
      </c>
      <c r="T644" s="321">
        <v>0</v>
      </c>
      <c r="U644" s="322">
        <v>0</v>
      </c>
      <c r="V644" s="323">
        <v>0</v>
      </c>
      <c r="W644" s="303"/>
      <c r="X644" s="324">
        <v>0</v>
      </c>
      <c r="Y644" s="325">
        <v>0</v>
      </c>
    </row>
    <row r="645" spans="1:25" x14ac:dyDescent="0.3">
      <c r="A645" s="250"/>
      <c r="B645" s="250"/>
      <c r="E645" s="250" t="s">
        <v>1598</v>
      </c>
      <c r="F645" s="317">
        <v>4306503</v>
      </c>
      <c r="G645" s="318"/>
      <c r="H645" s="319"/>
      <c r="I645" s="320"/>
      <c r="J645" s="337">
        <v>0</v>
      </c>
      <c r="K645" s="321">
        <v>0</v>
      </c>
      <c r="L645" s="321">
        <v>0</v>
      </c>
      <c r="M645" s="321">
        <v>0</v>
      </c>
      <c r="N645" s="321">
        <v>0</v>
      </c>
      <c r="O645" s="321">
        <v>0</v>
      </c>
      <c r="P645" s="321">
        <v>0</v>
      </c>
      <c r="Q645" s="321">
        <v>0</v>
      </c>
      <c r="R645" s="321">
        <v>0</v>
      </c>
      <c r="S645" s="321">
        <v>0</v>
      </c>
      <c r="T645" s="321">
        <v>0</v>
      </c>
      <c r="U645" s="322">
        <v>0</v>
      </c>
      <c r="V645" s="323">
        <v>0</v>
      </c>
      <c r="W645" s="303"/>
      <c r="X645" s="324">
        <v>0</v>
      </c>
      <c r="Y645" s="325">
        <v>0</v>
      </c>
    </row>
    <row r="646" spans="1:25" x14ac:dyDescent="0.3">
      <c r="E646" s="250" t="s">
        <v>1599</v>
      </c>
      <c r="F646" s="317">
        <v>4306504</v>
      </c>
      <c r="G646" s="318"/>
      <c r="H646" s="319"/>
      <c r="I646" s="320"/>
      <c r="J646" s="337">
        <v>0</v>
      </c>
      <c r="K646" s="321">
        <v>0</v>
      </c>
      <c r="L646" s="321">
        <v>0</v>
      </c>
      <c r="M646" s="321">
        <v>0</v>
      </c>
      <c r="N646" s="321">
        <v>0</v>
      </c>
      <c r="O646" s="321">
        <v>0</v>
      </c>
      <c r="P646" s="321">
        <v>0</v>
      </c>
      <c r="Q646" s="321">
        <v>0</v>
      </c>
      <c r="R646" s="321">
        <v>0</v>
      </c>
      <c r="S646" s="321">
        <v>0</v>
      </c>
      <c r="T646" s="321">
        <v>0</v>
      </c>
      <c r="U646" s="322">
        <v>0</v>
      </c>
      <c r="V646" s="323">
        <v>0</v>
      </c>
      <c r="W646" s="303"/>
      <c r="X646" s="324">
        <v>0</v>
      </c>
      <c r="Y646" s="325">
        <v>0</v>
      </c>
    </row>
    <row r="647" spans="1:25" x14ac:dyDescent="0.3">
      <c r="E647" s="250" t="s">
        <v>1600</v>
      </c>
      <c r="F647" s="317">
        <v>4306599</v>
      </c>
      <c r="G647" s="318"/>
      <c r="H647" s="319"/>
      <c r="I647" s="320"/>
      <c r="J647" s="337">
        <v>0</v>
      </c>
      <c r="K647" s="321">
        <v>0</v>
      </c>
      <c r="L647" s="321">
        <v>0</v>
      </c>
      <c r="M647" s="321">
        <v>0</v>
      </c>
      <c r="N647" s="321">
        <v>0</v>
      </c>
      <c r="O647" s="321">
        <v>0</v>
      </c>
      <c r="P647" s="321">
        <v>0</v>
      </c>
      <c r="Q647" s="321">
        <v>0</v>
      </c>
      <c r="R647" s="321">
        <v>0</v>
      </c>
      <c r="S647" s="321">
        <v>0</v>
      </c>
      <c r="T647" s="321">
        <v>0</v>
      </c>
      <c r="U647" s="322">
        <v>0</v>
      </c>
      <c r="V647" s="323">
        <v>0</v>
      </c>
      <c r="W647" s="303"/>
      <c r="X647" s="324">
        <v>0</v>
      </c>
      <c r="Y647" s="325">
        <v>0</v>
      </c>
    </row>
    <row r="648" spans="1:25" x14ac:dyDescent="0.3">
      <c r="A648" s="361"/>
      <c r="B648" s="361"/>
      <c r="C648" s="361"/>
      <c r="D648" s="361"/>
      <c r="E648" s="326" t="s">
        <v>1601</v>
      </c>
      <c r="F648" s="351"/>
      <c r="G648" s="352"/>
      <c r="H648" s="353"/>
      <c r="I648" s="354"/>
      <c r="J648" s="362">
        <v>0</v>
      </c>
      <c r="K648" s="355">
        <v>0</v>
      </c>
      <c r="L648" s="355">
        <v>0</v>
      </c>
      <c r="M648" s="355">
        <v>0</v>
      </c>
      <c r="N648" s="355">
        <v>0</v>
      </c>
      <c r="O648" s="355">
        <v>0</v>
      </c>
      <c r="P648" s="355">
        <v>0</v>
      </c>
      <c r="Q648" s="355">
        <v>0</v>
      </c>
      <c r="R648" s="355">
        <v>0</v>
      </c>
      <c r="S648" s="355">
        <v>0</v>
      </c>
      <c r="T648" s="355">
        <v>0</v>
      </c>
      <c r="U648" s="356">
        <v>0</v>
      </c>
      <c r="V648" s="357">
        <v>0</v>
      </c>
      <c r="W648" s="358"/>
      <c r="X648" s="359">
        <v>0</v>
      </c>
      <c r="Y648" s="360">
        <v>0</v>
      </c>
    </row>
    <row r="649" spans="1:25" x14ac:dyDescent="0.3">
      <c r="A649" s="361"/>
      <c r="B649" s="361"/>
      <c r="C649" s="361"/>
      <c r="D649" s="361"/>
      <c r="E649" s="326" t="s">
        <v>1602</v>
      </c>
      <c r="F649" s="351"/>
      <c r="G649" s="352"/>
      <c r="H649" s="353"/>
      <c r="I649" s="354"/>
      <c r="J649" s="362">
        <v>0</v>
      </c>
      <c r="K649" s="355">
        <v>0</v>
      </c>
      <c r="L649" s="355">
        <v>0</v>
      </c>
      <c r="M649" s="355">
        <v>0</v>
      </c>
      <c r="N649" s="355">
        <v>0</v>
      </c>
      <c r="O649" s="355">
        <v>0</v>
      </c>
      <c r="P649" s="355">
        <v>0</v>
      </c>
      <c r="Q649" s="355">
        <v>0</v>
      </c>
      <c r="R649" s="355">
        <v>0</v>
      </c>
      <c r="S649" s="355">
        <v>0</v>
      </c>
      <c r="T649" s="355">
        <v>0</v>
      </c>
      <c r="U649" s="356">
        <v>0</v>
      </c>
      <c r="V649" s="357">
        <v>0</v>
      </c>
      <c r="W649" s="358"/>
      <c r="X649" s="359">
        <v>0</v>
      </c>
      <c r="Y649" s="360">
        <v>0</v>
      </c>
    </row>
    <row r="650" spans="1:25" x14ac:dyDescent="0.3">
      <c r="A650" s="361"/>
      <c r="B650" s="361"/>
      <c r="C650" s="361"/>
      <c r="D650" s="361"/>
      <c r="E650" s="326" t="s">
        <v>1603</v>
      </c>
      <c r="F650" s="351"/>
      <c r="G650" s="352"/>
      <c r="H650" s="353"/>
      <c r="I650" s="354"/>
      <c r="J650" s="362">
        <v>0</v>
      </c>
      <c r="K650" s="355">
        <v>0</v>
      </c>
      <c r="L650" s="355">
        <v>0</v>
      </c>
      <c r="M650" s="355">
        <v>0</v>
      </c>
      <c r="N650" s="355">
        <v>0</v>
      </c>
      <c r="O650" s="355">
        <v>0</v>
      </c>
      <c r="P650" s="355">
        <v>0</v>
      </c>
      <c r="Q650" s="355">
        <v>0</v>
      </c>
      <c r="R650" s="355">
        <v>0</v>
      </c>
      <c r="S650" s="355">
        <v>0</v>
      </c>
      <c r="T650" s="355">
        <v>0</v>
      </c>
      <c r="U650" s="356">
        <v>0</v>
      </c>
      <c r="V650" s="357">
        <v>0</v>
      </c>
      <c r="W650" s="358"/>
      <c r="X650" s="359">
        <v>0</v>
      </c>
      <c r="Y650" s="360">
        <v>0</v>
      </c>
    </row>
    <row r="651" spans="1:25" x14ac:dyDescent="0.3">
      <c r="A651" s="233"/>
      <c r="B651" s="234" t="s">
        <v>40</v>
      </c>
      <c r="D651" s="293" t="s">
        <v>1604</v>
      </c>
      <c r="E651" s="294"/>
      <c r="F651" s="295" t="s">
        <v>1605</v>
      </c>
      <c r="G651" s="296"/>
      <c r="H651" s="297"/>
      <c r="I651" s="298"/>
      <c r="J651" s="299">
        <v>0</v>
      </c>
      <c r="K651" s="300">
        <v>0</v>
      </c>
      <c r="L651" s="300">
        <v>0</v>
      </c>
      <c r="M651" s="300">
        <v>0</v>
      </c>
      <c r="N651" s="300">
        <v>0</v>
      </c>
      <c r="O651" s="300">
        <v>0</v>
      </c>
      <c r="P651" s="300">
        <v>0</v>
      </c>
      <c r="Q651" s="300">
        <v>0</v>
      </c>
      <c r="R651" s="300">
        <v>0</v>
      </c>
      <c r="S651" s="300">
        <v>0</v>
      </c>
      <c r="T651" s="300">
        <v>0</v>
      </c>
      <c r="U651" s="301">
        <v>0</v>
      </c>
      <c r="V651" s="302">
        <v>0</v>
      </c>
      <c r="W651" s="303"/>
      <c r="X651" s="304">
        <v>0</v>
      </c>
      <c r="Y651" s="305">
        <v>0</v>
      </c>
    </row>
    <row r="652" spans="1:25" x14ac:dyDescent="0.3">
      <c r="E652" s="250" t="s">
        <v>1606</v>
      </c>
      <c r="F652" s="317">
        <v>4308000</v>
      </c>
      <c r="G652" s="318"/>
      <c r="H652" s="319">
        <v>5101610101</v>
      </c>
      <c r="I652" s="320"/>
      <c r="J652" s="337">
        <v>0</v>
      </c>
      <c r="K652" s="321">
        <v>0</v>
      </c>
      <c r="L652" s="321">
        <v>0</v>
      </c>
      <c r="M652" s="321">
        <v>0</v>
      </c>
      <c r="N652" s="321">
        <v>0</v>
      </c>
      <c r="O652" s="321">
        <v>0</v>
      </c>
      <c r="P652" s="321">
        <v>0</v>
      </c>
      <c r="Q652" s="321">
        <v>0</v>
      </c>
      <c r="R652" s="321">
        <v>0</v>
      </c>
      <c r="S652" s="321">
        <v>0</v>
      </c>
      <c r="T652" s="321">
        <v>0</v>
      </c>
      <c r="U652" s="322">
        <v>0</v>
      </c>
      <c r="V652" s="323">
        <v>0</v>
      </c>
      <c r="W652" s="303"/>
      <c r="X652" s="324">
        <v>0</v>
      </c>
      <c r="Y652" s="325">
        <v>0</v>
      </c>
    </row>
    <row r="653" spans="1:25" x14ac:dyDescent="0.3">
      <c r="A653" s="361"/>
      <c r="B653" s="361"/>
      <c r="C653" s="361"/>
      <c r="D653" s="361"/>
      <c r="E653" s="326" t="s">
        <v>1607</v>
      </c>
      <c r="F653" s="351"/>
      <c r="G653" s="352"/>
      <c r="H653" s="353"/>
      <c r="I653" s="354"/>
      <c r="J653" s="362">
        <v>0</v>
      </c>
      <c r="K653" s="355">
        <v>0</v>
      </c>
      <c r="L653" s="355">
        <v>0</v>
      </c>
      <c r="M653" s="355">
        <v>0</v>
      </c>
      <c r="N653" s="355">
        <v>0</v>
      </c>
      <c r="O653" s="355">
        <v>0</v>
      </c>
      <c r="P653" s="355">
        <v>0</v>
      </c>
      <c r="Q653" s="355">
        <v>0</v>
      </c>
      <c r="R653" s="355">
        <v>0</v>
      </c>
      <c r="S653" s="355">
        <v>0</v>
      </c>
      <c r="T653" s="355">
        <v>0</v>
      </c>
      <c r="U653" s="356">
        <v>0</v>
      </c>
      <c r="V653" s="357">
        <v>0</v>
      </c>
      <c r="W653" s="358"/>
      <c r="X653" s="359">
        <v>0</v>
      </c>
      <c r="Y653" s="360">
        <v>0</v>
      </c>
    </row>
    <row r="654" spans="1:25" x14ac:dyDescent="0.3">
      <c r="A654" s="361"/>
      <c r="B654" s="361"/>
      <c r="C654" s="361"/>
      <c r="D654" s="361"/>
      <c r="E654" s="326" t="s">
        <v>1608</v>
      </c>
      <c r="F654" s="351"/>
      <c r="G654" s="352"/>
      <c r="H654" s="353"/>
      <c r="I654" s="354"/>
      <c r="J654" s="362">
        <v>0</v>
      </c>
      <c r="K654" s="355">
        <v>0</v>
      </c>
      <c r="L654" s="355">
        <v>0</v>
      </c>
      <c r="M654" s="355">
        <v>0</v>
      </c>
      <c r="N654" s="355">
        <v>0</v>
      </c>
      <c r="O654" s="355">
        <v>0</v>
      </c>
      <c r="P654" s="355">
        <v>0</v>
      </c>
      <c r="Q654" s="355">
        <v>0</v>
      </c>
      <c r="R654" s="355">
        <v>0</v>
      </c>
      <c r="S654" s="355">
        <v>0</v>
      </c>
      <c r="T654" s="355">
        <v>0</v>
      </c>
      <c r="U654" s="356">
        <v>0</v>
      </c>
      <c r="V654" s="357">
        <v>0</v>
      </c>
      <c r="W654" s="358"/>
      <c r="X654" s="359">
        <v>0</v>
      </c>
      <c r="Y654" s="360">
        <v>0</v>
      </c>
    </row>
    <row r="655" spans="1:25" x14ac:dyDescent="0.3">
      <c r="A655" s="361"/>
      <c r="B655" s="361"/>
      <c r="C655" s="361"/>
      <c r="D655" s="361"/>
      <c r="E655" s="326" t="s">
        <v>1609</v>
      </c>
      <c r="F655" s="351"/>
      <c r="G655" s="352"/>
      <c r="H655" s="353"/>
      <c r="I655" s="354"/>
      <c r="J655" s="362">
        <v>0</v>
      </c>
      <c r="K655" s="355">
        <v>0</v>
      </c>
      <c r="L655" s="355">
        <v>0</v>
      </c>
      <c r="M655" s="355">
        <v>0</v>
      </c>
      <c r="N655" s="355">
        <v>0</v>
      </c>
      <c r="O655" s="355">
        <v>0</v>
      </c>
      <c r="P655" s="355">
        <v>0</v>
      </c>
      <c r="Q655" s="355">
        <v>0</v>
      </c>
      <c r="R655" s="355">
        <v>0</v>
      </c>
      <c r="S655" s="355">
        <v>0</v>
      </c>
      <c r="T655" s="355">
        <v>0</v>
      </c>
      <c r="U655" s="356">
        <v>0</v>
      </c>
      <c r="V655" s="357">
        <v>0</v>
      </c>
      <c r="W655" s="358"/>
      <c r="X655" s="359">
        <v>0</v>
      </c>
      <c r="Y655" s="360">
        <v>0</v>
      </c>
    </row>
    <row r="656" spans="1:25" x14ac:dyDescent="0.3">
      <c r="A656" s="233"/>
      <c r="B656" s="234" t="s">
        <v>70</v>
      </c>
      <c r="D656" s="293" t="s">
        <v>1610</v>
      </c>
      <c r="E656" s="294"/>
      <c r="F656" s="295" t="s">
        <v>1611</v>
      </c>
      <c r="G656" s="296"/>
      <c r="H656" s="297"/>
      <c r="I656" s="298"/>
      <c r="J656" s="299">
        <v>0</v>
      </c>
      <c r="K656" s="300">
        <v>0</v>
      </c>
      <c r="L656" s="300">
        <v>0</v>
      </c>
      <c r="M656" s="300">
        <v>0</v>
      </c>
      <c r="N656" s="300">
        <v>0</v>
      </c>
      <c r="O656" s="300">
        <v>0</v>
      </c>
      <c r="P656" s="300">
        <v>0</v>
      </c>
      <c r="Q656" s="300">
        <v>0</v>
      </c>
      <c r="R656" s="300">
        <v>0</v>
      </c>
      <c r="S656" s="300">
        <v>0</v>
      </c>
      <c r="T656" s="300">
        <v>0</v>
      </c>
      <c r="U656" s="301">
        <v>0</v>
      </c>
      <c r="V656" s="302">
        <v>0</v>
      </c>
      <c r="W656" s="303"/>
      <c r="X656" s="304">
        <v>0</v>
      </c>
      <c r="Y656" s="305">
        <v>0</v>
      </c>
    </row>
    <row r="657" spans="5:25" x14ac:dyDescent="0.3">
      <c r="E657" s="250" t="s">
        <v>1612</v>
      </c>
      <c r="F657" s="317">
        <v>4310001</v>
      </c>
      <c r="G657" s="318"/>
      <c r="H657" s="319">
        <v>5101650101</v>
      </c>
      <c r="I657" s="320"/>
      <c r="J657" s="337">
        <v>0</v>
      </c>
      <c r="K657" s="321">
        <v>0</v>
      </c>
      <c r="L657" s="321">
        <v>0</v>
      </c>
      <c r="M657" s="321">
        <v>0</v>
      </c>
      <c r="N657" s="321">
        <v>0</v>
      </c>
      <c r="O657" s="321">
        <v>0</v>
      </c>
      <c r="P657" s="321">
        <v>0</v>
      </c>
      <c r="Q657" s="321">
        <v>0</v>
      </c>
      <c r="R657" s="321">
        <v>0</v>
      </c>
      <c r="S657" s="321">
        <v>0</v>
      </c>
      <c r="T657" s="321">
        <v>0</v>
      </c>
      <c r="U657" s="322">
        <v>0</v>
      </c>
      <c r="V657" s="323">
        <v>0</v>
      </c>
      <c r="W657" s="303"/>
      <c r="X657" s="324">
        <v>0</v>
      </c>
      <c r="Y657" s="325">
        <v>0</v>
      </c>
    </row>
    <row r="658" spans="5:25" x14ac:dyDescent="0.3">
      <c r="E658" s="250" t="s">
        <v>1613</v>
      </c>
      <c r="F658" s="317">
        <v>4310002</v>
      </c>
      <c r="G658" s="318"/>
      <c r="H658" s="319">
        <v>5101690101</v>
      </c>
      <c r="I658" s="320"/>
      <c r="J658" s="337">
        <v>0</v>
      </c>
      <c r="K658" s="321">
        <v>0</v>
      </c>
      <c r="L658" s="321">
        <v>0</v>
      </c>
      <c r="M658" s="321">
        <v>0</v>
      </c>
      <c r="N658" s="321">
        <v>0</v>
      </c>
      <c r="O658" s="321">
        <v>0</v>
      </c>
      <c r="P658" s="321">
        <v>0</v>
      </c>
      <c r="Q658" s="321">
        <v>0</v>
      </c>
      <c r="R658" s="321">
        <v>0</v>
      </c>
      <c r="S658" s="321">
        <v>0</v>
      </c>
      <c r="T658" s="321">
        <v>0</v>
      </c>
      <c r="U658" s="322">
        <v>0</v>
      </c>
      <c r="V658" s="323">
        <v>0</v>
      </c>
      <c r="W658" s="303"/>
      <c r="X658" s="324">
        <v>0</v>
      </c>
      <c r="Y658" s="325">
        <v>0</v>
      </c>
    </row>
    <row r="659" spans="5:25" x14ac:dyDescent="0.3">
      <c r="E659" s="250" t="s">
        <v>1614</v>
      </c>
      <c r="F659" s="317">
        <v>4310003</v>
      </c>
      <c r="G659" s="318"/>
      <c r="H659" s="319">
        <v>5101990101</v>
      </c>
      <c r="I659" s="320"/>
      <c r="J659" s="337">
        <v>0</v>
      </c>
      <c r="K659" s="321">
        <v>0</v>
      </c>
      <c r="L659" s="321">
        <v>0</v>
      </c>
      <c r="M659" s="321">
        <v>0</v>
      </c>
      <c r="N659" s="321">
        <v>0</v>
      </c>
      <c r="O659" s="321">
        <v>0</v>
      </c>
      <c r="P659" s="321">
        <v>0</v>
      </c>
      <c r="Q659" s="321">
        <v>0</v>
      </c>
      <c r="R659" s="321">
        <v>0</v>
      </c>
      <c r="S659" s="321">
        <v>0</v>
      </c>
      <c r="T659" s="321">
        <v>0</v>
      </c>
      <c r="U659" s="322">
        <v>0</v>
      </c>
      <c r="V659" s="323">
        <v>0</v>
      </c>
      <c r="W659" s="303"/>
      <c r="X659" s="324">
        <v>0</v>
      </c>
      <c r="Y659" s="325">
        <v>0</v>
      </c>
    </row>
    <row r="660" spans="5:25" x14ac:dyDescent="0.3">
      <c r="E660" s="250" t="s">
        <v>1615</v>
      </c>
      <c r="F660" s="317">
        <v>4310004</v>
      </c>
      <c r="G660" s="318"/>
      <c r="H660" s="319"/>
      <c r="I660" s="320"/>
      <c r="J660" s="337">
        <v>0</v>
      </c>
      <c r="K660" s="321">
        <v>0</v>
      </c>
      <c r="L660" s="321">
        <v>0</v>
      </c>
      <c r="M660" s="321">
        <v>0</v>
      </c>
      <c r="N660" s="321">
        <v>0</v>
      </c>
      <c r="O660" s="321">
        <v>0</v>
      </c>
      <c r="P660" s="321">
        <v>0</v>
      </c>
      <c r="Q660" s="321">
        <v>0</v>
      </c>
      <c r="R660" s="321">
        <v>0</v>
      </c>
      <c r="S660" s="321">
        <v>0</v>
      </c>
      <c r="T660" s="321">
        <v>0</v>
      </c>
      <c r="U660" s="322">
        <v>0</v>
      </c>
      <c r="V660" s="323">
        <v>0</v>
      </c>
      <c r="W660" s="303"/>
      <c r="X660" s="324">
        <v>0</v>
      </c>
      <c r="Y660" s="325">
        <v>0</v>
      </c>
    </row>
    <row r="661" spans="5:25" x14ac:dyDescent="0.3">
      <c r="E661" s="250" t="s">
        <v>1616</v>
      </c>
      <c r="F661" s="317">
        <v>4310005</v>
      </c>
      <c r="G661" s="318"/>
      <c r="H661" s="319"/>
      <c r="I661" s="320"/>
      <c r="J661" s="337">
        <v>0</v>
      </c>
      <c r="K661" s="321">
        <v>0</v>
      </c>
      <c r="L661" s="321">
        <v>0</v>
      </c>
      <c r="M661" s="321">
        <v>0</v>
      </c>
      <c r="N661" s="321">
        <v>0</v>
      </c>
      <c r="O661" s="321">
        <v>0</v>
      </c>
      <c r="P661" s="321">
        <v>0</v>
      </c>
      <c r="Q661" s="321">
        <v>0</v>
      </c>
      <c r="R661" s="321">
        <v>0</v>
      </c>
      <c r="S661" s="321">
        <v>0</v>
      </c>
      <c r="T661" s="321">
        <v>0</v>
      </c>
      <c r="U661" s="322">
        <v>0</v>
      </c>
      <c r="V661" s="323">
        <v>0</v>
      </c>
      <c r="W661" s="303"/>
      <c r="X661" s="324">
        <v>0</v>
      </c>
      <c r="Y661" s="325">
        <v>0</v>
      </c>
    </row>
    <row r="662" spans="5:25" x14ac:dyDescent="0.3">
      <c r="E662" s="250" t="s">
        <v>1617</v>
      </c>
      <c r="F662" s="317">
        <v>4310006</v>
      </c>
      <c r="G662" s="318"/>
      <c r="H662" s="319"/>
      <c r="I662" s="320"/>
      <c r="J662" s="337">
        <v>0</v>
      </c>
      <c r="K662" s="321">
        <v>0</v>
      </c>
      <c r="L662" s="321">
        <v>0</v>
      </c>
      <c r="M662" s="321">
        <v>0</v>
      </c>
      <c r="N662" s="321">
        <v>0</v>
      </c>
      <c r="O662" s="321">
        <v>0</v>
      </c>
      <c r="P662" s="321">
        <v>0</v>
      </c>
      <c r="Q662" s="321">
        <v>0</v>
      </c>
      <c r="R662" s="321">
        <v>0</v>
      </c>
      <c r="S662" s="321">
        <v>0</v>
      </c>
      <c r="T662" s="321">
        <v>0</v>
      </c>
      <c r="U662" s="322">
        <v>0</v>
      </c>
      <c r="V662" s="323">
        <v>0</v>
      </c>
      <c r="W662" s="303"/>
      <c r="X662" s="324">
        <v>0</v>
      </c>
      <c r="Y662" s="325">
        <v>0</v>
      </c>
    </row>
    <row r="663" spans="5:25" x14ac:dyDescent="0.3">
      <c r="E663" s="250" t="s">
        <v>1618</v>
      </c>
      <c r="F663" s="317">
        <v>4310007</v>
      </c>
      <c r="G663" s="318"/>
      <c r="H663" s="319"/>
      <c r="I663" s="320"/>
      <c r="J663" s="337">
        <v>0</v>
      </c>
      <c r="K663" s="321">
        <v>0</v>
      </c>
      <c r="L663" s="321">
        <v>0</v>
      </c>
      <c r="M663" s="321">
        <v>0</v>
      </c>
      <c r="N663" s="321">
        <v>0</v>
      </c>
      <c r="O663" s="321">
        <v>0</v>
      </c>
      <c r="P663" s="321">
        <v>0</v>
      </c>
      <c r="Q663" s="321">
        <v>0</v>
      </c>
      <c r="R663" s="321">
        <v>0</v>
      </c>
      <c r="S663" s="321">
        <v>0</v>
      </c>
      <c r="T663" s="321">
        <v>0</v>
      </c>
      <c r="U663" s="322">
        <v>0</v>
      </c>
      <c r="V663" s="323">
        <v>0</v>
      </c>
      <c r="W663" s="303"/>
      <c r="X663" s="324">
        <v>0</v>
      </c>
      <c r="Y663" s="325">
        <v>0</v>
      </c>
    </row>
    <row r="664" spans="5:25" x14ac:dyDescent="0.3">
      <c r="E664" s="250" t="s">
        <v>1619</v>
      </c>
      <c r="F664" s="317">
        <v>4310008</v>
      </c>
      <c r="G664" s="318"/>
      <c r="H664" s="319"/>
      <c r="I664" s="320"/>
      <c r="J664" s="337">
        <v>0</v>
      </c>
      <c r="K664" s="321">
        <v>0</v>
      </c>
      <c r="L664" s="321">
        <v>0</v>
      </c>
      <c r="M664" s="321">
        <v>0</v>
      </c>
      <c r="N664" s="321">
        <v>0</v>
      </c>
      <c r="O664" s="321">
        <v>0</v>
      </c>
      <c r="P664" s="321">
        <v>0</v>
      </c>
      <c r="Q664" s="321">
        <v>0</v>
      </c>
      <c r="R664" s="321">
        <v>0</v>
      </c>
      <c r="S664" s="321">
        <v>0</v>
      </c>
      <c r="T664" s="321">
        <v>0</v>
      </c>
      <c r="U664" s="322">
        <v>0</v>
      </c>
      <c r="V664" s="323">
        <v>0</v>
      </c>
      <c r="W664" s="303"/>
      <c r="X664" s="324">
        <v>0</v>
      </c>
      <c r="Y664" s="325">
        <v>0</v>
      </c>
    </row>
    <row r="665" spans="5:25" x14ac:dyDescent="0.3">
      <c r="E665" s="250" t="s">
        <v>1620</v>
      </c>
      <c r="F665" s="317">
        <v>4310009</v>
      </c>
      <c r="G665" s="318"/>
      <c r="H665" s="319"/>
      <c r="I665" s="320"/>
      <c r="J665" s="337">
        <v>0</v>
      </c>
      <c r="K665" s="321">
        <v>0</v>
      </c>
      <c r="L665" s="321">
        <v>0</v>
      </c>
      <c r="M665" s="321">
        <v>0</v>
      </c>
      <c r="N665" s="321">
        <v>0</v>
      </c>
      <c r="O665" s="321">
        <v>0</v>
      </c>
      <c r="P665" s="321">
        <v>0</v>
      </c>
      <c r="Q665" s="321">
        <v>0</v>
      </c>
      <c r="R665" s="321">
        <v>0</v>
      </c>
      <c r="S665" s="321">
        <v>0</v>
      </c>
      <c r="T665" s="321">
        <v>0</v>
      </c>
      <c r="U665" s="322">
        <v>0</v>
      </c>
      <c r="V665" s="323">
        <v>0</v>
      </c>
      <c r="W665" s="303"/>
      <c r="X665" s="324">
        <v>0</v>
      </c>
      <c r="Y665" s="325">
        <v>0</v>
      </c>
    </row>
    <row r="666" spans="5:25" x14ac:dyDescent="0.3">
      <c r="E666" s="250" t="s">
        <v>1621</v>
      </c>
      <c r="F666" s="317">
        <v>4310010</v>
      </c>
      <c r="G666" s="318"/>
      <c r="H666" s="319"/>
      <c r="I666" s="320"/>
      <c r="J666" s="337">
        <v>0</v>
      </c>
      <c r="K666" s="321">
        <v>0</v>
      </c>
      <c r="L666" s="321">
        <v>0</v>
      </c>
      <c r="M666" s="321">
        <v>0</v>
      </c>
      <c r="N666" s="321">
        <v>0</v>
      </c>
      <c r="O666" s="321">
        <v>0</v>
      </c>
      <c r="P666" s="321">
        <v>0</v>
      </c>
      <c r="Q666" s="321">
        <v>0</v>
      </c>
      <c r="R666" s="321">
        <v>0</v>
      </c>
      <c r="S666" s="321">
        <v>0</v>
      </c>
      <c r="T666" s="321">
        <v>0</v>
      </c>
      <c r="U666" s="322">
        <v>0</v>
      </c>
      <c r="V666" s="323">
        <v>0</v>
      </c>
      <c r="W666" s="303"/>
      <c r="X666" s="324">
        <v>0</v>
      </c>
      <c r="Y666" s="325">
        <v>0</v>
      </c>
    </row>
    <row r="667" spans="5:25" x14ac:dyDescent="0.3">
      <c r="E667" s="250" t="s">
        <v>1622</v>
      </c>
      <c r="F667" s="317">
        <v>4310011</v>
      </c>
      <c r="G667" s="318"/>
      <c r="H667" s="319"/>
      <c r="I667" s="320"/>
      <c r="J667" s="337">
        <v>0</v>
      </c>
      <c r="K667" s="321">
        <v>0</v>
      </c>
      <c r="L667" s="321">
        <v>0</v>
      </c>
      <c r="M667" s="321">
        <v>0</v>
      </c>
      <c r="N667" s="321">
        <v>0</v>
      </c>
      <c r="O667" s="321">
        <v>0</v>
      </c>
      <c r="P667" s="321">
        <v>0</v>
      </c>
      <c r="Q667" s="321">
        <v>0</v>
      </c>
      <c r="R667" s="321">
        <v>0</v>
      </c>
      <c r="S667" s="321">
        <v>0</v>
      </c>
      <c r="T667" s="321">
        <v>0</v>
      </c>
      <c r="U667" s="322">
        <v>0</v>
      </c>
      <c r="V667" s="323">
        <v>0</v>
      </c>
      <c r="W667" s="303"/>
      <c r="X667" s="324">
        <v>0</v>
      </c>
      <c r="Y667" s="325">
        <v>0</v>
      </c>
    </row>
    <row r="668" spans="5:25" x14ac:dyDescent="0.3">
      <c r="E668" s="250" t="s">
        <v>1623</v>
      </c>
      <c r="F668" s="317">
        <v>4310012</v>
      </c>
      <c r="G668" s="318"/>
      <c r="H668" s="319"/>
      <c r="I668" s="320"/>
      <c r="J668" s="337">
        <v>0</v>
      </c>
      <c r="K668" s="321">
        <v>0</v>
      </c>
      <c r="L668" s="321">
        <v>0</v>
      </c>
      <c r="M668" s="321">
        <v>0</v>
      </c>
      <c r="N668" s="321">
        <v>0</v>
      </c>
      <c r="O668" s="321">
        <v>0</v>
      </c>
      <c r="P668" s="321">
        <v>0</v>
      </c>
      <c r="Q668" s="321">
        <v>0</v>
      </c>
      <c r="R668" s="321">
        <v>0</v>
      </c>
      <c r="S668" s="321">
        <v>0</v>
      </c>
      <c r="T668" s="321">
        <v>0</v>
      </c>
      <c r="U668" s="322">
        <v>0</v>
      </c>
      <c r="V668" s="323">
        <v>0</v>
      </c>
      <c r="W668" s="303"/>
      <c r="X668" s="324">
        <v>0</v>
      </c>
      <c r="Y668" s="325">
        <v>0</v>
      </c>
    </row>
    <row r="669" spans="5:25" x14ac:dyDescent="0.3">
      <c r="E669" s="250" t="s">
        <v>1624</v>
      </c>
      <c r="F669" s="317">
        <v>4310013</v>
      </c>
      <c r="G669" s="318"/>
      <c r="H669" s="319"/>
      <c r="I669" s="320"/>
      <c r="J669" s="337">
        <v>0</v>
      </c>
      <c r="K669" s="321">
        <v>0</v>
      </c>
      <c r="L669" s="321">
        <v>0</v>
      </c>
      <c r="M669" s="321">
        <v>0</v>
      </c>
      <c r="N669" s="321">
        <v>0</v>
      </c>
      <c r="O669" s="321">
        <v>0</v>
      </c>
      <c r="P669" s="321">
        <v>0</v>
      </c>
      <c r="Q669" s="321">
        <v>0</v>
      </c>
      <c r="R669" s="321">
        <v>0</v>
      </c>
      <c r="S669" s="321">
        <v>0</v>
      </c>
      <c r="T669" s="321">
        <v>0</v>
      </c>
      <c r="U669" s="322">
        <v>0</v>
      </c>
      <c r="V669" s="323">
        <v>0</v>
      </c>
      <c r="W669" s="303"/>
      <c r="X669" s="324">
        <v>0</v>
      </c>
      <c r="Y669" s="325">
        <v>0</v>
      </c>
    </row>
    <row r="670" spans="5:25" x14ac:dyDescent="0.3">
      <c r="E670" s="250" t="s">
        <v>1625</v>
      </c>
      <c r="F670" s="317">
        <v>4310014</v>
      </c>
      <c r="G670" s="318"/>
      <c r="H670" s="319"/>
      <c r="I670" s="320"/>
      <c r="J670" s="337">
        <v>0</v>
      </c>
      <c r="K670" s="321">
        <v>0</v>
      </c>
      <c r="L670" s="321">
        <v>0</v>
      </c>
      <c r="M670" s="321">
        <v>0</v>
      </c>
      <c r="N670" s="321">
        <v>0</v>
      </c>
      <c r="O670" s="321">
        <v>0</v>
      </c>
      <c r="P670" s="321">
        <v>0</v>
      </c>
      <c r="Q670" s="321">
        <v>0</v>
      </c>
      <c r="R670" s="321">
        <v>0</v>
      </c>
      <c r="S670" s="321">
        <v>0</v>
      </c>
      <c r="T670" s="321">
        <v>0</v>
      </c>
      <c r="U670" s="322">
        <v>0</v>
      </c>
      <c r="V670" s="323">
        <v>0</v>
      </c>
      <c r="W670" s="303"/>
      <c r="X670" s="324">
        <v>0</v>
      </c>
      <c r="Y670" s="325">
        <v>0</v>
      </c>
    </row>
    <row r="671" spans="5:25" x14ac:dyDescent="0.3">
      <c r="E671" s="250" t="s">
        <v>1626</v>
      </c>
      <c r="F671" s="317">
        <v>4310015</v>
      </c>
      <c r="G671" s="318"/>
      <c r="H671" s="319"/>
      <c r="I671" s="320"/>
      <c r="J671" s="337">
        <v>0</v>
      </c>
      <c r="K671" s="321">
        <v>0</v>
      </c>
      <c r="L671" s="321">
        <v>0</v>
      </c>
      <c r="M671" s="321">
        <v>0</v>
      </c>
      <c r="N671" s="321">
        <v>0</v>
      </c>
      <c r="O671" s="321">
        <v>0</v>
      </c>
      <c r="P671" s="321">
        <v>0</v>
      </c>
      <c r="Q671" s="321">
        <v>0</v>
      </c>
      <c r="R671" s="321">
        <v>0</v>
      </c>
      <c r="S671" s="321">
        <v>0</v>
      </c>
      <c r="T671" s="321">
        <v>0</v>
      </c>
      <c r="U671" s="322">
        <v>0</v>
      </c>
      <c r="V671" s="323">
        <v>0</v>
      </c>
      <c r="W671" s="303"/>
      <c r="X671" s="324">
        <v>0</v>
      </c>
      <c r="Y671" s="325">
        <v>0</v>
      </c>
    </row>
    <row r="672" spans="5:25" x14ac:dyDescent="0.3">
      <c r="E672" s="250" t="s">
        <v>1627</v>
      </c>
      <c r="F672" s="317">
        <v>4310016</v>
      </c>
      <c r="G672" s="318"/>
      <c r="H672" s="319"/>
      <c r="I672" s="320"/>
      <c r="J672" s="337">
        <v>0</v>
      </c>
      <c r="K672" s="321">
        <v>0</v>
      </c>
      <c r="L672" s="321">
        <v>0</v>
      </c>
      <c r="M672" s="321">
        <v>0</v>
      </c>
      <c r="N672" s="321">
        <v>0</v>
      </c>
      <c r="O672" s="321">
        <v>0</v>
      </c>
      <c r="P672" s="321">
        <v>0</v>
      </c>
      <c r="Q672" s="321">
        <v>0</v>
      </c>
      <c r="R672" s="321">
        <v>0</v>
      </c>
      <c r="S672" s="321">
        <v>0</v>
      </c>
      <c r="T672" s="321">
        <v>0</v>
      </c>
      <c r="U672" s="322">
        <v>0</v>
      </c>
      <c r="V672" s="323">
        <v>0</v>
      </c>
      <c r="W672" s="303"/>
      <c r="X672" s="324">
        <v>0</v>
      </c>
      <c r="Y672" s="325">
        <v>0</v>
      </c>
    </row>
    <row r="673" spans="1:25" x14ac:dyDescent="0.3">
      <c r="E673" s="250" t="s">
        <v>1628</v>
      </c>
      <c r="F673" s="317">
        <v>4310017</v>
      </c>
      <c r="G673" s="318"/>
      <c r="H673" s="319"/>
      <c r="I673" s="320"/>
      <c r="J673" s="337">
        <v>0</v>
      </c>
      <c r="K673" s="321">
        <v>0</v>
      </c>
      <c r="L673" s="321">
        <v>0</v>
      </c>
      <c r="M673" s="321">
        <v>0</v>
      </c>
      <c r="N673" s="321">
        <v>0</v>
      </c>
      <c r="O673" s="321">
        <v>0</v>
      </c>
      <c r="P673" s="321">
        <v>0</v>
      </c>
      <c r="Q673" s="321">
        <v>0</v>
      </c>
      <c r="R673" s="321">
        <v>0</v>
      </c>
      <c r="S673" s="321">
        <v>0</v>
      </c>
      <c r="T673" s="321">
        <v>0</v>
      </c>
      <c r="U673" s="322">
        <v>0</v>
      </c>
      <c r="V673" s="323">
        <v>0</v>
      </c>
      <c r="W673" s="303"/>
      <c r="X673" s="324">
        <v>0</v>
      </c>
      <c r="Y673" s="325">
        <v>0</v>
      </c>
    </row>
    <row r="674" spans="1:25" x14ac:dyDescent="0.3">
      <c r="E674" s="250" t="s">
        <v>1629</v>
      </c>
      <c r="F674" s="317">
        <v>4310018</v>
      </c>
      <c r="G674" s="318"/>
      <c r="H674" s="319"/>
      <c r="I674" s="320"/>
      <c r="J674" s="337">
        <v>0</v>
      </c>
      <c r="K674" s="321">
        <v>0</v>
      </c>
      <c r="L674" s="321">
        <v>0</v>
      </c>
      <c r="M674" s="321">
        <v>0</v>
      </c>
      <c r="N674" s="321">
        <v>0</v>
      </c>
      <c r="O674" s="321">
        <v>0</v>
      </c>
      <c r="P674" s="321">
        <v>0</v>
      </c>
      <c r="Q674" s="321">
        <v>0</v>
      </c>
      <c r="R674" s="321">
        <v>0</v>
      </c>
      <c r="S674" s="321">
        <v>0</v>
      </c>
      <c r="T674" s="321">
        <v>0</v>
      </c>
      <c r="U674" s="322">
        <v>0</v>
      </c>
      <c r="V674" s="323">
        <v>0</v>
      </c>
      <c r="W674" s="303"/>
      <c r="X674" s="324">
        <v>0</v>
      </c>
      <c r="Y674" s="325">
        <v>0</v>
      </c>
    </row>
    <row r="675" spans="1:25" x14ac:dyDescent="0.3">
      <c r="E675" s="250" t="s">
        <v>1630</v>
      </c>
      <c r="F675" s="317">
        <v>4310019</v>
      </c>
      <c r="G675" s="318"/>
      <c r="H675" s="319"/>
      <c r="I675" s="320"/>
      <c r="J675" s="337">
        <v>0</v>
      </c>
      <c r="K675" s="321">
        <v>0</v>
      </c>
      <c r="L675" s="321">
        <v>0</v>
      </c>
      <c r="M675" s="321">
        <v>0</v>
      </c>
      <c r="N675" s="321">
        <v>0</v>
      </c>
      <c r="O675" s="321">
        <v>0</v>
      </c>
      <c r="P675" s="321">
        <v>0</v>
      </c>
      <c r="Q675" s="321">
        <v>0</v>
      </c>
      <c r="R675" s="321">
        <v>0</v>
      </c>
      <c r="S675" s="321">
        <v>0</v>
      </c>
      <c r="T675" s="321">
        <v>0</v>
      </c>
      <c r="U675" s="322">
        <v>0</v>
      </c>
      <c r="V675" s="323">
        <v>0</v>
      </c>
      <c r="W675" s="303"/>
      <c r="X675" s="324">
        <v>0</v>
      </c>
      <c r="Y675" s="325">
        <v>0</v>
      </c>
    </row>
    <row r="676" spans="1:25" x14ac:dyDescent="0.3">
      <c r="E676" s="250" t="s">
        <v>1631</v>
      </c>
      <c r="F676" s="317">
        <v>4310020</v>
      </c>
      <c r="G676" s="318"/>
      <c r="H676" s="319"/>
      <c r="I676" s="320"/>
      <c r="J676" s="337">
        <v>0</v>
      </c>
      <c r="K676" s="321">
        <v>0</v>
      </c>
      <c r="L676" s="321">
        <v>0</v>
      </c>
      <c r="M676" s="321">
        <v>0</v>
      </c>
      <c r="N676" s="321">
        <v>0</v>
      </c>
      <c r="O676" s="321">
        <v>0</v>
      </c>
      <c r="P676" s="321">
        <v>0</v>
      </c>
      <c r="Q676" s="321">
        <v>0</v>
      </c>
      <c r="R676" s="321">
        <v>0</v>
      </c>
      <c r="S676" s="321">
        <v>0</v>
      </c>
      <c r="T676" s="321">
        <v>0</v>
      </c>
      <c r="U676" s="322">
        <v>0</v>
      </c>
      <c r="V676" s="323">
        <v>0</v>
      </c>
      <c r="W676" s="303"/>
      <c r="X676" s="324">
        <v>0</v>
      </c>
      <c r="Y676" s="325">
        <v>0</v>
      </c>
    </row>
    <row r="677" spans="1:25" x14ac:dyDescent="0.3">
      <c r="E677" s="250" t="s">
        <v>1632</v>
      </c>
      <c r="F677" s="317">
        <v>4310021</v>
      </c>
      <c r="G677" s="318"/>
      <c r="H677" s="319"/>
      <c r="I677" s="320"/>
      <c r="J677" s="337">
        <v>0</v>
      </c>
      <c r="K677" s="321">
        <v>0</v>
      </c>
      <c r="L677" s="321">
        <v>0</v>
      </c>
      <c r="M677" s="321">
        <v>0</v>
      </c>
      <c r="N677" s="321">
        <v>0</v>
      </c>
      <c r="O677" s="321">
        <v>0</v>
      </c>
      <c r="P677" s="321">
        <v>0</v>
      </c>
      <c r="Q677" s="321">
        <v>0</v>
      </c>
      <c r="R677" s="321">
        <v>0</v>
      </c>
      <c r="S677" s="321">
        <v>0</v>
      </c>
      <c r="T677" s="321">
        <v>0</v>
      </c>
      <c r="U677" s="322">
        <v>0</v>
      </c>
      <c r="V677" s="323">
        <v>0</v>
      </c>
      <c r="W677" s="303"/>
      <c r="X677" s="324">
        <v>0</v>
      </c>
      <c r="Y677" s="325">
        <v>0</v>
      </c>
    </row>
    <row r="678" spans="1:25" x14ac:dyDescent="0.3">
      <c r="A678" s="361"/>
      <c r="B678" s="361"/>
      <c r="C678" s="361"/>
      <c r="D678" s="361"/>
      <c r="E678" s="326" t="s">
        <v>1633</v>
      </c>
      <c r="F678" s="351"/>
      <c r="G678" s="352"/>
      <c r="H678" s="353"/>
      <c r="I678" s="354"/>
      <c r="J678" s="362">
        <v>0</v>
      </c>
      <c r="K678" s="355">
        <v>0</v>
      </c>
      <c r="L678" s="355">
        <v>0</v>
      </c>
      <c r="M678" s="355">
        <v>0</v>
      </c>
      <c r="N678" s="355">
        <v>0</v>
      </c>
      <c r="O678" s="355">
        <v>0</v>
      </c>
      <c r="P678" s="355">
        <v>0</v>
      </c>
      <c r="Q678" s="355">
        <v>0</v>
      </c>
      <c r="R678" s="355">
        <v>0</v>
      </c>
      <c r="S678" s="355">
        <v>0</v>
      </c>
      <c r="T678" s="355">
        <v>0</v>
      </c>
      <c r="U678" s="356">
        <v>0</v>
      </c>
      <c r="V678" s="357">
        <v>0</v>
      </c>
      <c r="W678" s="358"/>
      <c r="X678" s="359">
        <v>0</v>
      </c>
      <c r="Y678" s="360">
        <v>0</v>
      </c>
    </row>
    <row r="679" spans="1:25" x14ac:dyDescent="0.3">
      <c r="A679" s="361"/>
      <c r="B679" s="361"/>
      <c r="C679" s="361"/>
      <c r="D679" s="361"/>
      <c r="E679" s="326" t="s">
        <v>1634</v>
      </c>
      <c r="F679" s="351"/>
      <c r="G679" s="352"/>
      <c r="H679" s="353"/>
      <c r="I679" s="354"/>
      <c r="J679" s="362">
        <v>0</v>
      </c>
      <c r="K679" s="355">
        <v>0</v>
      </c>
      <c r="L679" s="355">
        <v>0</v>
      </c>
      <c r="M679" s="355">
        <v>0</v>
      </c>
      <c r="N679" s="355">
        <v>0</v>
      </c>
      <c r="O679" s="355">
        <v>0</v>
      </c>
      <c r="P679" s="355">
        <v>0</v>
      </c>
      <c r="Q679" s="355">
        <v>0</v>
      </c>
      <c r="R679" s="355">
        <v>0</v>
      </c>
      <c r="S679" s="355">
        <v>0</v>
      </c>
      <c r="T679" s="355">
        <v>0</v>
      </c>
      <c r="U679" s="356">
        <v>0</v>
      </c>
      <c r="V679" s="357">
        <v>0</v>
      </c>
      <c r="W679" s="358"/>
      <c r="X679" s="359">
        <v>0</v>
      </c>
      <c r="Y679" s="360">
        <v>0</v>
      </c>
    </row>
    <row r="680" spans="1:25" x14ac:dyDescent="0.3">
      <c r="A680" s="361"/>
      <c r="B680" s="361"/>
      <c r="C680" s="361"/>
      <c r="D680" s="361"/>
      <c r="E680" s="326" t="s">
        <v>1635</v>
      </c>
      <c r="F680" s="351"/>
      <c r="G680" s="352"/>
      <c r="H680" s="353"/>
      <c r="I680" s="354"/>
      <c r="J680" s="362">
        <v>0</v>
      </c>
      <c r="K680" s="355">
        <v>0</v>
      </c>
      <c r="L680" s="355">
        <v>0</v>
      </c>
      <c r="M680" s="355">
        <v>0</v>
      </c>
      <c r="N680" s="355">
        <v>0</v>
      </c>
      <c r="O680" s="355">
        <v>0</v>
      </c>
      <c r="P680" s="355">
        <v>0</v>
      </c>
      <c r="Q680" s="355">
        <v>0</v>
      </c>
      <c r="R680" s="355">
        <v>0</v>
      </c>
      <c r="S680" s="355">
        <v>0</v>
      </c>
      <c r="T680" s="355">
        <v>0</v>
      </c>
      <c r="U680" s="356">
        <v>0</v>
      </c>
      <c r="V680" s="357">
        <v>0</v>
      </c>
      <c r="W680" s="358"/>
      <c r="X680" s="359">
        <v>0</v>
      </c>
      <c r="Y680" s="360">
        <v>0</v>
      </c>
    </row>
    <row r="681" spans="1:25" x14ac:dyDescent="0.3">
      <c r="A681" s="233"/>
      <c r="B681" s="234" t="s">
        <v>70</v>
      </c>
      <c r="D681" s="293" t="s">
        <v>1636</v>
      </c>
      <c r="E681" s="294"/>
      <c r="F681" s="295" t="s">
        <v>1637</v>
      </c>
      <c r="G681" s="296"/>
      <c r="H681" s="297"/>
      <c r="I681" s="298"/>
      <c r="J681" s="299">
        <v>0</v>
      </c>
      <c r="K681" s="300">
        <v>0</v>
      </c>
      <c r="L681" s="300">
        <v>0</v>
      </c>
      <c r="M681" s="300">
        <v>0</v>
      </c>
      <c r="N681" s="300">
        <v>0</v>
      </c>
      <c r="O681" s="300">
        <v>0</v>
      </c>
      <c r="P681" s="300">
        <v>0</v>
      </c>
      <c r="Q681" s="300">
        <v>0</v>
      </c>
      <c r="R681" s="300">
        <v>0</v>
      </c>
      <c r="S681" s="300">
        <v>0</v>
      </c>
      <c r="T681" s="300">
        <v>0</v>
      </c>
      <c r="U681" s="301">
        <v>0</v>
      </c>
      <c r="V681" s="302">
        <v>0</v>
      </c>
      <c r="W681" s="303"/>
      <c r="X681" s="304">
        <v>0</v>
      </c>
      <c r="Y681" s="305">
        <v>0</v>
      </c>
    </row>
    <row r="682" spans="1:25" x14ac:dyDescent="0.3">
      <c r="E682" s="250" t="s">
        <v>1638</v>
      </c>
      <c r="F682" s="317">
        <v>4311001</v>
      </c>
      <c r="G682" s="318"/>
      <c r="H682" s="319"/>
      <c r="I682" s="320"/>
      <c r="J682" s="337">
        <v>0</v>
      </c>
      <c r="K682" s="321">
        <v>0</v>
      </c>
      <c r="L682" s="321">
        <v>0</v>
      </c>
      <c r="M682" s="321">
        <v>0</v>
      </c>
      <c r="N682" s="321">
        <v>0</v>
      </c>
      <c r="O682" s="321">
        <v>0</v>
      </c>
      <c r="P682" s="321">
        <v>0</v>
      </c>
      <c r="Q682" s="321">
        <v>0</v>
      </c>
      <c r="R682" s="321">
        <v>0</v>
      </c>
      <c r="S682" s="321">
        <v>0</v>
      </c>
      <c r="T682" s="321">
        <v>0</v>
      </c>
      <c r="U682" s="322">
        <v>0</v>
      </c>
      <c r="V682" s="323">
        <v>0</v>
      </c>
      <c r="W682" s="303"/>
      <c r="X682" s="324">
        <v>0</v>
      </c>
      <c r="Y682" s="325">
        <v>0</v>
      </c>
    </row>
    <row r="683" spans="1:25" x14ac:dyDescent="0.3">
      <c r="E683" s="250" t="s">
        <v>1639</v>
      </c>
      <c r="F683" s="317">
        <v>4311002</v>
      </c>
      <c r="G683" s="318"/>
      <c r="H683" s="319"/>
      <c r="I683" s="320"/>
      <c r="J683" s="337">
        <v>0</v>
      </c>
      <c r="K683" s="321">
        <v>0</v>
      </c>
      <c r="L683" s="321">
        <v>0</v>
      </c>
      <c r="M683" s="321">
        <v>0</v>
      </c>
      <c r="N683" s="321">
        <v>0</v>
      </c>
      <c r="O683" s="321">
        <v>0</v>
      </c>
      <c r="P683" s="321">
        <v>0</v>
      </c>
      <c r="Q683" s="321">
        <v>0</v>
      </c>
      <c r="R683" s="321">
        <v>0</v>
      </c>
      <c r="S683" s="321">
        <v>0</v>
      </c>
      <c r="T683" s="321">
        <v>0</v>
      </c>
      <c r="U683" s="322">
        <v>0</v>
      </c>
      <c r="V683" s="323">
        <v>0</v>
      </c>
      <c r="W683" s="303"/>
      <c r="X683" s="324">
        <v>0</v>
      </c>
      <c r="Y683" s="325">
        <v>0</v>
      </c>
    </row>
    <row r="684" spans="1:25" x14ac:dyDescent="0.3">
      <c r="E684" s="250" t="s">
        <v>1640</v>
      </c>
      <c r="F684" s="317">
        <v>4311003</v>
      </c>
      <c r="G684" s="318"/>
      <c r="H684" s="319"/>
      <c r="I684" s="320"/>
      <c r="J684" s="337">
        <v>0</v>
      </c>
      <c r="K684" s="321">
        <v>0</v>
      </c>
      <c r="L684" s="321">
        <v>0</v>
      </c>
      <c r="M684" s="321">
        <v>0</v>
      </c>
      <c r="N684" s="321">
        <v>0</v>
      </c>
      <c r="O684" s="321">
        <v>0</v>
      </c>
      <c r="P684" s="321">
        <v>0</v>
      </c>
      <c r="Q684" s="321">
        <v>0</v>
      </c>
      <c r="R684" s="321">
        <v>0</v>
      </c>
      <c r="S684" s="321">
        <v>0</v>
      </c>
      <c r="T684" s="321">
        <v>0</v>
      </c>
      <c r="U684" s="322">
        <v>0</v>
      </c>
      <c r="V684" s="323">
        <v>0</v>
      </c>
      <c r="W684" s="303"/>
      <c r="X684" s="324">
        <v>0</v>
      </c>
      <c r="Y684" s="325">
        <v>0</v>
      </c>
    </row>
    <row r="685" spans="1:25" x14ac:dyDescent="0.3">
      <c r="E685" s="250" t="s">
        <v>1641</v>
      </c>
      <c r="F685" s="317">
        <v>4311004</v>
      </c>
      <c r="G685" s="318"/>
      <c r="H685" s="319"/>
      <c r="I685" s="320"/>
      <c r="J685" s="337">
        <v>0</v>
      </c>
      <c r="K685" s="321">
        <v>0</v>
      </c>
      <c r="L685" s="321">
        <v>0</v>
      </c>
      <c r="M685" s="321">
        <v>0</v>
      </c>
      <c r="N685" s="321">
        <v>0</v>
      </c>
      <c r="O685" s="321">
        <v>0</v>
      </c>
      <c r="P685" s="321">
        <v>0</v>
      </c>
      <c r="Q685" s="321">
        <v>0</v>
      </c>
      <c r="R685" s="321">
        <v>0</v>
      </c>
      <c r="S685" s="321">
        <v>0</v>
      </c>
      <c r="T685" s="321">
        <v>0</v>
      </c>
      <c r="U685" s="322">
        <v>0</v>
      </c>
      <c r="V685" s="323">
        <v>0</v>
      </c>
      <c r="W685" s="303"/>
      <c r="X685" s="324">
        <v>0</v>
      </c>
      <c r="Y685" s="325">
        <v>0</v>
      </c>
    </row>
    <row r="686" spans="1:25" x14ac:dyDescent="0.3">
      <c r="A686" s="326"/>
      <c r="B686" s="326"/>
      <c r="C686" s="326"/>
      <c r="D686" s="326"/>
      <c r="E686" s="326" t="s">
        <v>1642</v>
      </c>
      <c r="F686" s="336"/>
      <c r="G686" s="327"/>
      <c r="H686" s="328"/>
      <c r="I686" s="329"/>
      <c r="J686" s="338">
        <v>0</v>
      </c>
      <c r="K686" s="330">
        <v>0</v>
      </c>
      <c r="L686" s="330">
        <v>0</v>
      </c>
      <c r="M686" s="330">
        <v>0</v>
      </c>
      <c r="N686" s="330">
        <v>0</v>
      </c>
      <c r="O686" s="330">
        <v>0</v>
      </c>
      <c r="P686" s="330">
        <v>0</v>
      </c>
      <c r="Q686" s="330">
        <v>0</v>
      </c>
      <c r="R686" s="330">
        <v>0</v>
      </c>
      <c r="S686" s="330">
        <v>0</v>
      </c>
      <c r="T686" s="330">
        <v>0</v>
      </c>
      <c r="U686" s="331">
        <v>0</v>
      </c>
      <c r="V686" s="332">
        <v>0</v>
      </c>
      <c r="W686" s="333"/>
      <c r="X686" s="334">
        <v>0</v>
      </c>
      <c r="Y686" s="335">
        <v>0</v>
      </c>
    </row>
    <row r="687" spans="1:25" x14ac:dyDescent="0.3">
      <c r="A687" s="326"/>
      <c r="B687" s="326"/>
      <c r="C687" s="326"/>
      <c r="D687" s="326"/>
      <c r="E687" s="326" t="s">
        <v>1643</v>
      </c>
      <c r="F687" s="336"/>
      <c r="G687" s="327"/>
      <c r="H687" s="328"/>
      <c r="I687" s="329"/>
      <c r="J687" s="338">
        <v>0</v>
      </c>
      <c r="K687" s="330">
        <v>0</v>
      </c>
      <c r="L687" s="330">
        <v>0</v>
      </c>
      <c r="M687" s="330">
        <v>0</v>
      </c>
      <c r="N687" s="330">
        <v>0</v>
      </c>
      <c r="O687" s="330">
        <v>0</v>
      </c>
      <c r="P687" s="330">
        <v>0</v>
      </c>
      <c r="Q687" s="330">
        <v>0</v>
      </c>
      <c r="R687" s="330">
        <v>0</v>
      </c>
      <c r="S687" s="330">
        <v>0</v>
      </c>
      <c r="T687" s="330">
        <v>0</v>
      </c>
      <c r="U687" s="331">
        <v>0</v>
      </c>
      <c r="V687" s="332">
        <v>0</v>
      </c>
      <c r="W687" s="333"/>
      <c r="X687" s="334">
        <v>0</v>
      </c>
      <c r="Y687" s="335">
        <v>0</v>
      </c>
    </row>
    <row r="688" spans="1:25" x14ac:dyDescent="0.3">
      <c r="A688" s="326"/>
      <c r="B688" s="326"/>
      <c r="C688" s="326"/>
      <c r="D688" s="326"/>
      <c r="E688" s="326" t="s">
        <v>1644</v>
      </c>
      <c r="F688" s="336"/>
      <c r="G688" s="327"/>
      <c r="H688" s="328"/>
      <c r="I688" s="329"/>
      <c r="J688" s="338">
        <v>0</v>
      </c>
      <c r="K688" s="330">
        <v>0</v>
      </c>
      <c r="L688" s="330">
        <v>0</v>
      </c>
      <c r="M688" s="330">
        <v>0</v>
      </c>
      <c r="N688" s="330">
        <v>0</v>
      </c>
      <c r="O688" s="330">
        <v>0</v>
      </c>
      <c r="P688" s="330">
        <v>0</v>
      </c>
      <c r="Q688" s="330">
        <v>0</v>
      </c>
      <c r="R688" s="330">
        <v>0</v>
      </c>
      <c r="S688" s="330">
        <v>0</v>
      </c>
      <c r="T688" s="330">
        <v>0</v>
      </c>
      <c r="U688" s="331">
        <v>0</v>
      </c>
      <c r="V688" s="332">
        <v>0</v>
      </c>
      <c r="W688" s="333"/>
      <c r="X688" s="334">
        <v>0</v>
      </c>
      <c r="Y688" s="335">
        <v>0</v>
      </c>
    </row>
    <row r="689" spans="1:25" x14ac:dyDescent="0.3">
      <c r="A689" s="233"/>
      <c r="B689" s="234" t="s">
        <v>70</v>
      </c>
      <c r="D689" s="293" t="s">
        <v>1645</v>
      </c>
      <c r="E689" s="294"/>
      <c r="F689" s="295" t="s">
        <v>1646</v>
      </c>
      <c r="G689" s="296"/>
      <c r="H689" s="297"/>
      <c r="I689" s="298"/>
      <c r="J689" s="299">
        <v>0</v>
      </c>
      <c r="K689" s="300">
        <v>0</v>
      </c>
      <c r="L689" s="300">
        <v>0</v>
      </c>
      <c r="M689" s="300">
        <v>0</v>
      </c>
      <c r="N689" s="300">
        <v>0</v>
      </c>
      <c r="O689" s="300">
        <v>0</v>
      </c>
      <c r="P689" s="300">
        <v>0</v>
      </c>
      <c r="Q689" s="300">
        <v>0</v>
      </c>
      <c r="R689" s="300">
        <v>0</v>
      </c>
      <c r="S689" s="300">
        <v>0</v>
      </c>
      <c r="T689" s="300">
        <v>0</v>
      </c>
      <c r="U689" s="301">
        <v>0</v>
      </c>
      <c r="V689" s="302">
        <v>0</v>
      </c>
      <c r="W689" s="303"/>
      <c r="X689" s="304">
        <v>0</v>
      </c>
      <c r="Y689" s="305">
        <v>0</v>
      </c>
    </row>
    <row r="690" spans="1:25" x14ac:dyDescent="0.3">
      <c r="E690" s="250" t="s">
        <v>1647</v>
      </c>
      <c r="F690" s="317">
        <v>4312001</v>
      </c>
      <c r="G690" s="318"/>
      <c r="H690" s="319"/>
      <c r="I690" s="320"/>
      <c r="J690" s="337">
        <v>0</v>
      </c>
      <c r="K690" s="321">
        <v>0</v>
      </c>
      <c r="L690" s="321">
        <v>0</v>
      </c>
      <c r="M690" s="321">
        <v>0</v>
      </c>
      <c r="N690" s="321">
        <v>0</v>
      </c>
      <c r="O690" s="321">
        <v>0</v>
      </c>
      <c r="P690" s="321">
        <v>0</v>
      </c>
      <c r="Q690" s="321">
        <v>0</v>
      </c>
      <c r="R690" s="321">
        <v>0</v>
      </c>
      <c r="S690" s="321">
        <v>0</v>
      </c>
      <c r="T690" s="321">
        <v>0</v>
      </c>
      <c r="U690" s="322">
        <v>0</v>
      </c>
      <c r="V690" s="323">
        <v>0</v>
      </c>
      <c r="W690" s="303"/>
      <c r="X690" s="324">
        <v>0</v>
      </c>
      <c r="Y690" s="325">
        <v>0</v>
      </c>
    </row>
    <row r="691" spans="1:25" x14ac:dyDescent="0.3">
      <c r="E691" s="250" t="s">
        <v>1648</v>
      </c>
      <c r="F691" s="317">
        <v>4312002</v>
      </c>
      <c r="G691" s="318"/>
      <c r="H691" s="319">
        <v>5101670101</v>
      </c>
      <c r="I691" s="320"/>
      <c r="J691" s="337">
        <v>0</v>
      </c>
      <c r="K691" s="321">
        <v>0</v>
      </c>
      <c r="L691" s="321">
        <v>0</v>
      </c>
      <c r="M691" s="321">
        <v>0</v>
      </c>
      <c r="N691" s="321">
        <v>0</v>
      </c>
      <c r="O691" s="321">
        <v>0</v>
      </c>
      <c r="P691" s="321">
        <v>0</v>
      </c>
      <c r="Q691" s="321">
        <v>0</v>
      </c>
      <c r="R691" s="321">
        <v>0</v>
      </c>
      <c r="S691" s="321">
        <v>0</v>
      </c>
      <c r="T691" s="321">
        <v>0</v>
      </c>
      <c r="U691" s="322">
        <v>0</v>
      </c>
      <c r="V691" s="323">
        <v>0</v>
      </c>
      <c r="W691" s="303"/>
      <c r="X691" s="324">
        <v>0</v>
      </c>
      <c r="Y691" s="325">
        <v>0</v>
      </c>
    </row>
    <row r="692" spans="1:25" x14ac:dyDescent="0.3">
      <c r="E692" s="250" t="s">
        <v>1649</v>
      </c>
      <c r="F692" s="317">
        <v>4312003</v>
      </c>
      <c r="G692" s="318"/>
      <c r="H692" s="319"/>
      <c r="I692" s="320"/>
      <c r="J692" s="337">
        <v>0</v>
      </c>
      <c r="K692" s="321">
        <v>0</v>
      </c>
      <c r="L692" s="321">
        <v>0</v>
      </c>
      <c r="M692" s="321">
        <v>0</v>
      </c>
      <c r="N692" s="321">
        <v>0</v>
      </c>
      <c r="O692" s="321">
        <v>0</v>
      </c>
      <c r="P692" s="321">
        <v>0</v>
      </c>
      <c r="Q692" s="321">
        <v>0</v>
      </c>
      <c r="R692" s="321">
        <v>0</v>
      </c>
      <c r="S692" s="321">
        <v>0</v>
      </c>
      <c r="T692" s="321">
        <v>0</v>
      </c>
      <c r="U692" s="322">
        <v>0</v>
      </c>
      <c r="V692" s="323">
        <v>0</v>
      </c>
      <c r="W692" s="303"/>
      <c r="X692" s="324">
        <v>0</v>
      </c>
      <c r="Y692" s="325">
        <v>0</v>
      </c>
    </row>
    <row r="693" spans="1:25" x14ac:dyDescent="0.3">
      <c r="E693" s="250" t="s">
        <v>1650</v>
      </c>
      <c r="F693" s="317">
        <v>4312004</v>
      </c>
      <c r="G693" s="318"/>
      <c r="H693" s="319"/>
      <c r="I693" s="320"/>
      <c r="J693" s="337">
        <v>0</v>
      </c>
      <c r="K693" s="321">
        <v>0</v>
      </c>
      <c r="L693" s="321">
        <v>0</v>
      </c>
      <c r="M693" s="321">
        <v>0</v>
      </c>
      <c r="N693" s="321">
        <v>0</v>
      </c>
      <c r="O693" s="321">
        <v>0</v>
      </c>
      <c r="P693" s="321">
        <v>0</v>
      </c>
      <c r="Q693" s="321">
        <v>0</v>
      </c>
      <c r="R693" s="321">
        <v>0</v>
      </c>
      <c r="S693" s="321">
        <v>0</v>
      </c>
      <c r="T693" s="321">
        <v>0</v>
      </c>
      <c r="U693" s="322">
        <v>0</v>
      </c>
      <c r="V693" s="323">
        <v>0</v>
      </c>
      <c r="W693" s="303"/>
      <c r="X693" s="324">
        <v>0</v>
      </c>
      <c r="Y693" s="325">
        <v>0</v>
      </c>
    </row>
    <row r="694" spans="1:25" x14ac:dyDescent="0.3">
      <c r="A694" s="326"/>
      <c r="B694" s="326"/>
      <c r="C694" s="326"/>
      <c r="D694" s="326"/>
      <c r="E694" s="326" t="s">
        <v>1651</v>
      </c>
      <c r="F694" s="336"/>
      <c r="G694" s="327"/>
      <c r="H694" s="328"/>
      <c r="I694" s="329"/>
      <c r="J694" s="338">
        <v>0</v>
      </c>
      <c r="K694" s="330">
        <v>0</v>
      </c>
      <c r="L694" s="330">
        <v>0</v>
      </c>
      <c r="M694" s="330">
        <v>0</v>
      </c>
      <c r="N694" s="330">
        <v>0</v>
      </c>
      <c r="O694" s="330">
        <v>0</v>
      </c>
      <c r="P694" s="330">
        <v>0</v>
      </c>
      <c r="Q694" s="330">
        <v>0</v>
      </c>
      <c r="R694" s="330">
        <v>0</v>
      </c>
      <c r="S694" s="330">
        <v>0</v>
      </c>
      <c r="T694" s="330">
        <v>0</v>
      </c>
      <c r="U694" s="331">
        <v>0</v>
      </c>
      <c r="V694" s="332">
        <v>0</v>
      </c>
      <c r="W694" s="333"/>
      <c r="X694" s="334">
        <v>0</v>
      </c>
      <c r="Y694" s="335">
        <v>0</v>
      </c>
    </row>
    <row r="695" spans="1:25" x14ac:dyDescent="0.3">
      <c r="A695" s="326"/>
      <c r="B695" s="326"/>
      <c r="C695" s="326"/>
      <c r="D695" s="326"/>
      <c r="E695" s="326" t="s">
        <v>1652</v>
      </c>
      <c r="F695" s="336"/>
      <c r="G695" s="327"/>
      <c r="H695" s="328"/>
      <c r="I695" s="329"/>
      <c r="J695" s="338">
        <v>0</v>
      </c>
      <c r="K695" s="330">
        <v>0</v>
      </c>
      <c r="L695" s="330">
        <v>0</v>
      </c>
      <c r="M695" s="330">
        <v>0</v>
      </c>
      <c r="N695" s="330">
        <v>0</v>
      </c>
      <c r="O695" s="330">
        <v>0</v>
      </c>
      <c r="P695" s="330">
        <v>0</v>
      </c>
      <c r="Q695" s="330">
        <v>0</v>
      </c>
      <c r="R695" s="330">
        <v>0</v>
      </c>
      <c r="S695" s="330">
        <v>0</v>
      </c>
      <c r="T695" s="330">
        <v>0</v>
      </c>
      <c r="U695" s="331">
        <v>0</v>
      </c>
      <c r="V695" s="332">
        <v>0</v>
      </c>
      <c r="W695" s="333"/>
      <c r="X695" s="334">
        <v>0</v>
      </c>
      <c r="Y695" s="335">
        <v>0</v>
      </c>
    </row>
    <row r="696" spans="1:25" x14ac:dyDescent="0.3">
      <c r="A696" s="326"/>
      <c r="B696" s="326"/>
      <c r="C696" s="326"/>
      <c r="D696" s="326"/>
      <c r="E696" s="326" t="s">
        <v>1653</v>
      </c>
      <c r="F696" s="336"/>
      <c r="G696" s="327"/>
      <c r="H696" s="328"/>
      <c r="I696" s="329"/>
      <c r="J696" s="338">
        <v>0</v>
      </c>
      <c r="K696" s="330">
        <v>0</v>
      </c>
      <c r="L696" s="330">
        <v>0</v>
      </c>
      <c r="M696" s="330">
        <v>0</v>
      </c>
      <c r="N696" s="330">
        <v>0</v>
      </c>
      <c r="O696" s="330">
        <v>0</v>
      </c>
      <c r="P696" s="330">
        <v>0</v>
      </c>
      <c r="Q696" s="330">
        <v>0</v>
      </c>
      <c r="R696" s="330">
        <v>0</v>
      </c>
      <c r="S696" s="330">
        <v>0</v>
      </c>
      <c r="T696" s="330">
        <v>0</v>
      </c>
      <c r="U696" s="331">
        <v>0</v>
      </c>
      <c r="V696" s="332">
        <v>0</v>
      </c>
      <c r="W696" s="333"/>
      <c r="X696" s="334">
        <v>0</v>
      </c>
      <c r="Y696" s="335">
        <v>0</v>
      </c>
    </row>
    <row r="697" spans="1:25" x14ac:dyDescent="0.3">
      <c r="D697" s="293" t="s">
        <v>1654</v>
      </c>
      <c r="E697" s="294"/>
      <c r="F697" s="295" t="s">
        <v>1655</v>
      </c>
      <c r="G697" s="296"/>
      <c r="H697" s="297"/>
      <c r="I697" s="298"/>
      <c r="J697" s="299">
        <v>-473130.58499999996</v>
      </c>
      <c r="K697" s="300">
        <v>-390620.16600000003</v>
      </c>
      <c r="L697" s="300">
        <v>-386485.554</v>
      </c>
      <c r="M697" s="300">
        <v>-460487.42499999999</v>
      </c>
      <c r="N697" s="300">
        <v>-448418.408</v>
      </c>
      <c r="O697" s="300">
        <v>-376689.58500000002</v>
      </c>
      <c r="P697" s="300">
        <v>-419637.34299999999</v>
      </c>
      <c r="Q697" s="300">
        <v>-414023.06900000002</v>
      </c>
      <c r="R697" s="300">
        <v>-1083207.3149999999</v>
      </c>
      <c r="S697" s="300">
        <v>-483261.55</v>
      </c>
      <c r="T697" s="300">
        <v>-534536.61100000003</v>
      </c>
      <c r="U697" s="301">
        <v>-180426.11</v>
      </c>
      <c r="V697" s="302">
        <v>-5650923.7209999999</v>
      </c>
      <c r="W697" s="303"/>
      <c r="X697" s="304">
        <v>-180426.11</v>
      </c>
      <c r="Y697" s="305">
        <v>-5650923.7209999999</v>
      </c>
    </row>
    <row r="698" spans="1:25" x14ac:dyDescent="0.3">
      <c r="A698" s="233"/>
      <c r="B698" s="234" t="s">
        <v>45</v>
      </c>
      <c r="E698" s="339" t="s">
        <v>1656</v>
      </c>
      <c r="F698" s="340" t="s">
        <v>1657</v>
      </c>
      <c r="G698" s="341"/>
      <c r="H698" s="342"/>
      <c r="I698" s="343"/>
      <c r="J698" s="344">
        <v>0</v>
      </c>
      <c r="K698" s="345">
        <v>0</v>
      </c>
      <c r="L698" s="345">
        <v>0</v>
      </c>
      <c r="M698" s="345">
        <v>0</v>
      </c>
      <c r="N698" s="345">
        <v>0</v>
      </c>
      <c r="O698" s="345">
        <v>0</v>
      </c>
      <c r="P698" s="345">
        <v>0</v>
      </c>
      <c r="Q698" s="345">
        <v>0</v>
      </c>
      <c r="R698" s="345">
        <v>0</v>
      </c>
      <c r="S698" s="345">
        <v>0</v>
      </c>
      <c r="T698" s="345">
        <v>0</v>
      </c>
      <c r="U698" s="346">
        <v>0</v>
      </c>
      <c r="V698" s="347">
        <v>0</v>
      </c>
      <c r="W698" s="303"/>
      <c r="X698" s="348">
        <v>0</v>
      </c>
      <c r="Y698" s="349">
        <v>0</v>
      </c>
    </row>
    <row r="699" spans="1:25" x14ac:dyDescent="0.3">
      <c r="E699" s="250" t="s">
        <v>1658</v>
      </c>
      <c r="F699" s="317">
        <v>8950004</v>
      </c>
      <c r="G699" s="318"/>
      <c r="H699" s="319"/>
      <c r="I699" s="320"/>
      <c r="J699" s="337">
        <v>0</v>
      </c>
      <c r="K699" s="321">
        <v>0</v>
      </c>
      <c r="L699" s="321">
        <v>0</v>
      </c>
      <c r="M699" s="321">
        <v>0</v>
      </c>
      <c r="N699" s="321">
        <v>0</v>
      </c>
      <c r="O699" s="321">
        <v>0</v>
      </c>
      <c r="P699" s="321">
        <v>0</v>
      </c>
      <c r="Q699" s="321">
        <v>0</v>
      </c>
      <c r="R699" s="321">
        <v>0</v>
      </c>
      <c r="S699" s="321">
        <v>0</v>
      </c>
      <c r="T699" s="321">
        <v>0</v>
      </c>
      <c r="U699" s="322">
        <v>0</v>
      </c>
      <c r="V699" s="323">
        <v>0</v>
      </c>
      <c r="W699" s="303"/>
      <c r="X699" s="324">
        <v>0</v>
      </c>
      <c r="Y699" s="325">
        <v>0</v>
      </c>
    </row>
    <row r="700" spans="1:25" x14ac:dyDescent="0.3">
      <c r="E700" s="250" t="s">
        <v>1659</v>
      </c>
      <c r="F700" s="317">
        <v>8950005</v>
      </c>
      <c r="G700" s="318"/>
      <c r="H700" s="319"/>
      <c r="I700" s="320"/>
      <c r="J700" s="337">
        <v>0</v>
      </c>
      <c r="K700" s="321">
        <v>0</v>
      </c>
      <c r="L700" s="321">
        <v>0</v>
      </c>
      <c r="M700" s="321">
        <v>0</v>
      </c>
      <c r="N700" s="321">
        <v>0</v>
      </c>
      <c r="O700" s="321">
        <v>0</v>
      </c>
      <c r="P700" s="321">
        <v>0</v>
      </c>
      <c r="Q700" s="321">
        <v>0</v>
      </c>
      <c r="R700" s="321">
        <v>0</v>
      </c>
      <c r="S700" s="321">
        <v>0</v>
      </c>
      <c r="T700" s="321">
        <v>0</v>
      </c>
      <c r="U700" s="322">
        <v>0</v>
      </c>
      <c r="V700" s="323">
        <v>0</v>
      </c>
      <c r="W700" s="303"/>
      <c r="X700" s="324">
        <v>0</v>
      </c>
      <c r="Y700" s="325">
        <v>0</v>
      </c>
    </row>
    <row r="701" spans="1:25" x14ac:dyDescent="0.3">
      <c r="E701" s="250" t="s">
        <v>1660</v>
      </c>
      <c r="F701" s="317">
        <v>8950006</v>
      </c>
      <c r="G701" s="318"/>
      <c r="H701" s="319"/>
      <c r="I701" s="320"/>
      <c r="J701" s="337">
        <v>0</v>
      </c>
      <c r="K701" s="321">
        <v>0</v>
      </c>
      <c r="L701" s="321">
        <v>0</v>
      </c>
      <c r="M701" s="321">
        <v>0</v>
      </c>
      <c r="N701" s="321">
        <v>0</v>
      </c>
      <c r="O701" s="321">
        <v>0</v>
      </c>
      <c r="P701" s="321">
        <v>0</v>
      </c>
      <c r="Q701" s="321">
        <v>0</v>
      </c>
      <c r="R701" s="321">
        <v>0</v>
      </c>
      <c r="S701" s="321">
        <v>0</v>
      </c>
      <c r="T701" s="321">
        <v>0</v>
      </c>
      <c r="U701" s="322">
        <v>0</v>
      </c>
      <c r="V701" s="323">
        <v>0</v>
      </c>
      <c r="W701" s="303"/>
      <c r="X701" s="324">
        <v>0</v>
      </c>
      <c r="Y701" s="325">
        <v>0</v>
      </c>
    </row>
    <row r="702" spans="1:25" x14ac:dyDescent="0.3">
      <c r="E702" s="250" t="s">
        <v>1661</v>
      </c>
      <c r="F702" s="317">
        <v>8950012</v>
      </c>
      <c r="G702" s="318"/>
      <c r="H702" s="319"/>
      <c r="I702" s="320"/>
      <c r="J702" s="337">
        <v>0</v>
      </c>
      <c r="K702" s="321">
        <v>0</v>
      </c>
      <c r="L702" s="321">
        <v>0</v>
      </c>
      <c r="M702" s="321">
        <v>0</v>
      </c>
      <c r="N702" s="321">
        <v>0</v>
      </c>
      <c r="O702" s="321">
        <v>0</v>
      </c>
      <c r="P702" s="321">
        <v>0</v>
      </c>
      <c r="Q702" s="321">
        <v>0</v>
      </c>
      <c r="R702" s="321">
        <v>0</v>
      </c>
      <c r="S702" s="321">
        <v>0</v>
      </c>
      <c r="T702" s="321">
        <v>0</v>
      </c>
      <c r="U702" s="322">
        <v>0</v>
      </c>
      <c r="V702" s="323">
        <v>0</v>
      </c>
      <c r="W702" s="303"/>
      <c r="X702" s="324">
        <v>0</v>
      </c>
      <c r="Y702" s="325">
        <v>0</v>
      </c>
    </row>
    <row r="703" spans="1:25" x14ac:dyDescent="0.3">
      <c r="E703" s="250" t="s">
        <v>1662</v>
      </c>
      <c r="F703" s="317">
        <v>8950013</v>
      </c>
      <c r="G703" s="318"/>
      <c r="H703" s="319"/>
      <c r="I703" s="320"/>
      <c r="J703" s="337">
        <v>0</v>
      </c>
      <c r="K703" s="321">
        <v>0</v>
      </c>
      <c r="L703" s="321">
        <v>0</v>
      </c>
      <c r="M703" s="321">
        <v>0</v>
      </c>
      <c r="N703" s="321">
        <v>0</v>
      </c>
      <c r="O703" s="321">
        <v>0</v>
      </c>
      <c r="P703" s="321">
        <v>0</v>
      </c>
      <c r="Q703" s="321">
        <v>0</v>
      </c>
      <c r="R703" s="321">
        <v>0</v>
      </c>
      <c r="S703" s="321">
        <v>0</v>
      </c>
      <c r="T703" s="321">
        <v>0</v>
      </c>
      <c r="U703" s="322">
        <v>0</v>
      </c>
      <c r="V703" s="323">
        <v>0</v>
      </c>
      <c r="W703" s="303"/>
      <c r="X703" s="324">
        <v>0</v>
      </c>
      <c r="Y703" s="325">
        <v>0</v>
      </c>
    </row>
    <row r="704" spans="1:25" x14ac:dyDescent="0.3">
      <c r="E704" s="250" t="s">
        <v>1663</v>
      </c>
      <c r="F704" s="317">
        <v>8950017</v>
      </c>
      <c r="G704" s="318"/>
      <c r="H704" s="319"/>
      <c r="I704" s="320"/>
      <c r="J704" s="337">
        <v>0</v>
      </c>
      <c r="K704" s="321">
        <v>0</v>
      </c>
      <c r="L704" s="321">
        <v>0</v>
      </c>
      <c r="M704" s="321">
        <v>0</v>
      </c>
      <c r="N704" s="321">
        <v>0</v>
      </c>
      <c r="O704" s="321">
        <v>0</v>
      </c>
      <c r="P704" s="321">
        <v>0</v>
      </c>
      <c r="Q704" s="321">
        <v>0</v>
      </c>
      <c r="R704" s="321">
        <v>0</v>
      </c>
      <c r="S704" s="321">
        <v>0</v>
      </c>
      <c r="T704" s="321">
        <v>0</v>
      </c>
      <c r="U704" s="322">
        <v>0</v>
      </c>
      <c r="V704" s="323">
        <v>0</v>
      </c>
      <c r="W704" s="303"/>
      <c r="X704" s="324">
        <v>0</v>
      </c>
      <c r="Y704" s="325">
        <v>0</v>
      </c>
    </row>
    <row r="705" spans="1:25" x14ac:dyDescent="0.3">
      <c r="A705" s="326"/>
      <c r="B705" s="326"/>
      <c r="C705" s="326"/>
      <c r="D705" s="326"/>
      <c r="E705" s="326" t="s">
        <v>1664</v>
      </c>
      <c r="F705" s="336"/>
      <c r="G705" s="327"/>
      <c r="H705" s="328"/>
      <c r="I705" s="329"/>
      <c r="J705" s="338">
        <v>0</v>
      </c>
      <c r="K705" s="330">
        <v>0</v>
      </c>
      <c r="L705" s="330">
        <v>0</v>
      </c>
      <c r="M705" s="330">
        <v>0</v>
      </c>
      <c r="N705" s="330">
        <v>0</v>
      </c>
      <c r="O705" s="330">
        <v>0</v>
      </c>
      <c r="P705" s="330">
        <v>0</v>
      </c>
      <c r="Q705" s="330">
        <v>0</v>
      </c>
      <c r="R705" s="330">
        <v>0</v>
      </c>
      <c r="S705" s="330">
        <v>0</v>
      </c>
      <c r="T705" s="330">
        <v>0</v>
      </c>
      <c r="U705" s="331">
        <v>0</v>
      </c>
      <c r="V705" s="332">
        <v>0</v>
      </c>
      <c r="W705" s="333"/>
      <c r="X705" s="334">
        <v>0</v>
      </c>
      <c r="Y705" s="335">
        <v>0</v>
      </c>
    </row>
    <row r="706" spans="1:25" x14ac:dyDescent="0.3">
      <c r="A706" s="326"/>
      <c r="B706" s="326"/>
      <c r="C706" s="326"/>
      <c r="D706" s="326"/>
      <c r="E706" s="326" t="s">
        <v>1665</v>
      </c>
      <c r="F706" s="336"/>
      <c r="G706" s="327"/>
      <c r="H706" s="328"/>
      <c r="I706" s="329"/>
      <c r="J706" s="338">
        <v>0</v>
      </c>
      <c r="K706" s="330">
        <v>0</v>
      </c>
      <c r="L706" s="330">
        <v>0</v>
      </c>
      <c r="M706" s="330">
        <v>0</v>
      </c>
      <c r="N706" s="330">
        <v>0</v>
      </c>
      <c r="O706" s="330">
        <v>0</v>
      </c>
      <c r="P706" s="330">
        <v>0</v>
      </c>
      <c r="Q706" s="330">
        <v>0</v>
      </c>
      <c r="R706" s="330">
        <v>0</v>
      </c>
      <c r="S706" s="330">
        <v>0</v>
      </c>
      <c r="T706" s="330">
        <v>0</v>
      </c>
      <c r="U706" s="331">
        <v>0</v>
      </c>
      <c r="V706" s="332">
        <v>0</v>
      </c>
      <c r="W706" s="333"/>
      <c r="X706" s="334">
        <v>0</v>
      </c>
      <c r="Y706" s="335">
        <v>0</v>
      </c>
    </row>
    <row r="707" spans="1:25" x14ac:dyDescent="0.3">
      <c r="A707" s="326"/>
      <c r="B707" s="326"/>
      <c r="C707" s="326"/>
      <c r="D707" s="326"/>
      <c r="E707" s="326" t="s">
        <v>1666</v>
      </c>
      <c r="F707" s="336"/>
      <c r="G707" s="327"/>
      <c r="H707" s="328"/>
      <c r="I707" s="329"/>
      <c r="J707" s="338">
        <v>0</v>
      </c>
      <c r="K707" s="330">
        <v>0</v>
      </c>
      <c r="L707" s="330">
        <v>0</v>
      </c>
      <c r="M707" s="330">
        <v>0</v>
      </c>
      <c r="N707" s="330">
        <v>0</v>
      </c>
      <c r="O707" s="330">
        <v>0</v>
      </c>
      <c r="P707" s="330">
        <v>0</v>
      </c>
      <c r="Q707" s="330">
        <v>0</v>
      </c>
      <c r="R707" s="330">
        <v>0</v>
      </c>
      <c r="S707" s="330">
        <v>0</v>
      </c>
      <c r="T707" s="330">
        <v>0</v>
      </c>
      <c r="U707" s="331">
        <v>0</v>
      </c>
      <c r="V707" s="332">
        <v>0</v>
      </c>
      <c r="W707" s="333"/>
      <c r="X707" s="334">
        <v>0</v>
      </c>
      <c r="Y707" s="335">
        <v>0</v>
      </c>
    </row>
    <row r="708" spans="1:25" x14ac:dyDescent="0.3">
      <c r="E708" s="339" t="s">
        <v>1667</v>
      </c>
      <c r="F708" s="340" t="s">
        <v>1668</v>
      </c>
      <c r="G708" s="341"/>
      <c r="H708" s="342"/>
      <c r="I708" s="343"/>
      <c r="J708" s="344">
        <v>-323940.467</v>
      </c>
      <c r="K708" s="345">
        <v>-281589.32900000003</v>
      </c>
      <c r="L708" s="345">
        <v>-226994.53700000001</v>
      </c>
      <c r="M708" s="345">
        <v>-460487.42499999999</v>
      </c>
      <c r="N708" s="345">
        <v>-448418.408</v>
      </c>
      <c r="O708" s="345">
        <v>-376689.58500000002</v>
      </c>
      <c r="P708" s="345">
        <v>-419637.34299999999</v>
      </c>
      <c r="Q708" s="345">
        <v>-414023.06900000002</v>
      </c>
      <c r="R708" s="345">
        <v>-422095.78600000002</v>
      </c>
      <c r="S708" s="345">
        <v>-430364.29</v>
      </c>
      <c r="T708" s="345">
        <v>-467823.33500000002</v>
      </c>
      <c r="U708" s="346">
        <v>-176874.98699999999</v>
      </c>
      <c r="V708" s="347">
        <v>-4448938.5609999998</v>
      </c>
      <c r="W708" s="303"/>
      <c r="X708" s="348">
        <v>-176874.98699999999</v>
      </c>
      <c r="Y708" s="349">
        <v>-4448938.5609999998</v>
      </c>
    </row>
    <row r="709" spans="1:25" x14ac:dyDescent="0.3">
      <c r="A709" s="233"/>
      <c r="B709" s="234" t="s">
        <v>49</v>
      </c>
      <c r="E709" s="250" t="s">
        <v>1669</v>
      </c>
      <c r="F709" s="317">
        <v>8900000</v>
      </c>
      <c r="G709" s="318"/>
      <c r="H709" s="319"/>
      <c r="I709" s="320"/>
      <c r="J709" s="337">
        <v>-323940.467</v>
      </c>
      <c r="K709" s="321">
        <v>-281589.32900000003</v>
      </c>
      <c r="L709" s="321">
        <v>-226994.53700000001</v>
      </c>
      <c r="M709" s="321">
        <v>-460487.42499999999</v>
      </c>
      <c r="N709" s="321">
        <v>-448418.408</v>
      </c>
      <c r="O709" s="321">
        <v>-376689.58500000002</v>
      </c>
      <c r="P709" s="321">
        <v>-419637.34299999999</v>
      </c>
      <c r="Q709" s="321">
        <v>-414023.06900000002</v>
      </c>
      <c r="R709" s="321">
        <v>-422095.78600000002</v>
      </c>
      <c r="S709" s="321">
        <v>-430364.29</v>
      </c>
      <c r="T709" s="321">
        <v>-467823.33500000002</v>
      </c>
      <c r="U709" s="322">
        <v>-176874.98699999999</v>
      </c>
      <c r="V709" s="323">
        <v>-4448938.5609999998</v>
      </c>
      <c r="W709" s="303"/>
      <c r="X709" s="324">
        <v>-176874.98699999999</v>
      </c>
      <c r="Y709" s="325">
        <v>-4448938.5609999998</v>
      </c>
    </row>
    <row r="710" spans="1:25" x14ac:dyDescent="0.3">
      <c r="A710" s="233"/>
      <c r="B710" s="234" t="s">
        <v>49</v>
      </c>
      <c r="E710" s="250" t="s">
        <v>1670</v>
      </c>
      <c r="F710" s="317">
        <v>8900001</v>
      </c>
      <c r="G710" s="318"/>
      <c r="H710" s="319"/>
      <c r="I710" s="320"/>
      <c r="J710" s="337">
        <v>0</v>
      </c>
      <c r="K710" s="321">
        <v>0</v>
      </c>
      <c r="L710" s="321">
        <v>0</v>
      </c>
      <c r="M710" s="321">
        <v>0</v>
      </c>
      <c r="N710" s="321">
        <v>0</v>
      </c>
      <c r="O710" s="321">
        <v>0</v>
      </c>
      <c r="P710" s="321">
        <v>0</v>
      </c>
      <c r="Q710" s="321">
        <v>0</v>
      </c>
      <c r="R710" s="321">
        <v>0</v>
      </c>
      <c r="S710" s="321">
        <v>0</v>
      </c>
      <c r="T710" s="321">
        <v>0</v>
      </c>
      <c r="U710" s="322">
        <v>0</v>
      </c>
      <c r="V710" s="323">
        <v>0</v>
      </c>
      <c r="W710" s="303"/>
      <c r="X710" s="324">
        <v>0</v>
      </c>
      <c r="Y710" s="325">
        <v>0</v>
      </c>
    </row>
    <row r="711" spans="1:25" x14ac:dyDescent="0.3">
      <c r="A711" s="233"/>
      <c r="B711" s="234" t="s">
        <v>49</v>
      </c>
      <c r="E711" s="250" t="s">
        <v>1671</v>
      </c>
      <c r="F711" s="317">
        <v>8900002</v>
      </c>
      <c r="G711" s="318"/>
      <c r="H711" s="319"/>
      <c r="I711" s="320"/>
      <c r="J711" s="337">
        <v>0</v>
      </c>
      <c r="K711" s="321">
        <v>0</v>
      </c>
      <c r="L711" s="321">
        <v>0</v>
      </c>
      <c r="M711" s="321">
        <v>0</v>
      </c>
      <c r="N711" s="321">
        <v>0</v>
      </c>
      <c r="O711" s="321">
        <v>0</v>
      </c>
      <c r="P711" s="321">
        <v>0</v>
      </c>
      <c r="Q711" s="321">
        <v>0</v>
      </c>
      <c r="R711" s="321">
        <v>0</v>
      </c>
      <c r="S711" s="321">
        <v>0</v>
      </c>
      <c r="T711" s="321">
        <v>0</v>
      </c>
      <c r="U711" s="322">
        <v>0</v>
      </c>
      <c r="V711" s="323">
        <v>0</v>
      </c>
      <c r="W711" s="303"/>
      <c r="X711" s="324">
        <v>0</v>
      </c>
      <c r="Y711" s="325">
        <v>0</v>
      </c>
    </row>
    <row r="712" spans="1:25" x14ac:dyDescent="0.3">
      <c r="A712" s="233"/>
      <c r="B712" s="234" t="s">
        <v>49</v>
      </c>
      <c r="E712" s="250" t="s">
        <v>1672</v>
      </c>
      <c r="F712" s="317">
        <v>8900003</v>
      </c>
      <c r="G712" s="318"/>
      <c r="H712" s="319"/>
      <c r="I712" s="320"/>
      <c r="J712" s="337">
        <v>0</v>
      </c>
      <c r="K712" s="321">
        <v>0</v>
      </c>
      <c r="L712" s="321">
        <v>0</v>
      </c>
      <c r="M712" s="321">
        <v>0</v>
      </c>
      <c r="N712" s="321">
        <v>0</v>
      </c>
      <c r="O712" s="321">
        <v>0</v>
      </c>
      <c r="P712" s="321">
        <v>0</v>
      </c>
      <c r="Q712" s="321">
        <v>0</v>
      </c>
      <c r="R712" s="321">
        <v>0</v>
      </c>
      <c r="S712" s="321">
        <v>0</v>
      </c>
      <c r="T712" s="321">
        <v>0</v>
      </c>
      <c r="U712" s="322">
        <v>0</v>
      </c>
      <c r="V712" s="323">
        <v>0</v>
      </c>
      <c r="W712" s="303"/>
      <c r="X712" s="324">
        <v>0</v>
      </c>
      <c r="Y712" s="325">
        <v>0</v>
      </c>
    </row>
    <row r="713" spans="1:25" x14ac:dyDescent="0.3">
      <c r="A713" s="233"/>
      <c r="B713" s="234" t="s">
        <v>47</v>
      </c>
      <c r="E713" s="250" t="s">
        <v>1673</v>
      </c>
      <c r="F713" s="317">
        <v>8900004</v>
      </c>
      <c r="G713" s="318"/>
      <c r="H713" s="319"/>
      <c r="I713" s="320"/>
      <c r="J713" s="337">
        <v>0</v>
      </c>
      <c r="K713" s="321">
        <v>0</v>
      </c>
      <c r="L713" s="321">
        <v>0</v>
      </c>
      <c r="M713" s="321">
        <v>0</v>
      </c>
      <c r="N713" s="321">
        <v>0</v>
      </c>
      <c r="O713" s="321">
        <v>0</v>
      </c>
      <c r="P713" s="321">
        <v>0</v>
      </c>
      <c r="Q713" s="321">
        <v>0</v>
      </c>
      <c r="R713" s="321">
        <v>0</v>
      </c>
      <c r="S713" s="321">
        <v>0</v>
      </c>
      <c r="T713" s="321">
        <v>0</v>
      </c>
      <c r="U713" s="322">
        <v>0</v>
      </c>
      <c r="V713" s="323">
        <v>0</v>
      </c>
      <c r="W713" s="303"/>
      <c r="X713" s="324">
        <v>0</v>
      </c>
      <c r="Y713" s="325">
        <v>0</v>
      </c>
    </row>
    <row r="714" spans="1:25" x14ac:dyDescent="0.3">
      <c r="A714" s="233"/>
      <c r="B714" s="234" t="s">
        <v>47</v>
      </c>
      <c r="E714" s="250" t="s">
        <v>1674</v>
      </c>
      <c r="F714" s="317">
        <v>8900005</v>
      </c>
      <c r="G714" s="318"/>
      <c r="H714" s="319"/>
      <c r="I714" s="320"/>
      <c r="J714" s="337">
        <v>0</v>
      </c>
      <c r="K714" s="321">
        <v>0</v>
      </c>
      <c r="L714" s="321">
        <v>0</v>
      </c>
      <c r="M714" s="321">
        <v>0</v>
      </c>
      <c r="N714" s="321">
        <v>0</v>
      </c>
      <c r="O714" s="321">
        <v>0</v>
      </c>
      <c r="P714" s="321">
        <v>0</v>
      </c>
      <c r="Q714" s="321">
        <v>0</v>
      </c>
      <c r="R714" s="321">
        <v>0</v>
      </c>
      <c r="S714" s="321">
        <v>0</v>
      </c>
      <c r="T714" s="321">
        <v>0</v>
      </c>
      <c r="U714" s="322">
        <v>0</v>
      </c>
      <c r="V714" s="323">
        <v>0</v>
      </c>
      <c r="W714" s="303"/>
      <c r="X714" s="324">
        <v>0</v>
      </c>
      <c r="Y714" s="325">
        <v>0</v>
      </c>
    </row>
    <row r="715" spans="1:25" x14ac:dyDescent="0.3">
      <c r="A715" s="233"/>
      <c r="B715" s="234" t="s">
        <v>49</v>
      </c>
      <c r="E715" s="250" t="s">
        <v>1675</v>
      </c>
      <c r="F715" s="317">
        <v>8900006</v>
      </c>
      <c r="G715" s="318"/>
      <c r="H715" s="319"/>
      <c r="I715" s="320"/>
      <c r="J715" s="337">
        <v>0</v>
      </c>
      <c r="K715" s="321">
        <v>0</v>
      </c>
      <c r="L715" s="321">
        <v>0</v>
      </c>
      <c r="M715" s="321">
        <v>0</v>
      </c>
      <c r="N715" s="321">
        <v>0</v>
      </c>
      <c r="O715" s="321">
        <v>0</v>
      </c>
      <c r="P715" s="321">
        <v>0</v>
      </c>
      <c r="Q715" s="321">
        <v>0</v>
      </c>
      <c r="R715" s="321">
        <v>0</v>
      </c>
      <c r="S715" s="321">
        <v>0</v>
      </c>
      <c r="T715" s="321">
        <v>0</v>
      </c>
      <c r="U715" s="322">
        <v>0</v>
      </c>
      <c r="V715" s="323">
        <v>0</v>
      </c>
      <c r="W715" s="303"/>
      <c r="X715" s="324">
        <v>0</v>
      </c>
      <c r="Y715" s="325">
        <v>0</v>
      </c>
    </row>
    <row r="716" spans="1:25" x14ac:dyDescent="0.3">
      <c r="A716" s="361"/>
      <c r="B716" s="361"/>
      <c r="C716" s="361"/>
      <c r="D716" s="361"/>
      <c r="E716" s="326" t="s">
        <v>1676</v>
      </c>
      <c r="F716" s="351"/>
      <c r="G716" s="352"/>
      <c r="H716" s="353"/>
      <c r="I716" s="354"/>
      <c r="J716" s="362">
        <v>0</v>
      </c>
      <c r="K716" s="355">
        <v>0</v>
      </c>
      <c r="L716" s="355">
        <v>0</v>
      </c>
      <c r="M716" s="355">
        <v>0</v>
      </c>
      <c r="N716" s="355">
        <v>0</v>
      </c>
      <c r="O716" s="355">
        <v>0</v>
      </c>
      <c r="P716" s="355">
        <v>0</v>
      </c>
      <c r="Q716" s="355">
        <v>0</v>
      </c>
      <c r="R716" s="355">
        <v>0</v>
      </c>
      <c r="S716" s="355">
        <v>0</v>
      </c>
      <c r="T716" s="355">
        <v>0</v>
      </c>
      <c r="U716" s="356">
        <v>0</v>
      </c>
      <c r="V716" s="357">
        <v>0</v>
      </c>
      <c r="W716" s="358"/>
      <c r="X716" s="359">
        <v>0</v>
      </c>
      <c r="Y716" s="360">
        <v>0</v>
      </c>
    </row>
    <row r="717" spans="1:25" x14ac:dyDescent="0.3">
      <c r="A717" s="361"/>
      <c r="B717" s="361"/>
      <c r="C717" s="361"/>
      <c r="D717" s="361"/>
      <c r="E717" s="326" t="s">
        <v>1677</v>
      </c>
      <c r="F717" s="351"/>
      <c r="G717" s="352"/>
      <c r="H717" s="353"/>
      <c r="I717" s="354"/>
      <c r="J717" s="362">
        <v>0</v>
      </c>
      <c r="K717" s="355">
        <v>0</v>
      </c>
      <c r="L717" s="355">
        <v>0</v>
      </c>
      <c r="M717" s="355">
        <v>0</v>
      </c>
      <c r="N717" s="355">
        <v>0</v>
      </c>
      <c r="O717" s="355">
        <v>0</v>
      </c>
      <c r="P717" s="355">
        <v>0</v>
      </c>
      <c r="Q717" s="355">
        <v>0</v>
      </c>
      <c r="R717" s="355">
        <v>0</v>
      </c>
      <c r="S717" s="355">
        <v>0</v>
      </c>
      <c r="T717" s="355">
        <v>0</v>
      </c>
      <c r="U717" s="356">
        <v>0</v>
      </c>
      <c r="V717" s="357">
        <v>0</v>
      </c>
      <c r="W717" s="358"/>
      <c r="X717" s="359">
        <v>0</v>
      </c>
      <c r="Y717" s="360">
        <v>0</v>
      </c>
    </row>
    <row r="718" spans="1:25" x14ac:dyDescent="0.3">
      <c r="A718" s="361"/>
      <c r="B718" s="361"/>
      <c r="C718" s="361"/>
      <c r="D718" s="361"/>
      <c r="E718" s="326" t="s">
        <v>1678</v>
      </c>
      <c r="F718" s="351"/>
      <c r="G718" s="352"/>
      <c r="H718" s="353"/>
      <c r="I718" s="354"/>
      <c r="J718" s="362">
        <v>0</v>
      </c>
      <c r="K718" s="355">
        <v>0</v>
      </c>
      <c r="L718" s="355">
        <v>0</v>
      </c>
      <c r="M718" s="355">
        <v>0</v>
      </c>
      <c r="N718" s="355">
        <v>0</v>
      </c>
      <c r="O718" s="355">
        <v>0</v>
      </c>
      <c r="P718" s="355">
        <v>0</v>
      </c>
      <c r="Q718" s="355">
        <v>0</v>
      </c>
      <c r="R718" s="355">
        <v>0</v>
      </c>
      <c r="S718" s="355">
        <v>0</v>
      </c>
      <c r="T718" s="355">
        <v>0</v>
      </c>
      <c r="U718" s="356">
        <v>0</v>
      </c>
      <c r="V718" s="357">
        <v>0</v>
      </c>
      <c r="W718" s="358"/>
      <c r="X718" s="359">
        <v>0</v>
      </c>
      <c r="Y718" s="360">
        <v>0</v>
      </c>
    </row>
    <row r="719" spans="1:25" x14ac:dyDescent="0.3">
      <c r="E719" s="339" t="s">
        <v>1679</v>
      </c>
      <c r="F719" s="340" t="s">
        <v>1680</v>
      </c>
      <c r="G719" s="341"/>
      <c r="H719" s="342"/>
      <c r="I719" s="343"/>
      <c r="J719" s="344">
        <v>-149190.11799999999</v>
      </c>
      <c r="K719" s="345">
        <v>-109030.837</v>
      </c>
      <c r="L719" s="345">
        <v>-159491.01699999999</v>
      </c>
      <c r="M719" s="345">
        <v>0</v>
      </c>
      <c r="N719" s="345">
        <v>0</v>
      </c>
      <c r="O719" s="345">
        <v>0</v>
      </c>
      <c r="P719" s="345">
        <v>0</v>
      </c>
      <c r="Q719" s="345">
        <v>0</v>
      </c>
      <c r="R719" s="345">
        <v>-661111.52899999998</v>
      </c>
      <c r="S719" s="345">
        <v>-52897.26</v>
      </c>
      <c r="T719" s="345">
        <v>-66713.275999999998</v>
      </c>
      <c r="U719" s="346">
        <v>-3551.123</v>
      </c>
      <c r="V719" s="347">
        <v>-1201985.1599999999</v>
      </c>
      <c r="W719" s="303"/>
      <c r="X719" s="348">
        <v>-3551.123</v>
      </c>
      <c r="Y719" s="349">
        <v>-1201985.1599999999</v>
      </c>
    </row>
    <row r="720" spans="1:25" x14ac:dyDescent="0.3">
      <c r="A720" s="233"/>
      <c r="B720" s="234" t="s">
        <v>48</v>
      </c>
      <c r="E720" s="250" t="s">
        <v>1681</v>
      </c>
      <c r="F720" s="317">
        <v>8950000</v>
      </c>
      <c r="G720" s="318"/>
      <c r="H720" s="319"/>
      <c r="I720" s="320"/>
      <c r="J720" s="337">
        <v>0</v>
      </c>
      <c r="K720" s="321">
        <v>0</v>
      </c>
      <c r="L720" s="321">
        <v>0</v>
      </c>
      <c r="M720" s="321">
        <v>0</v>
      </c>
      <c r="N720" s="321">
        <v>0</v>
      </c>
      <c r="O720" s="321">
        <v>0</v>
      </c>
      <c r="P720" s="321">
        <v>0</v>
      </c>
      <c r="Q720" s="321">
        <v>0</v>
      </c>
      <c r="R720" s="321">
        <v>0</v>
      </c>
      <c r="S720" s="321">
        <v>0</v>
      </c>
      <c r="T720" s="321">
        <v>0</v>
      </c>
      <c r="U720" s="322">
        <v>0</v>
      </c>
      <c r="V720" s="323">
        <v>0</v>
      </c>
      <c r="W720" s="303"/>
      <c r="X720" s="324">
        <v>0</v>
      </c>
      <c r="Y720" s="325">
        <v>0</v>
      </c>
    </row>
    <row r="721" spans="1:25" x14ac:dyDescent="0.3">
      <c r="A721" s="233"/>
      <c r="B721" s="234" t="s">
        <v>48</v>
      </c>
      <c r="E721" s="250" t="s">
        <v>1682</v>
      </c>
      <c r="F721" s="317">
        <v>8950001</v>
      </c>
      <c r="G721" s="318"/>
      <c r="H721" s="319"/>
      <c r="I721" s="320"/>
      <c r="J721" s="337">
        <v>-56366.156999999999</v>
      </c>
      <c r="K721" s="321">
        <v>-31696.004000000001</v>
      </c>
      <c r="L721" s="321">
        <v>-66923.974000000002</v>
      </c>
      <c r="M721" s="321">
        <v>0</v>
      </c>
      <c r="N721" s="321">
        <v>0</v>
      </c>
      <c r="O721" s="321">
        <v>0</v>
      </c>
      <c r="P721" s="321">
        <v>0</v>
      </c>
      <c r="Q721" s="321">
        <v>0</v>
      </c>
      <c r="R721" s="321">
        <v>0</v>
      </c>
      <c r="S721" s="321">
        <v>0</v>
      </c>
      <c r="T721" s="321">
        <v>0</v>
      </c>
      <c r="U721" s="322">
        <v>0</v>
      </c>
      <c r="V721" s="323">
        <v>-154986.13500000001</v>
      </c>
      <c r="W721" s="303"/>
      <c r="X721" s="324">
        <v>0</v>
      </c>
      <c r="Y721" s="325">
        <v>-154986.13500000001</v>
      </c>
    </row>
    <row r="722" spans="1:25" x14ac:dyDescent="0.3">
      <c r="A722" s="233"/>
      <c r="B722" s="234" t="s">
        <v>48</v>
      </c>
      <c r="E722" s="250" t="s">
        <v>1683</v>
      </c>
      <c r="F722" s="317">
        <v>8950002</v>
      </c>
      <c r="G722" s="318"/>
      <c r="H722" s="319"/>
      <c r="I722" s="320"/>
      <c r="J722" s="337">
        <v>0</v>
      </c>
      <c r="K722" s="321">
        <v>0</v>
      </c>
      <c r="L722" s="321">
        <v>0</v>
      </c>
      <c r="M722" s="321">
        <v>0</v>
      </c>
      <c r="N722" s="321">
        <v>0</v>
      </c>
      <c r="O722" s="321">
        <v>0</v>
      </c>
      <c r="P722" s="321">
        <v>0</v>
      </c>
      <c r="Q722" s="321">
        <v>0</v>
      </c>
      <c r="R722" s="321">
        <v>-661111.52899999998</v>
      </c>
      <c r="S722" s="321">
        <v>-52897.26</v>
      </c>
      <c r="T722" s="321">
        <v>-66713.275999999998</v>
      </c>
      <c r="U722" s="322">
        <v>-3551.123</v>
      </c>
      <c r="V722" s="323">
        <v>-784273.18799999997</v>
      </c>
      <c r="W722" s="303"/>
      <c r="X722" s="324">
        <v>-3551.123</v>
      </c>
      <c r="Y722" s="325">
        <v>-784273.18799999997</v>
      </c>
    </row>
    <row r="723" spans="1:25" x14ac:dyDescent="0.3">
      <c r="A723" s="233"/>
      <c r="B723" s="234" t="s">
        <v>48</v>
      </c>
      <c r="E723" s="250" t="s">
        <v>1684</v>
      </c>
      <c r="F723" s="317">
        <v>8950003</v>
      </c>
      <c r="G723" s="318"/>
      <c r="H723" s="319"/>
      <c r="I723" s="320"/>
      <c r="J723" s="337">
        <v>-92823.960999999996</v>
      </c>
      <c r="K723" s="321">
        <v>-77334.832999999999</v>
      </c>
      <c r="L723" s="321">
        <v>-92567.043000000005</v>
      </c>
      <c r="M723" s="321">
        <v>0</v>
      </c>
      <c r="N723" s="321">
        <v>0</v>
      </c>
      <c r="O723" s="321">
        <v>0</v>
      </c>
      <c r="P723" s="321">
        <v>0</v>
      </c>
      <c r="Q723" s="321">
        <v>0</v>
      </c>
      <c r="R723" s="321">
        <v>0</v>
      </c>
      <c r="S723" s="321">
        <v>0</v>
      </c>
      <c r="T723" s="321">
        <v>0</v>
      </c>
      <c r="U723" s="322">
        <v>0</v>
      </c>
      <c r="V723" s="323">
        <v>-262725.837</v>
      </c>
      <c r="W723" s="303"/>
      <c r="X723" s="324">
        <v>0</v>
      </c>
      <c r="Y723" s="325">
        <v>-262725.837</v>
      </c>
    </row>
    <row r="724" spans="1:25" x14ac:dyDescent="0.3">
      <c r="A724" s="233"/>
      <c r="B724" s="234" t="s">
        <v>44</v>
      </c>
      <c r="E724" s="250" t="s">
        <v>1685</v>
      </c>
      <c r="F724" s="317">
        <v>8950007</v>
      </c>
      <c r="G724" s="318"/>
      <c r="H724" s="319"/>
      <c r="I724" s="320"/>
      <c r="J724" s="337">
        <v>0</v>
      </c>
      <c r="K724" s="321">
        <v>0</v>
      </c>
      <c r="L724" s="321">
        <v>0</v>
      </c>
      <c r="M724" s="321">
        <v>0</v>
      </c>
      <c r="N724" s="321">
        <v>0</v>
      </c>
      <c r="O724" s="321">
        <v>0</v>
      </c>
      <c r="P724" s="321">
        <v>0</v>
      </c>
      <c r="Q724" s="321">
        <v>0</v>
      </c>
      <c r="R724" s="321">
        <v>0</v>
      </c>
      <c r="S724" s="321">
        <v>0</v>
      </c>
      <c r="T724" s="321">
        <v>0</v>
      </c>
      <c r="U724" s="322">
        <v>0</v>
      </c>
      <c r="V724" s="323">
        <v>0</v>
      </c>
      <c r="W724" s="303"/>
      <c r="X724" s="324">
        <v>0</v>
      </c>
      <c r="Y724" s="325">
        <v>0</v>
      </c>
    </row>
    <row r="725" spans="1:25" x14ac:dyDescent="0.3">
      <c r="A725" s="233"/>
      <c r="B725" s="234" t="s">
        <v>44</v>
      </c>
      <c r="E725" s="250" t="s">
        <v>1686</v>
      </c>
      <c r="F725" s="317">
        <v>8950008</v>
      </c>
      <c r="G725" s="318"/>
      <c r="H725" s="319"/>
      <c r="I725" s="320"/>
      <c r="J725" s="337">
        <v>0</v>
      </c>
      <c r="K725" s="321">
        <v>0</v>
      </c>
      <c r="L725" s="321">
        <v>0</v>
      </c>
      <c r="M725" s="321">
        <v>0</v>
      </c>
      <c r="N725" s="321">
        <v>0</v>
      </c>
      <c r="O725" s="321">
        <v>0</v>
      </c>
      <c r="P725" s="321">
        <v>0</v>
      </c>
      <c r="Q725" s="321">
        <v>0</v>
      </c>
      <c r="R725" s="321">
        <v>0</v>
      </c>
      <c r="S725" s="321">
        <v>0</v>
      </c>
      <c r="T725" s="321">
        <v>0</v>
      </c>
      <c r="U725" s="322">
        <v>0</v>
      </c>
      <c r="V725" s="323">
        <v>0</v>
      </c>
      <c r="W725" s="303"/>
      <c r="X725" s="324">
        <v>0</v>
      </c>
      <c r="Y725" s="325">
        <v>0</v>
      </c>
    </row>
    <row r="726" spans="1:25" x14ac:dyDescent="0.3">
      <c r="A726" s="233"/>
      <c r="B726" s="234" t="s">
        <v>48</v>
      </c>
      <c r="E726" s="250" t="s">
        <v>1687</v>
      </c>
      <c r="F726" s="317">
        <v>8950009</v>
      </c>
      <c r="G726" s="318"/>
      <c r="H726" s="319"/>
      <c r="I726" s="320"/>
      <c r="J726" s="337">
        <v>0</v>
      </c>
      <c r="K726" s="321">
        <v>0</v>
      </c>
      <c r="L726" s="321">
        <v>0</v>
      </c>
      <c r="M726" s="321">
        <v>0</v>
      </c>
      <c r="N726" s="321">
        <v>0</v>
      </c>
      <c r="O726" s="321">
        <v>0</v>
      </c>
      <c r="P726" s="321">
        <v>0</v>
      </c>
      <c r="Q726" s="321">
        <v>0</v>
      </c>
      <c r="R726" s="321">
        <v>0</v>
      </c>
      <c r="S726" s="321">
        <v>0</v>
      </c>
      <c r="T726" s="321">
        <v>0</v>
      </c>
      <c r="U726" s="322">
        <v>0</v>
      </c>
      <c r="V726" s="323">
        <v>0</v>
      </c>
      <c r="W726" s="303"/>
      <c r="X726" s="324">
        <v>0</v>
      </c>
      <c r="Y726" s="325">
        <v>0</v>
      </c>
    </row>
    <row r="727" spans="1:25" x14ac:dyDescent="0.3">
      <c r="A727" s="233"/>
      <c r="B727" s="234" t="s">
        <v>44</v>
      </c>
      <c r="E727" s="250" t="s">
        <v>1688</v>
      </c>
      <c r="F727" s="317">
        <v>8950010</v>
      </c>
      <c r="G727" s="318"/>
      <c r="H727" s="319"/>
      <c r="I727" s="320"/>
      <c r="J727" s="337">
        <v>0</v>
      </c>
      <c r="K727" s="321">
        <v>0</v>
      </c>
      <c r="L727" s="321">
        <v>0</v>
      </c>
      <c r="M727" s="321">
        <v>0</v>
      </c>
      <c r="N727" s="321">
        <v>0</v>
      </c>
      <c r="O727" s="321">
        <v>0</v>
      </c>
      <c r="P727" s="321">
        <v>0</v>
      </c>
      <c r="Q727" s="321">
        <v>0</v>
      </c>
      <c r="R727" s="321">
        <v>0</v>
      </c>
      <c r="S727" s="321">
        <v>0</v>
      </c>
      <c r="T727" s="321">
        <v>0</v>
      </c>
      <c r="U727" s="322">
        <v>0</v>
      </c>
      <c r="V727" s="323">
        <v>0</v>
      </c>
      <c r="W727" s="303"/>
      <c r="X727" s="324">
        <v>0</v>
      </c>
      <c r="Y727" s="325">
        <v>0</v>
      </c>
    </row>
    <row r="728" spans="1:25" x14ac:dyDescent="0.3">
      <c r="A728" s="233"/>
      <c r="B728" s="234" t="s">
        <v>44</v>
      </c>
      <c r="E728" s="250" t="s">
        <v>1689</v>
      </c>
      <c r="F728" s="317">
        <v>8950011</v>
      </c>
      <c r="G728" s="318"/>
      <c r="H728" s="319"/>
      <c r="I728" s="320"/>
      <c r="J728" s="337">
        <v>0</v>
      </c>
      <c r="K728" s="321">
        <v>0</v>
      </c>
      <c r="L728" s="321">
        <v>0</v>
      </c>
      <c r="M728" s="321">
        <v>0</v>
      </c>
      <c r="N728" s="321">
        <v>0</v>
      </c>
      <c r="O728" s="321">
        <v>0</v>
      </c>
      <c r="P728" s="321">
        <v>0</v>
      </c>
      <c r="Q728" s="321">
        <v>0</v>
      </c>
      <c r="R728" s="321">
        <v>0</v>
      </c>
      <c r="S728" s="321">
        <v>0</v>
      </c>
      <c r="T728" s="321">
        <v>0</v>
      </c>
      <c r="U728" s="322">
        <v>0</v>
      </c>
      <c r="V728" s="323">
        <v>0</v>
      </c>
      <c r="W728" s="303"/>
      <c r="X728" s="324">
        <v>0</v>
      </c>
      <c r="Y728" s="325">
        <v>0</v>
      </c>
    </row>
    <row r="729" spans="1:25" x14ac:dyDescent="0.3">
      <c r="A729" s="233"/>
      <c r="B729" s="234" t="s">
        <v>44</v>
      </c>
      <c r="E729" s="250" t="s">
        <v>1690</v>
      </c>
      <c r="F729" s="317">
        <v>8950014</v>
      </c>
      <c r="G729" s="318"/>
      <c r="H729" s="319"/>
      <c r="I729" s="320"/>
      <c r="J729" s="337">
        <v>0</v>
      </c>
      <c r="K729" s="321">
        <v>0</v>
      </c>
      <c r="L729" s="321">
        <v>0</v>
      </c>
      <c r="M729" s="321">
        <v>0</v>
      </c>
      <c r="N729" s="321">
        <v>0</v>
      </c>
      <c r="O729" s="321">
        <v>0</v>
      </c>
      <c r="P729" s="321">
        <v>0</v>
      </c>
      <c r="Q729" s="321">
        <v>0</v>
      </c>
      <c r="R729" s="321">
        <v>0</v>
      </c>
      <c r="S729" s="321">
        <v>0</v>
      </c>
      <c r="T729" s="321">
        <v>0</v>
      </c>
      <c r="U729" s="322">
        <v>0</v>
      </c>
      <c r="V729" s="323">
        <v>0</v>
      </c>
      <c r="W729" s="303"/>
      <c r="X729" s="324">
        <v>0</v>
      </c>
      <c r="Y729" s="325">
        <v>0</v>
      </c>
    </row>
    <row r="730" spans="1:25" x14ac:dyDescent="0.3">
      <c r="A730" s="233"/>
      <c r="B730" s="234" t="s">
        <v>44</v>
      </c>
      <c r="E730" s="250" t="s">
        <v>1691</v>
      </c>
      <c r="F730" s="317">
        <v>8950015</v>
      </c>
      <c r="G730" s="318"/>
      <c r="H730" s="319"/>
      <c r="I730" s="320"/>
      <c r="J730" s="337">
        <v>0</v>
      </c>
      <c r="K730" s="321">
        <v>0</v>
      </c>
      <c r="L730" s="321">
        <v>0</v>
      </c>
      <c r="M730" s="321">
        <v>0</v>
      </c>
      <c r="N730" s="321">
        <v>0</v>
      </c>
      <c r="O730" s="321">
        <v>0</v>
      </c>
      <c r="P730" s="321">
        <v>0</v>
      </c>
      <c r="Q730" s="321">
        <v>0</v>
      </c>
      <c r="R730" s="321">
        <v>0</v>
      </c>
      <c r="S730" s="321">
        <v>0</v>
      </c>
      <c r="T730" s="321">
        <v>0</v>
      </c>
      <c r="U730" s="322">
        <v>0</v>
      </c>
      <c r="V730" s="323">
        <v>0</v>
      </c>
      <c r="W730" s="303"/>
      <c r="X730" s="324">
        <v>0</v>
      </c>
      <c r="Y730" s="325">
        <v>0</v>
      </c>
    </row>
    <row r="731" spans="1:25" x14ac:dyDescent="0.3">
      <c r="A731" s="233"/>
      <c r="B731" s="234" t="s">
        <v>44</v>
      </c>
      <c r="E731" s="250" t="s">
        <v>1692</v>
      </c>
      <c r="F731" s="317">
        <v>8950016</v>
      </c>
      <c r="G731" s="318"/>
      <c r="H731" s="319"/>
      <c r="I731" s="320"/>
      <c r="J731" s="337">
        <v>0</v>
      </c>
      <c r="K731" s="321">
        <v>0</v>
      </c>
      <c r="L731" s="321">
        <v>0</v>
      </c>
      <c r="M731" s="321">
        <v>0</v>
      </c>
      <c r="N731" s="321">
        <v>0</v>
      </c>
      <c r="O731" s="321">
        <v>0</v>
      </c>
      <c r="P731" s="321">
        <v>0</v>
      </c>
      <c r="Q731" s="321">
        <v>0</v>
      </c>
      <c r="R731" s="321">
        <v>0</v>
      </c>
      <c r="S731" s="321">
        <v>0</v>
      </c>
      <c r="T731" s="321">
        <v>0</v>
      </c>
      <c r="U731" s="322">
        <v>0</v>
      </c>
      <c r="V731" s="323">
        <v>0</v>
      </c>
      <c r="W731" s="303"/>
      <c r="X731" s="324">
        <v>0</v>
      </c>
      <c r="Y731" s="325">
        <v>0</v>
      </c>
    </row>
    <row r="732" spans="1:25" x14ac:dyDescent="0.3">
      <c r="A732" s="233"/>
      <c r="B732" s="234" t="s">
        <v>44</v>
      </c>
      <c r="E732" s="250" t="s">
        <v>1693</v>
      </c>
      <c r="F732" s="317">
        <v>8950018</v>
      </c>
      <c r="G732" s="318"/>
      <c r="H732" s="319"/>
      <c r="I732" s="320"/>
      <c r="J732" s="337">
        <v>0</v>
      </c>
      <c r="K732" s="321">
        <v>0</v>
      </c>
      <c r="L732" s="321">
        <v>0</v>
      </c>
      <c r="M732" s="321">
        <v>0</v>
      </c>
      <c r="N732" s="321">
        <v>0</v>
      </c>
      <c r="O732" s="321">
        <v>0</v>
      </c>
      <c r="P732" s="321">
        <v>0</v>
      </c>
      <c r="Q732" s="321">
        <v>0</v>
      </c>
      <c r="R732" s="321">
        <v>0</v>
      </c>
      <c r="S732" s="321">
        <v>0</v>
      </c>
      <c r="T732" s="321">
        <v>0</v>
      </c>
      <c r="U732" s="322">
        <v>0</v>
      </c>
      <c r="V732" s="323">
        <v>0</v>
      </c>
      <c r="W732" s="303"/>
      <c r="X732" s="324">
        <v>0</v>
      </c>
      <c r="Y732" s="325">
        <v>0</v>
      </c>
    </row>
    <row r="733" spans="1:25" x14ac:dyDescent="0.3">
      <c r="A733" s="233"/>
      <c r="B733" s="234" t="s">
        <v>44</v>
      </c>
      <c r="E733" s="250" t="s">
        <v>1694</v>
      </c>
      <c r="F733" s="317">
        <v>8950019</v>
      </c>
      <c r="G733" s="318"/>
      <c r="H733" s="319"/>
      <c r="I733" s="320"/>
      <c r="J733" s="337">
        <v>0</v>
      </c>
      <c r="K733" s="321">
        <v>0</v>
      </c>
      <c r="L733" s="321">
        <v>0</v>
      </c>
      <c r="M733" s="321">
        <v>0</v>
      </c>
      <c r="N733" s="321">
        <v>0</v>
      </c>
      <c r="O733" s="321">
        <v>0</v>
      </c>
      <c r="P733" s="321">
        <v>0</v>
      </c>
      <c r="Q733" s="321">
        <v>0</v>
      </c>
      <c r="R733" s="321">
        <v>0</v>
      </c>
      <c r="S733" s="321">
        <v>0</v>
      </c>
      <c r="T733" s="321">
        <v>0</v>
      </c>
      <c r="U733" s="322">
        <v>0</v>
      </c>
      <c r="V733" s="323">
        <v>0</v>
      </c>
      <c r="W733" s="303"/>
      <c r="X733" s="324">
        <v>0</v>
      </c>
      <c r="Y733" s="325">
        <v>0</v>
      </c>
    </row>
    <row r="734" spans="1:25" x14ac:dyDescent="0.3">
      <c r="A734" s="233"/>
      <c r="B734" s="234" t="s">
        <v>44</v>
      </c>
      <c r="E734" s="250" t="s">
        <v>1695</v>
      </c>
      <c r="F734" s="317">
        <v>8950020</v>
      </c>
      <c r="G734" s="318"/>
      <c r="H734" s="319"/>
      <c r="I734" s="320"/>
      <c r="J734" s="337">
        <v>0</v>
      </c>
      <c r="K734" s="321">
        <v>0</v>
      </c>
      <c r="L734" s="321">
        <v>0</v>
      </c>
      <c r="M734" s="321">
        <v>0</v>
      </c>
      <c r="N734" s="321">
        <v>0</v>
      </c>
      <c r="O734" s="321">
        <v>0</v>
      </c>
      <c r="P734" s="321">
        <v>0</v>
      </c>
      <c r="Q734" s="321">
        <v>0</v>
      </c>
      <c r="R734" s="321">
        <v>0</v>
      </c>
      <c r="S734" s="321">
        <v>0</v>
      </c>
      <c r="T734" s="321">
        <v>0</v>
      </c>
      <c r="U734" s="322">
        <v>0</v>
      </c>
      <c r="V734" s="323">
        <v>0</v>
      </c>
      <c r="W734" s="303"/>
      <c r="X734" s="324">
        <v>0</v>
      </c>
      <c r="Y734" s="325">
        <v>0</v>
      </c>
    </row>
    <row r="735" spans="1:25" x14ac:dyDescent="0.3">
      <c r="A735" s="233"/>
      <c r="B735" s="234" t="s">
        <v>44</v>
      </c>
      <c r="E735" s="250" t="s">
        <v>1696</v>
      </c>
      <c r="F735" s="317">
        <v>8950021</v>
      </c>
      <c r="G735" s="318"/>
      <c r="H735" s="319"/>
      <c r="I735" s="320"/>
      <c r="J735" s="337">
        <v>0</v>
      </c>
      <c r="K735" s="321">
        <v>0</v>
      </c>
      <c r="L735" s="321">
        <v>0</v>
      </c>
      <c r="M735" s="321">
        <v>0</v>
      </c>
      <c r="N735" s="321">
        <v>0</v>
      </c>
      <c r="O735" s="321">
        <v>0</v>
      </c>
      <c r="P735" s="321">
        <v>0</v>
      </c>
      <c r="Q735" s="321">
        <v>0</v>
      </c>
      <c r="R735" s="321">
        <v>0</v>
      </c>
      <c r="S735" s="321">
        <v>0</v>
      </c>
      <c r="T735" s="321">
        <v>0</v>
      </c>
      <c r="U735" s="322">
        <v>0</v>
      </c>
      <c r="V735" s="323">
        <v>0</v>
      </c>
      <c r="W735" s="303"/>
      <c r="X735" s="324">
        <v>0</v>
      </c>
      <c r="Y735" s="325">
        <v>0</v>
      </c>
    </row>
    <row r="736" spans="1:25" x14ac:dyDescent="0.3">
      <c r="A736" s="233"/>
      <c r="B736" s="234" t="s">
        <v>44</v>
      </c>
      <c r="C736" s="350"/>
      <c r="D736" s="350"/>
      <c r="E736" s="350" t="s">
        <v>1697</v>
      </c>
      <c r="F736" s="306">
        <v>8950022</v>
      </c>
      <c r="G736" s="307"/>
      <c r="H736" s="308"/>
      <c r="I736" s="309"/>
      <c r="J736" s="310">
        <v>0</v>
      </c>
      <c r="K736" s="311">
        <v>0</v>
      </c>
      <c r="L736" s="311">
        <v>0</v>
      </c>
      <c r="M736" s="311">
        <v>0</v>
      </c>
      <c r="N736" s="311">
        <v>0</v>
      </c>
      <c r="O736" s="311">
        <v>0</v>
      </c>
      <c r="P736" s="311">
        <v>0</v>
      </c>
      <c r="Q736" s="311">
        <v>0</v>
      </c>
      <c r="R736" s="311">
        <v>0</v>
      </c>
      <c r="S736" s="311">
        <v>0</v>
      </c>
      <c r="T736" s="311">
        <v>0</v>
      </c>
      <c r="U736" s="312">
        <v>0</v>
      </c>
      <c r="V736" s="313">
        <v>0</v>
      </c>
      <c r="W736" s="314"/>
      <c r="X736" s="315">
        <v>0</v>
      </c>
      <c r="Y736" s="316">
        <v>0</v>
      </c>
    </row>
    <row r="737" spans="1:25" x14ac:dyDescent="0.3">
      <c r="A737" s="361"/>
      <c r="B737" s="361"/>
      <c r="C737" s="361"/>
      <c r="D737" s="361"/>
      <c r="E737" s="326" t="s">
        <v>1698</v>
      </c>
      <c r="F737" s="351"/>
      <c r="G737" s="352"/>
      <c r="H737" s="353"/>
      <c r="I737" s="354"/>
      <c r="J737" s="362">
        <v>0</v>
      </c>
      <c r="K737" s="355">
        <v>0</v>
      </c>
      <c r="L737" s="355">
        <v>0</v>
      </c>
      <c r="M737" s="355">
        <v>0</v>
      </c>
      <c r="N737" s="355">
        <v>0</v>
      </c>
      <c r="O737" s="355">
        <v>0</v>
      </c>
      <c r="P737" s="355">
        <v>0</v>
      </c>
      <c r="Q737" s="355">
        <v>0</v>
      </c>
      <c r="R737" s="355">
        <v>0</v>
      </c>
      <c r="S737" s="355">
        <v>0</v>
      </c>
      <c r="T737" s="355">
        <v>0</v>
      </c>
      <c r="U737" s="356">
        <v>0</v>
      </c>
      <c r="V737" s="357">
        <v>0</v>
      </c>
      <c r="W737" s="358"/>
      <c r="X737" s="359">
        <v>0</v>
      </c>
      <c r="Y737" s="360">
        <v>0</v>
      </c>
    </row>
    <row r="738" spans="1:25" x14ac:dyDescent="0.3">
      <c r="A738" s="361"/>
      <c r="B738" s="361"/>
      <c r="C738" s="361"/>
      <c r="D738" s="361"/>
      <c r="E738" s="326" t="s">
        <v>1699</v>
      </c>
      <c r="F738" s="351"/>
      <c r="G738" s="352"/>
      <c r="H738" s="353"/>
      <c r="I738" s="354"/>
      <c r="J738" s="362">
        <v>0</v>
      </c>
      <c r="K738" s="355">
        <v>0</v>
      </c>
      <c r="L738" s="355">
        <v>0</v>
      </c>
      <c r="M738" s="355">
        <v>0</v>
      </c>
      <c r="N738" s="355">
        <v>0</v>
      </c>
      <c r="O738" s="355">
        <v>0</v>
      </c>
      <c r="P738" s="355">
        <v>0</v>
      </c>
      <c r="Q738" s="355">
        <v>0</v>
      </c>
      <c r="R738" s="355">
        <v>0</v>
      </c>
      <c r="S738" s="355">
        <v>0</v>
      </c>
      <c r="T738" s="355">
        <v>0</v>
      </c>
      <c r="U738" s="356">
        <v>0</v>
      </c>
      <c r="V738" s="357">
        <v>0</v>
      </c>
      <c r="W738" s="358"/>
      <c r="X738" s="359">
        <v>0</v>
      </c>
      <c r="Y738" s="360">
        <v>0</v>
      </c>
    </row>
    <row r="739" spans="1:25" x14ac:dyDescent="0.3">
      <c r="A739" s="361"/>
      <c r="B739" s="361"/>
      <c r="C739" s="361"/>
      <c r="D739" s="361"/>
      <c r="E739" s="326" t="s">
        <v>1700</v>
      </c>
      <c r="F739" s="351"/>
      <c r="G739" s="352"/>
      <c r="H739" s="353"/>
      <c r="I739" s="354"/>
      <c r="J739" s="362">
        <v>0</v>
      </c>
      <c r="K739" s="355">
        <v>0</v>
      </c>
      <c r="L739" s="355">
        <v>0</v>
      </c>
      <c r="M739" s="355">
        <v>0</v>
      </c>
      <c r="N739" s="355">
        <v>0</v>
      </c>
      <c r="O739" s="355">
        <v>0</v>
      </c>
      <c r="P739" s="355">
        <v>0</v>
      </c>
      <c r="Q739" s="355">
        <v>0</v>
      </c>
      <c r="R739" s="355">
        <v>0</v>
      </c>
      <c r="S739" s="355">
        <v>0</v>
      </c>
      <c r="T739" s="355">
        <v>0</v>
      </c>
      <c r="U739" s="356">
        <v>0</v>
      </c>
      <c r="V739" s="357">
        <v>0</v>
      </c>
      <c r="W739" s="358"/>
      <c r="X739" s="359">
        <v>0</v>
      </c>
      <c r="Y739" s="360">
        <v>0</v>
      </c>
    </row>
    <row r="740" spans="1:25" x14ac:dyDescent="0.3">
      <c r="A740" s="233"/>
      <c r="B740" s="234" t="s">
        <v>43</v>
      </c>
      <c r="D740" s="293" t="s">
        <v>1701</v>
      </c>
      <c r="E740" s="294"/>
      <c r="F740" s="295"/>
      <c r="G740" s="296"/>
      <c r="H740" s="297"/>
      <c r="I740" s="298"/>
      <c r="J740" s="299">
        <v>0</v>
      </c>
      <c r="K740" s="300">
        <v>0</v>
      </c>
      <c r="L740" s="300">
        <v>0</v>
      </c>
      <c r="M740" s="300">
        <v>0</v>
      </c>
      <c r="N740" s="300">
        <v>0</v>
      </c>
      <c r="O740" s="300">
        <v>0</v>
      </c>
      <c r="P740" s="300">
        <v>0</v>
      </c>
      <c r="Q740" s="300">
        <v>0</v>
      </c>
      <c r="R740" s="300">
        <v>0</v>
      </c>
      <c r="S740" s="300">
        <v>0</v>
      </c>
      <c r="T740" s="300">
        <v>0</v>
      </c>
      <c r="U740" s="301">
        <v>0</v>
      </c>
      <c r="V740" s="302">
        <v>0</v>
      </c>
      <c r="W740" s="303"/>
      <c r="X740" s="304">
        <v>0</v>
      </c>
      <c r="Y740" s="305">
        <v>0</v>
      </c>
    </row>
    <row r="741" spans="1:25" x14ac:dyDescent="0.3">
      <c r="E741" s="250" t="s">
        <v>1702</v>
      </c>
      <c r="F741" s="317">
        <v>8951000</v>
      </c>
      <c r="G741" s="318"/>
      <c r="H741" s="319"/>
      <c r="I741" s="320"/>
      <c r="J741" s="337">
        <v>0</v>
      </c>
      <c r="K741" s="321">
        <v>0</v>
      </c>
      <c r="L741" s="321">
        <v>0</v>
      </c>
      <c r="M741" s="321">
        <v>0</v>
      </c>
      <c r="N741" s="321">
        <v>0</v>
      </c>
      <c r="O741" s="321">
        <v>0</v>
      </c>
      <c r="P741" s="321">
        <v>0</v>
      </c>
      <c r="Q741" s="321">
        <v>0</v>
      </c>
      <c r="R741" s="321">
        <v>0</v>
      </c>
      <c r="S741" s="321">
        <v>0</v>
      </c>
      <c r="T741" s="321">
        <v>0</v>
      </c>
      <c r="U741" s="322">
        <v>0</v>
      </c>
      <c r="V741" s="323">
        <v>0</v>
      </c>
      <c r="W741" s="303"/>
      <c r="X741" s="324">
        <v>0</v>
      </c>
      <c r="Y741" s="325">
        <v>0</v>
      </c>
    </row>
    <row r="742" spans="1:25" x14ac:dyDescent="0.3">
      <c r="E742" s="250" t="s">
        <v>1703</v>
      </c>
      <c r="F742" s="317">
        <v>8951001</v>
      </c>
      <c r="G742" s="318"/>
      <c r="H742" s="319"/>
      <c r="I742" s="320"/>
      <c r="J742" s="337">
        <v>0</v>
      </c>
      <c r="K742" s="321">
        <v>0</v>
      </c>
      <c r="L742" s="321">
        <v>0</v>
      </c>
      <c r="M742" s="321">
        <v>0</v>
      </c>
      <c r="N742" s="321">
        <v>0</v>
      </c>
      <c r="O742" s="321">
        <v>0</v>
      </c>
      <c r="P742" s="321">
        <v>0</v>
      </c>
      <c r="Q742" s="321">
        <v>0</v>
      </c>
      <c r="R742" s="321">
        <v>0</v>
      </c>
      <c r="S742" s="321">
        <v>0</v>
      </c>
      <c r="T742" s="321">
        <v>0</v>
      </c>
      <c r="U742" s="322">
        <v>0</v>
      </c>
      <c r="V742" s="323">
        <v>0</v>
      </c>
      <c r="W742" s="303"/>
      <c r="X742" s="324">
        <v>0</v>
      </c>
      <c r="Y742" s="325">
        <v>0</v>
      </c>
    </row>
    <row r="743" spans="1:25" x14ac:dyDescent="0.3">
      <c r="E743" s="250" t="s">
        <v>1704</v>
      </c>
      <c r="F743" s="317">
        <v>8951002</v>
      </c>
      <c r="G743" s="318"/>
      <c r="H743" s="319"/>
      <c r="I743" s="320"/>
      <c r="J743" s="337">
        <v>0</v>
      </c>
      <c r="K743" s="321">
        <v>0</v>
      </c>
      <c r="L743" s="321">
        <v>0</v>
      </c>
      <c r="M743" s="321">
        <v>0</v>
      </c>
      <c r="N743" s="321">
        <v>0</v>
      </c>
      <c r="O743" s="321">
        <v>0</v>
      </c>
      <c r="P743" s="321">
        <v>0</v>
      </c>
      <c r="Q743" s="321">
        <v>0</v>
      </c>
      <c r="R743" s="321">
        <v>0</v>
      </c>
      <c r="S743" s="321">
        <v>0</v>
      </c>
      <c r="T743" s="321">
        <v>0</v>
      </c>
      <c r="U743" s="322">
        <v>0</v>
      </c>
      <c r="V743" s="323">
        <v>0</v>
      </c>
      <c r="W743" s="303"/>
      <c r="X743" s="324">
        <v>0</v>
      </c>
      <c r="Y743" s="325">
        <v>0</v>
      </c>
    </row>
    <row r="744" spans="1:25" x14ac:dyDescent="0.3">
      <c r="E744" s="250" t="s">
        <v>1705</v>
      </c>
      <c r="F744" s="317">
        <v>8951003</v>
      </c>
      <c r="G744" s="318"/>
      <c r="H744" s="319"/>
      <c r="I744" s="320"/>
      <c r="J744" s="337">
        <v>0</v>
      </c>
      <c r="K744" s="321">
        <v>0</v>
      </c>
      <c r="L744" s="321">
        <v>0</v>
      </c>
      <c r="M744" s="321">
        <v>0</v>
      </c>
      <c r="N744" s="321">
        <v>0</v>
      </c>
      <c r="O744" s="321">
        <v>0</v>
      </c>
      <c r="P744" s="321">
        <v>0</v>
      </c>
      <c r="Q744" s="321">
        <v>0</v>
      </c>
      <c r="R744" s="321">
        <v>0</v>
      </c>
      <c r="S744" s="321">
        <v>0</v>
      </c>
      <c r="T744" s="321">
        <v>0</v>
      </c>
      <c r="U744" s="322">
        <v>0</v>
      </c>
      <c r="V744" s="323">
        <v>0</v>
      </c>
      <c r="W744" s="303"/>
      <c r="X744" s="324">
        <v>0</v>
      </c>
      <c r="Y744" s="325">
        <v>0</v>
      </c>
    </row>
    <row r="745" spans="1:25" x14ac:dyDescent="0.3">
      <c r="A745" s="361"/>
      <c r="B745" s="361"/>
      <c r="C745" s="361"/>
      <c r="D745" s="361"/>
      <c r="E745" s="326" t="s">
        <v>1706</v>
      </c>
      <c r="F745" s="351"/>
      <c r="G745" s="352"/>
      <c r="H745" s="353"/>
      <c r="I745" s="354"/>
      <c r="J745" s="362">
        <v>0</v>
      </c>
      <c r="K745" s="355">
        <v>0</v>
      </c>
      <c r="L745" s="355">
        <v>0</v>
      </c>
      <c r="M745" s="355">
        <v>0</v>
      </c>
      <c r="N745" s="355">
        <v>0</v>
      </c>
      <c r="O745" s="355">
        <v>0</v>
      </c>
      <c r="P745" s="355">
        <v>0</v>
      </c>
      <c r="Q745" s="355">
        <v>0</v>
      </c>
      <c r="R745" s="355">
        <v>0</v>
      </c>
      <c r="S745" s="355">
        <v>0</v>
      </c>
      <c r="T745" s="355">
        <v>0</v>
      </c>
      <c r="U745" s="356">
        <v>0</v>
      </c>
      <c r="V745" s="357">
        <v>0</v>
      </c>
      <c r="W745" s="358"/>
      <c r="X745" s="359">
        <v>0</v>
      </c>
      <c r="Y745" s="360">
        <v>0</v>
      </c>
    </row>
    <row r="746" spans="1:25" x14ac:dyDescent="0.3">
      <c r="A746" s="361"/>
      <c r="B746" s="361"/>
      <c r="C746" s="361"/>
      <c r="D746" s="361"/>
      <c r="E746" s="326" t="s">
        <v>1707</v>
      </c>
      <c r="F746" s="351"/>
      <c r="G746" s="352"/>
      <c r="H746" s="353"/>
      <c r="I746" s="354"/>
      <c r="J746" s="362">
        <v>0</v>
      </c>
      <c r="K746" s="355">
        <v>0</v>
      </c>
      <c r="L746" s="355">
        <v>0</v>
      </c>
      <c r="M746" s="355">
        <v>0</v>
      </c>
      <c r="N746" s="355">
        <v>0</v>
      </c>
      <c r="O746" s="355">
        <v>0</v>
      </c>
      <c r="P746" s="355">
        <v>0</v>
      </c>
      <c r="Q746" s="355">
        <v>0</v>
      </c>
      <c r="R746" s="355">
        <v>0</v>
      </c>
      <c r="S746" s="355">
        <v>0</v>
      </c>
      <c r="T746" s="355">
        <v>0</v>
      </c>
      <c r="U746" s="356">
        <v>0</v>
      </c>
      <c r="V746" s="357">
        <v>0</v>
      </c>
      <c r="W746" s="358"/>
      <c r="X746" s="359">
        <v>0</v>
      </c>
      <c r="Y746" s="360">
        <v>0</v>
      </c>
    </row>
    <row r="747" spans="1:25" x14ac:dyDescent="0.3">
      <c r="A747" s="361"/>
      <c r="B747" s="361"/>
      <c r="C747" s="361"/>
      <c r="D747" s="361"/>
      <c r="E747" s="326" t="s">
        <v>1708</v>
      </c>
      <c r="F747" s="351"/>
      <c r="G747" s="352"/>
      <c r="H747" s="353"/>
      <c r="I747" s="354"/>
      <c r="J747" s="362">
        <v>0</v>
      </c>
      <c r="K747" s="355">
        <v>0</v>
      </c>
      <c r="L747" s="355">
        <v>0</v>
      </c>
      <c r="M747" s="355">
        <v>0</v>
      </c>
      <c r="N747" s="355">
        <v>0</v>
      </c>
      <c r="O747" s="355">
        <v>0</v>
      </c>
      <c r="P747" s="355">
        <v>0</v>
      </c>
      <c r="Q747" s="355">
        <v>0</v>
      </c>
      <c r="R747" s="355">
        <v>0</v>
      </c>
      <c r="S747" s="355">
        <v>0</v>
      </c>
      <c r="T747" s="355">
        <v>0</v>
      </c>
      <c r="U747" s="356">
        <v>0</v>
      </c>
      <c r="V747" s="357">
        <v>0</v>
      </c>
      <c r="W747" s="358"/>
      <c r="X747" s="359">
        <v>0</v>
      </c>
      <c r="Y747" s="360">
        <v>0</v>
      </c>
    </row>
    <row r="748" spans="1:25" x14ac:dyDescent="0.3">
      <c r="A748" s="233"/>
      <c r="B748" s="234" t="s">
        <v>70</v>
      </c>
      <c r="D748" s="293" t="s">
        <v>1709</v>
      </c>
      <c r="E748" s="294"/>
      <c r="F748" s="295" t="s">
        <v>1710</v>
      </c>
      <c r="G748" s="296"/>
      <c r="H748" s="297"/>
      <c r="I748" s="298"/>
      <c r="J748" s="299">
        <v>0</v>
      </c>
      <c r="K748" s="300">
        <v>0</v>
      </c>
      <c r="L748" s="300">
        <v>0</v>
      </c>
      <c r="M748" s="300">
        <v>0</v>
      </c>
      <c r="N748" s="300">
        <v>0</v>
      </c>
      <c r="O748" s="300">
        <v>0</v>
      </c>
      <c r="P748" s="300">
        <v>0</v>
      </c>
      <c r="Q748" s="300">
        <v>0</v>
      </c>
      <c r="R748" s="300">
        <v>0</v>
      </c>
      <c r="S748" s="300">
        <v>0</v>
      </c>
      <c r="T748" s="300">
        <v>0</v>
      </c>
      <c r="U748" s="301">
        <v>0</v>
      </c>
      <c r="V748" s="302">
        <v>0</v>
      </c>
      <c r="W748" s="303"/>
      <c r="X748" s="304">
        <v>0</v>
      </c>
      <c r="Y748" s="305">
        <v>0</v>
      </c>
    </row>
    <row r="749" spans="1:25" x14ac:dyDescent="0.3">
      <c r="A749" s="250"/>
      <c r="B749" s="250"/>
      <c r="C749" s="250"/>
      <c r="D749" s="250"/>
      <c r="E749" s="250" t="s">
        <v>1711</v>
      </c>
      <c r="F749" s="306">
        <v>4308500</v>
      </c>
      <c r="G749" s="307"/>
      <c r="H749" s="308"/>
      <c r="I749" s="309"/>
      <c r="J749" s="310">
        <v>0</v>
      </c>
      <c r="K749" s="311">
        <v>0</v>
      </c>
      <c r="L749" s="311">
        <v>0</v>
      </c>
      <c r="M749" s="311">
        <v>0</v>
      </c>
      <c r="N749" s="311">
        <v>0</v>
      </c>
      <c r="O749" s="311">
        <v>0</v>
      </c>
      <c r="P749" s="311">
        <v>0</v>
      </c>
      <c r="Q749" s="311">
        <v>0</v>
      </c>
      <c r="R749" s="311">
        <v>0</v>
      </c>
      <c r="S749" s="311">
        <v>0</v>
      </c>
      <c r="T749" s="311">
        <v>0</v>
      </c>
      <c r="U749" s="312">
        <v>0</v>
      </c>
      <c r="V749" s="313">
        <v>0</v>
      </c>
      <c r="W749" s="314"/>
      <c r="X749" s="315">
        <v>0</v>
      </c>
      <c r="Y749" s="316">
        <v>0</v>
      </c>
    </row>
    <row r="750" spans="1:25" x14ac:dyDescent="0.3">
      <c r="A750" s="250"/>
      <c r="B750" s="250"/>
      <c r="C750" s="250"/>
      <c r="D750" s="250"/>
      <c r="E750" s="250" t="s">
        <v>1712</v>
      </c>
      <c r="F750" s="306">
        <v>4309880</v>
      </c>
      <c r="G750" s="307"/>
      <c r="H750" s="308"/>
      <c r="I750" s="309"/>
      <c r="J750" s="310">
        <v>0</v>
      </c>
      <c r="K750" s="311">
        <v>0</v>
      </c>
      <c r="L750" s="311">
        <v>0</v>
      </c>
      <c r="M750" s="311">
        <v>0</v>
      </c>
      <c r="N750" s="311">
        <v>0</v>
      </c>
      <c r="O750" s="311">
        <v>0</v>
      </c>
      <c r="P750" s="311">
        <v>0</v>
      </c>
      <c r="Q750" s="311">
        <v>0</v>
      </c>
      <c r="R750" s="311">
        <v>0</v>
      </c>
      <c r="S750" s="311">
        <v>0</v>
      </c>
      <c r="T750" s="311">
        <v>0</v>
      </c>
      <c r="U750" s="312">
        <v>0</v>
      </c>
      <c r="V750" s="313">
        <v>0</v>
      </c>
      <c r="W750" s="314"/>
      <c r="X750" s="315">
        <v>0</v>
      </c>
      <c r="Y750" s="316">
        <v>0</v>
      </c>
    </row>
    <row r="751" spans="1:25" x14ac:dyDescent="0.3">
      <c r="A751" s="250"/>
      <c r="B751" s="250"/>
      <c r="C751" s="250"/>
      <c r="D751" s="250"/>
      <c r="E751" s="250" t="s">
        <v>1713</v>
      </c>
      <c r="F751" s="306">
        <v>4309507</v>
      </c>
      <c r="G751" s="307"/>
      <c r="H751" s="308"/>
      <c r="I751" s="309"/>
      <c r="J751" s="310">
        <v>0</v>
      </c>
      <c r="K751" s="311">
        <v>0</v>
      </c>
      <c r="L751" s="311">
        <v>0</v>
      </c>
      <c r="M751" s="311">
        <v>0</v>
      </c>
      <c r="N751" s="311">
        <v>0</v>
      </c>
      <c r="O751" s="311">
        <v>0</v>
      </c>
      <c r="P751" s="311">
        <v>0</v>
      </c>
      <c r="Q751" s="311">
        <v>0</v>
      </c>
      <c r="R751" s="311">
        <v>0</v>
      </c>
      <c r="S751" s="311">
        <v>0</v>
      </c>
      <c r="T751" s="311">
        <v>0</v>
      </c>
      <c r="U751" s="312">
        <v>0</v>
      </c>
      <c r="V751" s="313">
        <v>0</v>
      </c>
      <c r="W751" s="314"/>
      <c r="X751" s="315">
        <v>0</v>
      </c>
      <c r="Y751" s="316">
        <v>0</v>
      </c>
    </row>
    <row r="752" spans="1:25" x14ac:dyDescent="0.3">
      <c r="A752" s="250"/>
      <c r="B752" s="250"/>
      <c r="C752" s="250"/>
      <c r="D752" s="250"/>
      <c r="E752" s="250" t="s">
        <v>1714</v>
      </c>
      <c r="F752" s="306">
        <v>4901000</v>
      </c>
      <c r="G752" s="307"/>
      <c r="H752" s="308"/>
      <c r="I752" s="309"/>
      <c r="J752" s="310">
        <v>0</v>
      </c>
      <c r="K752" s="311">
        <v>0</v>
      </c>
      <c r="L752" s="311">
        <v>0</v>
      </c>
      <c r="M752" s="311">
        <v>0</v>
      </c>
      <c r="N752" s="311">
        <v>0</v>
      </c>
      <c r="O752" s="311">
        <v>0</v>
      </c>
      <c r="P752" s="311">
        <v>0</v>
      </c>
      <c r="Q752" s="311">
        <v>0</v>
      </c>
      <c r="R752" s="311">
        <v>0</v>
      </c>
      <c r="S752" s="311">
        <v>0</v>
      </c>
      <c r="T752" s="311">
        <v>0</v>
      </c>
      <c r="U752" s="312">
        <v>0</v>
      </c>
      <c r="V752" s="313">
        <v>0</v>
      </c>
      <c r="W752" s="314"/>
      <c r="X752" s="315">
        <v>0</v>
      </c>
      <c r="Y752" s="316">
        <v>0</v>
      </c>
    </row>
    <row r="753" spans="1:25" x14ac:dyDescent="0.3">
      <c r="A753" s="250"/>
      <c r="B753" s="250"/>
      <c r="C753" s="250"/>
      <c r="D753" s="250"/>
      <c r="E753" s="250" t="s">
        <v>1715</v>
      </c>
      <c r="F753" s="306">
        <v>4901001</v>
      </c>
      <c r="G753" s="307"/>
      <c r="H753" s="308"/>
      <c r="I753" s="309"/>
      <c r="J753" s="310">
        <v>0</v>
      </c>
      <c r="K753" s="311">
        <v>0</v>
      </c>
      <c r="L753" s="311">
        <v>0</v>
      </c>
      <c r="M753" s="311">
        <v>0</v>
      </c>
      <c r="N753" s="311">
        <v>0</v>
      </c>
      <c r="O753" s="311">
        <v>0</v>
      </c>
      <c r="P753" s="311">
        <v>0</v>
      </c>
      <c r="Q753" s="311">
        <v>0</v>
      </c>
      <c r="R753" s="311">
        <v>0</v>
      </c>
      <c r="S753" s="311">
        <v>0</v>
      </c>
      <c r="T753" s="311">
        <v>0</v>
      </c>
      <c r="U753" s="312">
        <v>0</v>
      </c>
      <c r="V753" s="313">
        <v>0</v>
      </c>
      <c r="W753" s="314"/>
      <c r="X753" s="315">
        <v>0</v>
      </c>
      <c r="Y753" s="316">
        <v>0</v>
      </c>
    </row>
    <row r="754" spans="1:25" x14ac:dyDescent="0.3">
      <c r="A754" s="250"/>
      <c r="B754" s="250"/>
      <c r="C754" s="250"/>
      <c r="D754" s="250"/>
      <c r="E754" s="250" t="s">
        <v>1716</v>
      </c>
      <c r="F754" s="306">
        <v>4901003</v>
      </c>
      <c r="G754" s="307"/>
      <c r="H754" s="308"/>
      <c r="I754" s="309"/>
      <c r="J754" s="310">
        <v>0</v>
      </c>
      <c r="K754" s="311">
        <v>0</v>
      </c>
      <c r="L754" s="311">
        <v>0</v>
      </c>
      <c r="M754" s="311">
        <v>0</v>
      </c>
      <c r="N754" s="311">
        <v>0</v>
      </c>
      <c r="O754" s="311">
        <v>0</v>
      </c>
      <c r="P754" s="311">
        <v>0</v>
      </c>
      <c r="Q754" s="311">
        <v>0</v>
      </c>
      <c r="R754" s="311">
        <v>0</v>
      </c>
      <c r="S754" s="311">
        <v>0</v>
      </c>
      <c r="T754" s="311">
        <v>0</v>
      </c>
      <c r="U754" s="312">
        <v>0</v>
      </c>
      <c r="V754" s="313">
        <v>0</v>
      </c>
      <c r="W754" s="314"/>
      <c r="X754" s="315">
        <v>0</v>
      </c>
      <c r="Y754" s="316">
        <v>0</v>
      </c>
    </row>
    <row r="755" spans="1:25" x14ac:dyDescent="0.3">
      <c r="A755" s="250"/>
      <c r="B755" s="250"/>
      <c r="C755" s="250"/>
      <c r="D755" s="250"/>
      <c r="E755" s="250" t="s">
        <v>1717</v>
      </c>
      <c r="F755" s="306">
        <v>4901004</v>
      </c>
      <c r="G755" s="307"/>
      <c r="H755" s="308"/>
      <c r="I755" s="309"/>
      <c r="J755" s="310">
        <v>0</v>
      </c>
      <c r="K755" s="311">
        <v>0</v>
      </c>
      <c r="L755" s="311">
        <v>0</v>
      </c>
      <c r="M755" s="311">
        <v>0</v>
      </c>
      <c r="N755" s="311">
        <v>0</v>
      </c>
      <c r="O755" s="311">
        <v>0</v>
      </c>
      <c r="P755" s="311">
        <v>0</v>
      </c>
      <c r="Q755" s="311">
        <v>0</v>
      </c>
      <c r="R755" s="311">
        <v>0</v>
      </c>
      <c r="S755" s="311">
        <v>0</v>
      </c>
      <c r="T755" s="311">
        <v>0</v>
      </c>
      <c r="U755" s="312">
        <v>0</v>
      </c>
      <c r="V755" s="313">
        <v>0</v>
      </c>
      <c r="W755" s="314"/>
      <c r="X755" s="315">
        <v>0</v>
      </c>
      <c r="Y755" s="316">
        <v>0</v>
      </c>
    </row>
    <row r="756" spans="1:25" x14ac:dyDescent="0.3">
      <c r="A756" s="250"/>
      <c r="B756" s="250"/>
      <c r="C756" s="250"/>
      <c r="D756" s="250"/>
      <c r="E756" s="250" t="s">
        <v>1718</v>
      </c>
      <c r="F756" s="306">
        <v>4901099</v>
      </c>
      <c r="G756" s="307"/>
      <c r="H756" s="308"/>
      <c r="I756" s="309"/>
      <c r="J756" s="310">
        <v>0</v>
      </c>
      <c r="K756" s="311">
        <v>0</v>
      </c>
      <c r="L756" s="311">
        <v>0</v>
      </c>
      <c r="M756" s="311">
        <v>0</v>
      </c>
      <c r="N756" s="311">
        <v>0</v>
      </c>
      <c r="O756" s="311">
        <v>0</v>
      </c>
      <c r="P756" s="311">
        <v>0</v>
      </c>
      <c r="Q756" s="311">
        <v>0</v>
      </c>
      <c r="R756" s="311">
        <v>0</v>
      </c>
      <c r="S756" s="311">
        <v>0</v>
      </c>
      <c r="T756" s="311">
        <v>0</v>
      </c>
      <c r="U756" s="312">
        <v>0</v>
      </c>
      <c r="V756" s="313">
        <v>0</v>
      </c>
      <c r="W756" s="314"/>
      <c r="X756" s="315">
        <v>0</v>
      </c>
      <c r="Y756" s="316">
        <v>0</v>
      </c>
    </row>
    <row r="757" spans="1:25" x14ac:dyDescent="0.3">
      <c r="A757" s="250"/>
      <c r="B757" s="250"/>
      <c r="C757" s="250"/>
      <c r="D757" s="250"/>
      <c r="E757" s="250" t="s">
        <v>1719</v>
      </c>
      <c r="F757" s="306">
        <v>4902000</v>
      </c>
      <c r="G757" s="307"/>
      <c r="H757" s="308"/>
      <c r="I757" s="309"/>
      <c r="J757" s="310">
        <v>0</v>
      </c>
      <c r="K757" s="311">
        <v>0</v>
      </c>
      <c r="L757" s="311">
        <v>0</v>
      </c>
      <c r="M757" s="311">
        <v>0</v>
      </c>
      <c r="N757" s="311">
        <v>0</v>
      </c>
      <c r="O757" s="311">
        <v>0</v>
      </c>
      <c r="P757" s="311">
        <v>0</v>
      </c>
      <c r="Q757" s="311">
        <v>0</v>
      </c>
      <c r="R757" s="311">
        <v>0</v>
      </c>
      <c r="S757" s="311">
        <v>0</v>
      </c>
      <c r="T757" s="311">
        <v>0</v>
      </c>
      <c r="U757" s="312">
        <v>0</v>
      </c>
      <c r="V757" s="313">
        <v>0</v>
      </c>
      <c r="W757" s="314"/>
      <c r="X757" s="315">
        <v>0</v>
      </c>
      <c r="Y757" s="316">
        <v>0</v>
      </c>
    </row>
    <row r="758" spans="1:25" x14ac:dyDescent="0.3">
      <c r="A758" s="250"/>
      <c r="B758" s="250"/>
      <c r="C758" s="250"/>
      <c r="D758" s="250"/>
      <c r="E758" s="250" t="s">
        <v>1720</v>
      </c>
      <c r="F758" s="306">
        <v>4902001</v>
      </c>
      <c r="G758" s="307"/>
      <c r="H758" s="308"/>
      <c r="I758" s="309"/>
      <c r="J758" s="310">
        <v>0</v>
      </c>
      <c r="K758" s="311">
        <v>0</v>
      </c>
      <c r="L758" s="311">
        <v>0</v>
      </c>
      <c r="M758" s="311">
        <v>0</v>
      </c>
      <c r="N758" s="311">
        <v>0</v>
      </c>
      <c r="O758" s="311">
        <v>0</v>
      </c>
      <c r="P758" s="311">
        <v>0</v>
      </c>
      <c r="Q758" s="311">
        <v>0</v>
      </c>
      <c r="R758" s="311">
        <v>0</v>
      </c>
      <c r="S758" s="311">
        <v>0</v>
      </c>
      <c r="T758" s="311">
        <v>0</v>
      </c>
      <c r="U758" s="312">
        <v>0</v>
      </c>
      <c r="V758" s="313">
        <v>0</v>
      </c>
      <c r="W758" s="314"/>
      <c r="X758" s="315">
        <v>0</v>
      </c>
      <c r="Y758" s="316">
        <v>0</v>
      </c>
    </row>
    <row r="759" spans="1:25" x14ac:dyDescent="0.3">
      <c r="A759" s="250"/>
      <c r="B759" s="250"/>
      <c r="C759" s="250"/>
      <c r="D759" s="250"/>
      <c r="E759" s="250" t="s">
        <v>1721</v>
      </c>
      <c r="F759" s="306">
        <v>4902003</v>
      </c>
      <c r="G759" s="307"/>
      <c r="H759" s="308"/>
      <c r="I759" s="309"/>
      <c r="J759" s="310">
        <v>0</v>
      </c>
      <c r="K759" s="311">
        <v>0</v>
      </c>
      <c r="L759" s="311">
        <v>0</v>
      </c>
      <c r="M759" s="311">
        <v>0</v>
      </c>
      <c r="N759" s="311">
        <v>0</v>
      </c>
      <c r="O759" s="311">
        <v>0</v>
      </c>
      <c r="P759" s="311">
        <v>0</v>
      </c>
      <c r="Q759" s="311">
        <v>0</v>
      </c>
      <c r="R759" s="311">
        <v>0</v>
      </c>
      <c r="S759" s="311">
        <v>0</v>
      </c>
      <c r="T759" s="311">
        <v>0</v>
      </c>
      <c r="U759" s="312">
        <v>0</v>
      </c>
      <c r="V759" s="313">
        <v>0</v>
      </c>
      <c r="W759" s="314"/>
      <c r="X759" s="315">
        <v>0</v>
      </c>
      <c r="Y759" s="316">
        <v>0</v>
      </c>
    </row>
    <row r="760" spans="1:25" x14ac:dyDescent="0.3">
      <c r="A760" s="250"/>
      <c r="B760" s="250"/>
      <c r="C760" s="250"/>
      <c r="D760" s="250"/>
      <c r="E760" s="250" t="s">
        <v>1722</v>
      </c>
      <c r="F760" s="306">
        <v>4902004</v>
      </c>
      <c r="G760" s="307"/>
      <c r="H760" s="308"/>
      <c r="I760" s="309"/>
      <c r="J760" s="310">
        <v>0</v>
      </c>
      <c r="K760" s="311">
        <v>0</v>
      </c>
      <c r="L760" s="311">
        <v>0</v>
      </c>
      <c r="M760" s="311">
        <v>0</v>
      </c>
      <c r="N760" s="311">
        <v>0</v>
      </c>
      <c r="O760" s="311">
        <v>0</v>
      </c>
      <c r="P760" s="311">
        <v>0</v>
      </c>
      <c r="Q760" s="311">
        <v>0</v>
      </c>
      <c r="R760" s="311">
        <v>0</v>
      </c>
      <c r="S760" s="311">
        <v>0</v>
      </c>
      <c r="T760" s="311">
        <v>0</v>
      </c>
      <c r="U760" s="312">
        <v>0</v>
      </c>
      <c r="V760" s="313">
        <v>0</v>
      </c>
      <c r="W760" s="314"/>
      <c r="X760" s="315">
        <v>0</v>
      </c>
      <c r="Y760" s="316">
        <v>0</v>
      </c>
    </row>
    <row r="761" spans="1:25" x14ac:dyDescent="0.3">
      <c r="A761" s="250"/>
      <c r="B761" s="250"/>
      <c r="C761" s="250"/>
      <c r="D761" s="250"/>
      <c r="E761" s="250" t="s">
        <v>1723</v>
      </c>
      <c r="F761" s="306">
        <v>4313001</v>
      </c>
      <c r="G761" s="307"/>
      <c r="H761" s="308"/>
      <c r="I761" s="309"/>
      <c r="J761" s="310">
        <v>0</v>
      </c>
      <c r="K761" s="311">
        <v>0</v>
      </c>
      <c r="L761" s="311">
        <v>0</v>
      </c>
      <c r="M761" s="311">
        <v>0</v>
      </c>
      <c r="N761" s="311">
        <v>0</v>
      </c>
      <c r="O761" s="311">
        <v>0</v>
      </c>
      <c r="P761" s="311">
        <v>0</v>
      </c>
      <c r="Q761" s="311">
        <v>0</v>
      </c>
      <c r="R761" s="311">
        <v>0</v>
      </c>
      <c r="S761" s="311">
        <v>0</v>
      </c>
      <c r="T761" s="311">
        <v>0</v>
      </c>
      <c r="U761" s="312">
        <v>0</v>
      </c>
      <c r="V761" s="313">
        <v>0</v>
      </c>
      <c r="W761" s="314"/>
      <c r="X761" s="315">
        <v>0</v>
      </c>
      <c r="Y761" s="316">
        <v>0</v>
      </c>
    </row>
    <row r="762" spans="1:25" x14ac:dyDescent="0.3">
      <c r="D762" s="293" t="s">
        <v>1724</v>
      </c>
      <c r="E762" s="294"/>
      <c r="F762" s="295"/>
      <c r="G762" s="296"/>
      <c r="H762" s="297"/>
      <c r="I762" s="298"/>
      <c r="J762" s="299">
        <v>0</v>
      </c>
      <c r="K762" s="300">
        <v>0</v>
      </c>
      <c r="L762" s="300">
        <v>0</v>
      </c>
      <c r="M762" s="300">
        <v>0</v>
      </c>
      <c r="N762" s="300">
        <v>0</v>
      </c>
      <c r="O762" s="300">
        <v>0</v>
      </c>
      <c r="P762" s="300">
        <v>0</v>
      </c>
      <c r="Q762" s="300">
        <v>0</v>
      </c>
      <c r="R762" s="300">
        <v>0</v>
      </c>
      <c r="S762" s="300">
        <v>0</v>
      </c>
      <c r="T762" s="300">
        <v>0</v>
      </c>
      <c r="U762" s="301">
        <v>0</v>
      </c>
      <c r="V762" s="302">
        <v>0</v>
      </c>
      <c r="W762" s="303"/>
      <c r="X762" s="304">
        <v>0</v>
      </c>
      <c r="Y762" s="305">
        <v>0</v>
      </c>
    </row>
    <row r="763" spans="1:25" x14ac:dyDescent="0.3">
      <c r="A763" s="326"/>
      <c r="B763" s="326"/>
      <c r="C763" s="326"/>
      <c r="D763" s="326"/>
      <c r="E763" s="326" t="s">
        <v>1725</v>
      </c>
      <c r="F763" s="351"/>
      <c r="G763" s="352"/>
      <c r="H763" s="353"/>
      <c r="I763" s="354"/>
      <c r="J763" s="362">
        <v>0</v>
      </c>
      <c r="K763" s="355">
        <v>0</v>
      </c>
      <c r="L763" s="355">
        <v>0</v>
      </c>
      <c r="M763" s="355">
        <v>0</v>
      </c>
      <c r="N763" s="355">
        <v>0</v>
      </c>
      <c r="O763" s="355">
        <v>0</v>
      </c>
      <c r="P763" s="355">
        <v>0</v>
      </c>
      <c r="Q763" s="355">
        <v>0</v>
      </c>
      <c r="R763" s="355">
        <v>0</v>
      </c>
      <c r="S763" s="355">
        <v>0</v>
      </c>
      <c r="T763" s="355">
        <v>0</v>
      </c>
      <c r="U763" s="356">
        <v>0</v>
      </c>
      <c r="V763" s="357">
        <v>0</v>
      </c>
      <c r="W763" s="358"/>
      <c r="X763" s="359">
        <v>0</v>
      </c>
      <c r="Y763" s="360">
        <v>0</v>
      </c>
    </row>
    <row r="764" spans="1:25" x14ac:dyDescent="0.3">
      <c r="A764" s="326"/>
      <c r="B764" s="326"/>
      <c r="C764" s="326"/>
      <c r="D764" s="326"/>
      <c r="E764" s="326" t="s">
        <v>1726</v>
      </c>
      <c r="F764" s="351"/>
      <c r="G764" s="352"/>
      <c r="H764" s="353"/>
      <c r="I764" s="354"/>
      <c r="J764" s="362">
        <v>0</v>
      </c>
      <c r="K764" s="355">
        <v>0</v>
      </c>
      <c r="L764" s="355">
        <v>0</v>
      </c>
      <c r="M764" s="355">
        <v>0</v>
      </c>
      <c r="N764" s="355">
        <v>0</v>
      </c>
      <c r="O764" s="355">
        <v>0</v>
      </c>
      <c r="P764" s="355">
        <v>0</v>
      </c>
      <c r="Q764" s="355">
        <v>0</v>
      </c>
      <c r="R764" s="355">
        <v>0</v>
      </c>
      <c r="S764" s="355">
        <v>0</v>
      </c>
      <c r="T764" s="355">
        <v>0</v>
      </c>
      <c r="U764" s="356">
        <v>0</v>
      </c>
      <c r="V764" s="357">
        <v>0</v>
      </c>
      <c r="W764" s="358"/>
      <c r="X764" s="359">
        <v>0</v>
      </c>
      <c r="Y764" s="360">
        <v>0</v>
      </c>
    </row>
    <row r="765" spans="1:25" x14ac:dyDescent="0.3">
      <c r="A765" s="326"/>
      <c r="B765" s="326"/>
      <c r="C765" s="326"/>
      <c r="D765" s="326"/>
      <c r="E765" s="326" t="s">
        <v>1727</v>
      </c>
      <c r="F765" s="351"/>
      <c r="G765" s="352"/>
      <c r="H765" s="353"/>
      <c r="I765" s="354"/>
      <c r="J765" s="362">
        <v>0</v>
      </c>
      <c r="K765" s="355">
        <v>0</v>
      </c>
      <c r="L765" s="355">
        <v>0</v>
      </c>
      <c r="M765" s="355">
        <v>0</v>
      </c>
      <c r="N765" s="355">
        <v>0</v>
      </c>
      <c r="O765" s="355">
        <v>0</v>
      </c>
      <c r="P765" s="355">
        <v>0</v>
      </c>
      <c r="Q765" s="355">
        <v>0</v>
      </c>
      <c r="R765" s="355">
        <v>0</v>
      </c>
      <c r="S765" s="355">
        <v>0</v>
      </c>
      <c r="T765" s="355">
        <v>0</v>
      </c>
      <c r="U765" s="356">
        <v>0</v>
      </c>
      <c r="V765" s="357">
        <v>0</v>
      </c>
      <c r="W765" s="358"/>
      <c r="X765" s="359">
        <v>0</v>
      </c>
      <c r="Y765" s="360">
        <v>0</v>
      </c>
    </row>
    <row r="766" spans="1:25" x14ac:dyDescent="0.3">
      <c r="D766" s="293" t="s">
        <v>1728</v>
      </c>
      <c r="E766" s="294"/>
      <c r="F766" s="295"/>
      <c r="G766" s="296"/>
      <c r="H766" s="297"/>
      <c r="I766" s="298"/>
      <c r="J766" s="299">
        <v>0</v>
      </c>
      <c r="K766" s="300">
        <v>0</v>
      </c>
      <c r="L766" s="300">
        <v>0</v>
      </c>
      <c r="M766" s="300">
        <v>0</v>
      </c>
      <c r="N766" s="300">
        <v>0</v>
      </c>
      <c r="O766" s="300">
        <v>0</v>
      </c>
      <c r="P766" s="300">
        <v>0</v>
      </c>
      <c r="Q766" s="300">
        <v>0</v>
      </c>
      <c r="R766" s="300">
        <v>0</v>
      </c>
      <c r="S766" s="300">
        <v>0</v>
      </c>
      <c r="T766" s="300">
        <v>0</v>
      </c>
      <c r="U766" s="301">
        <v>0</v>
      </c>
      <c r="V766" s="302">
        <v>0</v>
      </c>
      <c r="W766" s="303"/>
      <c r="X766" s="304">
        <v>0</v>
      </c>
      <c r="Y766" s="305">
        <v>0</v>
      </c>
    </row>
    <row r="767" spans="1:25" x14ac:dyDescent="0.3">
      <c r="A767" s="326"/>
      <c r="B767" s="326"/>
      <c r="C767" s="326"/>
      <c r="D767" s="326"/>
      <c r="E767" s="326" t="s">
        <v>1729</v>
      </c>
      <c r="F767" s="336"/>
      <c r="G767" s="327"/>
      <c r="H767" s="328"/>
      <c r="I767" s="329"/>
      <c r="J767" s="338">
        <v>0</v>
      </c>
      <c r="K767" s="330">
        <v>0</v>
      </c>
      <c r="L767" s="330">
        <v>0</v>
      </c>
      <c r="M767" s="330">
        <v>0</v>
      </c>
      <c r="N767" s="330">
        <v>0</v>
      </c>
      <c r="O767" s="330">
        <v>0</v>
      </c>
      <c r="P767" s="330">
        <v>0</v>
      </c>
      <c r="Q767" s="330">
        <v>0</v>
      </c>
      <c r="R767" s="330">
        <v>0</v>
      </c>
      <c r="S767" s="330">
        <v>0</v>
      </c>
      <c r="T767" s="330">
        <v>0</v>
      </c>
      <c r="U767" s="331">
        <v>0</v>
      </c>
      <c r="V767" s="332">
        <v>0</v>
      </c>
      <c r="W767" s="333"/>
      <c r="X767" s="334">
        <v>0</v>
      </c>
      <c r="Y767" s="335">
        <v>0</v>
      </c>
    </row>
    <row r="768" spans="1:25" x14ac:dyDescent="0.3">
      <c r="A768" s="326"/>
      <c r="B768" s="326"/>
      <c r="C768" s="326"/>
      <c r="D768" s="326"/>
      <c r="E768" s="326" t="s">
        <v>1730</v>
      </c>
      <c r="F768" s="336"/>
      <c r="G768" s="327"/>
      <c r="H768" s="328"/>
      <c r="I768" s="329"/>
      <c r="J768" s="338">
        <v>0</v>
      </c>
      <c r="K768" s="330">
        <v>0</v>
      </c>
      <c r="L768" s="330">
        <v>0</v>
      </c>
      <c r="M768" s="330">
        <v>0</v>
      </c>
      <c r="N768" s="330">
        <v>0</v>
      </c>
      <c r="O768" s="330">
        <v>0</v>
      </c>
      <c r="P768" s="330">
        <v>0</v>
      </c>
      <c r="Q768" s="330">
        <v>0</v>
      </c>
      <c r="R768" s="330">
        <v>0</v>
      </c>
      <c r="S768" s="330">
        <v>0</v>
      </c>
      <c r="T768" s="330">
        <v>0</v>
      </c>
      <c r="U768" s="331">
        <v>0</v>
      </c>
      <c r="V768" s="332">
        <v>0</v>
      </c>
      <c r="W768" s="333"/>
      <c r="X768" s="334">
        <v>0</v>
      </c>
      <c r="Y768" s="335">
        <v>0</v>
      </c>
    </row>
    <row r="769" spans="1:25" x14ac:dyDescent="0.3">
      <c r="A769" s="326"/>
      <c r="B769" s="326"/>
      <c r="C769" s="326"/>
      <c r="D769" s="326"/>
      <c r="E769" s="326" t="s">
        <v>1731</v>
      </c>
      <c r="F769" s="336"/>
      <c r="G769" s="327"/>
      <c r="H769" s="328"/>
      <c r="I769" s="329"/>
      <c r="J769" s="338">
        <v>0</v>
      </c>
      <c r="K769" s="330">
        <v>0</v>
      </c>
      <c r="L769" s="330">
        <v>0</v>
      </c>
      <c r="M769" s="330">
        <v>0</v>
      </c>
      <c r="N769" s="330">
        <v>0</v>
      </c>
      <c r="O769" s="330">
        <v>0</v>
      </c>
      <c r="P769" s="330">
        <v>0</v>
      </c>
      <c r="Q769" s="330">
        <v>0</v>
      </c>
      <c r="R769" s="330">
        <v>0</v>
      </c>
      <c r="S769" s="330">
        <v>0</v>
      </c>
      <c r="T769" s="330">
        <v>0</v>
      </c>
      <c r="U769" s="331">
        <v>0</v>
      </c>
      <c r="V769" s="332">
        <v>0</v>
      </c>
      <c r="W769" s="333"/>
      <c r="X769" s="334">
        <v>0</v>
      </c>
      <c r="Y769" s="335">
        <v>0</v>
      </c>
    </row>
    <row r="770" spans="1:25" x14ac:dyDescent="0.3">
      <c r="D770" s="293" t="s">
        <v>1732</v>
      </c>
      <c r="E770" s="294"/>
      <c r="F770" s="295"/>
      <c r="G770" s="296"/>
      <c r="H770" s="297"/>
      <c r="I770" s="298"/>
      <c r="J770" s="299">
        <v>0</v>
      </c>
      <c r="K770" s="300">
        <v>0</v>
      </c>
      <c r="L770" s="300">
        <v>0</v>
      </c>
      <c r="M770" s="300">
        <v>0</v>
      </c>
      <c r="N770" s="300">
        <v>0</v>
      </c>
      <c r="O770" s="300">
        <v>0</v>
      </c>
      <c r="P770" s="300">
        <v>0</v>
      </c>
      <c r="Q770" s="300">
        <v>0</v>
      </c>
      <c r="R770" s="300">
        <v>0</v>
      </c>
      <c r="S770" s="300">
        <v>0</v>
      </c>
      <c r="T770" s="300">
        <v>0</v>
      </c>
      <c r="U770" s="301">
        <v>0</v>
      </c>
      <c r="V770" s="302">
        <v>0</v>
      </c>
      <c r="W770" s="303"/>
      <c r="X770" s="304">
        <v>0</v>
      </c>
      <c r="Y770" s="305">
        <v>0</v>
      </c>
    </row>
    <row r="771" spans="1:25" x14ac:dyDescent="0.3">
      <c r="A771" s="326"/>
      <c r="B771" s="326"/>
      <c r="C771" s="326"/>
      <c r="D771" s="326"/>
      <c r="E771" s="326" t="s">
        <v>1733</v>
      </c>
      <c r="F771" s="336"/>
      <c r="G771" s="327"/>
      <c r="H771" s="328"/>
      <c r="I771" s="329"/>
      <c r="J771" s="338">
        <v>0</v>
      </c>
      <c r="K771" s="330">
        <v>0</v>
      </c>
      <c r="L771" s="330">
        <v>0</v>
      </c>
      <c r="M771" s="330">
        <v>0</v>
      </c>
      <c r="N771" s="330">
        <v>0</v>
      </c>
      <c r="O771" s="330">
        <v>0</v>
      </c>
      <c r="P771" s="330">
        <v>0</v>
      </c>
      <c r="Q771" s="330">
        <v>0</v>
      </c>
      <c r="R771" s="330">
        <v>0</v>
      </c>
      <c r="S771" s="330">
        <v>0</v>
      </c>
      <c r="T771" s="330">
        <v>0</v>
      </c>
      <c r="U771" s="331">
        <v>0</v>
      </c>
      <c r="V771" s="332">
        <v>0</v>
      </c>
      <c r="W771" s="333"/>
      <c r="X771" s="334">
        <v>0</v>
      </c>
      <c r="Y771" s="335">
        <v>0</v>
      </c>
    </row>
    <row r="772" spans="1:25" x14ac:dyDescent="0.3">
      <c r="A772" s="326"/>
      <c r="B772" s="326"/>
      <c r="C772" s="326"/>
      <c r="D772" s="326"/>
      <c r="E772" s="326" t="s">
        <v>1734</v>
      </c>
      <c r="F772" s="336"/>
      <c r="G772" s="327"/>
      <c r="H772" s="328"/>
      <c r="I772" s="329"/>
      <c r="J772" s="338">
        <v>0</v>
      </c>
      <c r="K772" s="330">
        <v>0</v>
      </c>
      <c r="L772" s="330">
        <v>0</v>
      </c>
      <c r="M772" s="330">
        <v>0</v>
      </c>
      <c r="N772" s="330">
        <v>0</v>
      </c>
      <c r="O772" s="330">
        <v>0</v>
      </c>
      <c r="P772" s="330">
        <v>0</v>
      </c>
      <c r="Q772" s="330">
        <v>0</v>
      </c>
      <c r="R772" s="330">
        <v>0</v>
      </c>
      <c r="S772" s="330">
        <v>0</v>
      </c>
      <c r="T772" s="330">
        <v>0</v>
      </c>
      <c r="U772" s="331">
        <v>0</v>
      </c>
      <c r="V772" s="332">
        <v>0</v>
      </c>
      <c r="W772" s="333"/>
      <c r="X772" s="334">
        <v>0</v>
      </c>
      <c r="Y772" s="335">
        <v>0</v>
      </c>
    </row>
    <row r="773" spans="1:25" x14ac:dyDescent="0.3">
      <c r="A773" s="326"/>
      <c r="B773" s="326"/>
      <c r="C773" s="326"/>
      <c r="D773" s="326"/>
      <c r="E773" s="326" t="s">
        <v>1735</v>
      </c>
      <c r="F773" s="336"/>
      <c r="G773" s="327"/>
      <c r="H773" s="328"/>
      <c r="I773" s="329"/>
      <c r="J773" s="338">
        <v>0</v>
      </c>
      <c r="K773" s="330">
        <v>0</v>
      </c>
      <c r="L773" s="330">
        <v>0</v>
      </c>
      <c r="M773" s="330">
        <v>0</v>
      </c>
      <c r="N773" s="330">
        <v>0</v>
      </c>
      <c r="O773" s="330">
        <v>0</v>
      </c>
      <c r="P773" s="330">
        <v>0</v>
      </c>
      <c r="Q773" s="330">
        <v>0</v>
      </c>
      <c r="R773" s="330">
        <v>0</v>
      </c>
      <c r="S773" s="330">
        <v>0</v>
      </c>
      <c r="T773" s="330">
        <v>0</v>
      </c>
      <c r="U773" s="331">
        <v>0</v>
      </c>
      <c r="V773" s="332">
        <v>0</v>
      </c>
      <c r="W773" s="333"/>
      <c r="X773" s="334">
        <v>0</v>
      </c>
      <c r="Y773" s="335">
        <v>0</v>
      </c>
    </row>
    <row r="774" spans="1:25" ht="33" x14ac:dyDescent="0.3">
      <c r="A774" s="248" t="s">
        <v>50</v>
      </c>
      <c r="B774" s="248"/>
      <c r="C774" s="267" t="s">
        <v>1736</v>
      </c>
      <c r="D774" s="267"/>
      <c r="E774" s="268"/>
      <c r="F774" s="269"/>
      <c r="G774" s="270"/>
      <c r="H774" s="271"/>
      <c r="I774" s="272"/>
      <c r="J774" s="273">
        <v>-146196.43499999994</v>
      </c>
      <c r="K774" s="274">
        <v>1541754.3830000001</v>
      </c>
      <c r="L774" s="274">
        <v>653667.00700000022</v>
      </c>
      <c r="M774" s="274">
        <v>-466212.75299999979</v>
      </c>
      <c r="N774" s="274">
        <v>-1457037.4650000001</v>
      </c>
      <c r="O774" s="274">
        <v>-826050.15700000012</v>
      </c>
      <c r="P774" s="274">
        <v>-262467.50900000054</v>
      </c>
      <c r="Q774" s="274">
        <v>-738323.31800000067</v>
      </c>
      <c r="R774" s="274">
        <v>-2454634.4330000002</v>
      </c>
      <c r="S774" s="274">
        <v>-621731.20900000003</v>
      </c>
      <c r="T774" s="274">
        <v>-584901.39799999993</v>
      </c>
      <c r="U774" s="275">
        <v>-1120705.361</v>
      </c>
      <c r="V774" s="276">
        <v>-6482838.6480000019</v>
      </c>
      <c r="W774" s="277"/>
      <c r="X774" s="278">
        <v>-1120705.361</v>
      </c>
      <c r="Y774" s="279">
        <v>-6482838.6480000019</v>
      </c>
    </row>
    <row r="775" spans="1:25" ht="33" x14ac:dyDescent="0.3">
      <c r="A775" s="248" t="s">
        <v>72</v>
      </c>
      <c r="B775" s="248"/>
      <c r="C775" s="280" t="s">
        <v>1737</v>
      </c>
      <c r="D775" s="281"/>
      <c r="E775" s="282"/>
      <c r="F775" s="283"/>
      <c r="G775" s="284"/>
      <c r="H775" s="285"/>
      <c r="I775" s="286"/>
      <c r="J775" s="287">
        <v>7250.2510000000002</v>
      </c>
      <c r="K775" s="288">
        <v>0</v>
      </c>
      <c r="L775" s="288">
        <v>0</v>
      </c>
      <c r="M775" s="288">
        <v>13</v>
      </c>
      <c r="N775" s="288">
        <v>3898923.0720000002</v>
      </c>
      <c r="O775" s="288">
        <v>0</v>
      </c>
      <c r="P775" s="288">
        <v>0</v>
      </c>
      <c r="Q775" s="288">
        <v>34980</v>
      </c>
      <c r="R775" s="288">
        <v>282.83499999999998</v>
      </c>
      <c r="S775" s="288">
        <v>152.828</v>
      </c>
      <c r="T775" s="288">
        <v>0</v>
      </c>
      <c r="U775" s="289">
        <v>20270</v>
      </c>
      <c r="V775" s="290">
        <v>3961871.986</v>
      </c>
      <c r="W775" s="277"/>
      <c r="X775" s="291">
        <v>20270</v>
      </c>
      <c r="Y775" s="292">
        <v>3961871.986</v>
      </c>
    </row>
    <row r="776" spans="1:25" x14ac:dyDescent="0.3">
      <c r="A776" s="233"/>
      <c r="B776" s="234" t="s">
        <v>51</v>
      </c>
      <c r="D776" s="293" t="s">
        <v>1738</v>
      </c>
      <c r="E776" s="294"/>
      <c r="F776" s="295" t="s">
        <v>1739</v>
      </c>
      <c r="G776" s="296"/>
      <c r="H776" s="297"/>
      <c r="I776" s="298"/>
      <c r="J776" s="299">
        <v>0</v>
      </c>
      <c r="K776" s="300">
        <v>0</v>
      </c>
      <c r="L776" s="300">
        <v>0</v>
      </c>
      <c r="M776" s="300">
        <v>0</v>
      </c>
      <c r="N776" s="300">
        <v>0</v>
      </c>
      <c r="O776" s="300">
        <v>0</v>
      </c>
      <c r="P776" s="300">
        <v>0</v>
      </c>
      <c r="Q776" s="300">
        <v>0</v>
      </c>
      <c r="R776" s="300">
        <v>0</v>
      </c>
      <c r="S776" s="300">
        <v>0</v>
      </c>
      <c r="T776" s="300">
        <v>0</v>
      </c>
      <c r="U776" s="301">
        <v>0</v>
      </c>
      <c r="V776" s="302">
        <v>0</v>
      </c>
      <c r="W776" s="303"/>
      <c r="X776" s="304">
        <v>0</v>
      </c>
      <c r="Y776" s="305">
        <v>0</v>
      </c>
    </row>
    <row r="777" spans="1:25" x14ac:dyDescent="0.3">
      <c r="E777" s="250" t="s">
        <v>1740</v>
      </c>
      <c r="F777" s="317">
        <v>4403082</v>
      </c>
      <c r="G777" s="318"/>
      <c r="H777" s="319">
        <v>7101010101</v>
      </c>
      <c r="I777" s="320"/>
      <c r="J777" s="337">
        <v>0</v>
      </c>
      <c r="K777" s="321">
        <v>0</v>
      </c>
      <c r="L777" s="321">
        <v>0</v>
      </c>
      <c r="M777" s="321">
        <v>0</v>
      </c>
      <c r="N777" s="321">
        <v>0</v>
      </c>
      <c r="O777" s="321">
        <v>0</v>
      </c>
      <c r="P777" s="321">
        <v>0</v>
      </c>
      <c r="Q777" s="321">
        <v>0</v>
      </c>
      <c r="R777" s="321">
        <v>0</v>
      </c>
      <c r="S777" s="321">
        <v>0</v>
      </c>
      <c r="T777" s="321">
        <v>0</v>
      </c>
      <c r="U777" s="322">
        <v>0</v>
      </c>
      <c r="V777" s="323">
        <v>0</v>
      </c>
      <c r="W777" s="303"/>
      <c r="X777" s="324">
        <v>0</v>
      </c>
      <c r="Y777" s="325">
        <v>0</v>
      </c>
    </row>
    <row r="778" spans="1:25" x14ac:dyDescent="0.3">
      <c r="E778" s="250" t="s">
        <v>1741</v>
      </c>
      <c r="F778" s="317">
        <v>4403083</v>
      </c>
      <c r="G778" s="318"/>
      <c r="H778" s="319"/>
      <c r="I778" s="320"/>
      <c r="J778" s="337">
        <v>0</v>
      </c>
      <c r="K778" s="321">
        <v>0</v>
      </c>
      <c r="L778" s="321">
        <v>0</v>
      </c>
      <c r="M778" s="321">
        <v>0</v>
      </c>
      <c r="N778" s="321">
        <v>0</v>
      </c>
      <c r="O778" s="321">
        <v>0</v>
      </c>
      <c r="P778" s="321">
        <v>0</v>
      </c>
      <c r="Q778" s="321">
        <v>0</v>
      </c>
      <c r="R778" s="321">
        <v>0</v>
      </c>
      <c r="S778" s="321">
        <v>0</v>
      </c>
      <c r="T778" s="321">
        <v>0</v>
      </c>
      <c r="U778" s="322">
        <v>0</v>
      </c>
      <c r="V778" s="323">
        <v>0</v>
      </c>
      <c r="W778" s="303"/>
      <c r="X778" s="324">
        <v>0</v>
      </c>
      <c r="Y778" s="325">
        <v>0</v>
      </c>
    </row>
    <row r="779" spans="1:25" x14ac:dyDescent="0.3">
      <c r="E779" s="250" t="s">
        <v>1742</v>
      </c>
      <c r="F779" s="317">
        <v>4403092</v>
      </c>
      <c r="G779" s="318"/>
      <c r="H779" s="319"/>
      <c r="I779" s="320"/>
      <c r="J779" s="337">
        <v>0</v>
      </c>
      <c r="K779" s="321">
        <v>0</v>
      </c>
      <c r="L779" s="321">
        <v>0</v>
      </c>
      <c r="M779" s="321">
        <v>0</v>
      </c>
      <c r="N779" s="321">
        <v>0</v>
      </c>
      <c r="O779" s="321">
        <v>0</v>
      </c>
      <c r="P779" s="321">
        <v>0</v>
      </c>
      <c r="Q779" s="321">
        <v>0</v>
      </c>
      <c r="R779" s="321">
        <v>0</v>
      </c>
      <c r="S779" s="321">
        <v>0</v>
      </c>
      <c r="T779" s="321">
        <v>0</v>
      </c>
      <c r="U779" s="322">
        <v>0</v>
      </c>
      <c r="V779" s="323">
        <v>0</v>
      </c>
      <c r="W779" s="303"/>
      <c r="X779" s="324">
        <v>0</v>
      </c>
      <c r="Y779" s="325">
        <v>0</v>
      </c>
    </row>
    <row r="780" spans="1:25" x14ac:dyDescent="0.3">
      <c r="A780" s="326"/>
      <c r="B780" s="326"/>
      <c r="E780" s="250" t="s">
        <v>1743</v>
      </c>
      <c r="F780" s="317">
        <v>4403084</v>
      </c>
      <c r="G780" s="318"/>
      <c r="H780" s="319"/>
      <c r="I780" s="320"/>
      <c r="J780" s="337">
        <v>0</v>
      </c>
      <c r="K780" s="321">
        <v>0</v>
      </c>
      <c r="L780" s="321">
        <v>0</v>
      </c>
      <c r="M780" s="321">
        <v>0</v>
      </c>
      <c r="N780" s="321">
        <v>0</v>
      </c>
      <c r="O780" s="321">
        <v>0</v>
      </c>
      <c r="P780" s="321">
        <v>0</v>
      </c>
      <c r="Q780" s="321">
        <v>0</v>
      </c>
      <c r="R780" s="321">
        <v>0</v>
      </c>
      <c r="S780" s="321">
        <v>0</v>
      </c>
      <c r="T780" s="321">
        <v>0</v>
      </c>
      <c r="U780" s="322">
        <v>0</v>
      </c>
      <c r="V780" s="323">
        <v>0</v>
      </c>
      <c r="W780" s="303"/>
      <c r="X780" s="324">
        <v>0</v>
      </c>
      <c r="Y780" s="325">
        <v>0</v>
      </c>
    </row>
    <row r="781" spans="1:25" x14ac:dyDescent="0.3">
      <c r="A781" s="326"/>
      <c r="B781" s="326"/>
      <c r="E781" s="250" t="s">
        <v>1744</v>
      </c>
      <c r="F781" s="317">
        <v>4403089</v>
      </c>
      <c r="G781" s="318"/>
      <c r="H781" s="319"/>
      <c r="I781" s="320"/>
      <c r="J781" s="337">
        <v>0</v>
      </c>
      <c r="K781" s="321">
        <v>0</v>
      </c>
      <c r="L781" s="321">
        <v>0</v>
      </c>
      <c r="M781" s="321">
        <v>0</v>
      </c>
      <c r="N781" s="321">
        <v>0</v>
      </c>
      <c r="O781" s="321">
        <v>0</v>
      </c>
      <c r="P781" s="321">
        <v>0</v>
      </c>
      <c r="Q781" s="321">
        <v>0</v>
      </c>
      <c r="R781" s="321">
        <v>0</v>
      </c>
      <c r="S781" s="321">
        <v>0</v>
      </c>
      <c r="T781" s="321">
        <v>0</v>
      </c>
      <c r="U781" s="322">
        <v>0</v>
      </c>
      <c r="V781" s="323">
        <v>0</v>
      </c>
      <c r="W781" s="303"/>
      <c r="X781" s="324">
        <v>0</v>
      </c>
      <c r="Y781" s="325">
        <v>0</v>
      </c>
    </row>
    <row r="782" spans="1:25" x14ac:dyDescent="0.3">
      <c r="E782" s="250" t="s">
        <v>1745</v>
      </c>
      <c r="F782" s="317">
        <v>4403085</v>
      </c>
      <c r="G782" s="318"/>
      <c r="H782" s="319"/>
      <c r="I782" s="320"/>
      <c r="J782" s="337">
        <v>0</v>
      </c>
      <c r="K782" s="321">
        <v>0</v>
      </c>
      <c r="L782" s="321">
        <v>0</v>
      </c>
      <c r="M782" s="321">
        <v>0</v>
      </c>
      <c r="N782" s="321">
        <v>0</v>
      </c>
      <c r="O782" s="321">
        <v>0</v>
      </c>
      <c r="P782" s="321">
        <v>0</v>
      </c>
      <c r="Q782" s="321">
        <v>0</v>
      </c>
      <c r="R782" s="321">
        <v>0</v>
      </c>
      <c r="S782" s="321">
        <v>0</v>
      </c>
      <c r="T782" s="321">
        <v>0</v>
      </c>
      <c r="U782" s="322">
        <v>0</v>
      </c>
      <c r="V782" s="323">
        <v>0</v>
      </c>
      <c r="W782" s="303"/>
      <c r="X782" s="324">
        <v>0</v>
      </c>
      <c r="Y782" s="325">
        <v>0</v>
      </c>
    </row>
    <row r="783" spans="1:25" x14ac:dyDescent="0.3">
      <c r="E783" s="250" t="s">
        <v>1746</v>
      </c>
      <c r="F783" s="317">
        <v>4403088</v>
      </c>
      <c r="G783" s="318"/>
      <c r="H783" s="319"/>
      <c r="I783" s="320"/>
      <c r="J783" s="337">
        <v>0</v>
      </c>
      <c r="K783" s="321">
        <v>0</v>
      </c>
      <c r="L783" s="321">
        <v>0</v>
      </c>
      <c r="M783" s="321">
        <v>0</v>
      </c>
      <c r="N783" s="321">
        <v>0</v>
      </c>
      <c r="O783" s="321">
        <v>0</v>
      </c>
      <c r="P783" s="321">
        <v>0</v>
      </c>
      <c r="Q783" s="321">
        <v>0</v>
      </c>
      <c r="R783" s="321">
        <v>0</v>
      </c>
      <c r="S783" s="321">
        <v>0</v>
      </c>
      <c r="T783" s="321">
        <v>0</v>
      </c>
      <c r="U783" s="322">
        <v>0</v>
      </c>
      <c r="V783" s="323">
        <v>0</v>
      </c>
      <c r="W783" s="303"/>
      <c r="X783" s="324">
        <v>0</v>
      </c>
      <c r="Y783" s="325">
        <v>0</v>
      </c>
    </row>
    <row r="784" spans="1:25" x14ac:dyDescent="0.3">
      <c r="E784" s="250" t="s">
        <v>1747</v>
      </c>
      <c r="F784" s="317">
        <v>4403093</v>
      </c>
      <c r="G784" s="318"/>
      <c r="H784" s="319"/>
      <c r="I784" s="320"/>
      <c r="J784" s="337">
        <v>0</v>
      </c>
      <c r="K784" s="321">
        <v>0</v>
      </c>
      <c r="L784" s="321">
        <v>0</v>
      </c>
      <c r="M784" s="321">
        <v>0</v>
      </c>
      <c r="N784" s="321">
        <v>0</v>
      </c>
      <c r="O784" s="321">
        <v>0</v>
      </c>
      <c r="P784" s="321">
        <v>0</v>
      </c>
      <c r="Q784" s="321">
        <v>0</v>
      </c>
      <c r="R784" s="321">
        <v>0</v>
      </c>
      <c r="S784" s="321">
        <v>0</v>
      </c>
      <c r="T784" s="321">
        <v>0</v>
      </c>
      <c r="U784" s="322">
        <v>0</v>
      </c>
      <c r="V784" s="323">
        <v>0</v>
      </c>
      <c r="W784" s="303"/>
      <c r="X784" s="324">
        <v>0</v>
      </c>
      <c r="Y784" s="325">
        <v>0</v>
      </c>
    </row>
    <row r="785" spans="1:25" x14ac:dyDescent="0.3">
      <c r="E785" s="250" t="s">
        <v>1748</v>
      </c>
      <c r="F785" s="317">
        <v>4403087</v>
      </c>
      <c r="G785" s="318"/>
      <c r="H785" s="319"/>
      <c r="I785" s="320"/>
      <c r="J785" s="337">
        <v>0</v>
      </c>
      <c r="K785" s="321">
        <v>0</v>
      </c>
      <c r="L785" s="321">
        <v>0</v>
      </c>
      <c r="M785" s="321">
        <v>0</v>
      </c>
      <c r="N785" s="321">
        <v>0</v>
      </c>
      <c r="O785" s="321">
        <v>0</v>
      </c>
      <c r="P785" s="321">
        <v>0</v>
      </c>
      <c r="Q785" s="321">
        <v>0</v>
      </c>
      <c r="R785" s="321">
        <v>0</v>
      </c>
      <c r="S785" s="321">
        <v>0</v>
      </c>
      <c r="T785" s="321">
        <v>0</v>
      </c>
      <c r="U785" s="322">
        <v>0</v>
      </c>
      <c r="V785" s="323">
        <v>0</v>
      </c>
      <c r="W785" s="303"/>
      <c r="X785" s="324">
        <v>0</v>
      </c>
      <c r="Y785" s="325">
        <v>0</v>
      </c>
    </row>
    <row r="786" spans="1:25" x14ac:dyDescent="0.3">
      <c r="E786" s="250" t="s">
        <v>1749</v>
      </c>
      <c r="F786" s="317">
        <v>4403090</v>
      </c>
      <c r="G786" s="318"/>
      <c r="H786" s="319"/>
      <c r="I786" s="320"/>
      <c r="J786" s="337">
        <v>0</v>
      </c>
      <c r="K786" s="321">
        <v>0</v>
      </c>
      <c r="L786" s="321">
        <v>0</v>
      </c>
      <c r="M786" s="321">
        <v>0</v>
      </c>
      <c r="N786" s="321">
        <v>0</v>
      </c>
      <c r="O786" s="321">
        <v>0</v>
      </c>
      <c r="P786" s="321">
        <v>0</v>
      </c>
      <c r="Q786" s="321">
        <v>0</v>
      </c>
      <c r="R786" s="321">
        <v>0</v>
      </c>
      <c r="S786" s="321">
        <v>0</v>
      </c>
      <c r="T786" s="321">
        <v>0</v>
      </c>
      <c r="U786" s="322">
        <v>0</v>
      </c>
      <c r="V786" s="323">
        <v>0</v>
      </c>
      <c r="W786" s="303"/>
      <c r="X786" s="324">
        <v>0</v>
      </c>
      <c r="Y786" s="325">
        <v>0</v>
      </c>
    </row>
    <row r="787" spans="1:25" x14ac:dyDescent="0.3">
      <c r="E787" s="250" t="s">
        <v>1750</v>
      </c>
      <c r="F787" s="317">
        <v>4403094</v>
      </c>
      <c r="G787" s="318"/>
      <c r="H787" s="319"/>
      <c r="I787" s="320"/>
      <c r="J787" s="337">
        <v>0</v>
      </c>
      <c r="K787" s="321">
        <v>0</v>
      </c>
      <c r="L787" s="321">
        <v>0</v>
      </c>
      <c r="M787" s="321">
        <v>0</v>
      </c>
      <c r="N787" s="321">
        <v>0</v>
      </c>
      <c r="O787" s="321">
        <v>0</v>
      </c>
      <c r="P787" s="321">
        <v>0</v>
      </c>
      <c r="Q787" s="321">
        <v>0</v>
      </c>
      <c r="R787" s="321">
        <v>0</v>
      </c>
      <c r="S787" s="321">
        <v>0</v>
      </c>
      <c r="T787" s="321">
        <v>0</v>
      </c>
      <c r="U787" s="322">
        <v>0</v>
      </c>
      <c r="V787" s="323">
        <v>0</v>
      </c>
      <c r="W787" s="303"/>
      <c r="X787" s="324">
        <v>0</v>
      </c>
      <c r="Y787" s="325">
        <v>0</v>
      </c>
    </row>
    <row r="788" spans="1:25" x14ac:dyDescent="0.3">
      <c r="E788" s="250" t="s">
        <v>1751</v>
      </c>
      <c r="F788" s="317">
        <v>4403086</v>
      </c>
      <c r="G788" s="318"/>
      <c r="H788" s="319"/>
      <c r="I788" s="320"/>
      <c r="J788" s="337">
        <v>0</v>
      </c>
      <c r="K788" s="321">
        <v>0</v>
      </c>
      <c r="L788" s="321">
        <v>0</v>
      </c>
      <c r="M788" s="321">
        <v>0</v>
      </c>
      <c r="N788" s="321">
        <v>0</v>
      </c>
      <c r="O788" s="321">
        <v>0</v>
      </c>
      <c r="P788" s="321">
        <v>0</v>
      </c>
      <c r="Q788" s="321">
        <v>0</v>
      </c>
      <c r="R788" s="321">
        <v>0</v>
      </c>
      <c r="S788" s="321">
        <v>0</v>
      </c>
      <c r="T788" s="321">
        <v>0</v>
      </c>
      <c r="U788" s="322">
        <v>0</v>
      </c>
      <c r="V788" s="323">
        <v>0</v>
      </c>
      <c r="W788" s="303"/>
      <c r="X788" s="324">
        <v>0</v>
      </c>
      <c r="Y788" s="325">
        <v>0</v>
      </c>
    </row>
    <row r="789" spans="1:25" x14ac:dyDescent="0.3">
      <c r="E789" s="250" t="s">
        <v>1752</v>
      </c>
      <c r="F789" s="317">
        <v>4403091</v>
      </c>
      <c r="G789" s="318"/>
      <c r="H789" s="319"/>
      <c r="I789" s="320"/>
      <c r="J789" s="337">
        <v>0</v>
      </c>
      <c r="K789" s="321">
        <v>0</v>
      </c>
      <c r="L789" s="321">
        <v>0</v>
      </c>
      <c r="M789" s="321">
        <v>0</v>
      </c>
      <c r="N789" s="321">
        <v>0</v>
      </c>
      <c r="O789" s="321">
        <v>0</v>
      </c>
      <c r="P789" s="321">
        <v>0</v>
      </c>
      <c r="Q789" s="321">
        <v>0</v>
      </c>
      <c r="R789" s="321">
        <v>0</v>
      </c>
      <c r="S789" s="321">
        <v>0</v>
      </c>
      <c r="T789" s="321">
        <v>0</v>
      </c>
      <c r="U789" s="322">
        <v>0</v>
      </c>
      <c r="V789" s="323">
        <v>0</v>
      </c>
      <c r="W789" s="303"/>
      <c r="X789" s="324">
        <v>0</v>
      </c>
      <c r="Y789" s="325">
        <v>0</v>
      </c>
    </row>
    <row r="790" spans="1:25" x14ac:dyDescent="0.3">
      <c r="E790" s="250" t="s">
        <v>1753</v>
      </c>
      <c r="F790" s="317">
        <v>4403099</v>
      </c>
      <c r="G790" s="318"/>
      <c r="H790" s="319"/>
      <c r="I790" s="320"/>
      <c r="J790" s="337">
        <v>0</v>
      </c>
      <c r="K790" s="321">
        <v>0</v>
      </c>
      <c r="L790" s="321">
        <v>0</v>
      </c>
      <c r="M790" s="321">
        <v>0</v>
      </c>
      <c r="N790" s="321">
        <v>0</v>
      </c>
      <c r="O790" s="321">
        <v>0</v>
      </c>
      <c r="P790" s="321">
        <v>0</v>
      </c>
      <c r="Q790" s="321">
        <v>0</v>
      </c>
      <c r="R790" s="321">
        <v>0</v>
      </c>
      <c r="S790" s="321">
        <v>0</v>
      </c>
      <c r="T790" s="321">
        <v>0</v>
      </c>
      <c r="U790" s="322">
        <v>0</v>
      </c>
      <c r="V790" s="323">
        <v>0</v>
      </c>
      <c r="W790" s="303"/>
      <c r="X790" s="324">
        <v>0</v>
      </c>
      <c r="Y790" s="325">
        <v>0</v>
      </c>
    </row>
    <row r="791" spans="1:25" x14ac:dyDescent="0.3">
      <c r="A791" s="361"/>
      <c r="B791" s="361"/>
      <c r="C791" s="361"/>
      <c r="D791" s="361"/>
      <c r="E791" s="326" t="s">
        <v>1754</v>
      </c>
      <c r="F791" s="351"/>
      <c r="G791" s="352"/>
      <c r="H791" s="353"/>
      <c r="I791" s="354"/>
      <c r="J791" s="362">
        <v>0</v>
      </c>
      <c r="K791" s="355">
        <v>0</v>
      </c>
      <c r="L791" s="355">
        <v>0</v>
      </c>
      <c r="M791" s="355">
        <v>0</v>
      </c>
      <c r="N791" s="355">
        <v>0</v>
      </c>
      <c r="O791" s="355">
        <v>0</v>
      </c>
      <c r="P791" s="355">
        <v>0</v>
      </c>
      <c r="Q791" s="355">
        <v>0</v>
      </c>
      <c r="R791" s="355">
        <v>0</v>
      </c>
      <c r="S791" s="355">
        <v>0</v>
      </c>
      <c r="T791" s="355">
        <v>0</v>
      </c>
      <c r="U791" s="356">
        <v>0</v>
      </c>
      <c r="V791" s="357">
        <v>0</v>
      </c>
      <c r="W791" s="358"/>
      <c r="X791" s="359">
        <v>0</v>
      </c>
      <c r="Y791" s="360">
        <v>0</v>
      </c>
    </row>
    <row r="792" spans="1:25" x14ac:dyDescent="0.3">
      <c r="A792" s="361"/>
      <c r="B792" s="361"/>
      <c r="C792" s="361"/>
      <c r="D792" s="361"/>
      <c r="E792" s="326" t="s">
        <v>1754</v>
      </c>
      <c r="F792" s="351"/>
      <c r="G792" s="352"/>
      <c r="H792" s="353"/>
      <c r="I792" s="354"/>
      <c r="J792" s="362">
        <v>0</v>
      </c>
      <c r="K792" s="355">
        <v>0</v>
      </c>
      <c r="L792" s="355">
        <v>0</v>
      </c>
      <c r="M792" s="355">
        <v>0</v>
      </c>
      <c r="N792" s="355">
        <v>0</v>
      </c>
      <c r="O792" s="355">
        <v>0</v>
      </c>
      <c r="P792" s="355">
        <v>0</v>
      </c>
      <c r="Q792" s="355">
        <v>0</v>
      </c>
      <c r="R792" s="355">
        <v>0</v>
      </c>
      <c r="S792" s="355">
        <v>0</v>
      </c>
      <c r="T792" s="355">
        <v>0</v>
      </c>
      <c r="U792" s="356">
        <v>0</v>
      </c>
      <c r="V792" s="357">
        <v>0</v>
      </c>
      <c r="W792" s="358"/>
      <c r="X792" s="359">
        <v>0</v>
      </c>
      <c r="Y792" s="360">
        <v>0</v>
      </c>
    </row>
    <row r="793" spans="1:25" x14ac:dyDescent="0.3">
      <c r="A793" s="361"/>
      <c r="B793" s="361"/>
      <c r="C793" s="361"/>
      <c r="D793" s="361"/>
      <c r="E793" s="326" t="s">
        <v>1755</v>
      </c>
      <c r="F793" s="351"/>
      <c r="G793" s="352"/>
      <c r="H793" s="353"/>
      <c r="I793" s="354"/>
      <c r="J793" s="362">
        <v>0</v>
      </c>
      <c r="K793" s="355">
        <v>0</v>
      </c>
      <c r="L793" s="355">
        <v>0</v>
      </c>
      <c r="M793" s="355">
        <v>0</v>
      </c>
      <c r="N793" s="355">
        <v>0</v>
      </c>
      <c r="O793" s="355">
        <v>0</v>
      </c>
      <c r="P793" s="355">
        <v>0</v>
      </c>
      <c r="Q793" s="355">
        <v>0</v>
      </c>
      <c r="R793" s="355">
        <v>0</v>
      </c>
      <c r="S793" s="355">
        <v>0</v>
      </c>
      <c r="T793" s="355">
        <v>0</v>
      </c>
      <c r="U793" s="356">
        <v>0</v>
      </c>
      <c r="V793" s="357">
        <v>0</v>
      </c>
      <c r="W793" s="358"/>
      <c r="X793" s="359">
        <v>0</v>
      </c>
      <c r="Y793" s="360">
        <v>0</v>
      </c>
    </row>
    <row r="794" spans="1:25" x14ac:dyDescent="0.3">
      <c r="A794" s="233"/>
      <c r="B794" s="234" t="s">
        <v>52</v>
      </c>
      <c r="D794" s="293" t="s">
        <v>1756</v>
      </c>
      <c r="E794" s="294"/>
      <c r="F794" s="295" t="s">
        <v>1757</v>
      </c>
      <c r="G794" s="296"/>
      <c r="H794" s="297"/>
      <c r="I794" s="298"/>
      <c r="J794" s="299">
        <v>0</v>
      </c>
      <c r="K794" s="300">
        <v>0</v>
      </c>
      <c r="L794" s="300">
        <v>0</v>
      </c>
      <c r="M794" s="300">
        <v>0</v>
      </c>
      <c r="N794" s="300">
        <v>0</v>
      </c>
      <c r="O794" s="300">
        <v>0</v>
      </c>
      <c r="P794" s="300">
        <v>0</v>
      </c>
      <c r="Q794" s="300">
        <v>0</v>
      </c>
      <c r="R794" s="300">
        <v>0</v>
      </c>
      <c r="S794" s="300">
        <v>0</v>
      </c>
      <c r="T794" s="300">
        <v>0</v>
      </c>
      <c r="U794" s="301">
        <v>0</v>
      </c>
      <c r="V794" s="302">
        <v>0</v>
      </c>
      <c r="W794" s="303"/>
      <c r="X794" s="304">
        <v>0</v>
      </c>
      <c r="Y794" s="305">
        <v>0</v>
      </c>
    </row>
    <row r="795" spans="1:25" x14ac:dyDescent="0.3">
      <c r="E795" s="250" t="s">
        <v>1758</v>
      </c>
      <c r="F795" s="317">
        <v>4403589</v>
      </c>
      <c r="G795" s="318"/>
      <c r="H795" s="319">
        <v>7101050101</v>
      </c>
      <c r="I795" s="320"/>
      <c r="J795" s="337">
        <v>0</v>
      </c>
      <c r="K795" s="321">
        <v>0</v>
      </c>
      <c r="L795" s="321">
        <v>0</v>
      </c>
      <c r="M795" s="321">
        <v>0</v>
      </c>
      <c r="N795" s="321">
        <v>0</v>
      </c>
      <c r="O795" s="321">
        <v>0</v>
      </c>
      <c r="P795" s="321">
        <v>0</v>
      </c>
      <c r="Q795" s="321">
        <v>0</v>
      </c>
      <c r="R795" s="321">
        <v>0</v>
      </c>
      <c r="S795" s="321">
        <v>0</v>
      </c>
      <c r="T795" s="321">
        <v>0</v>
      </c>
      <c r="U795" s="322">
        <v>0</v>
      </c>
      <c r="V795" s="323">
        <v>0</v>
      </c>
      <c r="W795" s="303"/>
      <c r="X795" s="324">
        <v>0</v>
      </c>
      <c r="Y795" s="325">
        <v>0</v>
      </c>
    </row>
    <row r="796" spans="1:25" x14ac:dyDescent="0.3">
      <c r="E796" s="250" t="s">
        <v>1759</v>
      </c>
      <c r="F796" s="317">
        <v>4403594</v>
      </c>
      <c r="G796" s="318"/>
      <c r="H796" s="319"/>
      <c r="I796" s="320"/>
      <c r="J796" s="337">
        <v>0</v>
      </c>
      <c r="K796" s="321">
        <v>0</v>
      </c>
      <c r="L796" s="321">
        <v>0</v>
      </c>
      <c r="M796" s="321">
        <v>0</v>
      </c>
      <c r="N796" s="321">
        <v>0</v>
      </c>
      <c r="O796" s="321">
        <v>0</v>
      </c>
      <c r="P796" s="321">
        <v>0</v>
      </c>
      <c r="Q796" s="321">
        <v>0</v>
      </c>
      <c r="R796" s="321">
        <v>0</v>
      </c>
      <c r="S796" s="321">
        <v>0</v>
      </c>
      <c r="T796" s="321">
        <v>0</v>
      </c>
      <c r="U796" s="322">
        <v>0</v>
      </c>
      <c r="V796" s="323">
        <v>0</v>
      </c>
      <c r="W796" s="303"/>
      <c r="X796" s="324">
        <v>0</v>
      </c>
      <c r="Y796" s="325">
        <v>0</v>
      </c>
    </row>
    <row r="797" spans="1:25" x14ac:dyDescent="0.3">
      <c r="E797" s="250" t="s">
        <v>1760</v>
      </c>
      <c r="F797" s="317">
        <v>4403588</v>
      </c>
      <c r="G797" s="318"/>
      <c r="H797" s="319"/>
      <c r="I797" s="320"/>
      <c r="J797" s="337">
        <v>0</v>
      </c>
      <c r="K797" s="321">
        <v>0</v>
      </c>
      <c r="L797" s="321">
        <v>0</v>
      </c>
      <c r="M797" s="321">
        <v>0</v>
      </c>
      <c r="N797" s="321">
        <v>0</v>
      </c>
      <c r="O797" s="321">
        <v>0</v>
      </c>
      <c r="P797" s="321">
        <v>0</v>
      </c>
      <c r="Q797" s="321">
        <v>0</v>
      </c>
      <c r="R797" s="321">
        <v>0</v>
      </c>
      <c r="S797" s="321">
        <v>0</v>
      </c>
      <c r="T797" s="321">
        <v>0</v>
      </c>
      <c r="U797" s="322">
        <v>0</v>
      </c>
      <c r="V797" s="323">
        <v>0</v>
      </c>
      <c r="W797" s="303"/>
      <c r="X797" s="324">
        <v>0</v>
      </c>
      <c r="Y797" s="325">
        <v>0</v>
      </c>
    </row>
    <row r="798" spans="1:25" x14ac:dyDescent="0.3">
      <c r="E798" s="250" t="s">
        <v>1761</v>
      </c>
      <c r="F798" s="317">
        <v>4403584</v>
      </c>
      <c r="G798" s="318"/>
      <c r="H798" s="319"/>
      <c r="I798" s="320"/>
      <c r="J798" s="337">
        <v>0</v>
      </c>
      <c r="K798" s="321">
        <v>0</v>
      </c>
      <c r="L798" s="321">
        <v>0</v>
      </c>
      <c r="M798" s="321">
        <v>0</v>
      </c>
      <c r="N798" s="321">
        <v>0</v>
      </c>
      <c r="O798" s="321">
        <v>0</v>
      </c>
      <c r="P798" s="321">
        <v>0</v>
      </c>
      <c r="Q798" s="321">
        <v>0</v>
      </c>
      <c r="R798" s="321">
        <v>0</v>
      </c>
      <c r="S798" s="321">
        <v>0</v>
      </c>
      <c r="T798" s="321">
        <v>0</v>
      </c>
      <c r="U798" s="322">
        <v>0</v>
      </c>
      <c r="V798" s="323">
        <v>0</v>
      </c>
      <c r="W798" s="303"/>
      <c r="X798" s="324">
        <v>0</v>
      </c>
      <c r="Y798" s="325">
        <v>0</v>
      </c>
    </row>
    <row r="799" spans="1:25" x14ac:dyDescent="0.3">
      <c r="E799" s="250" t="s">
        <v>1762</v>
      </c>
      <c r="F799" s="317">
        <v>4403583</v>
      </c>
      <c r="G799" s="318"/>
      <c r="H799" s="319"/>
      <c r="I799" s="320"/>
      <c r="J799" s="337">
        <v>0</v>
      </c>
      <c r="K799" s="321">
        <v>0</v>
      </c>
      <c r="L799" s="321">
        <v>0</v>
      </c>
      <c r="M799" s="321">
        <v>0</v>
      </c>
      <c r="N799" s="321">
        <v>0</v>
      </c>
      <c r="O799" s="321">
        <v>0</v>
      </c>
      <c r="P799" s="321">
        <v>0</v>
      </c>
      <c r="Q799" s="321">
        <v>0</v>
      </c>
      <c r="R799" s="321">
        <v>0</v>
      </c>
      <c r="S799" s="321">
        <v>0</v>
      </c>
      <c r="T799" s="321">
        <v>0</v>
      </c>
      <c r="U799" s="322">
        <v>0</v>
      </c>
      <c r="V799" s="323">
        <v>0</v>
      </c>
      <c r="W799" s="303"/>
      <c r="X799" s="324">
        <v>0</v>
      </c>
      <c r="Y799" s="325">
        <v>0</v>
      </c>
    </row>
    <row r="800" spans="1:25" x14ac:dyDescent="0.3">
      <c r="E800" s="250" t="s">
        <v>1763</v>
      </c>
      <c r="F800" s="317">
        <v>4403590</v>
      </c>
      <c r="G800" s="318"/>
      <c r="H800" s="319"/>
      <c r="I800" s="320"/>
      <c r="J800" s="337">
        <v>0</v>
      </c>
      <c r="K800" s="321">
        <v>0</v>
      </c>
      <c r="L800" s="321">
        <v>0</v>
      </c>
      <c r="M800" s="321">
        <v>0</v>
      </c>
      <c r="N800" s="321">
        <v>0</v>
      </c>
      <c r="O800" s="321">
        <v>0</v>
      </c>
      <c r="P800" s="321">
        <v>0</v>
      </c>
      <c r="Q800" s="321">
        <v>0</v>
      </c>
      <c r="R800" s="321">
        <v>0</v>
      </c>
      <c r="S800" s="321">
        <v>0</v>
      </c>
      <c r="T800" s="321">
        <v>0</v>
      </c>
      <c r="U800" s="322">
        <v>0</v>
      </c>
      <c r="V800" s="323">
        <v>0</v>
      </c>
      <c r="W800" s="303"/>
      <c r="X800" s="324">
        <v>0</v>
      </c>
      <c r="Y800" s="325">
        <v>0</v>
      </c>
    </row>
    <row r="801" spans="1:25" x14ac:dyDescent="0.3">
      <c r="E801" s="250" t="s">
        <v>1764</v>
      </c>
      <c r="F801" s="317">
        <v>4403592</v>
      </c>
      <c r="G801" s="318"/>
      <c r="H801" s="319"/>
      <c r="I801" s="320"/>
      <c r="J801" s="337">
        <v>0</v>
      </c>
      <c r="K801" s="321">
        <v>0</v>
      </c>
      <c r="L801" s="321">
        <v>0</v>
      </c>
      <c r="M801" s="321">
        <v>0</v>
      </c>
      <c r="N801" s="321">
        <v>0</v>
      </c>
      <c r="O801" s="321">
        <v>0</v>
      </c>
      <c r="P801" s="321">
        <v>0</v>
      </c>
      <c r="Q801" s="321">
        <v>0</v>
      </c>
      <c r="R801" s="321">
        <v>0</v>
      </c>
      <c r="S801" s="321">
        <v>0</v>
      </c>
      <c r="T801" s="321">
        <v>0</v>
      </c>
      <c r="U801" s="322">
        <v>0</v>
      </c>
      <c r="V801" s="323">
        <v>0</v>
      </c>
      <c r="W801" s="303"/>
      <c r="X801" s="324">
        <v>0</v>
      </c>
      <c r="Y801" s="325">
        <v>0</v>
      </c>
    </row>
    <row r="802" spans="1:25" x14ac:dyDescent="0.3">
      <c r="E802" s="250" t="s">
        <v>1765</v>
      </c>
      <c r="F802" s="317">
        <v>4403593</v>
      </c>
      <c r="G802" s="318"/>
      <c r="H802" s="319"/>
      <c r="I802" s="320"/>
      <c r="J802" s="337">
        <v>0</v>
      </c>
      <c r="K802" s="321">
        <v>0</v>
      </c>
      <c r="L802" s="321">
        <v>0</v>
      </c>
      <c r="M802" s="321">
        <v>0</v>
      </c>
      <c r="N802" s="321">
        <v>0</v>
      </c>
      <c r="O802" s="321">
        <v>0</v>
      </c>
      <c r="P802" s="321">
        <v>0</v>
      </c>
      <c r="Q802" s="321">
        <v>0</v>
      </c>
      <c r="R802" s="321">
        <v>0</v>
      </c>
      <c r="S802" s="321">
        <v>0</v>
      </c>
      <c r="T802" s="321">
        <v>0</v>
      </c>
      <c r="U802" s="322">
        <v>0</v>
      </c>
      <c r="V802" s="323">
        <v>0</v>
      </c>
      <c r="W802" s="303"/>
      <c r="X802" s="324">
        <v>0</v>
      </c>
      <c r="Y802" s="325">
        <v>0</v>
      </c>
    </row>
    <row r="803" spans="1:25" x14ac:dyDescent="0.3">
      <c r="E803" s="250" t="s">
        <v>1766</v>
      </c>
      <c r="F803" s="317">
        <v>4403582</v>
      </c>
      <c r="G803" s="318"/>
      <c r="H803" s="319"/>
      <c r="I803" s="320"/>
      <c r="J803" s="337">
        <v>0</v>
      </c>
      <c r="K803" s="321">
        <v>0</v>
      </c>
      <c r="L803" s="321">
        <v>0</v>
      </c>
      <c r="M803" s="321">
        <v>0</v>
      </c>
      <c r="N803" s="321">
        <v>0</v>
      </c>
      <c r="O803" s="321">
        <v>0</v>
      </c>
      <c r="P803" s="321">
        <v>0</v>
      </c>
      <c r="Q803" s="321">
        <v>0</v>
      </c>
      <c r="R803" s="321">
        <v>0</v>
      </c>
      <c r="S803" s="321">
        <v>0</v>
      </c>
      <c r="T803" s="321">
        <v>0</v>
      </c>
      <c r="U803" s="322">
        <v>0</v>
      </c>
      <c r="V803" s="323">
        <v>0</v>
      </c>
      <c r="W803" s="303"/>
      <c r="X803" s="324">
        <v>0</v>
      </c>
      <c r="Y803" s="325">
        <v>0</v>
      </c>
    </row>
    <row r="804" spans="1:25" x14ac:dyDescent="0.3">
      <c r="E804" s="250" t="s">
        <v>1767</v>
      </c>
      <c r="F804" s="317">
        <v>4403585</v>
      </c>
      <c r="G804" s="318"/>
      <c r="H804" s="319"/>
      <c r="I804" s="320"/>
      <c r="J804" s="337">
        <v>0</v>
      </c>
      <c r="K804" s="321">
        <v>0</v>
      </c>
      <c r="L804" s="321">
        <v>0</v>
      </c>
      <c r="M804" s="321">
        <v>0</v>
      </c>
      <c r="N804" s="321">
        <v>0</v>
      </c>
      <c r="O804" s="321">
        <v>0</v>
      </c>
      <c r="P804" s="321">
        <v>0</v>
      </c>
      <c r="Q804" s="321">
        <v>0</v>
      </c>
      <c r="R804" s="321">
        <v>0</v>
      </c>
      <c r="S804" s="321">
        <v>0</v>
      </c>
      <c r="T804" s="321">
        <v>0</v>
      </c>
      <c r="U804" s="322">
        <v>0</v>
      </c>
      <c r="V804" s="323">
        <v>0</v>
      </c>
      <c r="W804" s="303"/>
      <c r="X804" s="324">
        <v>0</v>
      </c>
      <c r="Y804" s="325">
        <v>0</v>
      </c>
    </row>
    <row r="805" spans="1:25" x14ac:dyDescent="0.3">
      <c r="E805" s="250" t="s">
        <v>1768</v>
      </c>
      <c r="F805" s="317">
        <v>4403586</v>
      </c>
      <c r="G805" s="318"/>
      <c r="H805" s="319"/>
      <c r="I805" s="320"/>
      <c r="J805" s="337">
        <v>0</v>
      </c>
      <c r="K805" s="321">
        <v>0</v>
      </c>
      <c r="L805" s="321">
        <v>0</v>
      </c>
      <c r="M805" s="321">
        <v>0</v>
      </c>
      <c r="N805" s="321">
        <v>0</v>
      </c>
      <c r="O805" s="321">
        <v>0</v>
      </c>
      <c r="P805" s="321">
        <v>0</v>
      </c>
      <c r="Q805" s="321">
        <v>0</v>
      </c>
      <c r="R805" s="321">
        <v>0</v>
      </c>
      <c r="S805" s="321">
        <v>0</v>
      </c>
      <c r="T805" s="321">
        <v>0</v>
      </c>
      <c r="U805" s="322">
        <v>0</v>
      </c>
      <c r="V805" s="323">
        <v>0</v>
      </c>
      <c r="W805" s="303"/>
      <c r="X805" s="324">
        <v>0</v>
      </c>
      <c r="Y805" s="325">
        <v>0</v>
      </c>
    </row>
    <row r="806" spans="1:25" x14ac:dyDescent="0.3">
      <c r="E806" s="250" t="s">
        <v>1769</v>
      </c>
      <c r="F806" s="317">
        <v>4403587</v>
      </c>
      <c r="G806" s="318"/>
      <c r="H806" s="319"/>
      <c r="I806" s="320"/>
      <c r="J806" s="337">
        <v>0</v>
      </c>
      <c r="K806" s="321">
        <v>0</v>
      </c>
      <c r="L806" s="321">
        <v>0</v>
      </c>
      <c r="M806" s="321">
        <v>0</v>
      </c>
      <c r="N806" s="321">
        <v>0</v>
      </c>
      <c r="O806" s="321">
        <v>0</v>
      </c>
      <c r="P806" s="321">
        <v>0</v>
      </c>
      <c r="Q806" s="321">
        <v>0</v>
      </c>
      <c r="R806" s="321">
        <v>0</v>
      </c>
      <c r="S806" s="321">
        <v>0</v>
      </c>
      <c r="T806" s="321">
        <v>0</v>
      </c>
      <c r="U806" s="322">
        <v>0</v>
      </c>
      <c r="V806" s="323">
        <v>0</v>
      </c>
      <c r="W806" s="303"/>
      <c r="X806" s="324">
        <v>0</v>
      </c>
      <c r="Y806" s="325">
        <v>0</v>
      </c>
    </row>
    <row r="807" spans="1:25" x14ac:dyDescent="0.3">
      <c r="E807" s="250" t="s">
        <v>1770</v>
      </c>
      <c r="F807" s="317">
        <v>4403591</v>
      </c>
      <c r="G807" s="318"/>
      <c r="H807" s="319"/>
      <c r="I807" s="320"/>
      <c r="J807" s="337">
        <v>0</v>
      </c>
      <c r="K807" s="321">
        <v>0</v>
      </c>
      <c r="L807" s="321">
        <v>0</v>
      </c>
      <c r="M807" s="321">
        <v>0</v>
      </c>
      <c r="N807" s="321">
        <v>0</v>
      </c>
      <c r="O807" s="321">
        <v>0</v>
      </c>
      <c r="P807" s="321">
        <v>0</v>
      </c>
      <c r="Q807" s="321">
        <v>0</v>
      </c>
      <c r="R807" s="321">
        <v>0</v>
      </c>
      <c r="S807" s="321">
        <v>0</v>
      </c>
      <c r="T807" s="321">
        <v>0</v>
      </c>
      <c r="U807" s="322">
        <v>0</v>
      </c>
      <c r="V807" s="323">
        <v>0</v>
      </c>
      <c r="W807" s="303"/>
      <c r="X807" s="324">
        <v>0</v>
      </c>
      <c r="Y807" s="325">
        <v>0</v>
      </c>
    </row>
    <row r="808" spans="1:25" x14ac:dyDescent="0.3">
      <c r="A808" s="250"/>
      <c r="B808" s="250"/>
      <c r="C808" s="250"/>
      <c r="D808" s="250"/>
      <c r="E808" s="250" t="s">
        <v>1771</v>
      </c>
      <c r="F808" s="306">
        <v>4405515</v>
      </c>
      <c r="G808" s="307"/>
      <c r="H808" s="308"/>
      <c r="I808" s="309"/>
      <c r="J808" s="310">
        <v>0</v>
      </c>
      <c r="K808" s="311">
        <v>0</v>
      </c>
      <c r="L808" s="311">
        <v>0</v>
      </c>
      <c r="M808" s="311">
        <v>0</v>
      </c>
      <c r="N808" s="311">
        <v>0</v>
      </c>
      <c r="O808" s="311">
        <v>0</v>
      </c>
      <c r="P808" s="311">
        <v>0</v>
      </c>
      <c r="Q808" s="311">
        <v>0</v>
      </c>
      <c r="R808" s="311">
        <v>0</v>
      </c>
      <c r="S808" s="311">
        <v>0</v>
      </c>
      <c r="T808" s="311">
        <v>0</v>
      </c>
      <c r="U808" s="312">
        <v>0</v>
      </c>
      <c r="V808" s="313">
        <v>0</v>
      </c>
      <c r="W808" s="314"/>
      <c r="X808" s="315">
        <v>0</v>
      </c>
      <c r="Y808" s="316">
        <v>0</v>
      </c>
    </row>
    <row r="809" spans="1:25" x14ac:dyDescent="0.3">
      <c r="A809" s="250"/>
      <c r="B809" s="250"/>
      <c r="C809" s="250"/>
      <c r="D809" s="250"/>
      <c r="E809" s="250" t="s">
        <v>1772</v>
      </c>
      <c r="F809" s="306">
        <v>4405517</v>
      </c>
      <c r="G809" s="307"/>
      <c r="H809" s="308"/>
      <c r="I809" s="309"/>
      <c r="J809" s="310">
        <v>0</v>
      </c>
      <c r="K809" s="311">
        <v>0</v>
      </c>
      <c r="L809" s="311">
        <v>0</v>
      </c>
      <c r="M809" s="311">
        <v>0</v>
      </c>
      <c r="N809" s="311">
        <v>0</v>
      </c>
      <c r="O809" s="311">
        <v>0</v>
      </c>
      <c r="P809" s="311">
        <v>0</v>
      </c>
      <c r="Q809" s="311">
        <v>0</v>
      </c>
      <c r="R809" s="311">
        <v>0</v>
      </c>
      <c r="S809" s="311">
        <v>0</v>
      </c>
      <c r="T809" s="311">
        <v>0</v>
      </c>
      <c r="U809" s="312">
        <v>0</v>
      </c>
      <c r="V809" s="313">
        <v>0</v>
      </c>
      <c r="W809" s="314"/>
      <c r="X809" s="315">
        <v>0</v>
      </c>
      <c r="Y809" s="316">
        <v>0</v>
      </c>
    </row>
    <row r="810" spans="1:25" x14ac:dyDescent="0.3">
      <c r="A810" s="326"/>
      <c r="B810" s="326"/>
      <c r="C810" s="326"/>
      <c r="D810" s="326"/>
      <c r="E810" s="326" t="s">
        <v>1773</v>
      </c>
      <c r="F810" s="336"/>
      <c r="G810" s="327"/>
      <c r="H810" s="328"/>
      <c r="I810" s="329"/>
      <c r="J810" s="338">
        <v>0</v>
      </c>
      <c r="K810" s="330">
        <v>0</v>
      </c>
      <c r="L810" s="330">
        <v>0</v>
      </c>
      <c r="M810" s="330">
        <v>0</v>
      </c>
      <c r="N810" s="330">
        <v>0</v>
      </c>
      <c r="O810" s="330">
        <v>0</v>
      </c>
      <c r="P810" s="330">
        <v>0</v>
      </c>
      <c r="Q810" s="330">
        <v>0</v>
      </c>
      <c r="R810" s="330">
        <v>0</v>
      </c>
      <c r="S810" s="330">
        <v>0</v>
      </c>
      <c r="T810" s="330">
        <v>0</v>
      </c>
      <c r="U810" s="331">
        <v>0</v>
      </c>
      <c r="V810" s="332">
        <v>0</v>
      </c>
      <c r="W810" s="333"/>
      <c r="X810" s="334">
        <v>0</v>
      </c>
      <c r="Y810" s="335">
        <v>0</v>
      </c>
    </row>
    <row r="811" spans="1:25" x14ac:dyDescent="0.3">
      <c r="A811" s="326"/>
      <c r="B811" s="326"/>
      <c r="C811" s="326"/>
      <c r="D811" s="326"/>
      <c r="E811" s="326" t="s">
        <v>1774</v>
      </c>
      <c r="F811" s="336"/>
      <c r="G811" s="327"/>
      <c r="H811" s="328"/>
      <c r="I811" s="329"/>
      <c r="J811" s="338">
        <v>0</v>
      </c>
      <c r="K811" s="330">
        <v>0</v>
      </c>
      <c r="L811" s="330">
        <v>0</v>
      </c>
      <c r="M811" s="330">
        <v>0</v>
      </c>
      <c r="N811" s="330">
        <v>0</v>
      </c>
      <c r="O811" s="330">
        <v>0</v>
      </c>
      <c r="P811" s="330">
        <v>0</v>
      </c>
      <c r="Q811" s="330">
        <v>0</v>
      </c>
      <c r="R811" s="330">
        <v>0</v>
      </c>
      <c r="S811" s="330">
        <v>0</v>
      </c>
      <c r="T811" s="330">
        <v>0</v>
      </c>
      <c r="U811" s="331">
        <v>0</v>
      </c>
      <c r="V811" s="332">
        <v>0</v>
      </c>
      <c r="W811" s="333"/>
      <c r="X811" s="334">
        <v>0</v>
      </c>
      <c r="Y811" s="335">
        <v>0</v>
      </c>
    </row>
    <row r="812" spans="1:25" x14ac:dyDescent="0.3">
      <c r="A812" s="326"/>
      <c r="B812" s="326"/>
      <c r="C812" s="326"/>
      <c r="D812" s="326"/>
      <c r="E812" s="326" t="s">
        <v>1775</v>
      </c>
      <c r="F812" s="336"/>
      <c r="G812" s="327"/>
      <c r="H812" s="328"/>
      <c r="I812" s="329"/>
      <c r="J812" s="338">
        <v>0</v>
      </c>
      <c r="K812" s="330">
        <v>0</v>
      </c>
      <c r="L812" s="330">
        <v>0</v>
      </c>
      <c r="M812" s="330">
        <v>0</v>
      </c>
      <c r="N812" s="330">
        <v>0</v>
      </c>
      <c r="O812" s="330">
        <v>0</v>
      </c>
      <c r="P812" s="330">
        <v>0</v>
      </c>
      <c r="Q812" s="330">
        <v>0</v>
      </c>
      <c r="R812" s="330">
        <v>0</v>
      </c>
      <c r="S812" s="330">
        <v>0</v>
      </c>
      <c r="T812" s="330">
        <v>0</v>
      </c>
      <c r="U812" s="331">
        <v>0</v>
      </c>
      <c r="V812" s="332">
        <v>0</v>
      </c>
      <c r="W812" s="333"/>
      <c r="X812" s="334">
        <v>0</v>
      </c>
      <c r="Y812" s="335">
        <v>0</v>
      </c>
    </row>
    <row r="813" spans="1:25" x14ac:dyDescent="0.3">
      <c r="A813" s="233"/>
      <c r="B813" s="234" t="s">
        <v>73</v>
      </c>
      <c r="D813" s="293" t="s">
        <v>1776</v>
      </c>
      <c r="E813" s="294"/>
      <c r="F813" s="295" t="s">
        <v>1777</v>
      </c>
      <c r="G813" s="296"/>
      <c r="H813" s="297"/>
      <c r="I813" s="298"/>
      <c r="J813" s="299">
        <v>0</v>
      </c>
      <c r="K813" s="300">
        <v>0</v>
      </c>
      <c r="L813" s="300">
        <v>0</v>
      </c>
      <c r="M813" s="300">
        <v>0</v>
      </c>
      <c r="N813" s="300">
        <v>0</v>
      </c>
      <c r="O813" s="300">
        <v>0</v>
      </c>
      <c r="P813" s="300">
        <v>0</v>
      </c>
      <c r="Q813" s="300">
        <v>0</v>
      </c>
      <c r="R813" s="300">
        <v>0</v>
      </c>
      <c r="S813" s="300">
        <v>0</v>
      </c>
      <c r="T813" s="300">
        <v>0</v>
      </c>
      <c r="U813" s="301">
        <v>0</v>
      </c>
      <c r="V813" s="302">
        <v>0</v>
      </c>
      <c r="W813" s="303"/>
      <c r="X813" s="304">
        <v>0</v>
      </c>
      <c r="Y813" s="305">
        <v>0</v>
      </c>
    </row>
    <row r="814" spans="1:25" x14ac:dyDescent="0.3">
      <c r="E814" s="250" t="s">
        <v>1778</v>
      </c>
      <c r="F814" s="317">
        <v>4403595</v>
      </c>
      <c r="G814" s="318"/>
      <c r="H814" s="319"/>
      <c r="I814" s="320"/>
      <c r="J814" s="337">
        <v>0</v>
      </c>
      <c r="K814" s="321">
        <v>0</v>
      </c>
      <c r="L814" s="321">
        <v>0</v>
      </c>
      <c r="M814" s="321">
        <v>0</v>
      </c>
      <c r="N814" s="321">
        <v>0</v>
      </c>
      <c r="O814" s="321">
        <v>0</v>
      </c>
      <c r="P814" s="321">
        <v>0</v>
      </c>
      <c r="Q814" s="321">
        <v>0</v>
      </c>
      <c r="R814" s="321">
        <v>0</v>
      </c>
      <c r="S814" s="321">
        <v>0</v>
      </c>
      <c r="T814" s="321">
        <v>0</v>
      </c>
      <c r="U814" s="322">
        <v>0</v>
      </c>
      <c r="V814" s="323">
        <v>0</v>
      </c>
      <c r="W814" s="303"/>
      <c r="X814" s="324">
        <v>0</v>
      </c>
      <c r="Y814" s="325">
        <v>0</v>
      </c>
    </row>
    <row r="815" spans="1:25" x14ac:dyDescent="0.3">
      <c r="E815" s="250" t="s">
        <v>1779</v>
      </c>
      <c r="F815" s="317">
        <v>4403596</v>
      </c>
      <c r="G815" s="318"/>
      <c r="H815" s="319"/>
      <c r="I815" s="320"/>
      <c r="J815" s="337">
        <v>0</v>
      </c>
      <c r="K815" s="321">
        <v>0</v>
      </c>
      <c r="L815" s="321">
        <v>0</v>
      </c>
      <c r="M815" s="321">
        <v>0</v>
      </c>
      <c r="N815" s="321">
        <v>0</v>
      </c>
      <c r="O815" s="321">
        <v>0</v>
      </c>
      <c r="P815" s="321">
        <v>0</v>
      </c>
      <c r="Q815" s="321">
        <v>0</v>
      </c>
      <c r="R815" s="321">
        <v>0</v>
      </c>
      <c r="S815" s="321">
        <v>0</v>
      </c>
      <c r="T815" s="321">
        <v>0</v>
      </c>
      <c r="U815" s="322">
        <v>0</v>
      </c>
      <c r="V815" s="323">
        <v>0</v>
      </c>
      <c r="W815" s="303"/>
      <c r="X815" s="324">
        <v>0</v>
      </c>
      <c r="Y815" s="325">
        <v>0</v>
      </c>
    </row>
    <row r="816" spans="1:25" x14ac:dyDescent="0.3">
      <c r="E816" s="250" t="s">
        <v>1780</v>
      </c>
      <c r="F816" s="317">
        <v>4403597</v>
      </c>
      <c r="G816" s="318"/>
      <c r="H816" s="319"/>
      <c r="I816" s="320"/>
      <c r="J816" s="337">
        <v>0</v>
      </c>
      <c r="K816" s="321">
        <v>0</v>
      </c>
      <c r="L816" s="321">
        <v>0</v>
      </c>
      <c r="M816" s="321">
        <v>0</v>
      </c>
      <c r="N816" s="321">
        <v>0</v>
      </c>
      <c r="O816" s="321">
        <v>0</v>
      </c>
      <c r="P816" s="321">
        <v>0</v>
      </c>
      <c r="Q816" s="321">
        <v>0</v>
      </c>
      <c r="R816" s="321">
        <v>0</v>
      </c>
      <c r="S816" s="321">
        <v>0</v>
      </c>
      <c r="T816" s="321">
        <v>0</v>
      </c>
      <c r="U816" s="322">
        <v>0</v>
      </c>
      <c r="V816" s="323">
        <v>0</v>
      </c>
      <c r="W816" s="303"/>
      <c r="X816" s="324">
        <v>0</v>
      </c>
      <c r="Y816" s="325">
        <v>0</v>
      </c>
    </row>
    <row r="817" spans="1:25" x14ac:dyDescent="0.3">
      <c r="E817" s="250" t="s">
        <v>1781</v>
      </c>
      <c r="F817" s="317">
        <v>4403598</v>
      </c>
      <c r="G817" s="318"/>
      <c r="H817" s="319"/>
      <c r="I817" s="320"/>
      <c r="J817" s="337">
        <v>0</v>
      </c>
      <c r="K817" s="321">
        <v>0</v>
      </c>
      <c r="L817" s="321">
        <v>0</v>
      </c>
      <c r="M817" s="321">
        <v>0</v>
      </c>
      <c r="N817" s="321">
        <v>0</v>
      </c>
      <c r="O817" s="321">
        <v>0</v>
      </c>
      <c r="P817" s="321">
        <v>0</v>
      </c>
      <c r="Q817" s="321">
        <v>0</v>
      </c>
      <c r="R817" s="321">
        <v>0</v>
      </c>
      <c r="S817" s="321">
        <v>0</v>
      </c>
      <c r="T817" s="321">
        <v>0</v>
      </c>
      <c r="U817" s="322">
        <v>0</v>
      </c>
      <c r="V817" s="323">
        <v>0</v>
      </c>
      <c r="W817" s="303"/>
      <c r="X817" s="324">
        <v>0</v>
      </c>
      <c r="Y817" s="325">
        <v>0</v>
      </c>
    </row>
    <row r="818" spans="1:25" x14ac:dyDescent="0.3">
      <c r="E818" s="250" t="s">
        <v>1782</v>
      </c>
      <c r="F818" s="317">
        <v>4403599</v>
      </c>
      <c r="G818" s="318"/>
      <c r="H818" s="319"/>
      <c r="I818" s="320"/>
      <c r="J818" s="337">
        <v>0</v>
      </c>
      <c r="K818" s="321">
        <v>0</v>
      </c>
      <c r="L818" s="321">
        <v>0</v>
      </c>
      <c r="M818" s="321">
        <v>0</v>
      </c>
      <c r="N818" s="321">
        <v>0</v>
      </c>
      <c r="O818" s="321">
        <v>0</v>
      </c>
      <c r="P818" s="321">
        <v>0</v>
      </c>
      <c r="Q818" s="321">
        <v>0</v>
      </c>
      <c r="R818" s="321">
        <v>0</v>
      </c>
      <c r="S818" s="321">
        <v>0</v>
      </c>
      <c r="T818" s="321">
        <v>0</v>
      </c>
      <c r="U818" s="322">
        <v>0</v>
      </c>
      <c r="V818" s="323">
        <v>0</v>
      </c>
      <c r="W818" s="303"/>
      <c r="X818" s="324">
        <v>0</v>
      </c>
      <c r="Y818" s="325">
        <v>0</v>
      </c>
    </row>
    <row r="819" spans="1:25" x14ac:dyDescent="0.3">
      <c r="A819" s="326"/>
      <c r="B819" s="326"/>
      <c r="C819" s="326"/>
      <c r="D819" s="326"/>
      <c r="E819" s="326" t="s">
        <v>1783</v>
      </c>
      <c r="F819" s="336"/>
      <c r="G819" s="327"/>
      <c r="H819" s="328"/>
      <c r="I819" s="329"/>
      <c r="J819" s="338">
        <v>0</v>
      </c>
      <c r="K819" s="330">
        <v>0</v>
      </c>
      <c r="L819" s="330">
        <v>0</v>
      </c>
      <c r="M819" s="330">
        <v>0</v>
      </c>
      <c r="N819" s="330">
        <v>0</v>
      </c>
      <c r="O819" s="330">
        <v>0</v>
      </c>
      <c r="P819" s="330">
        <v>0</v>
      </c>
      <c r="Q819" s="330">
        <v>0</v>
      </c>
      <c r="R819" s="330">
        <v>0</v>
      </c>
      <c r="S819" s="330">
        <v>0</v>
      </c>
      <c r="T819" s="330">
        <v>0</v>
      </c>
      <c r="U819" s="331">
        <v>0</v>
      </c>
      <c r="V819" s="332">
        <v>0</v>
      </c>
      <c r="W819" s="333"/>
      <c r="X819" s="334">
        <v>0</v>
      </c>
      <c r="Y819" s="335">
        <v>0</v>
      </c>
    </row>
    <row r="820" spans="1:25" x14ac:dyDescent="0.3">
      <c r="A820" s="326"/>
      <c r="B820" s="326"/>
      <c r="C820" s="326"/>
      <c r="D820" s="326"/>
      <c r="E820" s="326" t="s">
        <v>1784</v>
      </c>
      <c r="F820" s="336"/>
      <c r="G820" s="327"/>
      <c r="H820" s="328"/>
      <c r="I820" s="329"/>
      <c r="J820" s="338">
        <v>0</v>
      </c>
      <c r="K820" s="330">
        <v>0</v>
      </c>
      <c r="L820" s="330">
        <v>0</v>
      </c>
      <c r="M820" s="330">
        <v>0</v>
      </c>
      <c r="N820" s="330">
        <v>0</v>
      </c>
      <c r="O820" s="330">
        <v>0</v>
      </c>
      <c r="P820" s="330">
        <v>0</v>
      </c>
      <c r="Q820" s="330">
        <v>0</v>
      </c>
      <c r="R820" s="330">
        <v>0</v>
      </c>
      <c r="S820" s="330">
        <v>0</v>
      </c>
      <c r="T820" s="330">
        <v>0</v>
      </c>
      <c r="U820" s="331">
        <v>0</v>
      </c>
      <c r="V820" s="332">
        <v>0</v>
      </c>
      <c r="W820" s="333"/>
      <c r="X820" s="334">
        <v>0</v>
      </c>
      <c r="Y820" s="335">
        <v>0</v>
      </c>
    </row>
    <row r="821" spans="1:25" x14ac:dyDescent="0.3">
      <c r="A821" s="326"/>
      <c r="B821" s="326"/>
      <c r="C821" s="326"/>
      <c r="D821" s="326"/>
      <c r="E821" s="326" t="s">
        <v>1785</v>
      </c>
      <c r="F821" s="336"/>
      <c r="G821" s="327"/>
      <c r="H821" s="328"/>
      <c r="I821" s="329"/>
      <c r="J821" s="338">
        <v>0</v>
      </c>
      <c r="K821" s="330">
        <v>0</v>
      </c>
      <c r="L821" s="330">
        <v>0</v>
      </c>
      <c r="M821" s="330">
        <v>0</v>
      </c>
      <c r="N821" s="330">
        <v>0</v>
      </c>
      <c r="O821" s="330">
        <v>0</v>
      </c>
      <c r="P821" s="330">
        <v>0</v>
      </c>
      <c r="Q821" s="330">
        <v>0</v>
      </c>
      <c r="R821" s="330">
        <v>0</v>
      </c>
      <c r="S821" s="330">
        <v>0</v>
      </c>
      <c r="T821" s="330">
        <v>0</v>
      </c>
      <c r="U821" s="331">
        <v>0</v>
      </c>
      <c r="V821" s="332">
        <v>0</v>
      </c>
      <c r="W821" s="333"/>
      <c r="X821" s="334">
        <v>0</v>
      </c>
      <c r="Y821" s="335">
        <v>0</v>
      </c>
    </row>
    <row r="822" spans="1:25" x14ac:dyDescent="0.3">
      <c r="D822" s="293" t="s">
        <v>1786</v>
      </c>
      <c r="E822" s="294"/>
      <c r="F822" s="295" t="s">
        <v>1787</v>
      </c>
      <c r="G822" s="296"/>
      <c r="H822" s="297"/>
      <c r="I822" s="298"/>
      <c r="J822" s="299">
        <v>0</v>
      </c>
      <c r="K822" s="300">
        <v>0</v>
      </c>
      <c r="L822" s="300">
        <v>0</v>
      </c>
      <c r="M822" s="300">
        <v>0</v>
      </c>
      <c r="N822" s="300">
        <v>0</v>
      </c>
      <c r="O822" s="300">
        <v>0</v>
      </c>
      <c r="P822" s="300">
        <v>0</v>
      </c>
      <c r="Q822" s="300">
        <v>0</v>
      </c>
      <c r="R822" s="300">
        <v>0</v>
      </c>
      <c r="S822" s="300">
        <v>0</v>
      </c>
      <c r="T822" s="300">
        <v>0</v>
      </c>
      <c r="U822" s="301">
        <v>0</v>
      </c>
      <c r="V822" s="302">
        <v>0</v>
      </c>
      <c r="W822" s="303"/>
      <c r="X822" s="304">
        <v>0</v>
      </c>
      <c r="Y822" s="305">
        <v>0</v>
      </c>
    </row>
    <row r="823" spans="1:25" x14ac:dyDescent="0.3">
      <c r="E823" s="250" t="s">
        <v>1788</v>
      </c>
      <c r="F823" s="317">
        <v>4403068</v>
      </c>
      <c r="G823" s="318"/>
      <c r="H823" s="319"/>
      <c r="I823" s="320"/>
      <c r="J823" s="337">
        <v>0</v>
      </c>
      <c r="K823" s="321">
        <v>0</v>
      </c>
      <c r="L823" s="321">
        <v>0</v>
      </c>
      <c r="M823" s="321">
        <v>0</v>
      </c>
      <c r="N823" s="321">
        <v>0</v>
      </c>
      <c r="O823" s="321">
        <v>0</v>
      </c>
      <c r="P823" s="321">
        <v>0</v>
      </c>
      <c r="Q823" s="321">
        <v>0</v>
      </c>
      <c r="R823" s="321">
        <v>0</v>
      </c>
      <c r="S823" s="321">
        <v>0</v>
      </c>
      <c r="T823" s="321">
        <v>0</v>
      </c>
      <c r="U823" s="322">
        <v>0</v>
      </c>
      <c r="V823" s="323">
        <v>0</v>
      </c>
      <c r="W823" s="303"/>
      <c r="X823" s="324">
        <v>0</v>
      </c>
      <c r="Y823" s="325">
        <v>0</v>
      </c>
    </row>
    <row r="824" spans="1:25" x14ac:dyDescent="0.3">
      <c r="E824" s="250" t="s">
        <v>1789</v>
      </c>
      <c r="F824" s="317">
        <v>4403069</v>
      </c>
      <c r="G824" s="318"/>
      <c r="H824" s="319"/>
      <c r="I824" s="320"/>
      <c r="J824" s="337">
        <v>0</v>
      </c>
      <c r="K824" s="321">
        <v>0</v>
      </c>
      <c r="L824" s="321">
        <v>0</v>
      </c>
      <c r="M824" s="321">
        <v>0</v>
      </c>
      <c r="N824" s="321">
        <v>0</v>
      </c>
      <c r="O824" s="321">
        <v>0</v>
      </c>
      <c r="P824" s="321">
        <v>0</v>
      </c>
      <c r="Q824" s="321">
        <v>0</v>
      </c>
      <c r="R824" s="321">
        <v>0</v>
      </c>
      <c r="S824" s="321">
        <v>0</v>
      </c>
      <c r="T824" s="321">
        <v>0</v>
      </c>
      <c r="U824" s="322">
        <v>0</v>
      </c>
      <c r="V824" s="323">
        <v>0</v>
      </c>
      <c r="W824" s="303"/>
      <c r="X824" s="324">
        <v>0</v>
      </c>
      <c r="Y824" s="325">
        <v>0</v>
      </c>
    </row>
    <row r="825" spans="1:25" x14ac:dyDescent="0.3">
      <c r="E825" s="250" t="s">
        <v>1790</v>
      </c>
      <c r="F825" s="317">
        <v>4403070</v>
      </c>
      <c r="G825" s="318"/>
      <c r="H825" s="319"/>
      <c r="I825" s="320"/>
      <c r="J825" s="337">
        <v>0</v>
      </c>
      <c r="K825" s="321">
        <v>0</v>
      </c>
      <c r="L825" s="321">
        <v>0</v>
      </c>
      <c r="M825" s="321">
        <v>0</v>
      </c>
      <c r="N825" s="321">
        <v>0</v>
      </c>
      <c r="O825" s="321">
        <v>0</v>
      </c>
      <c r="P825" s="321">
        <v>0</v>
      </c>
      <c r="Q825" s="321">
        <v>0</v>
      </c>
      <c r="R825" s="321">
        <v>0</v>
      </c>
      <c r="S825" s="321">
        <v>0</v>
      </c>
      <c r="T825" s="321">
        <v>0</v>
      </c>
      <c r="U825" s="322">
        <v>0</v>
      </c>
      <c r="V825" s="323">
        <v>0</v>
      </c>
      <c r="W825" s="303"/>
      <c r="X825" s="324">
        <v>0</v>
      </c>
      <c r="Y825" s="325">
        <v>0</v>
      </c>
    </row>
    <row r="826" spans="1:25" x14ac:dyDescent="0.3">
      <c r="E826" s="250" t="s">
        <v>1791</v>
      </c>
      <c r="F826" s="317">
        <v>4403071</v>
      </c>
      <c r="G826" s="318"/>
      <c r="H826" s="319"/>
      <c r="I826" s="320"/>
      <c r="J826" s="337">
        <v>0</v>
      </c>
      <c r="K826" s="321">
        <v>0</v>
      </c>
      <c r="L826" s="321">
        <v>0</v>
      </c>
      <c r="M826" s="321">
        <v>0</v>
      </c>
      <c r="N826" s="321">
        <v>0</v>
      </c>
      <c r="O826" s="321">
        <v>0</v>
      </c>
      <c r="P826" s="321">
        <v>0</v>
      </c>
      <c r="Q826" s="321">
        <v>0</v>
      </c>
      <c r="R826" s="321">
        <v>0</v>
      </c>
      <c r="S826" s="321">
        <v>0</v>
      </c>
      <c r="T826" s="321">
        <v>0</v>
      </c>
      <c r="U826" s="322">
        <v>0</v>
      </c>
      <c r="V826" s="323">
        <v>0</v>
      </c>
      <c r="W826" s="303"/>
      <c r="X826" s="324">
        <v>0</v>
      </c>
      <c r="Y826" s="325">
        <v>0</v>
      </c>
    </row>
    <row r="827" spans="1:25" x14ac:dyDescent="0.3">
      <c r="E827" s="250" t="s">
        <v>1792</v>
      </c>
      <c r="F827" s="317">
        <v>4403072</v>
      </c>
      <c r="G827" s="318"/>
      <c r="H827" s="319"/>
      <c r="I827" s="320"/>
      <c r="J827" s="337">
        <v>0</v>
      </c>
      <c r="K827" s="321">
        <v>0</v>
      </c>
      <c r="L827" s="321">
        <v>0</v>
      </c>
      <c r="M827" s="321">
        <v>0</v>
      </c>
      <c r="N827" s="321">
        <v>0</v>
      </c>
      <c r="O827" s="321">
        <v>0</v>
      </c>
      <c r="P827" s="321">
        <v>0</v>
      </c>
      <c r="Q827" s="321">
        <v>0</v>
      </c>
      <c r="R827" s="321">
        <v>0</v>
      </c>
      <c r="S827" s="321">
        <v>0</v>
      </c>
      <c r="T827" s="321">
        <v>0</v>
      </c>
      <c r="U827" s="322">
        <v>0</v>
      </c>
      <c r="V827" s="323">
        <v>0</v>
      </c>
      <c r="W827" s="303"/>
      <c r="X827" s="324">
        <v>0</v>
      </c>
      <c r="Y827" s="325">
        <v>0</v>
      </c>
    </row>
    <row r="828" spans="1:25" x14ac:dyDescent="0.3">
      <c r="E828" s="250" t="s">
        <v>1793</v>
      </c>
      <c r="F828" s="317">
        <v>4403073</v>
      </c>
      <c r="G828" s="318"/>
      <c r="H828" s="319"/>
      <c r="I828" s="320"/>
      <c r="J828" s="337">
        <v>0</v>
      </c>
      <c r="K828" s="321">
        <v>0</v>
      </c>
      <c r="L828" s="321">
        <v>0</v>
      </c>
      <c r="M828" s="321">
        <v>0</v>
      </c>
      <c r="N828" s="321">
        <v>0</v>
      </c>
      <c r="O828" s="321">
        <v>0</v>
      </c>
      <c r="P828" s="321">
        <v>0</v>
      </c>
      <c r="Q828" s="321">
        <v>0</v>
      </c>
      <c r="R828" s="321">
        <v>0</v>
      </c>
      <c r="S828" s="321">
        <v>0</v>
      </c>
      <c r="T828" s="321">
        <v>0</v>
      </c>
      <c r="U828" s="322">
        <v>0</v>
      </c>
      <c r="V828" s="323">
        <v>0</v>
      </c>
      <c r="W828" s="303"/>
      <c r="X828" s="324">
        <v>0</v>
      </c>
      <c r="Y828" s="325">
        <v>0</v>
      </c>
    </row>
    <row r="829" spans="1:25" x14ac:dyDescent="0.3">
      <c r="E829" s="250" t="s">
        <v>1794</v>
      </c>
      <c r="F829" s="317">
        <v>4403074</v>
      </c>
      <c r="G829" s="318"/>
      <c r="H829" s="319"/>
      <c r="I829" s="320"/>
      <c r="J829" s="337">
        <v>0</v>
      </c>
      <c r="K829" s="321">
        <v>0</v>
      </c>
      <c r="L829" s="321">
        <v>0</v>
      </c>
      <c r="M829" s="321">
        <v>0</v>
      </c>
      <c r="N829" s="321">
        <v>0</v>
      </c>
      <c r="O829" s="321">
        <v>0</v>
      </c>
      <c r="P829" s="321">
        <v>0</v>
      </c>
      <c r="Q829" s="321">
        <v>0</v>
      </c>
      <c r="R829" s="321">
        <v>0</v>
      </c>
      <c r="S829" s="321">
        <v>0</v>
      </c>
      <c r="T829" s="321">
        <v>0</v>
      </c>
      <c r="U829" s="322">
        <v>0</v>
      </c>
      <c r="V829" s="323">
        <v>0</v>
      </c>
      <c r="W829" s="303"/>
      <c r="X829" s="324">
        <v>0</v>
      </c>
      <c r="Y829" s="325">
        <v>0</v>
      </c>
    </row>
    <row r="830" spans="1:25" x14ac:dyDescent="0.3">
      <c r="E830" s="250" t="s">
        <v>1795</v>
      </c>
      <c r="F830" s="317">
        <v>4403075</v>
      </c>
      <c r="G830" s="318"/>
      <c r="H830" s="319"/>
      <c r="I830" s="320"/>
      <c r="J830" s="337">
        <v>0</v>
      </c>
      <c r="K830" s="321">
        <v>0</v>
      </c>
      <c r="L830" s="321">
        <v>0</v>
      </c>
      <c r="M830" s="321">
        <v>0</v>
      </c>
      <c r="N830" s="321">
        <v>0</v>
      </c>
      <c r="O830" s="321">
        <v>0</v>
      </c>
      <c r="P830" s="321">
        <v>0</v>
      </c>
      <c r="Q830" s="321">
        <v>0</v>
      </c>
      <c r="R830" s="321">
        <v>0</v>
      </c>
      <c r="S830" s="321">
        <v>0</v>
      </c>
      <c r="T830" s="321">
        <v>0</v>
      </c>
      <c r="U830" s="322">
        <v>0</v>
      </c>
      <c r="V830" s="323">
        <v>0</v>
      </c>
      <c r="W830" s="303"/>
      <c r="X830" s="324">
        <v>0</v>
      </c>
      <c r="Y830" s="325">
        <v>0</v>
      </c>
    </row>
    <row r="831" spans="1:25" x14ac:dyDescent="0.3">
      <c r="E831" s="250" t="s">
        <v>1796</v>
      </c>
      <c r="F831" s="317">
        <v>4403076</v>
      </c>
      <c r="G831" s="318"/>
      <c r="H831" s="319"/>
      <c r="I831" s="320"/>
      <c r="J831" s="337">
        <v>0</v>
      </c>
      <c r="K831" s="321">
        <v>0</v>
      </c>
      <c r="L831" s="321">
        <v>0</v>
      </c>
      <c r="M831" s="321">
        <v>0</v>
      </c>
      <c r="N831" s="321">
        <v>0</v>
      </c>
      <c r="O831" s="321">
        <v>0</v>
      </c>
      <c r="P831" s="321">
        <v>0</v>
      </c>
      <c r="Q831" s="321">
        <v>0</v>
      </c>
      <c r="R831" s="321">
        <v>0</v>
      </c>
      <c r="S831" s="321">
        <v>0</v>
      </c>
      <c r="T831" s="321">
        <v>0</v>
      </c>
      <c r="U831" s="322">
        <v>0</v>
      </c>
      <c r="V831" s="323">
        <v>0</v>
      </c>
      <c r="W831" s="303"/>
      <c r="X831" s="324">
        <v>0</v>
      </c>
      <c r="Y831" s="325">
        <v>0</v>
      </c>
    </row>
    <row r="832" spans="1:25" x14ac:dyDescent="0.3">
      <c r="E832" s="250" t="s">
        <v>1797</v>
      </c>
      <c r="F832" s="317">
        <v>4403077</v>
      </c>
      <c r="G832" s="318"/>
      <c r="H832" s="319"/>
      <c r="I832" s="320"/>
      <c r="J832" s="337">
        <v>0</v>
      </c>
      <c r="K832" s="321">
        <v>0</v>
      </c>
      <c r="L832" s="321">
        <v>0</v>
      </c>
      <c r="M832" s="321">
        <v>0</v>
      </c>
      <c r="N832" s="321">
        <v>0</v>
      </c>
      <c r="O832" s="321">
        <v>0</v>
      </c>
      <c r="P832" s="321">
        <v>0</v>
      </c>
      <c r="Q832" s="321">
        <v>0</v>
      </c>
      <c r="R832" s="321">
        <v>0</v>
      </c>
      <c r="S832" s="321">
        <v>0</v>
      </c>
      <c r="T832" s="321">
        <v>0</v>
      </c>
      <c r="U832" s="322">
        <v>0</v>
      </c>
      <c r="V832" s="323">
        <v>0</v>
      </c>
      <c r="W832" s="303"/>
      <c r="X832" s="324">
        <v>0</v>
      </c>
      <c r="Y832" s="325">
        <v>0</v>
      </c>
    </row>
    <row r="833" spans="1:25" x14ac:dyDescent="0.3">
      <c r="E833" s="250" t="s">
        <v>1798</v>
      </c>
      <c r="F833" s="317">
        <v>4403078</v>
      </c>
      <c r="G833" s="318"/>
      <c r="H833" s="319"/>
      <c r="I833" s="320"/>
      <c r="J833" s="337">
        <v>0</v>
      </c>
      <c r="K833" s="321">
        <v>0</v>
      </c>
      <c r="L833" s="321">
        <v>0</v>
      </c>
      <c r="M833" s="321">
        <v>0</v>
      </c>
      <c r="N833" s="321">
        <v>0</v>
      </c>
      <c r="O833" s="321">
        <v>0</v>
      </c>
      <c r="P833" s="321">
        <v>0</v>
      </c>
      <c r="Q833" s="321">
        <v>0</v>
      </c>
      <c r="R833" s="321">
        <v>0</v>
      </c>
      <c r="S833" s="321">
        <v>0</v>
      </c>
      <c r="T833" s="321">
        <v>0</v>
      </c>
      <c r="U833" s="322">
        <v>0</v>
      </c>
      <c r="V833" s="323">
        <v>0</v>
      </c>
      <c r="W833" s="303"/>
      <c r="X833" s="324">
        <v>0</v>
      </c>
      <c r="Y833" s="325">
        <v>0</v>
      </c>
    </row>
    <row r="834" spans="1:25" x14ac:dyDescent="0.3">
      <c r="E834" s="250" t="s">
        <v>1799</v>
      </c>
      <c r="F834" s="317">
        <v>4403079</v>
      </c>
      <c r="G834" s="318"/>
      <c r="H834" s="319"/>
      <c r="I834" s="320"/>
      <c r="J834" s="337">
        <v>0</v>
      </c>
      <c r="K834" s="321">
        <v>0</v>
      </c>
      <c r="L834" s="321">
        <v>0</v>
      </c>
      <c r="M834" s="321">
        <v>0</v>
      </c>
      <c r="N834" s="321">
        <v>0</v>
      </c>
      <c r="O834" s="321">
        <v>0</v>
      </c>
      <c r="P834" s="321">
        <v>0</v>
      </c>
      <c r="Q834" s="321">
        <v>0</v>
      </c>
      <c r="R834" s="321">
        <v>0</v>
      </c>
      <c r="S834" s="321">
        <v>0</v>
      </c>
      <c r="T834" s="321">
        <v>0</v>
      </c>
      <c r="U834" s="322">
        <v>0</v>
      </c>
      <c r="V834" s="323">
        <v>0</v>
      </c>
      <c r="W834" s="303"/>
      <c r="X834" s="324">
        <v>0</v>
      </c>
      <c r="Y834" s="325">
        <v>0</v>
      </c>
    </row>
    <row r="835" spans="1:25" x14ac:dyDescent="0.3">
      <c r="E835" s="250" t="s">
        <v>1800</v>
      </c>
      <c r="F835" s="317">
        <v>4403081</v>
      </c>
      <c r="G835" s="318"/>
      <c r="H835" s="319"/>
      <c r="I835" s="320"/>
      <c r="J835" s="337">
        <v>0</v>
      </c>
      <c r="K835" s="321">
        <v>0</v>
      </c>
      <c r="L835" s="321">
        <v>0</v>
      </c>
      <c r="M835" s="321">
        <v>0</v>
      </c>
      <c r="N835" s="321">
        <v>0</v>
      </c>
      <c r="O835" s="321">
        <v>0</v>
      </c>
      <c r="P835" s="321">
        <v>0</v>
      </c>
      <c r="Q835" s="321">
        <v>0</v>
      </c>
      <c r="R835" s="321">
        <v>0</v>
      </c>
      <c r="S835" s="321">
        <v>0</v>
      </c>
      <c r="T835" s="321">
        <v>0</v>
      </c>
      <c r="U835" s="322">
        <v>0</v>
      </c>
      <c r="V835" s="323">
        <v>0</v>
      </c>
      <c r="W835" s="303"/>
      <c r="X835" s="324">
        <v>0</v>
      </c>
      <c r="Y835" s="325">
        <v>0</v>
      </c>
    </row>
    <row r="836" spans="1:25" x14ac:dyDescent="0.3">
      <c r="A836" s="361"/>
      <c r="B836" s="361"/>
      <c r="C836" s="361"/>
      <c r="D836" s="361"/>
      <c r="E836" s="326" t="s">
        <v>1801</v>
      </c>
      <c r="F836" s="351"/>
      <c r="G836" s="352"/>
      <c r="H836" s="353"/>
      <c r="I836" s="354"/>
      <c r="J836" s="362">
        <v>0</v>
      </c>
      <c r="K836" s="355">
        <v>0</v>
      </c>
      <c r="L836" s="355">
        <v>0</v>
      </c>
      <c r="M836" s="355">
        <v>0</v>
      </c>
      <c r="N836" s="355">
        <v>0</v>
      </c>
      <c r="O836" s="355">
        <v>0</v>
      </c>
      <c r="P836" s="355">
        <v>0</v>
      </c>
      <c r="Q836" s="355">
        <v>0</v>
      </c>
      <c r="R836" s="355">
        <v>0</v>
      </c>
      <c r="S836" s="355">
        <v>0</v>
      </c>
      <c r="T836" s="355">
        <v>0</v>
      </c>
      <c r="U836" s="356">
        <v>0</v>
      </c>
      <c r="V836" s="357">
        <v>0</v>
      </c>
      <c r="W836" s="358"/>
      <c r="X836" s="359">
        <v>0</v>
      </c>
      <c r="Y836" s="360">
        <v>0</v>
      </c>
    </row>
    <row r="837" spans="1:25" x14ac:dyDescent="0.3">
      <c r="A837" s="361"/>
      <c r="B837" s="361"/>
      <c r="C837" s="361"/>
      <c r="D837" s="361"/>
      <c r="E837" s="326" t="s">
        <v>1801</v>
      </c>
      <c r="F837" s="351"/>
      <c r="G837" s="352"/>
      <c r="H837" s="353"/>
      <c r="I837" s="354"/>
      <c r="J837" s="362">
        <v>0</v>
      </c>
      <c r="K837" s="355">
        <v>0</v>
      </c>
      <c r="L837" s="355">
        <v>0</v>
      </c>
      <c r="M837" s="355">
        <v>0</v>
      </c>
      <c r="N837" s="355">
        <v>0</v>
      </c>
      <c r="O837" s="355">
        <v>0</v>
      </c>
      <c r="P837" s="355">
        <v>0</v>
      </c>
      <c r="Q837" s="355">
        <v>0</v>
      </c>
      <c r="R837" s="355">
        <v>0</v>
      </c>
      <c r="S837" s="355">
        <v>0</v>
      </c>
      <c r="T837" s="355">
        <v>0</v>
      </c>
      <c r="U837" s="356">
        <v>0</v>
      </c>
      <c r="V837" s="357">
        <v>0</v>
      </c>
      <c r="W837" s="358"/>
      <c r="X837" s="359">
        <v>0</v>
      </c>
      <c r="Y837" s="360">
        <v>0</v>
      </c>
    </row>
    <row r="838" spans="1:25" x14ac:dyDescent="0.3">
      <c r="A838" s="361"/>
      <c r="B838" s="361"/>
      <c r="C838" s="361"/>
      <c r="D838" s="361"/>
      <c r="E838" s="326" t="s">
        <v>1802</v>
      </c>
      <c r="F838" s="351"/>
      <c r="G838" s="352"/>
      <c r="H838" s="353"/>
      <c r="I838" s="354"/>
      <c r="J838" s="362">
        <v>0</v>
      </c>
      <c r="K838" s="355">
        <v>0</v>
      </c>
      <c r="L838" s="355">
        <v>0</v>
      </c>
      <c r="M838" s="355">
        <v>0</v>
      </c>
      <c r="N838" s="355">
        <v>0</v>
      </c>
      <c r="O838" s="355">
        <v>0</v>
      </c>
      <c r="P838" s="355">
        <v>0</v>
      </c>
      <c r="Q838" s="355">
        <v>0</v>
      </c>
      <c r="R838" s="355">
        <v>0</v>
      </c>
      <c r="S838" s="355">
        <v>0</v>
      </c>
      <c r="T838" s="355">
        <v>0</v>
      </c>
      <c r="U838" s="356">
        <v>0</v>
      </c>
      <c r="V838" s="357">
        <v>0</v>
      </c>
      <c r="W838" s="358"/>
      <c r="X838" s="359">
        <v>0</v>
      </c>
      <c r="Y838" s="360">
        <v>0</v>
      </c>
    </row>
    <row r="839" spans="1:25" x14ac:dyDescent="0.3">
      <c r="D839" s="293" t="s">
        <v>1803</v>
      </c>
      <c r="E839" s="294"/>
      <c r="F839" s="295" t="s">
        <v>1804</v>
      </c>
      <c r="G839" s="296"/>
      <c r="H839" s="297"/>
      <c r="I839" s="298"/>
      <c r="J839" s="299">
        <v>0</v>
      </c>
      <c r="K839" s="300">
        <v>0</v>
      </c>
      <c r="L839" s="300">
        <v>0</v>
      </c>
      <c r="M839" s="300">
        <v>0</v>
      </c>
      <c r="N839" s="300">
        <v>0</v>
      </c>
      <c r="O839" s="300">
        <v>0</v>
      </c>
      <c r="P839" s="300">
        <v>0</v>
      </c>
      <c r="Q839" s="300">
        <v>0</v>
      </c>
      <c r="R839" s="300">
        <v>0</v>
      </c>
      <c r="S839" s="300">
        <v>0</v>
      </c>
      <c r="T839" s="300">
        <v>0</v>
      </c>
      <c r="U839" s="301">
        <v>0</v>
      </c>
      <c r="V839" s="302">
        <v>0</v>
      </c>
      <c r="W839" s="303"/>
      <c r="X839" s="304">
        <v>0</v>
      </c>
      <c r="Y839" s="305">
        <v>0</v>
      </c>
    </row>
    <row r="840" spans="1:25" x14ac:dyDescent="0.3">
      <c r="A840" s="250"/>
      <c r="B840" s="250"/>
      <c r="C840" s="250"/>
      <c r="D840" s="250"/>
      <c r="E840" s="250" t="s">
        <v>1805</v>
      </c>
      <c r="F840" s="306">
        <v>4403581</v>
      </c>
      <c r="G840" s="307"/>
      <c r="H840" s="308"/>
      <c r="I840" s="309"/>
      <c r="J840" s="310">
        <v>0</v>
      </c>
      <c r="K840" s="311">
        <v>0</v>
      </c>
      <c r="L840" s="311">
        <v>0</v>
      </c>
      <c r="M840" s="311">
        <v>0</v>
      </c>
      <c r="N840" s="311">
        <v>0</v>
      </c>
      <c r="O840" s="311">
        <v>0</v>
      </c>
      <c r="P840" s="311">
        <v>0</v>
      </c>
      <c r="Q840" s="311">
        <v>0</v>
      </c>
      <c r="R840" s="311">
        <v>0</v>
      </c>
      <c r="S840" s="311">
        <v>0</v>
      </c>
      <c r="T840" s="311">
        <v>0</v>
      </c>
      <c r="U840" s="312">
        <v>0</v>
      </c>
      <c r="V840" s="313">
        <v>0</v>
      </c>
      <c r="W840" s="314"/>
      <c r="X840" s="315">
        <v>0</v>
      </c>
      <c r="Y840" s="316">
        <v>0</v>
      </c>
    </row>
    <row r="841" spans="1:25" x14ac:dyDescent="0.3">
      <c r="A841" s="250"/>
      <c r="B841" s="250"/>
      <c r="C841" s="250"/>
      <c r="D841" s="250"/>
      <c r="E841" s="250" t="s">
        <v>1806</v>
      </c>
      <c r="F841" s="306">
        <v>4403579</v>
      </c>
      <c r="G841" s="307"/>
      <c r="H841" s="308"/>
      <c r="I841" s="309"/>
      <c r="J841" s="310">
        <v>0</v>
      </c>
      <c r="K841" s="311">
        <v>0</v>
      </c>
      <c r="L841" s="311">
        <v>0</v>
      </c>
      <c r="M841" s="311">
        <v>0</v>
      </c>
      <c r="N841" s="311">
        <v>0</v>
      </c>
      <c r="O841" s="311">
        <v>0</v>
      </c>
      <c r="P841" s="311">
        <v>0</v>
      </c>
      <c r="Q841" s="311">
        <v>0</v>
      </c>
      <c r="R841" s="311">
        <v>0</v>
      </c>
      <c r="S841" s="311">
        <v>0</v>
      </c>
      <c r="T841" s="311">
        <v>0</v>
      </c>
      <c r="U841" s="312">
        <v>0</v>
      </c>
      <c r="V841" s="313">
        <v>0</v>
      </c>
      <c r="W841" s="314"/>
      <c r="X841" s="315">
        <v>0</v>
      </c>
      <c r="Y841" s="316">
        <v>0</v>
      </c>
    </row>
    <row r="842" spans="1:25" x14ac:dyDescent="0.3">
      <c r="A842" s="250"/>
      <c r="B842" s="250"/>
      <c r="C842" s="250"/>
      <c r="D842" s="250"/>
      <c r="E842" s="250" t="s">
        <v>1807</v>
      </c>
      <c r="F842" s="306">
        <v>4403578</v>
      </c>
      <c r="G842" s="307"/>
      <c r="H842" s="308"/>
      <c r="I842" s="309"/>
      <c r="J842" s="310">
        <v>0</v>
      </c>
      <c r="K842" s="311">
        <v>0</v>
      </c>
      <c r="L842" s="311">
        <v>0</v>
      </c>
      <c r="M842" s="311">
        <v>0</v>
      </c>
      <c r="N842" s="311">
        <v>0</v>
      </c>
      <c r="O842" s="311">
        <v>0</v>
      </c>
      <c r="P842" s="311">
        <v>0</v>
      </c>
      <c r="Q842" s="311">
        <v>0</v>
      </c>
      <c r="R842" s="311">
        <v>0</v>
      </c>
      <c r="S842" s="311">
        <v>0</v>
      </c>
      <c r="T842" s="311">
        <v>0</v>
      </c>
      <c r="U842" s="312">
        <v>0</v>
      </c>
      <c r="V842" s="313">
        <v>0</v>
      </c>
      <c r="W842" s="314"/>
      <c r="X842" s="315">
        <v>0</v>
      </c>
      <c r="Y842" s="316">
        <v>0</v>
      </c>
    </row>
    <row r="843" spans="1:25" x14ac:dyDescent="0.3">
      <c r="A843" s="250"/>
      <c r="B843" s="250"/>
      <c r="C843" s="250"/>
      <c r="D843" s="250"/>
      <c r="E843" s="250" t="s">
        <v>1808</v>
      </c>
      <c r="F843" s="306">
        <v>4403577</v>
      </c>
      <c r="G843" s="307"/>
      <c r="H843" s="308"/>
      <c r="I843" s="309"/>
      <c r="J843" s="310">
        <v>0</v>
      </c>
      <c r="K843" s="311">
        <v>0</v>
      </c>
      <c r="L843" s="311">
        <v>0</v>
      </c>
      <c r="M843" s="311">
        <v>0</v>
      </c>
      <c r="N843" s="311">
        <v>0</v>
      </c>
      <c r="O843" s="311">
        <v>0</v>
      </c>
      <c r="P843" s="311">
        <v>0</v>
      </c>
      <c r="Q843" s="311">
        <v>0</v>
      </c>
      <c r="R843" s="311">
        <v>0</v>
      </c>
      <c r="S843" s="311">
        <v>0</v>
      </c>
      <c r="T843" s="311">
        <v>0</v>
      </c>
      <c r="U843" s="312">
        <v>0</v>
      </c>
      <c r="V843" s="313">
        <v>0</v>
      </c>
      <c r="W843" s="314"/>
      <c r="X843" s="315">
        <v>0</v>
      </c>
      <c r="Y843" s="316">
        <v>0</v>
      </c>
    </row>
    <row r="844" spans="1:25" x14ac:dyDescent="0.3">
      <c r="A844" s="250"/>
      <c r="B844" s="250"/>
      <c r="C844" s="250"/>
      <c r="D844" s="250"/>
      <c r="E844" s="250" t="s">
        <v>1809</v>
      </c>
      <c r="F844" s="306">
        <v>4403576</v>
      </c>
      <c r="G844" s="307"/>
      <c r="H844" s="308"/>
      <c r="I844" s="309"/>
      <c r="J844" s="310">
        <v>0</v>
      </c>
      <c r="K844" s="311">
        <v>0</v>
      </c>
      <c r="L844" s="311">
        <v>0</v>
      </c>
      <c r="M844" s="311">
        <v>0</v>
      </c>
      <c r="N844" s="311">
        <v>0</v>
      </c>
      <c r="O844" s="311">
        <v>0</v>
      </c>
      <c r="P844" s="311">
        <v>0</v>
      </c>
      <c r="Q844" s="311">
        <v>0</v>
      </c>
      <c r="R844" s="311">
        <v>0</v>
      </c>
      <c r="S844" s="311">
        <v>0</v>
      </c>
      <c r="T844" s="311">
        <v>0</v>
      </c>
      <c r="U844" s="312">
        <v>0</v>
      </c>
      <c r="V844" s="313">
        <v>0</v>
      </c>
      <c r="W844" s="314"/>
      <c r="X844" s="315">
        <v>0</v>
      </c>
      <c r="Y844" s="316">
        <v>0</v>
      </c>
    </row>
    <row r="845" spans="1:25" x14ac:dyDescent="0.3">
      <c r="A845" s="250"/>
      <c r="B845" s="250"/>
      <c r="C845" s="250"/>
      <c r="D845" s="250"/>
      <c r="E845" s="250" t="s">
        <v>1810</v>
      </c>
      <c r="F845" s="306">
        <v>4403575</v>
      </c>
      <c r="G845" s="307"/>
      <c r="H845" s="308"/>
      <c r="I845" s="309"/>
      <c r="J845" s="310">
        <v>0</v>
      </c>
      <c r="K845" s="311">
        <v>0</v>
      </c>
      <c r="L845" s="311">
        <v>0</v>
      </c>
      <c r="M845" s="311">
        <v>0</v>
      </c>
      <c r="N845" s="311">
        <v>0</v>
      </c>
      <c r="O845" s="311">
        <v>0</v>
      </c>
      <c r="P845" s="311">
        <v>0</v>
      </c>
      <c r="Q845" s="311">
        <v>0</v>
      </c>
      <c r="R845" s="311">
        <v>0</v>
      </c>
      <c r="S845" s="311">
        <v>0</v>
      </c>
      <c r="T845" s="311">
        <v>0</v>
      </c>
      <c r="U845" s="312">
        <v>0</v>
      </c>
      <c r="V845" s="313">
        <v>0</v>
      </c>
      <c r="W845" s="314"/>
      <c r="X845" s="315">
        <v>0</v>
      </c>
      <c r="Y845" s="316">
        <v>0</v>
      </c>
    </row>
    <row r="846" spans="1:25" x14ac:dyDescent="0.3">
      <c r="A846" s="250"/>
      <c r="B846" s="250"/>
      <c r="C846" s="250"/>
      <c r="D846" s="250"/>
      <c r="E846" s="250" t="s">
        <v>1811</v>
      </c>
      <c r="F846" s="306">
        <v>4403574</v>
      </c>
      <c r="G846" s="307"/>
      <c r="H846" s="308"/>
      <c r="I846" s="309"/>
      <c r="J846" s="310">
        <v>0</v>
      </c>
      <c r="K846" s="311">
        <v>0</v>
      </c>
      <c r="L846" s="311">
        <v>0</v>
      </c>
      <c r="M846" s="311">
        <v>0</v>
      </c>
      <c r="N846" s="311">
        <v>0</v>
      </c>
      <c r="O846" s="311">
        <v>0</v>
      </c>
      <c r="P846" s="311">
        <v>0</v>
      </c>
      <c r="Q846" s="311">
        <v>0</v>
      </c>
      <c r="R846" s="311">
        <v>0</v>
      </c>
      <c r="S846" s="311">
        <v>0</v>
      </c>
      <c r="T846" s="311">
        <v>0</v>
      </c>
      <c r="U846" s="312">
        <v>0</v>
      </c>
      <c r="V846" s="313">
        <v>0</v>
      </c>
      <c r="W846" s="314"/>
      <c r="X846" s="315">
        <v>0</v>
      </c>
      <c r="Y846" s="316">
        <v>0</v>
      </c>
    </row>
    <row r="847" spans="1:25" x14ac:dyDescent="0.3">
      <c r="A847" s="250"/>
      <c r="B847" s="250"/>
      <c r="C847" s="250"/>
      <c r="D847" s="250"/>
      <c r="E847" s="250" t="s">
        <v>1812</v>
      </c>
      <c r="F847" s="306">
        <v>4403573</v>
      </c>
      <c r="G847" s="307"/>
      <c r="H847" s="308"/>
      <c r="I847" s="309"/>
      <c r="J847" s="310">
        <v>0</v>
      </c>
      <c r="K847" s="311">
        <v>0</v>
      </c>
      <c r="L847" s="311">
        <v>0</v>
      </c>
      <c r="M847" s="311">
        <v>0</v>
      </c>
      <c r="N847" s="311">
        <v>0</v>
      </c>
      <c r="O847" s="311">
        <v>0</v>
      </c>
      <c r="P847" s="311">
        <v>0</v>
      </c>
      <c r="Q847" s="311">
        <v>0</v>
      </c>
      <c r="R847" s="311">
        <v>0</v>
      </c>
      <c r="S847" s="311">
        <v>0</v>
      </c>
      <c r="T847" s="311">
        <v>0</v>
      </c>
      <c r="U847" s="312">
        <v>0</v>
      </c>
      <c r="V847" s="313">
        <v>0</v>
      </c>
      <c r="W847" s="314"/>
      <c r="X847" s="315">
        <v>0</v>
      </c>
      <c r="Y847" s="316">
        <v>0</v>
      </c>
    </row>
    <row r="848" spans="1:25" x14ac:dyDescent="0.3">
      <c r="A848" s="250"/>
      <c r="B848" s="250"/>
      <c r="C848" s="250"/>
      <c r="D848" s="250"/>
      <c r="E848" s="250" t="s">
        <v>1813</v>
      </c>
      <c r="F848" s="306">
        <v>4403568</v>
      </c>
      <c r="G848" s="307"/>
      <c r="H848" s="308"/>
      <c r="I848" s="309"/>
      <c r="J848" s="310">
        <v>0</v>
      </c>
      <c r="K848" s="311">
        <v>0</v>
      </c>
      <c r="L848" s="311">
        <v>0</v>
      </c>
      <c r="M848" s="311">
        <v>0</v>
      </c>
      <c r="N848" s="311">
        <v>0</v>
      </c>
      <c r="O848" s="311">
        <v>0</v>
      </c>
      <c r="P848" s="311">
        <v>0</v>
      </c>
      <c r="Q848" s="311">
        <v>0</v>
      </c>
      <c r="R848" s="311">
        <v>0</v>
      </c>
      <c r="S848" s="311">
        <v>0</v>
      </c>
      <c r="T848" s="311">
        <v>0</v>
      </c>
      <c r="U848" s="312">
        <v>0</v>
      </c>
      <c r="V848" s="313">
        <v>0</v>
      </c>
      <c r="W848" s="314"/>
      <c r="X848" s="315">
        <v>0</v>
      </c>
      <c r="Y848" s="316">
        <v>0</v>
      </c>
    </row>
    <row r="849" spans="1:25" x14ac:dyDescent="0.3">
      <c r="A849" s="250"/>
      <c r="B849" s="250"/>
      <c r="C849" s="250"/>
      <c r="D849" s="250"/>
      <c r="E849" s="250" t="s">
        <v>1814</v>
      </c>
      <c r="F849" s="306">
        <v>4403569</v>
      </c>
      <c r="G849" s="307"/>
      <c r="H849" s="308"/>
      <c r="I849" s="309"/>
      <c r="J849" s="310">
        <v>0</v>
      </c>
      <c r="K849" s="311">
        <v>0</v>
      </c>
      <c r="L849" s="311">
        <v>0</v>
      </c>
      <c r="M849" s="311">
        <v>0</v>
      </c>
      <c r="N849" s="311">
        <v>0</v>
      </c>
      <c r="O849" s="311">
        <v>0</v>
      </c>
      <c r="P849" s="311">
        <v>0</v>
      </c>
      <c r="Q849" s="311">
        <v>0</v>
      </c>
      <c r="R849" s="311">
        <v>0</v>
      </c>
      <c r="S849" s="311">
        <v>0</v>
      </c>
      <c r="T849" s="311">
        <v>0</v>
      </c>
      <c r="U849" s="312">
        <v>0</v>
      </c>
      <c r="V849" s="313">
        <v>0</v>
      </c>
      <c r="W849" s="314"/>
      <c r="X849" s="315">
        <v>0</v>
      </c>
      <c r="Y849" s="316">
        <v>0</v>
      </c>
    </row>
    <row r="850" spans="1:25" x14ac:dyDescent="0.3">
      <c r="A850" s="350"/>
      <c r="B850" s="350"/>
      <c r="C850" s="350"/>
      <c r="D850" s="350"/>
      <c r="E850" s="350" t="s">
        <v>1815</v>
      </c>
      <c r="F850" s="306">
        <v>4405516</v>
      </c>
      <c r="G850" s="307"/>
      <c r="H850" s="308"/>
      <c r="I850" s="309"/>
      <c r="J850" s="310">
        <v>0</v>
      </c>
      <c r="K850" s="311">
        <v>0</v>
      </c>
      <c r="L850" s="311">
        <v>0</v>
      </c>
      <c r="M850" s="311">
        <v>0</v>
      </c>
      <c r="N850" s="311">
        <v>0</v>
      </c>
      <c r="O850" s="311">
        <v>0</v>
      </c>
      <c r="P850" s="311">
        <v>0</v>
      </c>
      <c r="Q850" s="311">
        <v>0</v>
      </c>
      <c r="R850" s="311">
        <v>0</v>
      </c>
      <c r="S850" s="311">
        <v>0</v>
      </c>
      <c r="T850" s="311">
        <v>0</v>
      </c>
      <c r="U850" s="312">
        <v>0</v>
      </c>
      <c r="V850" s="313">
        <v>0</v>
      </c>
      <c r="W850" s="314"/>
      <c r="X850" s="315">
        <v>0</v>
      </c>
      <c r="Y850" s="316">
        <v>0</v>
      </c>
    </row>
    <row r="851" spans="1:25" x14ac:dyDescent="0.3">
      <c r="A851" s="350"/>
      <c r="B851" s="350"/>
      <c r="C851" s="350"/>
      <c r="D851" s="350"/>
      <c r="E851" s="350" t="s">
        <v>1816</v>
      </c>
      <c r="F851" s="306">
        <v>4405518</v>
      </c>
      <c r="G851" s="307"/>
      <c r="H851" s="308"/>
      <c r="I851" s="309"/>
      <c r="J851" s="310">
        <v>0</v>
      </c>
      <c r="K851" s="311">
        <v>0</v>
      </c>
      <c r="L851" s="311">
        <v>0</v>
      </c>
      <c r="M851" s="311">
        <v>0</v>
      </c>
      <c r="N851" s="311">
        <v>0</v>
      </c>
      <c r="O851" s="311">
        <v>0</v>
      </c>
      <c r="P851" s="311">
        <v>0</v>
      </c>
      <c r="Q851" s="311">
        <v>0</v>
      </c>
      <c r="R851" s="311">
        <v>0</v>
      </c>
      <c r="S851" s="311">
        <v>0</v>
      </c>
      <c r="T851" s="311">
        <v>0</v>
      </c>
      <c r="U851" s="312">
        <v>0</v>
      </c>
      <c r="V851" s="313">
        <v>0</v>
      </c>
      <c r="W851" s="314"/>
      <c r="X851" s="315">
        <v>0</v>
      </c>
      <c r="Y851" s="316">
        <v>0</v>
      </c>
    </row>
    <row r="852" spans="1:25" x14ac:dyDescent="0.3">
      <c r="A852" s="326"/>
      <c r="B852" s="326"/>
      <c r="C852" s="326"/>
      <c r="D852" s="326"/>
      <c r="E852" s="326" t="s">
        <v>1817</v>
      </c>
      <c r="F852" s="336"/>
      <c r="G852" s="327"/>
      <c r="H852" s="328"/>
      <c r="I852" s="329"/>
      <c r="J852" s="338">
        <v>0</v>
      </c>
      <c r="K852" s="330">
        <v>0</v>
      </c>
      <c r="L852" s="330">
        <v>0</v>
      </c>
      <c r="M852" s="330">
        <v>0</v>
      </c>
      <c r="N852" s="330">
        <v>0</v>
      </c>
      <c r="O852" s="330">
        <v>0</v>
      </c>
      <c r="P852" s="330">
        <v>0</v>
      </c>
      <c r="Q852" s="330">
        <v>0</v>
      </c>
      <c r="R852" s="330">
        <v>0</v>
      </c>
      <c r="S852" s="330">
        <v>0</v>
      </c>
      <c r="T852" s="330">
        <v>0</v>
      </c>
      <c r="U852" s="331">
        <v>0</v>
      </c>
      <c r="V852" s="332">
        <v>0</v>
      </c>
      <c r="W852" s="333"/>
      <c r="X852" s="334">
        <v>0</v>
      </c>
      <c r="Y852" s="335">
        <v>0</v>
      </c>
    </row>
    <row r="853" spans="1:25" x14ac:dyDescent="0.3">
      <c r="A853" s="326"/>
      <c r="B853" s="326"/>
      <c r="C853" s="326"/>
      <c r="D853" s="326"/>
      <c r="E853" s="326" t="s">
        <v>1818</v>
      </c>
      <c r="F853" s="336"/>
      <c r="G853" s="327"/>
      <c r="H853" s="328"/>
      <c r="I853" s="329"/>
      <c r="J853" s="338">
        <v>0</v>
      </c>
      <c r="K853" s="330">
        <v>0</v>
      </c>
      <c r="L853" s="330">
        <v>0</v>
      </c>
      <c r="M853" s="330">
        <v>0</v>
      </c>
      <c r="N853" s="330">
        <v>0</v>
      </c>
      <c r="O853" s="330">
        <v>0</v>
      </c>
      <c r="P853" s="330">
        <v>0</v>
      </c>
      <c r="Q853" s="330">
        <v>0</v>
      </c>
      <c r="R853" s="330">
        <v>0</v>
      </c>
      <c r="S853" s="330">
        <v>0</v>
      </c>
      <c r="T853" s="330">
        <v>0</v>
      </c>
      <c r="U853" s="331">
        <v>0</v>
      </c>
      <c r="V853" s="332">
        <v>0</v>
      </c>
      <c r="W853" s="333"/>
      <c r="X853" s="334">
        <v>0</v>
      </c>
      <c r="Y853" s="335">
        <v>0</v>
      </c>
    </row>
    <row r="854" spans="1:25" x14ac:dyDescent="0.3">
      <c r="A854" s="326"/>
      <c r="B854" s="326"/>
      <c r="C854" s="326"/>
      <c r="D854" s="326"/>
      <c r="E854" s="326" t="s">
        <v>1819</v>
      </c>
      <c r="F854" s="336"/>
      <c r="G854" s="327"/>
      <c r="H854" s="328"/>
      <c r="I854" s="329"/>
      <c r="J854" s="338">
        <v>0</v>
      </c>
      <c r="K854" s="330">
        <v>0</v>
      </c>
      <c r="L854" s="330">
        <v>0</v>
      </c>
      <c r="M854" s="330">
        <v>0</v>
      </c>
      <c r="N854" s="330">
        <v>0</v>
      </c>
      <c r="O854" s="330">
        <v>0</v>
      </c>
      <c r="P854" s="330">
        <v>0</v>
      </c>
      <c r="Q854" s="330">
        <v>0</v>
      </c>
      <c r="R854" s="330">
        <v>0</v>
      </c>
      <c r="S854" s="330">
        <v>0</v>
      </c>
      <c r="T854" s="330">
        <v>0</v>
      </c>
      <c r="U854" s="331">
        <v>0</v>
      </c>
      <c r="V854" s="332">
        <v>0</v>
      </c>
      <c r="W854" s="333"/>
      <c r="X854" s="334">
        <v>0</v>
      </c>
      <c r="Y854" s="335">
        <v>0</v>
      </c>
    </row>
    <row r="855" spans="1:25" x14ac:dyDescent="0.3">
      <c r="D855" s="293" t="s">
        <v>1820</v>
      </c>
      <c r="E855" s="294"/>
      <c r="F855" s="295" t="s">
        <v>1821</v>
      </c>
      <c r="G855" s="296"/>
      <c r="H855" s="297"/>
      <c r="I855" s="298"/>
      <c r="J855" s="299">
        <v>0</v>
      </c>
      <c r="K855" s="300">
        <v>0</v>
      </c>
      <c r="L855" s="300">
        <v>0</v>
      </c>
      <c r="M855" s="300">
        <v>0</v>
      </c>
      <c r="N855" s="300">
        <v>0</v>
      </c>
      <c r="O855" s="300">
        <v>0</v>
      </c>
      <c r="P855" s="300">
        <v>0</v>
      </c>
      <c r="Q855" s="300">
        <v>0</v>
      </c>
      <c r="R855" s="300">
        <v>0</v>
      </c>
      <c r="S855" s="300">
        <v>0</v>
      </c>
      <c r="T855" s="300">
        <v>0</v>
      </c>
      <c r="U855" s="301">
        <v>0</v>
      </c>
      <c r="V855" s="302">
        <v>0</v>
      </c>
      <c r="W855" s="303"/>
      <c r="X855" s="304">
        <v>0</v>
      </c>
      <c r="Y855" s="305">
        <v>0</v>
      </c>
    </row>
    <row r="856" spans="1:25" x14ac:dyDescent="0.3">
      <c r="E856" s="250" t="s">
        <v>1822</v>
      </c>
      <c r="F856" s="317">
        <v>4403572</v>
      </c>
      <c r="G856" s="318"/>
      <c r="H856" s="319"/>
      <c r="I856" s="320"/>
      <c r="J856" s="337">
        <v>0</v>
      </c>
      <c r="K856" s="321">
        <v>0</v>
      </c>
      <c r="L856" s="321">
        <v>0</v>
      </c>
      <c r="M856" s="321">
        <v>0</v>
      </c>
      <c r="N856" s="321">
        <v>0</v>
      </c>
      <c r="O856" s="321">
        <v>0</v>
      </c>
      <c r="P856" s="321">
        <v>0</v>
      </c>
      <c r="Q856" s="321">
        <v>0</v>
      </c>
      <c r="R856" s="321">
        <v>0</v>
      </c>
      <c r="S856" s="321">
        <v>0</v>
      </c>
      <c r="T856" s="321">
        <v>0</v>
      </c>
      <c r="U856" s="322">
        <v>0</v>
      </c>
      <c r="V856" s="323">
        <v>0</v>
      </c>
      <c r="W856" s="303"/>
      <c r="X856" s="324">
        <v>0</v>
      </c>
      <c r="Y856" s="325">
        <v>0</v>
      </c>
    </row>
    <row r="857" spans="1:25" x14ac:dyDescent="0.3">
      <c r="E857" s="250" t="s">
        <v>1823</v>
      </c>
      <c r="F857" s="317">
        <v>4403571</v>
      </c>
      <c r="G857" s="318"/>
      <c r="H857" s="319"/>
      <c r="I857" s="320"/>
      <c r="J857" s="337">
        <v>0</v>
      </c>
      <c r="K857" s="321">
        <v>0</v>
      </c>
      <c r="L857" s="321">
        <v>0</v>
      </c>
      <c r="M857" s="321">
        <v>0</v>
      </c>
      <c r="N857" s="321">
        <v>0</v>
      </c>
      <c r="O857" s="321">
        <v>0</v>
      </c>
      <c r="P857" s="321">
        <v>0</v>
      </c>
      <c r="Q857" s="321">
        <v>0</v>
      </c>
      <c r="R857" s="321">
        <v>0</v>
      </c>
      <c r="S857" s="321">
        <v>0</v>
      </c>
      <c r="T857" s="321">
        <v>0</v>
      </c>
      <c r="U857" s="322">
        <v>0</v>
      </c>
      <c r="V857" s="323">
        <v>0</v>
      </c>
      <c r="W857" s="303"/>
      <c r="X857" s="324">
        <v>0</v>
      </c>
      <c r="Y857" s="325">
        <v>0</v>
      </c>
    </row>
    <row r="858" spans="1:25" x14ac:dyDescent="0.3">
      <c r="E858" s="250" t="s">
        <v>1824</v>
      </c>
      <c r="F858" s="317">
        <v>4403570</v>
      </c>
      <c r="G858" s="318"/>
      <c r="H858" s="319"/>
      <c r="I858" s="320"/>
      <c r="J858" s="337">
        <v>0</v>
      </c>
      <c r="K858" s="321">
        <v>0</v>
      </c>
      <c r="L858" s="321">
        <v>0</v>
      </c>
      <c r="M858" s="321">
        <v>0</v>
      </c>
      <c r="N858" s="321">
        <v>0</v>
      </c>
      <c r="O858" s="321">
        <v>0</v>
      </c>
      <c r="P858" s="321">
        <v>0</v>
      </c>
      <c r="Q858" s="321">
        <v>0</v>
      </c>
      <c r="R858" s="321">
        <v>0</v>
      </c>
      <c r="S858" s="321">
        <v>0</v>
      </c>
      <c r="T858" s="321">
        <v>0</v>
      </c>
      <c r="U858" s="322">
        <v>0</v>
      </c>
      <c r="V858" s="323">
        <v>0</v>
      </c>
      <c r="W858" s="303"/>
      <c r="X858" s="324">
        <v>0</v>
      </c>
      <c r="Y858" s="325">
        <v>0</v>
      </c>
    </row>
    <row r="859" spans="1:25" x14ac:dyDescent="0.3">
      <c r="A859" s="326"/>
      <c r="B859" s="326"/>
      <c r="C859" s="326"/>
      <c r="D859" s="326"/>
      <c r="E859" s="326" t="s">
        <v>1825</v>
      </c>
      <c r="F859" s="336"/>
      <c r="G859" s="327"/>
      <c r="H859" s="328"/>
      <c r="I859" s="329"/>
      <c r="J859" s="338">
        <v>0</v>
      </c>
      <c r="K859" s="330">
        <v>0</v>
      </c>
      <c r="L859" s="330">
        <v>0</v>
      </c>
      <c r="M859" s="330">
        <v>0</v>
      </c>
      <c r="N859" s="330">
        <v>0</v>
      </c>
      <c r="O859" s="330">
        <v>0</v>
      </c>
      <c r="P859" s="330">
        <v>0</v>
      </c>
      <c r="Q859" s="330">
        <v>0</v>
      </c>
      <c r="R859" s="330">
        <v>0</v>
      </c>
      <c r="S859" s="330">
        <v>0</v>
      </c>
      <c r="T859" s="330">
        <v>0</v>
      </c>
      <c r="U859" s="331">
        <v>0</v>
      </c>
      <c r="V859" s="332">
        <v>0</v>
      </c>
      <c r="W859" s="333"/>
      <c r="X859" s="334">
        <v>0</v>
      </c>
      <c r="Y859" s="335">
        <v>0</v>
      </c>
    </row>
    <row r="860" spans="1:25" x14ac:dyDescent="0.3">
      <c r="A860" s="326"/>
      <c r="B860" s="326"/>
      <c r="C860" s="326"/>
      <c r="D860" s="326"/>
      <c r="E860" s="326" t="s">
        <v>1826</v>
      </c>
      <c r="F860" s="336"/>
      <c r="G860" s="327"/>
      <c r="H860" s="328"/>
      <c r="I860" s="329"/>
      <c r="J860" s="338">
        <v>0</v>
      </c>
      <c r="K860" s="330">
        <v>0</v>
      </c>
      <c r="L860" s="330">
        <v>0</v>
      </c>
      <c r="M860" s="330">
        <v>0</v>
      </c>
      <c r="N860" s="330">
        <v>0</v>
      </c>
      <c r="O860" s="330">
        <v>0</v>
      </c>
      <c r="P860" s="330">
        <v>0</v>
      </c>
      <c r="Q860" s="330">
        <v>0</v>
      </c>
      <c r="R860" s="330">
        <v>0</v>
      </c>
      <c r="S860" s="330">
        <v>0</v>
      </c>
      <c r="T860" s="330">
        <v>0</v>
      </c>
      <c r="U860" s="331">
        <v>0</v>
      </c>
      <c r="V860" s="332">
        <v>0</v>
      </c>
      <c r="W860" s="333"/>
      <c r="X860" s="334">
        <v>0</v>
      </c>
      <c r="Y860" s="335">
        <v>0</v>
      </c>
    </row>
    <row r="861" spans="1:25" x14ac:dyDescent="0.3">
      <c r="A861" s="326"/>
      <c r="B861" s="326"/>
      <c r="C861" s="326"/>
      <c r="D861" s="326"/>
      <c r="E861" s="326" t="s">
        <v>1827</v>
      </c>
      <c r="F861" s="336"/>
      <c r="G861" s="327"/>
      <c r="H861" s="328"/>
      <c r="I861" s="329"/>
      <c r="J861" s="338">
        <v>0</v>
      </c>
      <c r="K861" s="330">
        <v>0</v>
      </c>
      <c r="L861" s="330">
        <v>0</v>
      </c>
      <c r="M861" s="330">
        <v>0</v>
      </c>
      <c r="N861" s="330">
        <v>0</v>
      </c>
      <c r="O861" s="330">
        <v>0</v>
      </c>
      <c r="P861" s="330">
        <v>0</v>
      </c>
      <c r="Q861" s="330">
        <v>0</v>
      </c>
      <c r="R861" s="330">
        <v>0</v>
      </c>
      <c r="S861" s="330">
        <v>0</v>
      </c>
      <c r="T861" s="330">
        <v>0</v>
      </c>
      <c r="U861" s="331">
        <v>0</v>
      </c>
      <c r="V861" s="332">
        <v>0</v>
      </c>
      <c r="W861" s="333"/>
      <c r="X861" s="334">
        <v>0</v>
      </c>
      <c r="Y861" s="335">
        <v>0</v>
      </c>
    </row>
    <row r="862" spans="1:25" x14ac:dyDescent="0.3">
      <c r="D862" s="293" t="s">
        <v>1828</v>
      </c>
      <c r="E862" s="294"/>
      <c r="F862" s="295" t="s">
        <v>1829</v>
      </c>
      <c r="G862" s="296"/>
      <c r="H862" s="297"/>
      <c r="I862" s="298"/>
      <c r="J862" s="299">
        <v>0</v>
      </c>
      <c r="K862" s="300">
        <v>0</v>
      </c>
      <c r="L862" s="300">
        <v>0</v>
      </c>
      <c r="M862" s="300">
        <v>0</v>
      </c>
      <c r="N862" s="300">
        <v>0</v>
      </c>
      <c r="O862" s="300">
        <v>0</v>
      </c>
      <c r="P862" s="300">
        <v>0</v>
      </c>
      <c r="Q862" s="300">
        <v>0</v>
      </c>
      <c r="R862" s="300">
        <v>0</v>
      </c>
      <c r="S862" s="300">
        <v>0</v>
      </c>
      <c r="T862" s="300">
        <v>0</v>
      </c>
      <c r="U862" s="301">
        <v>0</v>
      </c>
      <c r="V862" s="302">
        <v>0</v>
      </c>
      <c r="W862" s="303"/>
      <c r="X862" s="304">
        <v>0</v>
      </c>
      <c r="Y862" s="305">
        <v>0</v>
      </c>
    </row>
    <row r="863" spans="1:25" x14ac:dyDescent="0.3">
      <c r="E863" s="250" t="s">
        <v>1830</v>
      </c>
      <c r="F863" s="317">
        <v>4409000</v>
      </c>
      <c r="G863" s="318"/>
      <c r="H863" s="319"/>
      <c r="I863" s="320"/>
      <c r="J863" s="337">
        <v>0</v>
      </c>
      <c r="K863" s="321">
        <v>0</v>
      </c>
      <c r="L863" s="321">
        <v>0</v>
      </c>
      <c r="M863" s="321">
        <v>0</v>
      </c>
      <c r="N863" s="321">
        <v>0</v>
      </c>
      <c r="O863" s="321">
        <v>0</v>
      </c>
      <c r="P863" s="321">
        <v>0</v>
      </c>
      <c r="Q863" s="321">
        <v>0</v>
      </c>
      <c r="R863" s="321">
        <v>0</v>
      </c>
      <c r="S863" s="321">
        <v>0</v>
      </c>
      <c r="T863" s="321">
        <v>0</v>
      </c>
      <c r="U863" s="322">
        <v>0</v>
      </c>
      <c r="V863" s="323">
        <v>0</v>
      </c>
      <c r="W863" s="303"/>
      <c r="X863" s="324">
        <v>0</v>
      </c>
      <c r="Y863" s="325">
        <v>0</v>
      </c>
    </row>
    <row r="864" spans="1:25" x14ac:dyDescent="0.3">
      <c r="A864" s="361"/>
      <c r="B864" s="361"/>
      <c r="C864" s="361"/>
      <c r="D864" s="361"/>
      <c r="E864" s="326" t="s">
        <v>1831</v>
      </c>
      <c r="F864" s="351"/>
      <c r="G864" s="352"/>
      <c r="H864" s="353"/>
      <c r="I864" s="354"/>
      <c r="J864" s="362">
        <v>0</v>
      </c>
      <c r="K864" s="355">
        <v>0</v>
      </c>
      <c r="L864" s="355">
        <v>0</v>
      </c>
      <c r="M864" s="355">
        <v>0</v>
      </c>
      <c r="N864" s="355">
        <v>0</v>
      </c>
      <c r="O864" s="355">
        <v>0</v>
      </c>
      <c r="P864" s="355">
        <v>0</v>
      </c>
      <c r="Q864" s="355">
        <v>0</v>
      </c>
      <c r="R864" s="355">
        <v>0</v>
      </c>
      <c r="S864" s="355">
        <v>0</v>
      </c>
      <c r="T864" s="355">
        <v>0</v>
      </c>
      <c r="U864" s="356">
        <v>0</v>
      </c>
      <c r="V864" s="357">
        <v>0</v>
      </c>
      <c r="W864" s="358"/>
      <c r="X864" s="359">
        <v>0</v>
      </c>
      <c r="Y864" s="360">
        <v>0</v>
      </c>
    </row>
    <row r="865" spans="1:25" x14ac:dyDescent="0.3">
      <c r="A865" s="361"/>
      <c r="B865" s="361"/>
      <c r="C865" s="361"/>
      <c r="D865" s="361"/>
      <c r="E865" s="326" t="s">
        <v>1832</v>
      </c>
      <c r="F865" s="351"/>
      <c r="G865" s="352"/>
      <c r="H865" s="353"/>
      <c r="I865" s="354"/>
      <c r="J865" s="362">
        <v>0</v>
      </c>
      <c r="K865" s="355">
        <v>0</v>
      </c>
      <c r="L865" s="355">
        <v>0</v>
      </c>
      <c r="M865" s="355">
        <v>0</v>
      </c>
      <c r="N865" s="355">
        <v>0</v>
      </c>
      <c r="O865" s="355">
        <v>0</v>
      </c>
      <c r="P865" s="355">
        <v>0</v>
      </c>
      <c r="Q865" s="355">
        <v>0</v>
      </c>
      <c r="R865" s="355">
        <v>0</v>
      </c>
      <c r="S865" s="355">
        <v>0</v>
      </c>
      <c r="T865" s="355">
        <v>0</v>
      </c>
      <c r="U865" s="356">
        <v>0</v>
      </c>
      <c r="V865" s="357">
        <v>0</v>
      </c>
      <c r="W865" s="358"/>
      <c r="X865" s="359">
        <v>0</v>
      </c>
      <c r="Y865" s="360">
        <v>0</v>
      </c>
    </row>
    <row r="866" spans="1:25" x14ac:dyDescent="0.3">
      <c r="A866" s="361"/>
      <c r="B866" s="361"/>
      <c r="C866" s="361"/>
      <c r="D866" s="361"/>
      <c r="E866" s="326" t="s">
        <v>1833</v>
      </c>
      <c r="F866" s="351"/>
      <c r="G866" s="352"/>
      <c r="H866" s="353"/>
      <c r="I866" s="354"/>
      <c r="J866" s="362">
        <v>0</v>
      </c>
      <c r="K866" s="355">
        <v>0</v>
      </c>
      <c r="L866" s="355">
        <v>0</v>
      </c>
      <c r="M866" s="355">
        <v>0</v>
      </c>
      <c r="N866" s="355">
        <v>0</v>
      </c>
      <c r="O866" s="355">
        <v>0</v>
      </c>
      <c r="P866" s="355">
        <v>0</v>
      </c>
      <c r="Q866" s="355">
        <v>0</v>
      </c>
      <c r="R866" s="355">
        <v>0</v>
      </c>
      <c r="S866" s="355">
        <v>0</v>
      </c>
      <c r="T866" s="355">
        <v>0</v>
      </c>
      <c r="U866" s="356">
        <v>0</v>
      </c>
      <c r="V866" s="357">
        <v>0</v>
      </c>
      <c r="W866" s="358"/>
      <c r="X866" s="359">
        <v>0</v>
      </c>
      <c r="Y866" s="360">
        <v>0</v>
      </c>
    </row>
    <row r="867" spans="1:25" x14ac:dyDescent="0.3">
      <c r="A867" s="233"/>
      <c r="B867" s="234" t="s">
        <v>73</v>
      </c>
      <c r="D867" s="293" t="s">
        <v>1834</v>
      </c>
      <c r="E867" s="294"/>
      <c r="F867" s="295" t="s">
        <v>1835</v>
      </c>
      <c r="G867" s="296"/>
      <c r="H867" s="297"/>
      <c r="I867" s="298"/>
      <c r="J867" s="299">
        <v>0</v>
      </c>
      <c r="K867" s="300">
        <v>0</v>
      </c>
      <c r="L867" s="300">
        <v>0</v>
      </c>
      <c r="M867" s="300">
        <v>0</v>
      </c>
      <c r="N867" s="300">
        <v>0</v>
      </c>
      <c r="O867" s="300">
        <v>0</v>
      </c>
      <c r="P867" s="300">
        <v>0</v>
      </c>
      <c r="Q867" s="300">
        <v>0</v>
      </c>
      <c r="R867" s="300">
        <v>0</v>
      </c>
      <c r="S867" s="300">
        <v>152.828</v>
      </c>
      <c r="T867" s="300">
        <v>0</v>
      </c>
      <c r="U867" s="301">
        <v>0</v>
      </c>
      <c r="V867" s="302">
        <v>152.828</v>
      </c>
      <c r="W867" s="303"/>
      <c r="X867" s="304">
        <v>0</v>
      </c>
      <c r="Y867" s="305">
        <v>152.828</v>
      </c>
    </row>
    <row r="868" spans="1:25" x14ac:dyDescent="0.3">
      <c r="E868" s="250" t="s">
        <v>1836</v>
      </c>
      <c r="F868" s="317">
        <v>4405501</v>
      </c>
      <c r="G868" s="318"/>
      <c r="H868" s="319">
        <v>7101350301</v>
      </c>
      <c r="I868" s="320"/>
      <c r="J868" s="337">
        <v>0</v>
      </c>
      <c r="K868" s="321">
        <v>0</v>
      </c>
      <c r="L868" s="321">
        <v>0</v>
      </c>
      <c r="M868" s="321">
        <v>0</v>
      </c>
      <c r="N868" s="321">
        <v>0</v>
      </c>
      <c r="O868" s="321">
        <v>0</v>
      </c>
      <c r="P868" s="321">
        <v>0</v>
      </c>
      <c r="Q868" s="321">
        <v>0</v>
      </c>
      <c r="R868" s="321">
        <v>0</v>
      </c>
      <c r="S868" s="321">
        <v>0</v>
      </c>
      <c r="T868" s="321">
        <v>0</v>
      </c>
      <c r="U868" s="322">
        <v>0</v>
      </c>
      <c r="V868" s="323">
        <v>0</v>
      </c>
      <c r="W868" s="303"/>
      <c r="X868" s="324">
        <v>0</v>
      </c>
      <c r="Y868" s="325">
        <v>0</v>
      </c>
    </row>
    <row r="869" spans="1:25" x14ac:dyDescent="0.3">
      <c r="E869" s="250" t="s">
        <v>1837</v>
      </c>
      <c r="F869" s="317">
        <v>4405502</v>
      </c>
      <c r="G869" s="318"/>
      <c r="H869" s="319">
        <v>7101350102</v>
      </c>
      <c r="I869" s="320"/>
      <c r="J869" s="337">
        <v>0</v>
      </c>
      <c r="K869" s="321">
        <v>0</v>
      </c>
      <c r="L869" s="321">
        <v>0</v>
      </c>
      <c r="M869" s="321">
        <v>0</v>
      </c>
      <c r="N869" s="321">
        <v>0</v>
      </c>
      <c r="O869" s="321">
        <v>0</v>
      </c>
      <c r="P869" s="321">
        <v>0</v>
      </c>
      <c r="Q869" s="321">
        <v>0</v>
      </c>
      <c r="R869" s="321">
        <v>0</v>
      </c>
      <c r="S869" s="321">
        <v>0</v>
      </c>
      <c r="T869" s="321">
        <v>0</v>
      </c>
      <c r="U869" s="322">
        <v>0</v>
      </c>
      <c r="V869" s="323">
        <v>0</v>
      </c>
      <c r="W869" s="303"/>
      <c r="X869" s="324">
        <v>0</v>
      </c>
      <c r="Y869" s="325">
        <v>0</v>
      </c>
    </row>
    <row r="870" spans="1:25" x14ac:dyDescent="0.3">
      <c r="E870" s="250" t="s">
        <v>1838</v>
      </c>
      <c r="F870" s="317">
        <v>4405503</v>
      </c>
      <c r="G870" s="318"/>
      <c r="H870" s="319"/>
      <c r="I870" s="320"/>
      <c r="J870" s="337">
        <v>0</v>
      </c>
      <c r="K870" s="321">
        <v>0</v>
      </c>
      <c r="L870" s="321">
        <v>0</v>
      </c>
      <c r="M870" s="321">
        <v>0</v>
      </c>
      <c r="N870" s="321">
        <v>0</v>
      </c>
      <c r="O870" s="321">
        <v>0</v>
      </c>
      <c r="P870" s="321">
        <v>0</v>
      </c>
      <c r="Q870" s="321">
        <v>0</v>
      </c>
      <c r="R870" s="321">
        <v>0</v>
      </c>
      <c r="S870" s="321">
        <v>0</v>
      </c>
      <c r="T870" s="321">
        <v>0</v>
      </c>
      <c r="U870" s="322">
        <v>0</v>
      </c>
      <c r="V870" s="323">
        <v>0</v>
      </c>
      <c r="W870" s="303"/>
      <c r="X870" s="324">
        <v>0</v>
      </c>
      <c r="Y870" s="325">
        <v>0</v>
      </c>
    </row>
    <row r="871" spans="1:25" x14ac:dyDescent="0.3">
      <c r="E871" s="250" t="s">
        <v>1839</v>
      </c>
      <c r="F871" s="317">
        <v>4405504</v>
      </c>
      <c r="G871" s="318"/>
      <c r="H871" s="319"/>
      <c r="I871" s="320"/>
      <c r="J871" s="337">
        <v>0</v>
      </c>
      <c r="K871" s="321">
        <v>0</v>
      </c>
      <c r="L871" s="321">
        <v>0</v>
      </c>
      <c r="M871" s="321">
        <v>0</v>
      </c>
      <c r="N871" s="321">
        <v>0</v>
      </c>
      <c r="O871" s="321">
        <v>0</v>
      </c>
      <c r="P871" s="321">
        <v>0</v>
      </c>
      <c r="Q871" s="321">
        <v>0</v>
      </c>
      <c r="R871" s="321">
        <v>0</v>
      </c>
      <c r="S871" s="321">
        <v>0</v>
      </c>
      <c r="T871" s="321">
        <v>0</v>
      </c>
      <c r="U871" s="322">
        <v>0</v>
      </c>
      <c r="V871" s="323">
        <v>0</v>
      </c>
      <c r="W871" s="303"/>
      <c r="X871" s="324">
        <v>0</v>
      </c>
      <c r="Y871" s="325">
        <v>0</v>
      </c>
    </row>
    <row r="872" spans="1:25" x14ac:dyDescent="0.3">
      <c r="E872" s="250" t="s">
        <v>1840</v>
      </c>
      <c r="F872" s="317">
        <v>4405505</v>
      </c>
      <c r="G872" s="318"/>
      <c r="H872" s="319"/>
      <c r="I872" s="320"/>
      <c r="J872" s="337">
        <v>0</v>
      </c>
      <c r="K872" s="321">
        <v>0</v>
      </c>
      <c r="L872" s="321">
        <v>0</v>
      </c>
      <c r="M872" s="321">
        <v>0</v>
      </c>
      <c r="N872" s="321">
        <v>0</v>
      </c>
      <c r="O872" s="321">
        <v>0</v>
      </c>
      <c r="P872" s="321">
        <v>0</v>
      </c>
      <c r="Q872" s="321">
        <v>0</v>
      </c>
      <c r="R872" s="321">
        <v>0</v>
      </c>
      <c r="S872" s="321">
        <v>0</v>
      </c>
      <c r="T872" s="321">
        <v>0</v>
      </c>
      <c r="U872" s="322">
        <v>0</v>
      </c>
      <c r="V872" s="323">
        <v>0</v>
      </c>
      <c r="W872" s="303"/>
      <c r="X872" s="324">
        <v>0</v>
      </c>
      <c r="Y872" s="325">
        <v>0</v>
      </c>
    </row>
    <row r="873" spans="1:25" x14ac:dyDescent="0.3">
      <c r="E873" s="250" t="s">
        <v>1841</v>
      </c>
      <c r="F873" s="317">
        <v>4405506</v>
      </c>
      <c r="G873" s="318"/>
      <c r="H873" s="319">
        <v>7101350105</v>
      </c>
      <c r="I873" s="320"/>
      <c r="J873" s="337">
        <v>0</v>
      </c>
      <c r="K873" s="321">
        <v>0</v>
      </c>
      <c r="L873" s="321">
        <v>0</v>
      </c>
      <c r="M873" s="321">
        <v>0</v>
      </c>
      <c r="N873" s="321">
        <v>0</v>
      </c>
      <c r="O873" s="321">
        <v>0</v>
      </c>
      <c r="P873" s="321">
        <v>0</v>
      </c>
      <c r="Q873" s="321">
        <v>0</v>
      </c>
      <c r="R873" s="321">
        <v>0</v>
      </c>
      <c r="S873" s="321">
        <v>0</v>
      </c>
      <c r="T873" s="321">
        <v>0</v>
      </c>
      <c r="U873" s="322">
        <v>0</v>
      </c>
      <c r="V873" s="323">
        <v>0</v>
      </c>
      <c r="W873" s="303"/>
      <c r="X873" s="324">
        <v>0</v>
      </c>
      <c r="Y873" s="325">
        <v>0</v>
      </c>
    </row>
    <row r="874" spans="1:25" x14ac:dyDescent="0.3">
      <c r="E874" s="250" t="s">
        <v>8977</v>
      </c>
      <c r="F874" s="317">
        <v>4405507</v>
      </c>
      <c r="G874" s="318"/>
      <c r="H874" s="319">
        <v>7101350101</v>
      </c>
      <c r="I874" s="320"/>
      <c r="J874" s="337">
        <v>0</v>
      </c>
      <c r="K874" s="321">
        <v>0</v>
      </c>
      <c r="L874" s="321">
        <v>0</v>
      </c>
      <c r="M874" s="321">
        <v>0</v>
      </c>
      <c r="N874" s="321">
        <v>0</v>
      </c>
      <c r="O874" s="321">
        <v>0</v>
      </c>
      <c r="P874" s="321">
        <v>0</v>
      </c>
      <c r="Q874" s="321">
        <v>0</v>
      </c>
      <c r="R874" s="321">
        <v>0</v>
      </c>
      <c r="S874" s="321">
        <v>152.828</v>
      </c>
      <c r="T874" s="321">
        <v>0</v>
      </c>
      <c r="U874" s="322">
        <v>0</v>
      </c>
      <c r="V874" s="323">
        <v>152.828</v>
      </c>
      <c r="W874" s="303"/>
      <c r="X874" s="324">
        <v>0</v>
      </c>
      <c r="Y874" s="325">
        <v>152.828</v>
      </c>
    </row>
    <row r="875" spans="1:25" x14ac:dyDescent="0.3">
      <c r="A875" s="326"/>
      <c r="B875" s="326"/>
      <c r="C875" s="326"/>
      <c r="D875" s="326"/>
      <c r="E875" s="250" t="s">
        <v>1843</v>
      </c>
      <c r="F875" s="306"/>
      <c r="G875" s="307"/>
      <c r="H875" s="308">
        <v>7101330101</v>
      </c>
      <c r="I875" s="309"/>
      <c r="J875" s="310">
        <v>0</v>
      </c>
      <c r="K875" s="311">
        <v>0</v>
      </c>
      <c r="L875" s="311">
        <v>0</v>
      </c>
      <c r="M875" s="311">
        <v>0</v>
      </c>
      <c r="N875" s="311">
        <v>0</v>
      </c>
      <c r="O875" s="311">
        <v>0</v>
      </c>
      <c r="P875" s="311">
        <v>0</v>
      </c>
      <c r="Q875" s="311">
        <v>0</v>
      </c>
      <c r="R875" s="311">
        <v>0</v>
      </c>
      <c r="S875" s="311">
        <v>0</v>
      </c>
      <c r="T875" s="311">
        <v>0</v>
      </c>
      <c r="U875" s="312">
        <v>0</v>
      </c>
      <c r="V875" s="313">
        <v>0</v>
      </c>
      <c r="W875" s="314"/>
      <c r="X875" s="315">
        <v>0</v>
      </c>
      <c r="Y875" s="316">
        <v>0</v>
      </c>
    </row>
    <row r="876" spans="1:25" x14ac:dyDescent="0.3">
      <c r="A876" s="326"/>
      <c r="B876" s="326"/>
      <c r="C876" s="326"/>
      <c r="D876" s="326"/>
      <c r="E876" s="350" t="s">
        <v>1844</v>
      </c>
      <c r="F876" s="306"/>
      <c r="G876" s="307"/>
      <c r="H876" s="308">
        <v>7101270000</v>
      </c>
      <c r="I876" s="309"/>
      <c r="J876" s="310">
        <v>0</v>
      </c>
      <c r="K876" s="311">
        <v>0</v>
      </c>
      <c r="L876" s="311">
        <v>0</v>
      </c>
      <c r="M876" s="311">
        <v>0</v>
      </c>
      <c r="N876" s="311">
        <v>0</v>
      </c>
      <c r="O876" s="311">
        <v>0</v>
      </c>
      <c r="P876" s="311">
        <v>0</v>
      </c>
      <c r="Q876" s="311">
        <v>0</v>
      </c>
      <c r="R876" s="311">
        <v>0</v>
      </c>
      <c r="S876" s="311">
        <v>0</v>
      </c>
      <c r="T876" s="311">
        <v>0</v>
      </c>
      <c r="U876" s="312">
        <v>0</v>
      </c>
      <c r="V876" s="313">
        <v>0</v>
      </c>
      <c r="W876" s="314"/>
      <c r="X876" s="315">
        <v>0</v>
      </c>
      <c r="Y876" s="316">
        <v>0</v>
      </c>
    </row>
    <row r="877" spans="1:25" x14ac:dyDescent="0.3">
      <c r="A877" s="350"/>
      <c r="B877" s="350"/>
      <c r="C877" s="350"/>
      <c r="D877" s="350"/>
      <c r="E877" s="350" t="s">
        <v>1845</v>
      </c>
      <c r="F877" s="306"/>
      <c r="G877" s="307"/>
      <c r="H877" s="308">
        <v>7101130101</v>
      </c>
      <c r="I877" s="309"/>
      <c r="J877" s="310">
        <v>0</v>
      </c>
      <c r="K877" s="311">
        <v>0</v>
      </c>
      <c r="L877" s="311">
        <v>0</v>
      </c>
      <c r="M877" s="311">
        <v>0</v>
      </c>
      <c r="N877" s="311">
        <v>0</v>
      </c>
      <c r="O877" s="311">
        <v>0</v>
      </c>
      <c r="P877" s="311">
        <v>0</v>
      </c>
      <c r="Q877" s="311">
        <v>0</v>
      </c>
      <c r="R877" s="311">
        <v>0</v>
      </c>
      <c r="S877" s="311">
        <v>0</v>
      </c>
      <c r="T877" s="311">
        <v>0</v>
      </c>
      <c r="U877" s="312">
        <v>0</v>
      </c>
      <c r="V877" s="313">
        <v>0</v>
      </c>
      <c r="W877" s="314"/>
      <c r="X877" s="315">
        <v>0</v>
      </c>
      <c r="Y877" s="316">
        <v>0</v>
      </c>
    </row>
    <row r="878" spans="1:25" x14ac:dyDescent="0.3">
      <c r="A878" s="233"/>
      <c r="B878" s="234" t="s">
        <v>53</v>
      </c>
      <c r="D878" s="293" t="s">
        <v>1846</v>
      </c>
      <c r="E878" s="294"/>
      <c r="F878" s="295" t="s">
        <v>1847</v>
      </c>
      <c r="G878" s="296"/>
      <c r="H878" s="297"/>
      <c r="I878" s="298"/>
      <c r="J878" s="299">
        <v>7250.2510000000002</v>
      </c>
      <c r="K878" s="300">
        <v>0</v>
      </c>
      <c r="L878" s="300">
        <v>0</v>
      </c>
      <c r="M878" s="300">
        <v>13</v>
      </c>
      <c r="N878" s="300">
        <v>0</v>
      </c>
      <c r="O878" s="300">
        <v>0</v>
      </c>
      <c r="P878" s="300">
        <v>0</v>
      </c>
      <c r="Q878" s="300">
        <v>34980</v>
      </c>
      <c r="R878" s="300">
        <v>282.83499999999998</v>
      </c>
      <c r="S878" s="300">
        <v>0</v>
      </c>
      <c r="T878" s="300">
        <v>0</v>
      </c>
      <c r="U878" s="301">
        <v>20270</v>
      </c>
      <c r="V878" s="302">
        <v>62796.086000000003</v>
      </c>
      <c r="W878" s="303"/>
      <c r="X878" s="304">
        <v>20270</v>
      </c>
      <c r="Y878" s="305">
        <v>62796.086000000003</v>
      </c>
    </row>
    <row r="879" spans="1:25" x14ac:dyDescent="0.3">
      <c r="E879" s="250" t="s">
        <v>1848</v>
      </c>
      <c r="F879" s="317">
        <v>4409901</v>
      </c>
      <c r="G879" s="318"/>
      <c r="H879" s="319">
        <v>7101990101</v>
      </c>
      <c r="I879" s="320"/>
      <c r="J879" s="337">
        <v>0</v>
      </c>
      <c r="K879" s="321">
        <v>0</v>
      </c>
      <c r="L879" s="321">
        <v>0</v>
      </c>
      <c r="M879" s="321">
        <v>0</v>
      </c>
      <c r="N879" s="321">
        <v>0</v>
      </c>
      <c r="O879" s="321">
        <v>0</v>
      </c>
      <c r="P879" s="321">
        <v>0</v>
      </c>
      <c r="Q879" s="321">
        <v>0</v>
      </c>
      <c r="R879" s="321">
        <v>0</v>
      </c>
      <c r="S879" s="321">
        <v>0</v>
      </c>
      <c r="T879" s="321">
        <v>0</v>
      </c>
      <c r="U879" s="322">
        <v>0</v>
      </c>
      <c r="V879" s="323">
        <v>0</v>
      </c>
      <c r="W879" s="303"/>
      <c r="X879" s="324">
        <v>0</v>
      </c>
      <c r="Y879" s="325">
        <v>0</v>
      </c>
    </row>
    <row r="880" spans="1:25" x14ac:dyDescent="0.3">
      <c r="E880" s="250" t="s">
        <v>1849</v>
      </c>
      <c r="F880" s="317">
        <v>4409902</v>
      </c>
      <c r="G880" s="318"/>
      <c r="H880" s="319">
        <v>7101990103</v>
      </c>
      <c r="I880" s="320"/>
      <c r="J880" s="337">
        <v>0</v>
      </c>
      <c r="K880" s="321">
        <v>0</v>
      </c>
      <c r="L880" s="321">
        <v>0</v>
      </c>
      <c r="M880" s="321">
        <v>0</v>
      </c>
      <c r="N880" s="321">
        <v>0</v>
      </c>
      <c r="O880" s="321">
        <v>0</v>
      </c>
      <c r="P880" s="321">
        <v>0</v>
      </c>
      <c r="Q880" s="321">
        <v>0</v>
      </c>
      <c r="R880" s="321">
        <v>0</v>
      </c>
      <c r="S880" s="321">
        <v>0</v>
      </c>
      <c r="T880" s="321">
        <v>0</v>
      </c>
      <c r="U880" s="322">
        <v>0</v>
      </c>
      <c r="V880" s="323">
        <v>0</v>
      </c>
      <c r="W880" s="303"/>
      <c r="X880" s="324">
        <v>0</v>
      </c>
      <c r="Y880" s="325">
        <v>0</v>
      </c>
    </row>
    <row r="881" spans="1:25" x14ac:dyDescent="0.3">
      <c r="E881" s="250" t="s">
        <v>1850</v>
      </c>
      <c r="F881" s="317">
        <v>4409903</v>
      </c>
      <c r="G881" s="318"/>
      <c r="H881" s="319">
        <v>7101990105</v>
      </c>
      <c r="I881" s="320"/>
      <c r="J881" s="337">
        <v>0</v>
      </c>
      <c r="K881" s="321">
        <v>0</v>
      </c>
      <c r="L881" s="321">
        <v>0</v>
      </c>
      <c r="M881" s="321">
        <v>0</v>
      </c>
      <c r="N881" s="321">
        <v>0</v>
      </c>
      <c r="O881" s="321">
        <v>0</v>
      </c>
      <c r="P881" s="321">
        <v>0</v>
      </c>
      <c r="Q881" s="321">
        <v>0</v>
      </c>
      <c r="R881" s="321">
        <v>0</v>
      </c>
      <c r="S881" s="321">
        <v>0</v>
      </c>
      <c r="T881" s="321">
        <v>0</v>
      </c>
      <c r="U881" s="322">
        <v>0</v>
      </c>
      <c r="V881" s="323">
        <v>0</v>
      </c>
      <c r="W881" s="303"/>
      <c r="X881" s="324">
        <v>0</v>
      </c>
      <c r="Y881" s="325">
        <v>0</v>
      </c>
    </row>
    <row r="882" spans="1:25" x14ac:dyDescent="0.3">
      <c r="E882" s="250" t="s">
        <v>1851</v>
      </c>
      <c r="F882" s="317">
        <v>4409904</v>
      </c>
      <c r="G882" s="318"/>
      <c r="H882" s="319"/>
      <c r="I882" s="320"/>
      <c r="J882" s="337">
        <v>0</v>
      </c>
      <c r="K882" s="321">
        <v>0</v>
      </c>
      <c r="L882" s="321">
        <v>0</v>
      </c>
      <c r="M882" s="321">
        <v>0</v>
      </c>
      <c r="N882" s="321">
        <v>0</v>
      </c>
      <c r="O882" s="321">
        <v>0</v>
      </c>
      <c r="P882" s="321">
        <v>0</v>
      </c>
      <c r="Q882" s="321">
        <v>0</v>
      </c>
      <c r="R882" s="321">
        <v>0</v>
      </c>
      <c r="S882" s="321">
        <v>0</v>
      </c>
      <c r="T882" s="321">
        <v>0</v>
      </c>
      <c r="U882" s="322">
        <v>0</v>
      </c>
      <c r="V882" s="323">
        <v>0</v>
      </c>
      <c r="W882" s="303"/>
      <c r="X882" s="324">
        <v>0</v>
      </c>
      <c r="Y882" s="325">
        <v>0</v>
      </c>
    </row>
    <row r="883" spans="1:25" x14ac:dyDescent="0.3">
      <c r="E883" s="250" t="s">
        <v>1852</v>
      </c>
      <c r="F883" s="317">
        <v>4409905</v>
      </c>
      <c r="G883" s="318"/>
      <c r="H883" s="319">
        <v>7101990109</v>
      </c>
      <c r="I883" s="320"/>
      <c r="J883" s="337">
        <v>0</v>
      </c>
      <c r="K883" s="321">
        <v>0</v>
      </c>
      <c r="L883" s="321">
        <v>0</v>
      </c>
      <c r="M883" s="321">
        <v>0</v>
      </c>
      <c r="N883" s="321">
        <v>0</v>
      </c>
      <c r="O883" s="321">
        <v>0</v>
      </c>
      <c r="P883" s="321">
        <v>0</v>
      </c>
      <c r="Q883" s="321">
        <v>0</v>
      </c>
      <c r="R883" s="321">
        <v>0</v>
      </c>
      <c r="S883" s="321">
        <v>0</v>
      </c>
      <c r="T883" s="321">
        <v>0</v>
      </c>
      <c r="U883" s="322">
        <v>0</v>
      </c>
      <c r="V883" s="323">
        <v>0</v>
      </c>
      <c r="W883" s="303"/>
      <c r="X883" s="324">
        <v>0</v>
      </c>
      <c r="Y883" s="325">
        <v>0</v>
      </c>
    </row>
    <row r="884" spans="1:25" x14ac:dyDescent="0.3">
      <c r="E884" s="250" t="s">
        <v>1853</v>
      </c>
      <c r="F884" s="317">
        <v>4409906</v>
      </c>
      <c r="G884" s="318"/>
      <c r="H884" s="319">
        <v>7101990111</v>
      </c>
      <c r="I884" s="320"/>
      <c r="J884" s="337">
        <v>0</v>
      </c>
      <c r="K884" s="321">
        <v>0</v>
      </c>
      <c r="L884" s="321">
        <v>0</v>
      </c>
      <c r="M884" s="321">
        <v>0</v>
      </c>
      <c r="N884" s="321">
        <v>0</v>
      </c>
      <c r="O884" s="321">
        <v>0</v>
      </c>
      <c r="P884" s="321">
        <v>0</v>
      </c>
      <c r="Q884" s="321">
        <v>0</v>
      </c>
      <c r="R884" s="321">
        <v>0</v>
      </c>
      <c r="S884" s="321">
        <v>0</v>
      </c>
      <c r="T884" s="321">
        <v>0</v>
      </c>
      <c r="U884" s="322">
        <v>0</v>
      </c>
      <c r="V884" s="323">
        <v>0</v>
      </c>
      <c r="W884" s="303"/>
      <c r="X884" s="324">
        <v>0</v>
      </c>
      <c r="Y884" s="325">
        <v>0</v>
      </c>
    </row>
    <row r="885" spans="1:25" x14ac:dyDescent="0.3">
      <c r="E885" s="250" t="s">
        <v>1854</v>
      </c>
      <c r="F885" s="317">
        <v>4409907</v>
      </c>
      <c r="G885" s="318"/>
      <c r="H885" s="319"/>
      <c r="I885" s="320"/>
      <c r="J885" s="337">
        <v>0</v>
      </c>
      <c r="K885" s="321">
        <v>0</v>
      </c>
      <c r="L885" s="321">
        <v>0</v>
      </c>
      <c r="M885" s="321">
        <v>0</v>
      </c>
      <c r="N885" s="321">
        <v>0</v>
      </c>
      <c r="O885" s="321">
        <v>0</v>
      </c>
      <c r="P885" s="321">
        <v>0</v>
      </c>
      <c r="Q885" s="321">
        <v>0</v>
      </c>
      <c r="R885" s="321">
        <v>0</v>
      </c>
      <c r="S885" s="321">
        <v>0</v>
      </c>
      <c r="T885" s="321">
        <v>0</v>
      </c>
      <c r="U885" s="322">
        <v>0</v>
      </c>
      <c r="V885" s="323">
        <v>0</v>
      </c>
      <c r="W885" s="303"/>
      <c r="X885" s="324">
        <v>0</v>
      </c>
      <c r="Y885" s="325">
        <v>0</v>
      </c>
    </row>
    <row r="886" spans="1:25" x14ac:dyDescent="0.3">
      <c r="E886" s="250" t="s">
        <v>1855</v>
      </c>
      <c r="F886" s="317">
        <v>4409908</v>
      </c>
      <c r="G886" s="318"/>
      <c r="H886" s="319">
        <v>7101990199</v>
      </c>
      <c r="I886" s="320"/>
      <c r="J886" s="337">
        <v>0</v>
      </c>
      <c r="K886" s="321">
        <v>0</v>
      </c>
      <c r="L886" s="321">
        <v>0</v>
      </c>
      <c r="M886" s="321">
        <v>0</v>
      </c>
      <c r="N886" s="321">
        <v>0</v>
      </c>
      <c r="O886" s="321">
        <v>0</v>
      </c>
      <c r="P886" s="321">
        <v>0</v>
      </c>
      <c r="Q886" s="321">
        <v>0</v>
      </c>
      <c r="R886" s="321">
        <v>0</v>
      </c>
      <c r="S886" s="321">
        <v>0</v>
      </c>
      <c r="T886" s="321">
        <v>0</v>
      </c>
      <c r="U886" s="322">
        <v>0</v>
      </c>
      <c r="V886" s="323">
        <v>0</v>
      </c>
      <c r="W886" s="303"/>
      <c r="X886" s="324">
        <v>0</v>
      </c>
      <c r="Y886" s="325">
        <v>0</v>
      </c>
    </row>
    <row r="887" spans="1:25" x14ac:dyDescent="0.3">
      <c r="E887" s="250" t="s">
        <v>1856</v>
      </c>
      <c r="F887" s="317">
        <v>4409999</v>
      </c>
      <c r="G887" s="318"/>
      <c r="H887" s="319"/>
      <c r="I887" s="320"/>
      <c r="J887" s="337">
        <v>7250.2510000000002</v>
      </c>
      <c r="K887" s="321">
        <v>0</v>
      </c>
      <c r="L887" s="321">
        <v>0</v>
      </c>
      <c r="M887" s="321">
        <v>13</v>
      </c>
      <c r="N887" s="321">
        <v>0</v>
      </c>
      <c r="O887" s="321">
        <v>0</v>
      </c>
      <c r="P887" s="321">
        <v>0</v>
      </c>
      <c r="Q887" s="321">
        <v>34980</v>
      </c>
      <c r="R887" s="321">
        <v>282.83499999999998</v>
      </c>
      <c r="S887" s="321">
        <v>0</v>
      </c>
      <c r="T887" s="321">
        <v>0</v>
      </c>
      <c r="U887" s="322">
        <v>20270</v>
      </c>
      <c r="V887" s="323">
        <v>62796.086000000003</v>
      </c>
      <c r="W887" s="303"/>
      <c r="X887" s="324">
        <v>20270</v>
      </c>
      <c r="Y887" s="325">
        <v>62796.086000000003</v>
      </c>
    </row>
    <row r="888" spans="1:25" x14ac:dyDescent="0.3">
      <c r="A888" s="361"/>
      <c r="B888" s="361"/>
      <c r="C888" s="361"/>
      <c r="D888" s="361"/>
      <c r="E888" s="326" t="s">
        <v>1857</v>
      </c>
      <c r="F888" s="351"/>
      <c r="G888" s="352"/>
      <c r="H888" s="353"/>
      <c r="I888" s="354"/>
      <c r="J888" s="362">
        <v>0</v>
      </c>
      <c r="K888" s="355">
        <v>0</v>
      </c>
      <c r="L888" s="355">
        <v>0</v>
      </c>
      <c r="M888" s="355">
        <v>0</v>
      </c>
      <c r="N888" s="355">
        <v>0</v>
      </c>
      <c r="O888" s="355">
        <v>0</v>
      </c>
      <c r="P888" s="355">
        <v>0</v>
      </c>
      <c r="Q888" s="355">
        <v>0</v>
      </c>
      <c r="R888" s="355">
        <v>0</v>
      </c>
      <c r="S888" s="355">
        <v>0</v>
      </c>
      <c r="T888" s="355">
        <v>0</v>
      </c>
      <c r="U888" s="356">
        <v>0</v>
      </c>
      <c r="V888" s="357">
        <v>0</v>
      </c>
      <c r="W888" s="358"/>
      <c r="X888" s="359">
        <v>0</v>
      </c>
      <c r="Y888" s="360">
        <v>0</v>
      </c>
    </row>
    <row r="889" spans="1:25" x14ac:dyDescent="0.3">
      <c r="A889" s="361"/>
      <c r="B889" s="361"/>
      <c r="C889" s="361"/>
      <c r="D889" s="361"/>
      <c r="E889" s="326" t="s">
        <v>1858</v>
      </c>
      <c r="F889" s="351"/>
      <c r="G889" s="352"/>
      <c r="H889" s="353"/>
      <c r="I889" s="354"/>
      <c r="J889" s="362">
        <v>0</v>
      </c>
      <c r="K889" s="355">
        <v>0</v>
      </c>
      <c r="L889" s="355">
        <v>0</v>
      </c>
      <c r="M889" s="355">
        <v>0</v>
      </c>
      <c r="N889" s="355">
        <v>0</v>
      </c>
      <c r="O889" s="355">
        <v>0</v>
      </c>
      <c r="P889" s="355">
        <v>0</v>
      </c>
      <c r="Q889" s="355">
        <v>0</v>
      </c>
      <c r="R889" s="355">
        <v>0</v>
      </c>
      <c r="S889" s="355">
        <v>0</v>
      </c>
      <c r="T889" s="355">
        <v>0</v>
      </c>
      <c r="U889" s="356">
        <v>0</v>
      </c>
      <c r="V889" s="357">
        <v>0</v>
      </c>
      <c r="W889" s="358"/>
      <c r="X889" s="359">
        <v>0</v>
      </c>
      <c r="Y889" s="360">
        <v>0</v>
      </c>
    </row>
    <row r="890" spans="1:25" x14ac:dyDescent="0.3">
      <c r="A890" s="361"/>
      <c r="B890" s="361"/>
      <c r="C890" s="361"/>
      <c r="D890" s="361"/>
      <c r="E890" s="326" t="s">
        <v>1859</v>
      </c>
      <c r="F890" s="351"/>
      <c r="G890" s="352"/>
      <c r="H890" s="353"/>
      <c r="I890" s="354"/>
      <c r="J890" s="362">
        <v>0</v>
      </c>
      <c r="K890" s="355">
        <v>0</v>
      </c>
      <c r="L890" s="355">
        <v>0</v>
      </c>
      <c r="M890" s="355">
        <v>0</v>
      </c>
      <c r="N890" s="355">
        <v>0</v>
      </c>
      <c r="O890" s="355">
        <v>0</v>
      </c>
      <c r="P890" s="355">
        <v>0</v>
      </c>
      <c r="Q890" s="355">
        <v>0</v>
      </c>
      <c r="R890" s="355">
        <v>0</v>
      </c>
      <c r="S890" s="355">
        <v>0</v>
      </c>
      <c r="T890" s="355">
        <v>0</v>
      </c>
      <c r="U890" s="356">
        <v>0</v>
      </c>
      <c r="V890" s="357">
        <v>0</v>
      </c>
      <c r="W890" s="358"/>
      <c r="X890" s="359">
        <v>0</v>
      </c>
      <c r="Y890" s="360">
        <v>0</v>
      </c>
    </row>
    <row r="891" spans="1:25" x14ac:dyDescent="0.3">
      <c r="A891" s="233"/>
      <c r="B891" s="234" t="s">
        <v>73</v>
      </c>
      <c r="D891" s="293" t="s">
        <v>1860</v>
      </c>
      <c r="E891" s="294"/>
      <c r="F891" s="295" t="s">
        <v>1861</v>
      </c>
      <c r="G891" s="296"/>
      <c r="H891" s="297"/>
      <c r="I891" s="298"/>
      <c r="J891" s="299">
        <v>0</v>
      </c>
      <c r="K891" s="300">
        <v>0</v>
      </c>
      <c r="L891" s="300">
        <v>0</v>
      </c>
      <c r="M891" s="300">
        <v>0</v>
      </c>
      <c r="N891" s="300">
        <v>3898923.0720000002</v>
      </c>
      <c r="O891" s="300">
        <v>0</v>
      </c>
      <c r="P891" s="300">
        <v>0</v>
      </c>
      <c r="Q891" s="300">
        <v>0</v>
      </c>
      <c r="R891" s="300">
        <v>0</v>
      </c>
      <c r="S891" s="300">
        <v>0</v>
      </c>
      <c r="T891" s="300">
        <v>0</v>
      </c>
      <c r="U891" s="301">
        <v>0</v>
      </c>
      <c r="V891" s="302">
        <v>3898923.0720000002</v>
      </c>
      <c r="W891" s="303"/>
      <c r="X891" s="304">
        <v>0</v>
      </c>
      <c r="Y891" s="305">
        <v>3898923.0720000002</v>
      </c>
    </row>
    <row r="892" spans="1:25" x14ac:dyDescent="0.3">
      <c r="E892" s="250" t="s">
        <v>1862</v>
      </c>
      <c r="F892" s="317">
        <v>4405509</v>
      </c>
      <c r="G892" s="318"/>
      <c r="H892" s="319">
        <v>7501210101</v>
      </c>
      <c r="I892" s="320"/>
      <c r="J892" s="337">
        <v>0</v>
      </c>
      <c r="K892" s="321">
        <v>0</v>
      </c>
      <c r="L892" s="321">
        <v>0</v>
      </c>
      <c r="M892" s="321">
        <v>0</v>
      </c>
      <c r="N892" s="321">
        <v>0</v>
      </c>
      <c r="O892" s="321">
        <v>0</v>
      </c>
      <c r="P892" s="321">
        <v>0</v>
      </c>
      <c r="Q892" s="321">
        <v>0</v>
      </c>
      <c r="R892" s="321">
        <v>0</v>
      </c>
      <c r="S892" s="321">
        <v>0</v>
      </c>
      <c r="T892" s="321">
        <v>0</v>
      </c>
      <c r="U892" s="322">
        <v>0</v>
      </c>
      <c r="V892" s="323">
        <v>0</v>
      </c>
      <c r="W892" s="303"/>
      <c r="X892" s="324">
        <v>0</v>
      </c>
      <c r="Y892" s="325">
        <v>0</v>
      </c>
    </row>
    <row r="893" spans="1:25" x14ac:dyDescent="0.3">
      <c r="E893" s="250" t="s">
        <v>1863</v>
      </c>
      <c r="F893" s="317">
        <v>4405511</v>
      </c>
      <c r="G893" s="318"/>
      <c r="H893" s="319"/>
      <c r="I893" s="320"/>
      <c r="J893" s="337">
        <v>0</v>
      </c>
      <c r="K893" s="321">
        <v>0</v>
      </c>
      <c r="L893" s="321">
        <v>0</v>
      </c>
      <c r="M893" s="321">
        <v>0</v>
      </c>
      <c r="N893" s="321">
        <v>0</v>
      </c>
      <c r="O893" s="321">
        <v>0</v>
      </c>
      <c r="P893" s="321">
        <v>0</v>
      </c>
      <c r="Q893" s="321">
        <v>0</v>
      </c>
      <c r="R893" s="321">
        <v>0</v>
      </c>
      <c r="S893" s="321">
        <v>0</v>
      </c>
      <c r="T893" s="321">
        <v>0</v>
      </c>
      <c r="U893" s="322">
        <v>0</v>
      </c>
      <c r="V893" s="323">
        <v>0</v>
      </c>
      <c r="W893" s="303"/>
      <c r="X893" s="324">
        <v>0</v>
      </c>
      <c r="Y893" s="325">
        <v>0</v>
      </c>
    </row>
    <row r="894" spans="1:25" x14ac:dyDescent="0.3">
      <c r="E894" s="250" t="s">
        <v>1864</v>
      </c>
      <c r="F894" s="317">
        <v>4405513</v>
      </c>
      <c r="G894" s="318"/>
      <c r="H894" s="319">
        <v>7501170000</v>
      </c>
      <c r="I894" s="320"/>
      <c r="J894" s="337">
        <v>0</v>
      </c>
      <c r="K894" s="321">
        <v>0</v>
      </c>
      <c r="L894" s="321">
        <v>0</v>
      </c>
      <c r="M894" s="321">
        <v>0</v>
      </c>
      <c r="N894" s="321">
        <v>3898923.0720000002</v>
      </c>
      <c r="O894" s="321">
        <v>0</v>
      </c>
      <c r="P894" s="321">
        <v>0</v>
      </c>
      <c r="Q894" s="321">
        <v>0</v>
      </c>
      <c r="R894" s="321">
        <v>0</v>
      </c>
      <c r="S894" s="321">
        <v>0</v>
      </c>
      <c r="T894" s="321">
        <v>0</v>
      </c>
      <c r="U894" s="322">
        <v>0</v>
      </c>
      <c r="V894" s="323">
        <v>3898923.0720000002</v>
      </c>
      <c r="W894" s="303"/>
      <c r="X894" s="324">
        <v>0</v>
      </c>
      <c r="Y894" s="325">
        <v>3898923.0720000002</v>
      </c>
    </row>
    <row r="895" spans="1:25" x14ac:dyDescent="0.3">
      <c r="D895" s="293" t="s">
        <v>1865</v>
      </c>
      <c r="E895" s="294"/>
      <c r="F895" s="295" t="s">
        <v>1866</v>
      </c>
      <c r="G895" s="296"/>
      <c r="H895" s="297"/>
      <c r="I895" s="298"/>
      <c r="J895" s="299">
        <v>0</v>
      </c>
      <c r="K895" s="300">
        <v>0</v>
      </c>
      <c r="L895" s="300">
        <v>0</v>
      </c>
      <c r="M895" s="300">
        <v>0</v>
      </c>
      <c r="N895" s="300">
        <v>0</v>
      </c>
      <c r="O895" s="300">
        <v>0</v>
      </c>
      <c r="P895" s="300">
        <v>0</v>
      </c>
      <c r="Q895" s="300">
        <v>0</v>
      </c>
      <c r="R895" s="300">
        <v>0</v>
      </c>
      <c r="S895" s="300">
        <v>0</v>
      </c>
      <c r="T895" s="300">
        <v>0</v>
      </c>
      <c r="U895" s="301">
        <v>0</v>
      </c>
      <c r="V895" s="302">
        <v>0</v>
      </c>
      <c r="W895" s="303"/>
      <c r="X895" s="304">
        <v>0</v>
      </c>
      <c r="Y895" s="305">
        <v>0</v>
      </c>
    </row>
    <row r="896" spans="1:25" x14ac:dyDescent="0.3">
      <c r="E896" s="250" t="s">
        <v>1867</v>
      </c>
      <c r="F896" s="317">
        <v>4405510</v>
      </c>
      <c r="G896" s="318"/>
      <c r="H896" s="319"/>
      <c r="I896" s="320"/>
      <c r="J896" s="337">
        <v>0</v>
      </c>
      <c r="K896" s="321">
        <v>0</v>
      </c>
      <c r="L896" s="321">
        <v>0</v>
      </c>
      <c r="M896" s="321">
        <v>0</v>
      </c>
      <c r="N896" s="321">
        <v>0</v>
      </c>
      <c r="O896" s="321">
        <v>0</v>
      </c>
      <c r="P896" s="321">
        <v>0</v>
      </c>
      <c r="Q896" s="321">
        <v>0</v>
      </c>
      <c r="R896" s="321">
        <v>0</v>
      </c>
      <c r="S896" s="321">
        <v>0</v>
      </c>
      <c r="T896" s="321">
        <v>0</v>
      </c>
      <c r="U896" s="322">
        <v>0</v>
      </c>
      <c r="V896" s="323">
        <v>0</v>
      </c>
      <c r="W896" s="303"/>
      <c r="X896" s="324">
        <v>0</v>
      </c>
      <c r="Y896" s="325">
        <v>0</v>
      </c>
    </row>
    <row r="897" spans="1:25" x14ac:dyDescent="0.3">
      <c r="E897" s="250" t="s">
        <v>1868</v>
      </c>
      <c r="F897" s="317">
        <v>4405512</v>
      </c>
      <c r="G897" s="318"/>
      <c r="H897" s="319"/>
      <c r="I897" s="320"/>
      <c r="J897" s="337">
        <v>0</v>
      </c>
      <c r="K897" s="321">
        <v>0</v>
      </c>
      <c r="L897" s="321">
        <v>0</v>
      </c>
      <c r="M897" s="321">
        <v>0</v>
      </c>
      <c r="N897" s="321">
        <v>0</v>
      </c>
      <c r="O897" s="321">
        <v>0</v>
      </c>
      <c r="P897" s="321">
        <v>0</v>
      </c>
      <c r="Q897" s="321">
        <v>0</v>
      </c>
      <c r="R897" s="321">
        <v>0</v>
      </c>
      <c r="S897" s="321">
        <v>0</v>
      </c>
      <c r="T897" s="321">
        <v>0</v>
      </c>
      <c r="U897" s="322">
        <v>0</v>
      </c>
      <c r="V897" s="323">
        <v>0</v>
      </c>
      <c r="W897" s="303"/>
      <c r="X897" s="324">
        <v>0</v>
      </c>
      <c r="Y897" s="325">
        <v>0</v>
      </c>
    </row>
    <row r="898" spans="1:25" x14ac:dyDescent="0.3">
      <c r="E898" s="250" t="s">
        <v>1869</v>
      </c>
      <c r="F898" s="317">
        <v>4405514</v>
      </c>
      <c r="G898" s="318"/>
      <c r="H898" s="319"/>
      <c r="I898" s="320"/>
      <c r="J898" s="337">
        <v>0</v>
      </c>
      <c r="K898" s="321">
        <v>0</v>
      </c>
      <c r="L898" s="321">
        <v>0</v>
      </c>
      <c r="M898" s="321">
        <v>0</v>
      </c>
      <c r="N898" s="321">
        <v>0</v>
      </c>
      <c r="O898" s="321">
        <v>0</v>
      </c>
      <c r="P898" s="321">
        <v>0</v>
      </c>
      <c r="Q898" s="321">
        <v>0</v>
      </c>
      <c r="R898" s="321">
        <v>0</v>
      </c>
      <c r="S898" s="321">
        <v>0</v>
      </c>
      <c r="T898" s="321">
        <v>0</v>
      </c>
      <c r="U898" s="322">
        <v>0</v>
      </c>
      <c r="V898" s="323">
        <v>0</v>
      </c>
      <c r="W898" s="303"/>
      <c r="X898" s="324">
        <v>0</v>
      </c>
      <c r="Y898" s="325">
        <v>0</v>
      </c>
    </row>
    <row r="899" spans="1:25" x14ac:dyDescent="0.3">
      <c r="D899" s="293" t="s">
        <v>1870</v>
      </c>
      <c r="E899" s="294"/>
      <c r="F899" s="295"/>
      <c r="G899" s="296"/>
      <c r="H899" s="297"/>
      <c r="I899" s="298"/>
      <c r="J899" s="299">
        <v>0</v>
      </c>
      <c r="K899" s="300">
        <v>0</v>
      </c>
      <c r="L899" s="300">
        <v>0</v>
      </c>
      <c r="M899" s="300">
        <v>0</v>
      </c>
      <c r="N899" s="300">
        <v>0</v>
      </c>
      <c r="O899" s="300">
        <v>0</v>
      </c>
      <c r="P899" s="300">
        <v>0</v>
      </c>
      <c r="Q899" s="300">
        <v>0</v>
      </c>
      <c r="R899" s="300">
        <v>0</v>
      </c>
      <c r="S899" s="300">
        <v>0</v>
      </c>
      <c r="T899" s="300">
        <v>0</v>
      </c>
      <c r="U899" s="301">
        <v>0</v>
      </c>
      <c r="V899" s="302">
        <v>0</v>
      </c>
      <c r="W899" s="303"/>
      <c r="X899" s="304">
        <v>0</v>
      </c>
      <c r="Y899" s="305">
        <v>0</v>
      </c>
    </row>
    <row r="900" spans="1:25" x14ac:dyDescent="0.3">
      <c r="A900" s="326"/>
      <c r="B900" s="326"/>
      <c r="C900" s="326"/>
      <c r="D900" s="326"/>
      <c r="E900" s="326" t="s">
        <v>1871</v>
      </c>
      <c r="F900" s="336"/>
      <c r="G900" s="327"/>
      <c r="H900" s="328"/>
      <c r="I900" s="329"/>
      <c r="J900" s="338">
        <v>0</v>
      </c>
      <c r="K900" s="330">
        <v>0</v>
      </c>
      <c r="L900" s="330">
        <v>0</v>
      </c>
      <c r="M900" s="330">
        <v>0</v>
      </c>
      <c r="N900" s="330">
        <v>0</v>
      </c>
      <c r="O900" s="330">
        <v>0</v>
      </c>
      <c r="P900" s="330">
        <v>0</v>
      </c>
      <c r="Q900" s="330">
        <v>0</v>
      </c>
      <c r="R900" s="330">
        <v>0</v>
      </c>
      <c r="S900" s="330">
        <v>0</v>
      </c>
      <c r="T900" s="330">
        <v>0</v>
      </c>
      <c r="U900" s="331">
        <v>0</v>
      </c>
      <c r="V900" s="332">
        <v>0</v>
      </c>
      <c r="W900" s="333"/>
      <c r="X900" s="334">
        <v>0</v>
      </c>
      <c r="Y900" s="335">
        <v>0</v>
      </c>
    </row>
    <row r="901" spans="1:25" x14ac:dyDescent="0.3">
      <c r="A901" s="326"/>
      <c r="B901" s="326"/>
      <c r="C901" s="326"/>
      <c r="D901" s="326"/>
      <c r="E901" s="326" t="s">
        <v>1872</v>
      </c>
      <c r="F901" s="336"/>
      <c r="G901" s="327"/>
      <c r="H901" s="328"/>
      <c r="I901" s="329"/>
      <c r="J901" s="338">
        <v>0</v>
      </c>
      <c r="K901" s="330">
        <v>0</v>
      </c>
      <c r="L901" s="330">
        <v>0</v>
      </c>
      <c r="M901" s="330">
        <v>0</v>
      </c>
      <c r="N901" s="330">
        <v>0</v>
      </c>
      <c r="O901" s="330">
        <v>0</v>
      </c>
      <c r="P901" s="330">
        <v>0</v>
      </c>
      <c r="Q901" s="330">
        <v>0</v>
      </c>
      <c r="R901" s="330">
        <v>0</v>
      </c>
      <c r="S901" s="330">
        <v>0</v>
      </c>
      <c r="T901" s="330">
        <v>0</v>
      </c>
      <c r="U901" s="331">
        <v>0</v>
      </c>
      <c r="V901" s="332">
        <v>0</v>
      </c>
      <c r="W901" s="333"/>
      <c r="X901" s="334">
        <v>0</v>
      </c>
      <c r="Y901" s="335">
        <v>0</v>
      </c>
    </row>
    <row r="902" spans="1:25" x14ac:dyDescent="0.3">
      <c r="A902" s="326"/>
      <c r="B902" s="326"/>
      <c r="C902" s="326"/>
      <c r="D902" s="326"/>
      <c r="E902" s="326" t="s">
        <v>1873</v>
      </c>
      <c r="F902" s="336"/>
      <c r="G902" s="327"/>
      <c r="H902" s="328"/>
      <c r="I902" s="329"/>
      <c r="J902" s="338">
        <v>0</v>
      </c>
      <c r="K902" s="330">
        <v>0</v>
      </c>
      <c r="L902" s="330">
        <v>0</v>
      </c>
      <c r="M902" s="330">
        <v>0</v>
      </c>
      <c r="N902" s="330">
        <v>0</v>
      </c>
      <c r="O902" s="330">
        <v>0</v>
      </c>
      <c r="P902" s="330">
        <v>0</v>
      </c>
      <c r="Q902" s="330">
        <v>0</v>
      </c>
      <c r="R902" s="330">
        <v>0</v>
      </c>
      <c r="S902" s="330">
        <v>0</v>
      </c>
      <c r="T902" s="330">
        <v>0</v>
      </c>
      <c r="U902" s="331">
        <v>0</v>
      </c>
      <c r="V902" s="332">
        <v>0</v>
      </c>
      <c r="W902" s="333"/>
      <c r="X902" s="334">
        <v>0</v>
      </c>
      <c r="Y902" s="335">
        <v>0</v>
      </c>
    </row>
    <row r="903" spans="1:25" x14ac:dyDescent="0.3">
      <c r="D903" s="293" t="s">
        <v>1874</v>
      </c>
      <c r="E903" s="294"/>
      <c r="F903" s="295"/>
      <c r="G903" s="296"/>
      <c r="H903" s="297"/>
      <c r="I903" s="298"/>
      <c r="J903" s="299">
        <v>0</v>
      </c>
      <c r="K903" s="300">
        <v>0</v>
      </c>
      <c r="L903" s="300">
        <v>0</v>
      </c>
      <c r="M903" s="300">
        <v>0</v>
      </c>
      <c r="N903" s="300">
        <v>0</v>
      </c>
      <c r="O903" s="300">
        <v>0</v>
      </c>
      <c r="P903" s="300">
        <v>0</v>
      </c>
      <c r="Q903" s="300">
        <v>0</v>
      </c>
      <c r="R903" s="300">
        <v>0</v>
      </c>
      <c r="S903" s="300">
        <v>0</v>
      </c>
      <c r="T903" s="300">
        <v>0</v>
      </c>
      <c r="U903" s="301">
        <v>0</v>
      </c>
      <c r="V903" s="302">
        <v>0</v>
      </c>
      <c r="W903" s="303"/>
      <c r="X903" s="304">
        <v>0</v>
      </c>
      <c r="Y903" s="305">
        <v>0</v>
      </c>
    </row>
    <row r="904" spans="1:25" x14ac:dyDescent="0.3">
      <c r="A904" s="326"/>
      <c r="B904" s="326"/>
      <c r="C904" s="326"/>
      <c r="D904" s="326"/>
      <c r="E904" s="326" t="s">
        <v>1871</v>
      </c>
      <c r="F904" s="336"/>
      <c r="G904" s="327"/>
      <c r="H904" s="328"/>
      <c r="I904" s="329"/>
      <c r="J904" s="338">
        <v>0</v>
      </c>
      <c r="K904" s="330">
        <v>0</v>
      </c>
      <c r="L904" s="330">
        <v>0</v>
      </c>
      <c r="M904" s="330">
        <v>0</v>
      </c>
      <c r="N904" s="330">
        <v>0</v>
      </c>
      <c r="O904" s="330">
        <v>0</v>
      </c>
      <c r="P904" s="330">
        <v>0</v>
      </c>
      <c r="Q904" s="330">
        <v>0</v>
      </c>
      <c r="R904" s="330">
        <v>0</v>
      </c>
      <c r="S904" s="330">
        <v>0</v>
      </c>
      <c r="T904" s="330">
        <v>0</v>
      </c>
      <c r="U904" s="331">
        <v>0</v>
      </c>
      <c r="V904" s="332">
        <v>0</v>
      </c>
      <c r="W904" s="333"/>
      <c r="X904" s="334">
        <v>0</v>
      </c>
      <c r="Y904" s="335">
        <v>0</v>
      </c>
    </row>
    <row r="905" spans="1:25" x14ac:dyDescent="0.3">
      <c r="A905" s="326"/>
      <c r="B905" s="326"/>
      <c r="C905" s="326"/>
      <c r="D905" s="326"/>
      <c r="E905" s="326" t="s">
        <v>1872</v>
      </c>
      <c r="F905" s="336"/>
      <c r="G905" s="327"/>
      <c r="H905" s="328"/>
      <c r="I905" s="329"/>
      <c r="J905" s="338">
        <v>0</v>
      </c>
      <c r="K905" s="330">
        <v>0</v>
      </c>
      <c r="L905" s="330">
        <v>0</v>
      </c>
      <c r="M905" s="330">
        <v>0</v>
      </c>
      <c r="N905" s="330">
        <v>0</v>
      </c>
      <c r="O905" s="330">
        <v>0</v>
      </c>
      <c r="P905" s="330">
        <v>0</v>
      </c>
      <c r="Q905" s="330">
        <v>0</v>
      </c>
      <c r="R905" s="330">
        <v>0</v>
      </c>
      <c r="S905" s="330">
        <v>0</v>
      </c>
      <c r="T905" s="330">
        <v>0</v>
      </c>
      <c r="U905" s="331">
        <v>0</v>
      </c>
      <c r="V905" s="332">
        <v>0</v>
      </c>
      <c r="W905" s="333"/>
      <c r="X905" s="334">
        <v>0</v>
      </c>
      <c r="Y905" s="335">
        <v>0</v>
      </c>
    </row>
    <row r="906" spans="1:25" x14ac:dyDescent="0.3">
      <c r="A906" s="326"/>
      <c r="B906" s="326"/>
      <c r="C906" s="326"/>
      <c r="D906" s="326"/>
      <c r="E906" s="326" t="s">
        <v>1873</v>
      </c>
      <c r="F906" s="336"/>
      <c r="G906" s="327"/>
      <c r="H906" s="328"/>
      <c r="I906" s="329"/>
      <c r="J906" s="338">
        <v>0</v>
      </c>
      <c r="K906" s="330">
        <v>0</v>
      </c>
      <c r="L906" s="330">
        <v>0</v>
      </c>
      <c r="M906" s="330">
        <v>0</v>
      </c>
      <c r="N906" s="330">
        <v>0</v>
      </c>
      <c r="O906" s="330">
        <v>0</v>
      </c>
      <c r="P906" s="330">
        <v>0</v>
      </c>
      <c r="Q906" s="330">
        <v>0</v>
      </c>
      <c r="R906" s="330">
        <v>0</v>
      </c>
      <c r="S906" s="330">
        <v>0</v>
      </c>
      <c r="T906" s="330">
        <v>0</v>
      </c>
      <c r="U906" s="331">
        <v>0</v>
      </c>
      <c r="V906" s="332">
        <v>0</v>
      </c>
      <c r="W906" s="333"/>
      <c r="X906" s="334">
        <v>0</v>
      </c>
      <c r="Y906" s="335">
        <v>0</v>
      </c>
    </row>
    <row r="907" spans="1:25" x14ac:dyDescent="0.3">
      <c r="D907" s="293" t="s">
        <v>1875</v>
      </c>
      <c r="E907" s="294"/>
      <c r="F907" s="295"/>
      <c r="G907" s="296"/>
      <c r="H907" s="297"/>
      <c r="I907" s="298"/>
      <c r="J907" s="299">
        <v>0</v>
      </c>
      <c r="K907" s="300">
        <v>0</v>
      </c>
      <c r="L907" s="300">
        <v>0</v>
      </c>
      <c r="M907" s="300">
        <v>0</v>
      </c>
      <c r="N907" s="300">
        <v>0</v>
      </c>
      <c r="O907" s="300">
        <v>0</v>
      </c>
      <c r="P907" s="300">
        <v>0</v>
      </c>
      <c r="Q907" s="300">
        <v>0</v>
      </c>
      <c r="R907" s="300">
        <v>0</v>
      </c>
      <c r="S907" s="300">
        <v>0</v>
      </c>
      <c r="T907" s="300">
        <v>0</v>
      </c>
      <c r="U907" s="301">
        <v>0</v>
      </c>
      <c r="V907" s="302">
        <v>0</v>
      </c>
      <c r="W907" s="303"/>
      <c r="X907" s="304">
        <v>0</v>
      </c>
      <c r="Y907" s="305">
        <v>0</v>
      </c>
    </row>
    <row r="908" spans="1:25" x14ac:dyDescent="0.3">
      <c r="A908" s="326"/>
      <c r="B908" s="326"/>
      <c r="C908" s="326"/>
      <c r="D908" s="326"/>
      <c r="E908" s="326" t="s">
        <v>1871</v>
      </c>
      <c r="F908" s="336"/>
      <c r="G908" s="327"/>
      <c r="H908" s="328"/>
      <c r="I908" s="329"/>
      <c r="J908" s="338">
        <v>0</v>
      </c>
      <c r="K908" s="330">
        <v>0</v>
      </c>
      <c r="L908" s="330">
        <v>0</v>
      </c>
      <c r="M908" s="330">
        <v>0</v>
      </c>
      <c r="N908" s="330">
        <v>0</v>
      </c>
      <c r="O908" s="330">
        <v>0</v>
      </c>
      <c r="P908" s="330">
        <v>0</v>
      </c>
      <c r="Q908" s="330">
        <v>0</v>
      </c>
      <c r="R908" s="330">
        <v>0</v>
      </c>
      <c r="S908" s="330">
        <v>0</v>
      </c>
      <c r="T908" s="330">
        <v>0</v>
      </c>
      <c r="U908" s="331">
        <v>0</v>
      </c>
      <c r="V908" s="332">
        <v>0</v>
      </c>
      <c r="W908" s="333"/>
      <c r="X908" s="334">
        <v>0</v>
      </c>
      <c r="Y908" s="335">
        <v>0</v>
      </c>
    </row>
    <row r="909" spans="1:25" x14ac:dyDescent="0.3">
      <c r="A909" s="326"/>
      <c r="B909" s="326"/>
      <c r="C909" s="326"/>
      <c r="D909" s="326"/>
      <c r="E909" s="326" t="s">
        <v>1872</v>
      </c>
      <c r="F909" s="336"/>
      <c r="G909" s="327"/>
      <c r="H909" s="328"/>
      <c r="I909" s="329"/>
      <c r="J909" s="338">
        <v>0</v>
      </c>
      <c r="K909" s="330">
        <v>0</v>
      </c>
      <c r="L909" s="330">
        <v>0</v>
      </c>
      <c r="M909" s="330">
        <v>0</v>
      </c>
      <c r="N909" s="330">
        <v>0</v>
      </c>
      <c r="O909" s="330">
        <v>0</v>
      </c>
      <c r="P909" s="330">
        <v>0</v>
      </c>
      <c r="Q909" s="330">
        <v>0</v>
      </c>
      <c r="R909" s="330">
        <v>0</v>
      </c>
      <c r="S909" s="330">
        <v>0</v>
      </c>
      <c r="T909" s="330">
        <v>0</v>
      </c>
      <c r="U909" s="331">
        <v>0</v>
      </c>
      <c r="V909" s="332">
        <v>0</v>
      </c>
      <c r="W909" s="333"/>
      <c r="X909" s="334">
        <v>0</v>
      </c>
      <c r="Y909" s="335">
        <v>0</v>
      </c>
    </row>
    <row r="910" spans="1:25" x14ac:dyDescent="0.3">
      <c r="A910" s="326"/>
      <c r="B910" s="326"/>
      <c r="C910" s="326"/>
      <c r="D910" s="326"/>
      <c r="E910" s="326" t="s">
        <v>1873</v>
      </c>
      <c r="F910" s="336"/>
      <c r="G910" s="327"/>
      <c r="H910" s="328"/>
      <c r="I910" s="329"/>
      <c r="J910" s="338">
        <v>0</v>
      </c>
      <c r="K910" s="330">
        <v>0</v>
      </c>
      <c r="L910" s="330">
        <v>0</v>
      </c>
      <c r="M910" s="330">
        <v>0</v>
      </c>
      <c r="N910" s="330">
        <v>0</v>
      </c>
      <c r="O910" s="330">
        <v>0</v>
      </c>
      <c r="P910" s="330">
        <v>0</v>
      </c>
      <c r="Q910" s="330">
        <v>0</v>
      </c>
      <c r="R910" s="330">
        <v>0</v>
      </c>
      <c r="S910" s="330">
        <v>0</v>
      </c>
      <c r="T910" s="330">
        <v>0</v>
      </c>
      <c r="U910" s="331">
        <v>0</v>
      </c>
      <c r="V910" s="332">
        <v>0</v>
      </c>
      <c r="W910" s="333"/>
      <c r="X910" s="334">
        <v>0</v>
      </c>
      <c r="Y910" s="335">
        <v>0</v>
      </c>
    </row>
    <row r="911" spans="1:25" ht="33" x14ac:dyDescent="0.3">
      <c r="A911" s="248" t="s">
        <v>70</v>
      </c>
      <c r="B911" s="248"/>
      <c r="C911" s="280" t="s">
        <v>1876</v>
      </c>
      <c r="D911" s="281"/>
      <c r="E911" s="282"/>
      <c r="F911" s="283" t="s">
        <v>1877</v>
      </c>
      <c r="G911" s="284"/>
      <c r="H911" s="285"/>
      <c r="I911" s="286"/>
      <c r="J911" s="287">
        <v>0</v>
      </c>
      <c r="K911" s="288">
        <v>111.471</v>
      </c>
      <c r="L911" s="288">
        <v>0</v>
      </c>
      <c r="M911" s="288">
        <v>158.334</v>
      </c>
      <c r="N911" s="288">
        <v>521.20000000000005</v>
      </c>
      <c r="O911" s="288">
        <v>0</v>
      </c>
      <c r="P911" s="288">
        <v>618.81399999999996</v>
      </c>
      <c r="Q911" s="288">
        <v>0</v>
      </c>
      <c r="R911" s="288">
        <v>22343177.767999999</v>
      </c>
      <c r="S911" s="288">
        <v>0</v>
      </c>
      <c r="T911" s="288">
        <v>-86655.03</v>
      </c>
      <c r="U911" s="289">
        <v>77445241.930000007</v>
      </c>
      <c r="V911" s="290">
        <v>99703174.487000003</v>
      </c>
      <c r="W911" s="277"/>
      <c r="X911" s="291">
        <v>77445241.930000007</v>
      </c>
      <c r="Y911" s="292">
        <v>99703174.487000003</v>
      </c>
    </row>
    <row r="912" spans="1:25" x14ac:dyDescent="0.3">
      <c r="A912" s="233"/>
      <c r="B912" s="234" t="s">
        <v>54</v>
      </c>
      <c r="D912" s="293" t="s">
        <v>1878</v>
      </c>
      <c r="E912" s="294"/>
      <c r="F912" s="295" t="s">
        <v>1879</v>
      </c>
      <c r="G912" s="296"/>
      <c r="H912" s="297"/>
      <c r="I912" s="298"/>
      <c r="J912" s="299">
        <v>0</v>
      </c>
      <c r="K912" s="300">
        <v>0</v>
      </c>
      <c r="L912" s="300">
        <v>0</v>
      </c>
      <c r="M912" s="300">
        <v>5</v>
      </c>
      <c r="N912" s="300">
        <v>0</v>
      </c>
      <c r="O912" s="300">
        <v>0</v>
      </c>
      <c r="P912" s="300">
        <v>0</v>
      </c>
      <c r="Q912" s="300">
        <v>0</v>
      </c>
      <c r="R912" s="300">
        <v>0</v>
      </c>
      <c r="S912" s="300">
        <v>0</v>
      </c>
      <c r="T912" s="300">
        <v>4</v>
      </c>
      <c r="U912" s="301">
        <v>9746.8790000000008</v>
      </c>
      <c r="V912" s="302">
        <v>9755.8790000000008</v>
      </c>
      <c r="W912" s="303"/>
      <c r="X912" s="304">
        <v>9746.8790000000008</v>
      </c>
      <c r="Y912" s="305">
        <v>9755.8790000000008</v>
      </c>
    </row>
    <row r="913" spans="1:25" x14ac:dyDescent="0.3">
      <c r="E913" s="250" t="s">
        <v>1880</v>
      </c>
      <c r="F913" s="317">
        <v>4502501</v>
      </c>
      <c r="G913" s="318"/>
      <c r="H913" s="319"/>
      <c r="I913" s="320"/>
      <c r="J913" s="337">
        <v>0</v>
      </c>
      <c r="K913" s="321">
        <v>0</v>
      </c>
      <c r="L913" s="321">
        <v>0</v>
      </c>
      <c r="M913" s="321">
        <v>0</v>
      </c>
      <c r="N913" s="321">
        <v>0</v>
      </c>
      <c r="O913" s="321">
        <v>0</v>
      </c>
      <c r="P913" s="321">
        <v>0</v>
      </c>
      <c r="Q913" s="321">
        <v>0</v>
      </c>
      <c r="R913" s="321">
        <v>0</v>
      </c>
      <c r="S913" s="321">
        <v>0</v>
      </c>
      <c r="T913" s="321">
        <v>0</v>
      </c>
      <c r="U913" s="322">
        <v>0</v>
      </c>
      <c r="V913" s="323">
        <v>0</v>
      </c>
      <c r="W913" s="303"/>
      <c r="X913" s="324">
        <v>0</v>
      </c>
      <c r="Y913" s="325">
        <v>0</v>
      </c>
    </row>
    <row r="914" spans="1:25" x14ac:dyDescent="0.3">
      <c r="E914" s="250" t="s">
        <v>1881</v>
      </c>
      <c r="F914" s="317">
        <v>4502502</v>
      </c>
      <c r="G914" s="318"/>
      <c r="H914" s="319">
        <v>7301010101</v>
      </c>
      <c r="I914" s="320"/>
      <c r="J914" s="337">
        <v>0</v>
      </c>
      <c r="K914" s="321">
        <v>0</v>
      </c>
      <c r="L914" s="321">
        <v>0</v>
      </c>
      <c r="M914" s="321">
        <v>0</v>
      </c>
      <c r="N914" s="321">
        <v>0</v>
      </c>
      <c r="O914" s="321">
        <v>0</v>
      </c>
      <c r="P914" s="321">
        <v>0</v>
      </c>
      <c r="Q914" s="321">
        <v>0</v>
      </c>
      <c r="R914" s="321">
        <v>0</v>
      </c>
      <c r="S914" s="321">
        <v>0</v>
      </c>
      <c r="T914" s="321">
        <v>0</v>
      </c>
      <c r="U914" s="322">
        <v>0</v>
      </c>
      <c r="V914" s="323">
        <v>0</v>
      </c>
      <c r="W914" s="303"/>
      <c r="X914" s="324">
        <v>0</v>
      </c>
      <c r="Y914" s="325">
        <v>0</v>
      </c>
    </row>
    <row r="915" spans="1:25" x14ac:dyDescent="0.3">
      <c r="E915" s="250" t="s">
        <v>1882</v>
      </c>
      <c r="F915" s="317">
        <v>4502510</v>
      </c>
      <c r="G915" s="318"/>
      <c r="H915" s="319"/>
      <c r="I915" s="320"/>
      <c r="J915" s="337">
        <v>0</v>
      </c>
      <c r="K915" s="321">
        <v>0</v>
      </c>
      <c r="L915" s="321">
        <v>0</v>
      </c>
      <c r="M915" s="321">
        <v>0</v>
      </c>
      <c r="N915" s="321">
        <v>0</v>
      </c>
      <c r="O915" s="321">
        <v>0</v>
      </c>
      <c r="P915" s="321">
        <v>0</v>
      </c>
      <c r="Q915" s="321">
        <v>0</v>
      </c>
      <c r="R915" s="321">
        <v>0</v>
      </c>
      <c r="S915" s="321">
        <v>0</v>
      </c>
      <c r="T915" s="321">
        <v>0</v>
      </c>
      <c r="U915" s="322">
        <v>0</v>
      </c>
      <c r="V915" s="323">
        <v>0</v>
      </c>
      <c r="W915" s="303"/>
      <c r="X915" s="324">
        <v>0</v>
      </c>
      <c r="Y915" s="325">
        <v>0</v>
      </c>
    </row>
    <row r="916" spans="1:25" x14ac:dyDescent="0.3">
      <c r="E916" s="250" t="s">
        <v>1883</v>
      </c>
      <c r="F916" s="317">
        <v>4502503</v>
      </c>
      <c r="G916" s="318"/>
      <c r="H916" s="319"/>
      <c r="I916" s="320"/>
      <c r="J916" s="337">
        <v>0</v>
      </c>
      <c r="K916" s="321">
        <v>0</v>
      </c>
      <c r="L916" s="321">
        <v>0</v>
      </c>
      <c r="M916" s="321">
        <v>0</v>
      </c>
      <c r="N916" s="321">
        <v>0</v>
      </c>
      <c r="O916" s="321">
        <v>0</v>
      </c>
      <c r="P916" s="321">
        <v>0</v>
      </c>
      <c r="Q916" s="321">
        <v>0</v>
      </c>
      <c r="R916" s="321">
        <v>0</v>
      </c>
      <c r="S916" s="321">
        <v>0</v>
      </c>
      <c r="T916" s="321">
        <v>0</v>
      </c>
      <c r="U916" s="322">
        <v>0</v>
      </c>
      <c r="V916" s="323">
        <v>0</v>
      </c>
      <c r="W916" s="303"/>
      <c r="X916" s="324">
        <v>0</v>
      </c>
      <c r="Y916" s="325">
        <v>0</v>
      </c>
    </row>
    <row r="917" spans="1:25" x14ac:dyDescent="0.3">
      <c r="E917" s="250" t="s">
        <v>1884</v>
      </c>
      <c r="F917" s="317">
        <v>4502508</v>
      </c>
      <c r="G917" s="318"/>
      <c r="H917" s="319"/>
      <c r="I917" s="320"/>
      <c r="J917" s="337">
        <v>0</v>
      </c>
      <c r="K917" s="321">
        <v>0</v>
      </c>
      <c r="L917" s="321">
        <v>0</v>
      </c>
      <c r="M917" s="321">
        <v>0</v>
      </c>
      <c r="N917" s="321">
        <v>0</v>
      </c>
      <c r="O917" s="321">
        <v>0</v>
      </c>
      <c r="P917" s="321">
        <v>0</v>
      </c>
      <c r="Q917" s="321">
        <v>0</v>
      </c>
      <c r="R917" s="321">
        <v>0</v>
      </c>
      <c r="S917" s="321">
        <v>0</v>
      </c>
      <c r="T917" s="321">
        <v>0</v>
      </c>
      <c r="U917" s="322">
        <v>0</v>
      </c>
      <c r="V917" s="323">
        <v>0</v>
      </c>
      <c r="W917" s="303"/>
      <c r="X917" s="324">
        <v>0</v>
      </c>
      <c r="Y917" s="325">
        <v>0</v>
      </c>
    </row>
    <row r="918" spans="1:25" x14ac:dyDescent="0.3">
      <c r="E918" s="250" t="s">
        <v>1885</v>
      </c>
      <c r="F918" s="317">
        <v>4502504</v>
      </c>
      <c r="G918" s="318"/>
      <c r="H918" s="319"/>
      <c r="I918" s="320"/>
      <c r="J918" s="337">
        <v>0</v>
      </c>
      <c r="K918" s="321">
        <v>0</v>
      </c>
      <c r="L918" s="321">
        <v>0</v>
      </c>
      <c r="M918" s="321">
        <v>0</v>
      </c>
      <c r="N918" s="321">
        <v>0</v>
      </c>
      <c r="O918" s="321">
        <v>0</v>
      </c>
      <c r="P918" s="321">
        <v>0</v>
      </c>
      <c r="Q918" s="321">
        <v>0</v>
      </c>
      <c r="R918" s="321">
        <v>0</v>
      </c>
      <c r="S918" s="321">
        <v>0</v>
      </c>
      <c r="T918" s="321">
        <v>0</v>
      </c>
      <c r="U918" s="322">
        <v>0</v>
      </c>
      <c r="V918" s="323">
        <v>0</v>
      </c>
      <c r="W918" s="303"/>
      <c r="X918" s="324">
        <v>0</v>
      </c>
      <c r="Y918" s="325">
        <v>0</v>
      </c>
    </row>
    <row r="919" spans="1:25" x14ac:dyDescent="0.3">
      <c r="E919" s="250" t="s">
        <v>1886</v>
      </c>
      <c r="F919" s="317">
        <v>4502507</v>
      </c>
      <c r="G919" s="318"/>
      <c r="H919" s="319"/>
      <c r="I919" s="320"/>
      <c r="J919" s="337">
        <v>0</v>
      </c>
      <c r="K919" s="321">
        <v>0</v>
      </c>
      <c r="L919" s="321">
        <v>0</v>
      </c>
      <c r="M919" s="321">
        <v>0</v>
      </c>
      <c r="N919" s="321">
        <v>0</v>
      </c>
      <c r="O919" s="321">
        <v>0</v>
      </c>
      <c r="P919" s="321">
        <v>0</v>
      </c>
      <c r="Q919" s="321">
        <v>0</v>
      </c>
      <c r="R919" s="321">
        <v>0</v>
      </c>
      <c r="S919" s="321">
        <v>0</v>
      </c>
      <c r="T919" s="321">
        <v>0</v>
      </c>
      <c r="U919" s="322">
        <v>0</v>
      </c>
      <c r="V919" s="323">
        <v>0</v>
      </c>
      <c r="W919" s="303"/>
      <c r="X919" s="324">
        <v>0</v>
      </c>
      <c r="Y919" s="325">
        <v>0</v>
      </c>
    </row>
    <row r="920" spans="1:25" x14ac:dyDescent="0.3">
      <c r="E920" s="250" t="s">
        <v>1887</v>
      </c>
      <c r="F920" s="317">
        <v>4502511</v>
      </c>
      <c r="G920" s="318"/>
      <c r="H920" s="319"/>
      <c r="I920" s="320"/>
      <c r="J920" s="337">
        <v>0</v>
      </c>
      <c r="K920" s="321">
        <v>0</v>
      </c>
      <c r="L920" s="321">
        <v>0</v>
      </c>
      <c r="M920" s="321">
        <v>0</v>
      </c>
      <c r="N920" s="321">
        <v>0</v>
      </c>
      <c r="O920" s="321">
        <v>0</v>
      </c>
      <c r="P920" s="321">
        <v>0</v>
      </c>
      <c r="Q920" s="321">
        <v>0</v>
      </c>
      <c r="R920" s="321">
        <v>0</v>
      </c>
      <c r="S920" s="321">
        <v>0</v>
      </c>
      <c r="T920" s="321">
        <v>0</v>
      </c>
      <c r="U920" s="322">
        <v>0</v>
      </c>
      <c r="V920" s="323">
        <v>0</v>
      </c>
      <c r="W920" s="303"/>
      <c r="X920" s="324">
        <v>0</v>
      </c>
      <c r="Y920" s="325">
        <v>0</v>
      </c>
    </row>
    <row r="921" spans="1:25" x14ac:dyDescent="0.3">
      <c r="E921" s="250" t="s">
        <v>1888</v>
      </c>
      <c r="F921" s="317">
        <v>4502506</v>
      </c>
      <c r="G921" s="318"/>
      <c r="H921" s="319"/>
      <c r="I921" s="320"/>
      <c r="J921" s="337">
        <v>0</v>
      </c>
      <c r="K921" s="321">
        <v>0</v>
      </c>
      <c r="L921" s="321">
        <v>0</v>
      </c>
      <c r="M921" s="321">
        <v>0</v>
      </c>
      <c r="N921" s="321">
        <v>0</v>
      </c>
      <c r="O921" s="321">
        <v>0</v>
      </c>
      <c r="P921" s="321">
        <v>0</v>
      </c>
      <c r="Q921" s="321">
        <v>0</v>
      </c>
      <c r="R921" s="321">
        <v>0</v>
      </c>
      <c r="S921" s="321">
        <v>0</v>
      </c>
      <c r="T921" s="321">
        <v>0</v>
      </c>
      <c r="U921" s="322">
        <v>0</v>
      </c>
      <c r="V921" s="323">
        <v>0</v>
      </c>
      <c r="W921" s="303"/>
      <c r="X921" s="324">
        <v>0</v>
      </c>
      <c r="Y921" s="325">
        <v>0</v>
      </c>
    </row>
    <row r="922" spans="1:25" x14ac:dyDescent="0.3">
      <c r="E922" s="250" t="s">
        <v>1889</v>
      </c>
      <c r="F922" s="317">
        <v>4502509</v>
      </c>
      <c r="G922" s="318"/>
      <c r="H922" s="319"/>
      <c r="I922" s="320"/>
      <c r="J922" s="337">
        <v>0</v>
      </c>
      <c r="K922" s="321">
        <v>0</v>
      </c>
      <c r="L922" s="321">
        <v>0</v>
      </c>
      <c r="M922" s="321">
        <v>5</v>
      </c>
      <c r="N922" s="321">
        <v>0</v>
      </c>
      <c r="O922" s="321">
        <v>0</v>
      </c>
      <c r="P922" s="321">
        <v>0</v>
      </c>
      <c r="Q922" s="321">
        <v>0</v>
      </c>
      <c r="R922" s="321">
        <v>0</v>
      </c>
      <c r="S922" s="321">
        <v>0</v>
      </c>
      <c r="T922" s="321">
        <v>4</v>
      </c>
      <c r="U922" s="322">
        <v>0</v>
      </c>
      <c r="V922" s="323">
        <v>9</v>
      </c>
      <c r="W922" s="303"/>
      <c r="X922" s="324">
        <v>0</v>
      </c>
      <c r="Y922" s="325">
        <v>9</v>
      </c>
    </row>
    <row r="923" spans="1:25" x14ac:dyDescent="0.3">
      <c r="E923" s="250" t="s">
        <v>1890</v>
      </c>
      <c r="F923" s="317">
        <v>4502512</v>
      </c>
      <c r="G923" s="318"/>
      <c r="H923" s="319"/>
      <c r="I923" s="320"/>
      <c r="J923" s="337">
        <v>0</v>
      </c>
      <c r="K923" s="321">
        <v>0</v>
      </c>
      <c r="L923" s="321">
        <v>0</v>
      </c>
      <c r="M923" s="321">
        <v>0</v>
      </c>
      <c r="N923" s="321">
        <v>0</v>
      </c>
      <c r="O923" s="321">
        <v>0</v>
      </c>
      <c r="P923" s="321">
        <v>0</v>
      </c>
      <c r="Q923" s="321">
        <v>0</v>
      </c>
      <c r="R923" s="321">
        <v>0</v>
      </c>
      <c r="S923" s="321">
        <v>0</v>
      </c>
      <c r="T923" s="321">
        <v>0</v>
      </c>
      <c r="U923" s="322">
        <v>9746.8790000000008</v>
      </c>
      <c r="V923" s="323">
        <v>9746.8790000000008</v>
      </c>
      <c r="W923" s="303"/>
      <c r="X923" s="324">
        <v>9746.8790000000008</v>
      </c>
      <c r="Y923" s="325">
        <v>9746.8790000000008</v>
      </c>
    </row>
    <row r="924" spans="1:25" x14ac:dyDescent="0.3">
      <c r="E924" s="250" t="s">
        <v>1891</v>
      </c>
      <c r="F924" s="317">
        <v>4502505</v>
      </c>
      <c r="G924" s="318"/>
      <c r="H924" s="319"/>
      <c r="I924" s="320"/>
      <c r="J924" s="337">
        <v>0</v>
      </c>
      <c r="K924" s="321">
        <v>0</v>
      </c>
      <c r="L924" s="321">
        <v>0</v>
      </c>
      <c r="M924" s="321">
        <v>0</v>
      </c>
      <c r="N924" s="321">
        <v>0</v>
      </c>
      <c r="O924" s="321">
        <v>0</v>
      </c>
      <c r="P924" s="321">
        <v>0</v>
      </c>
      <c r="Q924" s="321">
        <v>0</v>
      </c>
      <c r="R924" s="321">
        <v>0</v>
      </c>
      <c r="S924" s="321">
        <v>0</v>
      </c>
      <c r="T924" s="321">
        <v>0</v>
      </c>
      <c r="U924" s="322">
        <v>0</v>
      </c>
      <c r="V924" s="323">
        <v>0</v>
      </c>
      <c r="W924" s="303"/>
      <c r="X924" s="324">
        <v>0</v>
      </c>
      <c r="Y924" s="325">
        <v>0</v>
      </c>
    </row>
    <row r="925" spans="1:25" x14ac:dyDescent="0.3">
      <c r="E925" s="250" t="s">
        <v>1892</v>
      </c>
      <c r="F925" s="317">
        <v>4502590</v>
      </c>
      <c r="G925" s="318"/>
      <c r="H925" s="319"/>
      <c r="I925" s="320"/>
      <c r="J925" s="337">
        <v>0</v>
      </c>
      <c r="K925" s="321">
        <v>0</v>
      </c>
      <c r="L925" s="321">
        <v>0</v>
      </c>
      <c r="M925" s="321">
        <v>0</v>
      </c>
      <c r="N925" s="321">
        <v>0</v>
      </c>
      <c r="O925" s="321">
        <v>0</v>
      </c>
      <c r="P925" s="321">
        <v>0</v>
      </c>
      <c r="Q925" s="321">
        <v>0</v>
      </c>
      <c r="R925" s="321">
        <v>0</v>
      </c>
      <c r="S925" s="321">
        <v>0</v>
      </c>
      <c r="T925" s="321">
        <v>0</v>
      </c>
      <c r="U925" s="322">
        <v>0</v>
      </c>
      <c r="V925" s="323">
        <v>0</v>
      </c>
      <c r="W925" s="303"/>
      <c r="X925" s="324">
        <v>0</v>
      </c>
      <c r="Y925" s="325">
        <v>0</v>
      </c>
    </row>
    <row r="926" spans="1:25" x14ac:dyDescent="0.3">
      <c r="E926" s="250" t="s">
        <v>1893</v>
      </c>
      <c r="F926" s="317">
        <v>4502599</v>
      </c>
      <c r="G926" s="318"/>
      <c r="H926" s="319"/>
      <c r="I926" s="320"/>
      <c r="J926" s="337">
        <v>0</v>
      </c>
      <c r="K926" s="321">
        <v>0</v>
      </c>
      <c r="L926" s="321">
        <v>0</v>
      </c>
      <c r="M926" s="321">
        <v>0</v>
      </c>
      <c r="N926" s="321">
        <v>0</v>
      </c>
      <c r="O926" s="321">
        <v>0</v>
      </c>
      <c r="P926" s="321">
        <v>0</v>
      </c>
      <c r="Q926" s="321">
        <v>0</v>
      </c>
      <c r="R926" s="321">
        <v>0</v>
      </c>
      <c r="S926" s="321">
        <v>0</v>
      </c>
      <c r="T926" s="321">
        <v>0</v>
      </c>
      <c r="U926" s="322">
        <v>0</v>
      </c>
      <c r="V926" s="323">
        <v>0</v>
      </c>
      <c r="W926" s="303"/>
      <c r="X926" s="324">
        <v>0</v>
      </c>
      <c r="Y926" s="325">
        <v>0</v>
      </c>
    </row>
    <row r="927" spans="1:25" x14ac:dyDescent="0.3">
      <c r="A927" s="361"/>
      <c r="B927" s="361"/>
      <c r="C927" s="361"/>
      <c r="D927" s="361"/>
      <c r="E927" s="326" t="s">
        <v>1894</v>
      </c>
      <c r="F927" s="351"/>
      <c r="G927" s="352"/>
      <c r="H927" s="353"/>
      <c r="I927" s="354"/>
      <c r="J927" s="362">
        <v>0</v>
      </c>
      <c r="K927" s="355">
        <v>0</v>
      </c>
      <c r="L927" s="355">
        <v>0</v>
      </c>
      <c r="M927" s="355">
        <v>0</v>
      </c>
      <c r="N927" s="355">
        <v>0</v>
      </c>
      <c r="O927" s="355">
        <v>0</v>
      </c>
      <c r="P927" s="355">
        <v>0</v>
      </c>
      <c r="Q927" s="355">
        <v>0</v>
      </c>
      <c r="R927" s="355">
        <v>0</v>
      </c>
      <c r="S927" s="355">
        <v>0</v>
      </c>
      <c r="T927" s="355">
        <v>0</v>
      </c>
      <c r="U927" s="356">
        <v>0</v>
      </c>
      <c r="V927" s="357">
        <v>0</v>
      </c>
      <c r="W927" s="358"/>
      <c r="X927" s="359">
        <v>0</v>
      </c>
      <c r="Y927" s="360">
        <v>0</v>
      </c>
    </row>
    <row r="928" spans="1:25" x14ac:dyDescent="0.3">
      <c r="A928" s="361"/>
      <c r="B928" s="361"/>
      <c r="C928" s="361"/>
      <c r="D928" s="361"/>
      <c r="E928" s="326" t="s">
        <v>1894</v>
      </c>
      <c r="F928" s="351"/>
      <c r="G928" s="352"/>
      <c r="H928" s="353"/>
      <c r="I928" s="354"/>
      <c r="J928" s="362">
        <v>0</v>
      </c>
      <c r="K928" s="355">
        <v>0</v>
      </c>
      <c r="L928" s="355">
        <v>0</v>
      </c>
      <c r="M928" s="355">
        <v>0</v>
      </c>
      <c r="N928" s="355">
        <v>0</v>
      </c>
      <c r="O928" s="355">
        <v>0</v>
      </c>
      <c r="P928" s="355">
        <v>0</v>
      </c>
      <c r="Q928" s="355">
        <v>0</v>
      </c>
      <c r="R928" s="355">
        <v>0</v>
      </c>
      <c r="S928" s="355">
        <v>0</v>
      </c>
      <c r="T928" s="355">
        <v>0</v>
      </c>
      <c r="U928" s="356">
        <v>0</v>
      </c>
      <c r="V928" s="357">
        <v>0</v>
      </c>
      <c r="W928" s="358"/>
      <c r="X928" s="359">
        <v>0</v>
      </c>
      <c r="Y928" s="360">
        <v>0</v>
      </c>
    </row>
    <row r="929" spans="1:25" x14ac:dyDescent="0.3">
      <c r="A929" s="361"/>
      <c r="B929" s="361"/>
      <c r="C929" s="361"/>
      <c r="D929" s="361"/>
      <c r="E929" s="326" t="s">
        <v>1895</v>
      </c>
      <c r="F929" s="351"/>
      <c r="G929" s="352"/>
      <c r="H929" s="353"/>
      <c r="I929" s="354"/>
      <c r="J929" s="362">
        <v>0</v>
      </c>
      <c r="K929" s="355">
        <v>0</v>
      </c>
      <c r="L929" s="355">
        <v>0</v>
      </c>
      <c r="M929" s="355">
        <v>0</v>
      </c>
      <c r="N929" s="355">
        <v>0</v>
      </c>
      <c r="O929" s="355">
        <v>0</v>
      </c>
      <c r="P929" s="355">
        <v>0</v>
      </c>
      <c r="Q929" s="355">
        <v>0</v>
      </c>
      <c r="R929" s="355">
        <v>0</v>
      </c>
      <c r="S929" s="355">
        <v>0</v>
      </c>
      <c r="T929" s="355">
        <v>0</v>
      </c>
      <c r="U929" s="356">
        <v>0</v>
      </c>
      <c r="V929" s="357">
        <v>0</v>
      </c>
      <c r="W929" s="358"/>
      <c r="X929" s="359">
        <v>0</v>
      </c>
      <c r="Y929" s="360">
        <v>0</v>
      </c>
    </row>
    <row r="930" spans="1:25" x14ac:dyDescent="0.3">
      <c r="A930" s="233"/>
      <c r="B930" s="234" t="s">
        <v>55</v>
      </c>
      <c r="D930" s="293" t="s">
        <v>1896</v>
      </c>
      <c r="E930" s="294"/>
      <c r="F930" s="295" t="s">
        <v>1897</v>
      </c>
      <c r="G930" s="296"/>
      <c r="H930" s="297"/>
      <c r="I930" s="298"/>
      <c r="J930" s="299">
        <v>0</v>
      </c>
      <c r="K930" s="300">
        <v>0</v>
      </c>
      <c r="L930" s="300">
        <v>0</v>
      </c>
      <c r="M930" s="300">
        <v>0</v>
      </c>
      <c r="N930" s="300">
        <v>0</v>
      </c>
      <c r="O930" s="300">
        <v>0</v>
      </c>
      <c r="P930" s="300">
        <v>0</v>
      </c>
      <c r="Q930" s="300">
        <v>0</v>
      </c>
      <c r="R930" s="300">
        <v>0</v>
      </c>
      <c r="S930" s="300">
        <v>0</v>
      </c>
      <c r="T930" s="300">
        <v>0</v>
      </c>
      <c r="U930" s="301">
        <v>0</v>
      </c>
      <c r="V930" s="302">
        <v>0</v>
      </c>
      <c r="W930" s="303"/>
      <c r="X930" s="304">
        <v>0</v>
      </c>
      <c r="Y930" s="305">
        <v>0</v>
      </c>
    </row>
    <row r="931" spans="1:25" x14ac:dyDescent="0.3">
      <c r="E931" s="250" t="s">
        <v>1898</v>
      </c>
      <c r="F931" s="317">
        <v>4503007</v>
      </c>
      <c r="G931" s="318"/>
      <c r="H931" s="319"/>
      <c r="I931" s="320"/>
      <c r="J931" s="337">
        <v>0</v>
      </c>
      <c r="K931" s="321">
        <v>0</v>
      </c>
      <c r="L931" s="321">
        <v>0</v>
      </c>
      <c r="M931" s="321">
        <v>0</v>
      </c>
      <c r="N931" s="321">
        <v>0</v>
      </c>
      <c r="O931" s="321">
        <v>0</v>
      </c>
      <c r="P931" s="321">
        <v>0</v>
      </c>
      <c r="Q931" s="321">
        <v>0</v>
      </c>
      <c r="R931" s="321">
        <v>0</v>
      </c>
      <c r="S931" s="321">
        <v>0</v>
      </c>
      <c r="T931" s="321">
        <v>0</v>
      </c>
      <c r="U931" s="322">
        <v>0</v>
      </c>
      <c r="V931" s="323">
        <v>0</v>
      </c>
      <c r="W931" s="303"/>
      <c r="X931" s="324">
        <v>0</v>
      </c>
      <c r="Y931" s="325">
        <v>0</v>
      </c>
    </row>
    <row r="932" spans="1:25" x14ac:dyDescent="0.3">
      <c r="E932" s="250" t="s">
        <v>1899</v>
      </c>
      <c r="F932" s="317">
        <v>4503010</v>
      </c>
      <c r="G932" s="318"/>
      <c r="H932" s="319"/>
      <c r="I932" s="320"/>
      <c r="J932" s="337">
        <v>0</v>
      </c>
      <c r="K932" s="321">
        <v>0</v>
      </c>
      <c r="L932" s="321">
        <v>0</v>
      </c>
      <c r="M932" s="321">
        <v>0</v>
      </c>
      <c r="N932" s="321">
        <v>0</v>
      </c>
      <c r="O932" s="321">
        <v>0</v>
      </c>
      <c r="P932" s="321">
        <v>0</v>
      </c>
      <c r="Q932" s="321">
        <v>0</v>
      </c>
      <c r="R932" s="321">
        <v>0</v>
      </c>
      <c r="S932" s="321">
        <v>0</v>
      </c>
      <c r="T932" s="321">
        <v>0</v>
      </c>
      <c r="U932" s="322">
        <v>0</v>
      </c>
      <c r="V932" s="323">
        <v>0</v>
      </c>
      <c r="W932" s="303"/>
      <c r="X932" s="324">
        <v>0</v>
      </c>
      <c r="Y932" s="325">
        <v>0</v>
      </c>
    </row>
    <row r="933" spans="1:25" x14ac:dyDescent="0.3">
      <c r="E933" s="250" t="s">
        <v>1900</v>
      </c>
      <c r="F933" s="317">
        <v>4503006</v>
      </c>
      <c r="G933" s="318"/>
      <c r="H933" s="319"/>
      <c r="I933" s="320"/>
      <c r="J933" s="337">
        <v>0</v>
      </c>
      <c r="K933" s="321">
        <v>0</v>
      </c>
      <c r="L933" s="321">
        <v>0</v>
      </c>
      <c r="M933" s="321">
        <v>0</v>
      </c>
      <c r="N933" s="321">
        <v>0</v>
      </c>
      <c r="O933" s="321">
        <v>0</v>
      </c>
      <c r="P933" s="321">
        <v>0</v>
      </c>
      <c r="Q933" s="321">
        <v>0</v>
      </c>
      <c r="R933" s="321">
        <v>0</v>
      </c>
      <c r="S933" s="321">
        <v>0</v>
      </c>
      <c r="T933" s="321">
        <v>0</v>
      </c>
      <c r="U933" s="322">
        <v>0</v>
      </c>
      <c r="V933" s="323">
        <v>0</v>
      </c>
      <c r="W933" s="303"/>
      <c r="X933" s="324">
        <v>0</v>
      </c>
      <c r="Y933" s="325">
        <v>0</v>
      </c>
    </row>
    <row r="934" spans="1:25" x14ac:dyDescent="0.3">
      <c r="E934" s="250" t="s">
        <v>1901</v>
      </c>
      <c r="F934" s="317">
        <v>4503002</v>
      </c>
      <c r="G934" s="318"/>
      <c r="H934" s="319"/>
      <c r="I934" s="320"/>
      <c r="J934" s="337">
        <v>0</v>
      </c>
      <c r="K934" s="321">
        <v>0</v>
      </c>
      <c r="L934" s="321">
        <v>0</v>
      </c>
      <c r="M934" s="321">
        <v>0</v>
      </c>
      <c r="N934" s="321">
        <v>0</v>
      </c>
      <c r="O934" s="321">
        <v>0</v>
      </c>
      <c r="P934" s="321">
        <v>0</v>
      </c>
      <c r="Q934" s="321">
        <v>0</v>
      </c>
      <c r="R934" s="321">
        <v>0</v>
      </c>
      <c r="S934" s="321">
        <v>0</v>
      </c>
      <c r="T934" s="321">
        <v>0</v>
      </c>
      <c r="U934" s="322">
        <v>0</v>
      </c>
      <c r="V934" s="323">
        <v>0</v>
      </c>
      <c r="W934" s="303"/>
      <c r="X934" s="324">
        <v>0</v>
      </c>
      <c r="Y934" s="325">
        <v>0</v>
      </c>
    </row>
    <row r="935" spans="1:25" x14ac:dyDescent="0.3">
      <c r="E935" s="250" t="s">
        <v>1902</v>
      </c>
      <c r="F935" s="317">
        <v>4503001</v>
      </c>
      <c r="G935" s="318"/>
      <c r="H935" s="319"/>
      <c r="I935" s="320"/>
      <c r="J935" s="337">
        <v>0</v>
      </c>
      <c r="K935" s="321">
        <v>0</v>
      </c>
      <c r="L935" s="321">
        <v>0</v>
      </c>
      <c r="M935" s="321">
        <v>0</v>
      </c>
      <c r="N935" s="321">
        <v>0</v>
      </c>
      <c r="O935" s="321">
        <v>0</v>
      </c>
      <c r="P935" s="321">
        <v>0</v>
      </c>
      <c r="Q935" s="321">
        <v>0</v>
      </c>
      <c r="R935" s="321">
        <v>0</v>
      </c>
      <c r="S935" s="321">
        <v>0</v>
      </c>
      <c r="T935" s="321">
        <v>0</v>
      </c>
      <c r="U935" s="322">
        <v>0</v>
      </c>
      <c r="V935" s="323">
        <v>0</v>
      </c>
      <c r="W935" s="303"/>
      <c r="X935" s="324">
        <v>0</v>
      </c>
      <c r="Y935" s="325">
        <v>0</v>
      </c>
    </row>
    <row r="936" spans="1:25" x14ac:dyDescent="0.3">
      <c r="E936" s="250" t="s">
        <v>1903</v>
      </c>
      <c r="F936" s="317">
        <v>4503008</v>
      </c>
      <c r="G936" s="318"/>
      <c r="H936" s="319">
        <v>7301050101</v>
      </c>
      <c r="I936" s="320"/>
      <c r="J936" s="337">
        <v>0</v>
      </c>
      <c r="K936" s="321">
        <v>0</v>
      </c>
      <c r="L936" s="321">
        <v>0</v>
      </c>
      <c r="M936" s="321">
        <v>0</v>
      </c>
      <c r="N936" s="321">
        <v>0</v>
      </c>
      <c r="O936" s="321">
        <v>0</v>
      </c>
      <c r="P936" s="321">
        <v>0</v>
      </c>
      <c r="Q936" s="321">
        <v>0</v>
      </c>
      <c r="R936" s="321">
        <v>0</v>
      </c>
      <c r="S936" s="321">
        <v>0</v>
      </c>
      <c r="T936" s="321">
        <v>0</v>
      </c>
      <c r="U936" s="322">
        <v>0</v>
      </c>
      <c r="V936" s="323">
        <v>0</v>
      </c>
      <c r="W936" s="303"/>
      <c r="X936" s="324">
        <v>0</v>
      </c>
      <c r="Y936" s="325">
        <v>0</v>
      </c>
    </row>
    <row r="937" spans="1:25" x14ac:dyDescent="0.3">
      <c r="E937" s="250" t="s">
        <v>1904</v>
      </c>
      <c r="F937" s="317">
        <v>4503011</v>
      </c>
      <c r="G937" s="318"/>
      <c r="H937" s="319"/>
      <c r="I937" s="320"/>
      <c r="J937" s="337">
        <v>0</v>
      </c>
      <c r="K937" s="321">
        <v>0</v>
      </c>
      <c r="L937" s="321">
        <v>0</v>
      </c>
      <c r="M937" s="321">
        <v>0</v>
      </c>
      <c r="N937" s="321">
        <v>0</v>
      </c>
      <c r="O937" s="321">
        <v>0</v>
      </c>
      <c r="P937" s="321">
        <v>0</v>
      </c>
      <c r="Q937" s="321">
        <v>0</v>
      </c>
      <c r="R937" s="321">
        <v>0</v>
      </c>
      <c r="S937" s="321">
        <v>0</v>
      </c>
      <c r="T937" s="321">
        <v>0</v>
      </c>
      <c r="U937" s="322">
        <v>0</v>
      </c>
      <c r="V937" s="323">
        <v>0</v>
      </c>
      <c r="W937" s="303"/>
      <c r="X937" s="324">
        <v>0</v>
      </c>
      <c r="Y937" s="325">
        <v>0</v>
      </c>
    </row>
    <row r="938" spans="1:25" x14ac:dyDescent="0.3">
      <c r="E938" s="250" t="s">
        <v>1905</v>
      </c>
      <c r="F938" s="317">
        <v>4503012</v>
      </c>
      <c r="G938" s="318"/>
      <c r="H938" s="319"/>
      <c r="I938" s="320"/>
      <c r="J938" s="337">
        <v>0</v>
      </c>
      <c r="K938" s="321">
        <v>0</v>
      </c>
      <c r="L938" s="321">
        <v>0</v>
      </c>
      <c r="M938" s="321">
        <v>0</v>
      </c>
      <c r="N938" s="321">
        <v>0</v>
      </c>
      <c r="O938" s="321">
        <v>0</v>
      </c>
      <c r="P938" s="321">
        <v>0</v>
      </c>
      <c r="Q938" s="321">
        <v>0</v>
      </c>
      <c r="R938" s="321">
        <v>0</v>
      </c>
      <c r="S938" s="321">
        <v>0</v>
      </c>
      <c r="T938" s="321">
        <v>0</v>
      </c>
      <c r="U938" s="322">
        <v>0</v>
      </c>
      <c r="V938" s="323">
        <v>0</v>
      </c>
      <c r="W938" s="303"/>
      <c r="X938" s="324">
        <v>0</v>
      </c>
      <c r="Y938" s="325">
        <v>0</v>
      </c>
    </row>
    <row r="939" spans="1:25" x14ac:dyDescent="0.3">
      <c r="E939" s="250" t="s">
        <v>1906</v>
      </c>
      <c r="F939" s="317">
        <v>4503003</v>
      </c>
      <c r="G939" s="318"/>
      <c r="H939" s="319"/>
      <c r="I939" s="320"/>
      <c r="J939" s="337">
        <v>0</v>
      </c>
      <c r="K939" s="321">
        <v>0</v>
      </c>
      <c r="L939" s="321">
        <v>0</v>
      </c>
      <c r="M939" s="321">
        <v>0</v>
      </c>
      <c r="N939" s="321">
        <v>0</v>
      </c>
      <c r="O939" s="321">
        <v>0</v>
      </c>
      <c r="P939" s="321">
        <v>0</v>
      </c>
      <c r="Q939" s="321">
        <v>0</v>
      </c>
      <c r="R939" s="321">
        <v>0</v>
      </c>
      <c r="S939" s="321">
        <v>0</v>
      </c>
      <c r="T939" s="321">
        <v>0</v>
      </c>
      <c r="U939" s="322">
        <v>0</v>
      </c>
      <c r="V939" s="323">
        <v>0</v>
      </c>
      <c r="W939" s="303"/>
      <c r="X939" s="324">
        <v>0</v>
      </c>
      <c r="Y939" s="325">
        <v>0</v>
      </c>
    </row>
    <row r="940" spans="1:25" x14ac:dyDescent="0.3">
      <c r="E940" s="250" t="s">
        <v>1907</v>
      </c>
      <c r="F940" s="317">
        <v>4503004</v>
      </c>
      <c r="G940" s="318"/>
      <c r="H940" s="319"/>
      <c r="I940" s="320"/>
      <c r="J940" s="337">
        <v>0</v>
      </c>
      <c r="K940" s="321">
        <v>0</v>
      </c>
      <c r="L940" s="321">
        <v>0</v>
      </c>
      <c r="M940" s="321">
        <v>0</v>
      </c>
      <c r="N940" s="321">
        <v>0</v>
      </c>
      <c r="O940" s="321">
        <v>0</v>
      </c>
      <c r="P940" s="321">
        <v>0</v>
      </c>
      <c r="Q940" s="321">
        <v>0</v>
      </c>
      <c r="R940" s="321">
        <v>0</v>
      </c>
      <c r="S940" s="321">
        <v>0</v>
      </c>
      <c r="T940" s="321">
        <v>0</v>
      </c>
      <c r="U940" s="322">
        <v>0</v>
      </c>
      <c r="V940" s="323">
        <v>0</v>
      </c>
      <c r="W940" s="303"/>
      <c r="X940" s="324">
        <v>0</v>
      </c>
      <c r="Y940" s="325">
        <v>0</v>
      </c>
    </row>
    <row r="941" spans="1:25" x14ac:dyDescent="0.3">
      <c r="E941" s="250" t="s">
        <v>1908</v>
      </c>
      <c r="F941" s="317">
        <v>4503005</v>
      </c>
      <c r="G941" s="318"/>
      <c r="H941" s="319"/>
      <c r="I941" s="320"/>
      <c r="J941" s="337">
        <v>0</v>
      </c>
      <c r="K941" s="321">
        <v>0</v>
      </c>
      <c r="L941" s="321">
        <v>0</v>
      </c>
      <c r="M941" s="321">
        <v>0</v>
      </c>
      <c r="N941" s="321">
        <v>0</v>
      </c>
      <c r="O941" s="321">
        <v>0</v>
      </c>
      <c r="P941" s="321">
        <v>0</v>
      </c>
      <c r="Q941" s="321">
        <v>0</v>
      </c>
      <c r="R941" s="321">
        <v>0</v>
      </c>
      <c r="S941" s="321">
        <v>0</v>
      </c>
      <c r="T941" s="321">
        <v>0</v>
      </c>
      <c r="U941" s="322">
        <v>0</v>
      </c>
      <c r="V941" s="323">
        <v>0</v>
      </c>
      <c r="W941" s="303"/>
      <c r="X941" s="324">
        <v>0</v>
      </c>
      <c r="Y941" s="325">
        <v>0</v>
      </c>
    </row>
    <row r="942" spans="1:25" x14ac:dyDescent="0.3">
      <c r="E942" s="250" t="s">
        <v>1909</v>
      </c>
      <c r="F942" s="317">
        <v>4503009</v>
      </c>
      <c r="G942" s="318"/>
      <c r="H942" s="319"/>
      <c r="I942" s="320"/>
      <c r="J942" s="337">
        <v>0</v>
      </c>
      <c r="K942" s="321">
        <v>0</v>
      </c>
      <c r="L942" s="321">
        <v>0</v>
      </c>
      <c r="M942" s="321">
        <v>0</v>
      </c>
      <c r="N942" s="321">
        <v>0</v>
      </c>
      <c r="O942" s="321">
        <v>0</v>
      </c>
      <c r="P942" s="321">
        <v>0</v>
      </c>
      <c r="Q942" s="321">
        <v>0</v>
      </c>
      <c r="R942" s="321">
        <v>0</v>
      </c>
      <c r="S942" s="321">
        <v>0</v>
      </c>
      <c r="T942" s="321">
        <v>0</v>
      </c>
      <c r="U942" s="322">
        <v>0</v>
      </c>
      <c r="V942" s="323">
        <v>0</v>
      </c>
      <c r="W942" s="303"/>
      <c r="X942" s="324">
        <v>0</v>
      </c>
      <c r="Y942" s="325">
        <v>0</v>
      </c>
    </row>
    <row r="943" spans="1:25" x14ac:dyDescent="0.3">
      <c r="A943" s="250"/>
      <c r="B943" s="250"/>
      <c r="C943" s="250"/>
      <c r="D943" s="250"/>
      <c r="E943" s="250" t="s">
        <v>1910</v>
      </c>
      <c r="F943" s="306">
        <v>4505606</v>
      </c>
      <c r="G943" s="307"/>
      <c r="H943" s="308"/>
      <c r="I943" s="309"/>
      <c r="J943" s="310">
        <v>0</v>
      </c>
      <c r="K943" s="311">
        <v>0</v>
      </c>
      <c r="L943" s="311">
        <v>0</v>
      </c>
      <c r="M943" s="311">
        <v>0</v>
      </c>
      <c r="N943" s="311">
        <v>0</v>
      </c>
      <c r="O943" s="311">
        <v>0</v>
      </c>
      <c r="P943" s="311">
        <v>0</v>
      </c>
      <c r="Q943" s="311">
        <v>0</v>
      </c>
      <c r="R943" s="311">
        <v>0</v>
      </c>
      <c r="S943" s="311">
        <v>0</v>
      </c>
      <c r="T943" s="311">
        <v>0</v>
      </c>
      <c r="U943" s="312">
        <v>0</v>
      </c>
      <c r="V943" s="313">
        <v>0</v>
      </c>
      <c r="W943" s="314"/>
      <c r="X943" s="315">
        <v>0</v>
      </c>
      <c r="Y943" s="316">
        <v>0</v>
      </c>
    </row>
    <row r="944" spans="1:25" x14ac:dyDescent="0.3">
      <c r="A944" s="250"/>
      <c r="B944" s="250"/>
      <c r="C944" s="250"/>
      <c r="D944" s="250"/>
      <c r="E944" s="250" t="s">
        <v>1911</v>
      </c>
      <c r="F944" s="306">
        <v>4505608</v>
      </c>
      <c r="G944" s="307"/>
      <c r="H944" s="308"/>
      <c r="I944" s="309"/>
      <c r="J944" s="310">
        <v>0</v>
      </c>
      <c r="K944" s="311">
        <v>0</v>
      </c>
      <c r="L944" s="311">
        <v>0</v>
      </c>
      <c r="M944" s="311">
        <v>0</v>
      </c>
      <c r="N944" s="311">
        <v>0</v>
      </c>
      <c r="O944" s="311">
        <v>0</v>
      </c>
      <c r="P944" s="311">
        <v>0</v>
      </c>
      <c r="Q944" s="311">
        <v>0</v>
      </c>
      <c r="R944" s="311">
        <v>0</v>
      </c>
      <c r="S944" s="311">
        <v>0</v>
      </c>
      <c r="T944" s="311">
        <v>0</v>
      </c>
      <c r="U944" s="312">
        <v>0</v>
      </c>
      <c r="V944" s="313">
        <v>0</v>
      </c>
      <c r="W944" s="314"/>
      <c r="X944" s="315">
        <v>0</v>
      </c>
      <c r="Y944" s="316">
        <v>0</v>
      </c>
    </row>
    <row r="945" spans="1:25" x14ac:dyDescent="0.3">
      <c r="A945" s="326"/>
      <c r="B945" s="326"/>
      <c r="C945" s="326"/>
      <c r="D945" s="326"/>
      <c r="E945" s="326" t="s">
        <v>1912</v>
      </c>
      <c r="F945" s="336"/>
      <c r="G945" s="327"/>
      <c r="H945" s="328"/>
      <c r="I945" s="329"/>
      <c r="J945" s="338">
        <v>0</v>
      </c>
      <c r="K945" s="330">
        <v>0</v>
      </c>
      <c r="L945" s="330">
        <v>0</v>
      </c>
      <c r="M945" s="330">
        <v>0</v>
      </c>
      <c r="N945" s="330">
        <v>0</v>
      </c>
      <c r="O945" s="330">
        <v>0</v>
      </c>
      <c r="P945" s="330">
        <v>0</v>
      </c>
      <c r="Q945" s="330">
        <v>0</v>
      </c>
      <c r="R945" s="330">
        <v>0</v>
      </c>
      <c r="S945" s="330">
        <v>0</v>
      </c>
      <c r="T945" s="330">
        <v>0</v>
      </c>
      <c r="U945" s="331">
        <v>0</v>
      </c>
      <c r="V945" s="332">
        <v>0</v>
      </c>
      <c r="W945" s="333"/>
      <c r="X945" s="334">
        <v>0</v>
      </c>
      <c r="Y945" s="335">
        <v>0</v>
      </c>
    </row>
    <row r="946" spans="1:25" x14ac:dyDescent="0.3">
      <c r="A946" s="326"/>
      <c r="B946" s="326"/>
      <c r="C946" s="326"/>
      <c r="D946" s="326"/>
      <c r="E946" s="326" t="s">
        <v>1913</v>
      </c>
      <c r="F946" s="336"/>
      <c r="G946" s="327"/>
      <c r="H946" s="328"/>
      <c r="I946" s="329"/>
      <c r="J946" s="338">
        <v>0</v>
      </c>
      <c r="K946" s="330">
        <v>0</v>
      </c>
      <c r="L946" s="330">
        <v>0</v>
      </c>
      <c r="M946" s="330">
        <v>0</v>
      </c>
      <c r="N946" s="330">
        <v>0</v>
      </c>
      <c r="O946" s="330">
        <v>0</v>
      </c>
      <c r="P946" s="330">
        <v>0</v>
      </c>
      <c r="Q946" s="330">
        <v>0</v>
      </c>
      <c r="R946" s="330">
        <v>0</v>
      </c>
      <c r="S946" s="330">
        <v>0</v>
      </c>
      <c r="T946" s="330">
        <v>0</v>
      </c>
      <c r="U946" s="331">
        <v>0</v>
      </c>
      <c r="V946" s="332">
        <v>0</v>
      </c>
      <c r="W946" s="333"/>
      <c r="X946" s="334">
        <v>0</v>
      </c>
      <c r="Y946" s="335">
        <v>0</v>
      </c>
    </row>
    <row r="947" spans="1:25" x14ac:dyDescent="0.3">
      <c r="A947" s="326"/>
      <c r="B947" s="326"/>
      <c r="C947" s="326"/>
      <c r="D947" s="326"/>
      <c r="E947" s="326" t="s">
        <v>1914</v>
      </c>
      <c r="F947" s="336"/>
      <c r="G947" s="327"/>
      <c r="H947" s="328"/>
      <c r="I947" s="329"/>
      <c r="J947" s="338">
        <v>0</v>
      </c>
      <c r="K947" s="330">
        <v>0</v>
      </c>
      <c r="L947" s="330">
        <v>0</v>
      </c>
      <c r="M947" s="330">
        <v>0</v>
      </c>
      <c r="N947" s="330">
        <v>0</v>
      </c>
      <c r="O947" s="330">
        <v>0</v>
      </c>
      <c r="P947" s="330">
        <v>0</v>
      </c>
      <c r="Q947" s="330">
        <v>0</v>
      </c>
      <c r="R947" s="330">
        <v>0</v>
      </c>
      <c r="S947" s="330">
        <v>0</v>
      </c>
      <c r="T947" s="330">
        <v>0</v>
      </c>
      <c r="U947" s="331">
        <v>0</v>
      </c>
      <c r="V947" s="332">
        <v>0</v>
      </c>
      <c r="W947" s="333"/>
      <c r="X947" s="334">
        <v>0</v>
      </c>
      <c r="Y947" s="335">
        <v>0</v>
      </c>
    </row>
    <row r="948" spans="1:25" x14ac:dyDescent="0.3">
      <c r="A948" s="233"/>
      <c r="B948" s="234" t="s">
        <v>74</v>
      </c>
      <c r="D948" s="293" t="s">
        <v>1915</v>
      </c>
      <c r="E948" s="294"/>
      <c r="F948" s="295" t="s">
        <v>1916</v>
      </c>
      <c r="G948" s="296"/>
      <c r="H948" s="297"/>
      <c r="I948" s="298"/>
      <c r="J948" s="299">
        <v>0</v>
      </c>
      <c r="K948" s="300">
        <v>0</v>
      </c>
      <c r="L948" s="300">
        <v>0</v>
      </c>
      <c r="M948" s="300">
        <v>0</v>
      </c>
      <c r="N948" s="300">
        <v>0</v>
      </c>
      <c r="O948" s="300">
        <v>0</v>
      </c>
      <c r="P948" s="300">
        <v>0</v>
      </c>
      <c r="Q948" s="300">
        <v>0</v>
      </c>
      <c r="R948" s="300">
        <v>0</v>
      </c>
      <c r="S948" s="300">
        <v>0</v>
      </c>
      <c r="T948" s="300">
        <v>0</v>
      </c>
      <c r="U948" s="301">
        <v>0</v>
      </c>
      <c r="V948" s="302">
        <v>0</v>
      </c>
      <c r="W948" s="303"/>
      <c r="X948" s="304">
        <v>0</v>
      </c>
      <c r="Y948" s="305">
        <v>0</v>
      </c>
    </row>
    <row r="949" spans="1:25" x14ac:dyDescent="0.3">
      <c r="E949" s="250" t="s">
        <v>1917</v>
      </c>
      <c r="F949" s="317">
        <v>4504581</v>
      </c>
      <c r="G949" s="318"/>
      <c r="H949" s="319"/>
      <c r="I949" s="320"/>
      <c r="J949" s="337">
        <v>0</v>
      </c>
      <c r="K949" s="321">
        <v>0</v>
      </c>
      <c r="L949" s="321">
        <v>0</v>
      </c>
      <c r="M949" s="321">
        <v>0</v>
      </c>
      <c r="N949" s="321">
        <v>0</v>
      </c>
      <c r="O949" s="321">
        <v>0</v>
      </c>
      <c r="P949" s="321">
        <v>0</v>
      </c>
      <c r="Q949" s="321">
        <v>0</v>
      </c>
      <c r="R949" s="321">
        <v>0</v>
      </c>
      <c r="S949" s="321">
        <v>0</v>
      </c>
      <c r="T949" s="321">
        <v>0</v>
      </c>
      <c r="U949" s="322">
        <v>0</v>
      </c>
      <c r="V949" s="323">
        <v>0</v>
      </c>
      <c r="W949" s="303"/>
      <c r="X949" s="324">
        <v>0</v>
      </c>
      <c r="Y949" s="325">
        <v>0</v>
      </c>
    </row>
    <row r="950" spans="1:25" x14ac:dyDescent="0.3">
      <c r="E950" s="250" t="s">
        <v>1918</v>
      </c>
      <c r="F950" s="317">
        <v>4504582</v>
      </c>
      <c r="G950" s="318"/>
      <c r="H950" s="319"/>
      <c r="I950" s="320"/>
      <c r="J950" s="337">
        <v>0</v>
      </c>
      <c r="K950" s="321">
        <v>0</v>
      </c>
      <c r="L950" s="321">
        <v>0</v>
      </c>
      <c r="M950" s="321">
        <v>0</v>
      </c>
      <c r="N950" s="321">
        <v>0</v>
      </c>
      <c r="O950" s="321">
        <v>0</v>
      </c>
      <c r="P950" s="321">
        <v>0</v>
      </c>
      <c r="Q950" s="321">
        <v>0</v>
      </c>
      <c r="R950" s="321">
        <v>0</v>
      </c>
      <c r="S950" s="321">
        <v>0</v>
      </c>
      <c r="T950" s="321">
        <v>0</v>
      </c>
      <c r="U950" s="322">
        <v>0</v>
      </c>
      <c r="V950" s="323">
        <v>0</v>
      </c>
      <c r="W950" s="303"/>
      <c r="X950" s="324">
        <v>0</v>
      </c>
      <c r="Y950" s="325">
        <v>0</v>
      </c>
    </row>
    <row r="951" spans="1:25" x14ac:dyDescent="0.3">
      <c r="E951" s="250" t="s">
        <v>1919</v>
      </c>
      <c r="F951" s="317">
        <v>4504580</v>
      </c>
      <c r="G951" s="318"/>
      <c r="H951" s="319"/>
      <c r="I951" s="320"/>
      <c r="J951" s="337">
        <v>0</v>
      </c>
      <c r="K951" s="321">
        <v>0</v>
      </c>
      <c r="L951" s="321">
        <v>0</v>
      </c>
      <c r="M951" s="321">
        <v>0</v>
      </c>
      <c r="N951" s="321">
        <v>0</v>
      </c>
      <c r="O951" s="321">
        <v>0</v>
      </c>
      <c r="P951" s="321">
        <v>0</v>
      </c>
      <c r="Q951" s="321">
        <v>0</v>
      </c>
      <c r="R951" s="321">
        <v>0</v>
      </c>
      <c r="S951" s="321">
        <v>0</v>
      </c>
      <c r="T951" s="321">
        <v>0</v>
      </c>
      <c r="U951" s="322">
        <v>0</v>
      </c>
      <c r="V951" s="323">
        <v>0</v>
      </c>
      <c r="W951" s="303"/>
      <c r="X951" s="324">
        <v>0</v>
      </c>
      <c r="Y951" s="325">
        <v>0</v>
      </c>
    </row>
    <row r="952" spans="1:25" x14ac:dyDescent="0.3">
      <c r="E952" s="250" t="s">
        <v>1920</v>
      </c>
      <c r="F952" s="317">
        <v>4504583</v>
      </c>
      <c r="G952" s="318"/>
      <c r="H952" s="319"/>
      <c r="I952" s="320"/>
      <c r="J952" s="337">
        <v>0</v>
      </c>
      <c r="K952" s="321">
        <v>0</v>
      </c>
      <c r="L952" s="321">
        <v>0</v>
      </c>
      <c r="M952" s="321">
        <v>0</v>
      </c>
      <c r="N952" s="321">
        <v>0</v>
      </c>
      <c r="O952" s="321">
        <v>0</v>
      </c>
      <c r="P952" s="321">
        <v>0</v>
      </c>
      <c r="Q952" s="321">
        <v>0</v>
      </c>
      <c r="R952" s="321">
        <v>0</v>
      </c>
      <c r="S952" s="321">
        <v>0</v>
      </c>
      <c r="T952" s="321">
        <v>0</v>
      </c>
      <c r="U952" s="322">
        <v>0</v>
      </c>
      <c r="V952" s="323">
        <v>0</v>
      </c>
      <c r="W952" s="303"/>
      <c r="X952" s="324">
        <v>0</v>
      </c>
      <c r="Y952" s="325">
        <v>0</v>
      </c>
    </row>
    <row r="953" spans="1:25" x14ac:dyDescent="0.3">
      <c r="E953" s="250" t="s">
        <v>1921</v>
      </c>
      <c r="F953" s="317">
        <v>4504584</v>
      </c>
      <c r="G953" s="318"/>
      <c r="H953" s="319"/>
      <c r="I953" s="320"/>
      <c r="J953" s="337">
        <v>0</v>
      </c>
      <c r="K953" s="321">
        <v>0</v>
      </c>
      <c r="L953" s="321">
        <v>0</v>
      </c>
      <c r="M953" s="321">
        <v>0</v>
      </c>
      <c r="N953" s="321">
        <v>0</v>
      </c>
      <c r="O953" s="321">
        <v>0</v>
      </c>
      <c r="P953" s="321">
        <v>0</v>
      </c>
      <c r="Q953" s="321">
        <v>0</v>
      </c>
      <c r="R953" s="321">
        <v>0</v>
      </c>
      <c r="S953" s="321">
        <v>0</v>
      </c>
      <c r="T953" s="321">
        <v>0</v>
      </c>
      <c r="U953" s="322">
        <v>0</v>
      </c>
      <c r="V953" s="323">
        <v>0</v>
      </c>
      <c r="W953" s="303"/>
      <c r="X953" s="324">
        <v>0</v>
      </c>
      <c r="Y953" s="325">
        <v>0</v>
      </c>
    </row>
    <row r="954" spans="1:25" x14ac:dyDescent="0.3">
      <c r="A954" s="326"/>
      <c r="B954" s="326"/>
      <c r="C954" s="326"/>
      <c r="D954" s="326"/>
      <c r="E954" s="326" t="s">
        <v>1922</v>
      </c>
      <c r="F954" s="336"/>
      <c r="G954" s="327"/>
      <c r="H954" s="328"/>
      <c r="I954" s="329"/>
      <c r="J954" s="338">
        <v>0</v>
      </c>
      <c r="K954" s="330">
        <v>0</v>
      </c>
      <c r="L954" s="330">
        <v>0</v>
      </c>
      <c r="M954" s="330">
        <v>0</v>
      </c>
      <c r="N954" s="330">
        <v>0</v>
      </c>
      <c r="O954" s="330">
        <v>0</v>
      </c>
      <c r="P954" s="330">
        <v>0</v>
      </c>
      <c r="Q954" s="330">
        <v>0</v>
      </c>
      <c r="R954" s="330">
        <v>0</v>
      </c>
      <c r="S954" s="330">
        <v>0</v>
      </c>
      <c r="T954" s="330">
        <v>0</v>
      </c>
      <c r="U954" s="331">
        <v>0</v>
      </c>
      <c r="V954" s="332">
        <v>0</v>
      </c>
      <c r="W954" s="333"/>
      <c r="X954" s="334">
        <v>0</v>
      </c>
      <c r="Y954" s="335">
        <v>0</v>
      </c>
    </row>
    <row r="955" spans="1:25" x14ac:dyDescent="0.3">
      <c r="A955" s="326"/>
      <c r="B955" s="326"/>
      <c r="C955" s="326"/>
      <c r="D955" s="326"/>
      <c r="E955" s="326" t="s">
        <v>1923</v>
      </c>
      <c r="F955" s="336"/>
      <c r="G955" s="327"/>
      <c r="H955" s="328"/>
      <c r="I955" s="329"/>
      <c r="J955" s="338">
        <v>0</v>
      </c>
      <c r="K955" s="330">
        <v>0</v>
      </c>
      <c r="L955" s="330">
        <v>0</v>
      </c>
      <c r="M955" s="330">
        <v>0</v>
      </c>
      <c r="N955" s="330">
        <v>0</v>
      </c>
      <c r="O955" s="330">
        <v>0</v>
      </c>
      <c r="P955" s="330">
        <v>0</v>
      </c>
      <c r="Q955" s="330">
        <v>0</v>
      </c>
      <c r="R955" s="330">
        <v>0</v>
      </c>
      <c r="S955" s="330">
        <v>0</v>
      </c>
      <c r="T955" s="330">
        <v>0</v>
      </c>
      <c r="U955" s="331">
        <v>0</v>
      </c>
      <c r="V955" s="332">
        <v>0</v>
      </c>
      <c r="W955" s="333"/>
      <c r="X955" s="334">
        <v>0</v>
      </c>
      <c r="Y955" s="335">
        <v>0</v>
      </c>
    </row>
    <row r="956" spans="1:25" x14ac:dyDescent="0.3">
      <c r="A956" s="326"/>
      <c r="B956" s="326"/>
      <c r="C956" s="326"/>
      <c r="D956" s="326"/>
      <c r="E956" s="326" t="s">
        <v>1924</v>
      </c>
      <c r="F956" s="336"/>
      <c r="G956" s="327"/>
      <c r="H956" s="328"/>
      <c r="I956" s="329"/>
      <c r="J956" s="338">
        <v>0</v>
      </c>
      <c r="K956" s="330">
        <v>0</v>
      </c>
      <c r="L956" s="330">
        <v>0</v>
      </c>
      <c r="M956" s="330">
        <v>0</v>
      </c>
      <c r="N956" s="330">
        <v>0</v>
      </c>
      <c r="O956" s="330">
        <v>0</v>
      </c>
      <c r="P956" s="330">
        <v>0</v>
      </c>
      <c r="Q956" s="330">
        <v>0</v>
      </c>
      <c r="R956" s="330">
        <v>0</v>
      </c>
      <c r="S956" s="330">
        <v>0</v>
      </c>
      <c r="T956" s="330">
        <v>0</v>
      </c>
      <c r="U956" s="331">
        <v>0</v>
      </c>
      <c r="V956" s="332">
        <v>0</v>
      </c>
      <c r="W956" s="333"/>
      <c r="X956" s="334">
        <v>0</v>
      </c>
      <c r="Y956" s="335">
        <v>0</v>
      </c>
    </row>
    <row r="957" spans="1:25" x14ac:dyDescent="0.3">
      <c r="A957" s="233"/>
      <c r="B957" s="234" t="s">
        <v>74</v>
      </c>
      <c r="D957" s="293" t="s">
        <v>1925</v>
      </c>
      <c r="E957" s="294"/>
      <c r="F957" s="295" t="s">
        <v>1926</v>
      </c>
      <c r="G957" s="296"/>
      <c r="H957" s="297"/>
      <c r="I957" s="298"/>
      <c r="J957" s="299">
        <v>0</v>
      </c>
      <c r="K957" s="300">
        <v>0</v>
      </c>
      <c r="L957" s="300">
        <v>0</v>
      </c>
      <c r="M957" s="300">
        <v>0</v>
      </c>
      <c r="N957" s="300">
        <v>0</v>
      </c>
      <c r="O957" s="300">
        <v>0</v>
      </c>
      <c r="P957" s="300">
        <v>0</v>
      </c>
      <c r="Q957" s="300">
        <v>0</v>
      </c>
      <c r="R957" s="300">
        <v>0</v>
      </c>
      <c r="S957" s="300">
        <v>0</v>
      </c>
      <c r="T957" s="300">
        <v>0</v>
      </c>
      <c r="U957" s="301">
        <v>1030.0930000000001</v>
      </c>
      <c r="V957" s="302">
        <v>1030.0930000000001</v>
      </c>
      <c r="W957" s="303"/>
      <c r="X957" s="304">
        <v>1030.0930000000001</v>
      </c>
      <c r="Y957" s="305">
        <v>1030.0930000000001</v>
      </c>
    </row>
    <row r="958" spans="1:25" x14ac:dyDescent="0.3">
      <c r="A958" s="250"/>
      <c r="B958" s="250"/>
      <c r="C958" s="250"/>
      <c r="D958" s="250"/>
      <c r="E958" s="250" t="s">
        <v>1927</v>
      </c>
      <c r="F958" s="376">
        <v>4503068</v>
      </c>
      <c r="G958" s="377"/>
      <c r="H958" s="378">
        <v>7301030000</v>
      </c>
      <c r="I958" s="379"/>
      <c r="J958" s="391">
        <v>0</v>
      </c>
      <c r="K958" s="392">
        <v>0</v>
      </c>
      <c r="L958" s="392">
        <v>0</v>
      </c>
      <c r="M958" s="392">
        <v>0</v>
      </c>
      <c r="N958" s="392">
        <v>0</v>
      </c>
      <c r="O958" s="392">
        <v>0</v>
      </c>
      <c r="P958" s="392">
        <v>0</v>
      </c>
      <c r="Q958" s="392">
        <v>0</v>
      </c>
      <c r="R958" s="392">
        <v>0</v>
      </c>
      <c r="S958" s="392">
        <v>0</v>
      </c>
      <c r="T958" s="392">
        <v>0</v>
      </c>
      <c r="U958" s="393">
        <v>0</v>
      </c>
      <c r="V958" s="394">
        <v>0</v>
      </c>
      <c r="W958" s="395"/>
      <c r="X958" s="396">
        <v>0</v>
      </c>
      <c r="Y958" s="397">
        <v>0</v>
      </c>
    </row>
    <row r="959" spans="1:25" x14ac:dyDescent="0.3">
      <c r="A959" s="250"/>
      <c r="B959" s="250"/>
      <c r="C959" s="250"/>
      <c r="D959" s="250"/>
      <c r="E959" s="250" t="s">
        <v>1928</v>
      </c>
      <c r="F959" s="376">
        <v>4503069</v>
      </c>
      <c r="G959" s="377"/>
      <c r="H959" s="378"/>
      <c r="I959" s="379"/>
      <c r="J959" s="391">
        <v>0</v>
      </c>
      <c r="K959" s="392">
        <v>0</v>
      </c>
      <c r="L959" s="392">
        <v>0</v>
      </c>
      <c r="M959" s="392">
        <v>0</v>
      </c>
      <c r="N959" s="392">
        <v>0</v>
      </c>
      <c r="O959" s="392">
        <v>0</v>
      </c>
      <c r="P959" s="392">
        <v>0</v>
      </c>
      <c r="Q959" s="392">
        <v>0</v>
      </c>
      <c r="R959" s="392">
        <v>0</v>
      </c>
      <c r="S959" s="392">
        <v>0</v>
      </c>
      <c r="T959" s="392">
        <v>0</v>
      </c>
      <c r="U959" s="393">
        <v>0</v>
      </c>
      <c r="V959" s="394">
        <v>0</v>
      </c>
      <c r="W959" s="395"/>
      <c r="X959" s="396">
        <v>0</v>
      </c>
      <c r="Y959" s="397">
        <v>0</v>
      </c>
    </row>
    <row r="960" spans="1:25" x14ac:dyDescent="0.3">
      <c r="A960" s="250"/>
      <c r="B960" s="250"/>
      <c r="C960" s="250"/>
      <c r="D960" s="250"/>
      <c r="E960" s="250" t="s">
        <v>1929</v>
      </c>
      <c r="F960" s="376">
        <v>4503070</v>
      </c>
      <c r="G960" s="377"/>
      <c r="H960" s="378"/>
      <c r="I960" s="379"/>
      <c r="J960" s="391">
        <v>0</v>
      </c>
      <c r="K960" s="392">
        <v>0</v>
      </c>
      <c r="L960" s="392">
        <v>0</v>
      </c>
      <c r="M960" s="392">
        <v>0</v>
      </c>
      <c r="N960" s="392">
        <v>0</v>
      </c>
      <c r="O960" s="392">
        <v>0</v>
      </c>
      <c r="P960" s="392">
        <v>0</v>
      </c>
      <c r="Q960" s="392">
        <v>0</v>
      </c>
      <c r="R960" s="392">
        <v>0</v>
      </c>
      <c r="S960" s="392">
        <v>0</v>
      </c>
      <c r="T960" s="392">
        <v>0</v>
      </c>
      <c r="U960" s="393">
        <v>0</v>
      </c>
      <c r="V960" s="394">
        <v>0</v>
      </c>
      <c r="W960" s="395"/>
      <c r="X960" s="396">
        <v>0</v>
      </c>
      <c r="Y960" s="397">
        <v>0</v>
      </c>
    </row>
    <row r="961" spans="1:25" x14ac:dyDescent="0.3">
      <c r="A961" s="250"/>
      <c r="B961" s="250"/>
      <c r="C961" s="250"/>
      <c r="D961" s="250"/>
      <c r="E961" s="250" t="s">
        <v>1930</v>
      </c>
      <c r="F961" s="376">
        <v>4503071</v>
      </c>
      <c r="G961" s="377"/>
      <c r="H961" s="378"/>
      <c r="I961" s="379"/>
      <c r="J961" s="391">
        <v>0</v>
      </c>
      <c r="K961" s="392">
        <v>0</v>
      </c>
      <c r="L961" s="392">
        <v>0</v>
      </c>
      <c r="M961" s="392">
        <v>0</v>
      </c>
      <c r="N961" s="392">
        <v>0</v>
      </c>
      <c r="O961" s="392">
        <v>0</v>
      </c>
      <c r="P961" s="392">
        <v>0</v>
      </c>
      <c r="Q961" s="392">
        <v>0</v>
      </c>
      <c r="R961" s="392">
        <v>0</v>
      </c>
      <c r="S961" s="392">
        <v>0</v>
      </c>
      <c r="T961" s="392">
        <v>0</v>
      </c>
      <c r="U961" s="393">
        <v>0</v>
      </c>
      <c r="V961" s="394">
        <v>0</v>
      </c>
      <c r="W961" s="395"/>
      <c r="X961" s="396">
        <v>0</v>
      </c>
      <c r="Y961" s="397">
        <v>0</v>
      </c>
    </row>
    <row r="962" spans="1:25" x14ac:dyDescent="0.3">
      <c r="A962" s="250"/>
      <c r="B962" s="250"/>
      <c r="C962" s="250"/>
      <c r="D962" s="250"/>
      <c r="E962" s="250" t="s">
        <v>1931</v>
      </c>
      <c r="F962" s="376">
        <v>4503085</v>
      </c>
      <c r="G962" s="377"/>
      <c r="H962" s="378"/>
      <c r="I962" s="379"/>
      <c r="J962" s="391">
        <v>0</v>
      </c>
      <c r="K962" s="392">
        <v>0</v>
      </c>
      <c r="L962" s="392">
        <v>0</v>
      </c>
      <c r="M962" s="392">
        <v>0</v>
      </c>
      <c r="N962" s="392">
        <v>0</v>
      </c>
      <c r="O962" s="392">
        <v>0</v>
      </c>
      <c r="P962" s="392">
        <v>0</v>
      </c>
      <c r="Q962" s="392">
        <v>0</v>
      </c>
      <c r="R962" s="392">
        <v>0</v>
      </c>
      <c r="S962" s="392">
        <v>0</v>
      </c>
      <c r="T962" s="392">
        <v>0</v>
      </c>
      <c r="U962" s="393">
        <v>0</v>
      </c>
      <c r="V962" s="394">
        <v>0</v>
      </c>
      <c r="W962" s="395"/>
      <c r="X962" s="396">
        <v>0</v>
      </c>
      <c r="Y962" s="397">
        <v>0</v>
      </c>
    </row>
    <row r="963" spans="1:25" x14ac:dyDescent="0.3">
      <c r="A963" s="250"/>
      <c r="B963" s="250"/>
      <c r="C963" s="250"/>
      <c r="D963" s="250"/>
      <c r="E963" s="250" t="s">
        <v>1932</v>
      </c>
      <c r="F963" s="376">
        <v>4503090</v>
      </c>
      <c r="G963" s="377"/>
      <c r="H963" s="378"/>
      <c r="I963" s="379"/>
      <c r="J963" s="391">
        <v>0</v>
      </c>
      <c r="K963" s="392">
        <v>0</v>
      </c>
      <c r="L963" s="392">
        <v>0</v>
      </c>
      <c r="M963" s="392">
        <v>0</v>
      </c>
      <c r="N963" s="392">
        <v>0</v>
      </c>
      <c r="O963" s="392">
        <v>0</v>
      </c>
      <c r="P963" s="392">
        <v>0</v>
      </c>
      <c r="Q963" s="392">
        <v>0</v>
      </c>
      <c r="R963" s="392">
        <v>0</v>
      </c>
      <c r="S963" s="392">
        <v>0</v>
      </c>
      <c r="T963" s="392">
        <v>0</v>
      </c>
      <c r="U963" s="393">
        <v>0</v>
      </c>
      <c r="V963" s="394">
        <v>0</v>
      </c>
      <c r="W963" s="395"/>
      <c r="X963" s="396">
        <v>0</v>
      </c>
      <c r="Y963" s="397">
        <v>0</v>
      </c>
    </row>
    <row r="964" spans="1:25" x14ac:dyDescent="0.3">
      <c r="A964" s="250"/>
      <c r="B964" s="250"/>
      <c r="C964" s="250"/>
      <c r="D964" s="250"/>
      <c r="E964" s="250" t="s">
        <v>1933</v>
      </c>
      <c r="F964" s="376">
        <v>4503072</v>
      </c>
      <c r="G964" s="377"/>
      <c r="H964" s="378"/>
      <c r="I964" s="379"/>
      <c r="J964" s="391">
        <v>0</v>
      </c>
      <c r="K964" s="392">
        <v>0</v>
      </c>
      <c r="L964" s="392">
        <v>0</v>
      </c>
      <c r="M964" s="392">
        <v>0</v>
      </c>
      <c r="N964" s="392">
        <v>0</v>
      </c>
      <c r="O964" s="392">
        <v>0</v>
      </c>
      <c r="P964" s="392">
        <v>0</v>
      </c>
      <c r="Q964" s="392">
        <v>0</v>
      </c>
      <c r="R964" s="392">
        <v>0</v>
      </c>
      <c r="S964" s="392">
        <v>0</v>
      </c>
      <c r="T964" s="392">
        <v>0</v>
      </c>
      <c r="U964" s="393">
        <v>0</v>
      </c>
      <c r="V964" s="394">
        <v>0</v>
      </c>
      <c r="W964" s="395"/>
      <c r="X964" s="396">
        <v>0</v>
      </c>
      <c r="Y964" s="397">
        <v>0</v>
      </c>
    </row>
    <row r="965" spans="1:25" x14ac:dyDescent="0.3">
      <c r="A965" s="250"/>
      <c r="B965" s="250"/>
      <c r="C965" s="250"/>
      <c r="D965" s="250"/>
      <c r="E965" s="250" t="s">
        <v>1934</v>
      </c>
      <c r="F965" s="376">
        <v>4503073</v>
      </c>
      <c r="G965" s="377"/>
      <c r="H965" s="378"/>
      <c r="I965" s="379"/>
      <c r="J965" s="391">
        <v>0</v>
      </c>
      <c r="K965" s="392">
        <v>0</v>
      </c>
      <c r="L965" s="392">
        <v>0</v>
      </c>
      <c r="M965" s="392">
        <v>0</v>
      </c>
      <c r="N965" s="392">
        <v>0</v>
      </c>
      <c r="O965" s="392">
        <v>0</v>
      </c>
      <c r="P965" s="392">
        <v>0</v>
      </c>
      <c r="Q965" s="392">
        <v>0</v>
      </c>
      <c r="R965" s="392">
        <v>0</v>
      </c>
      <c r="S965" s="392">
        <v>0</v>
      </c>
      <c r="T965" s="392">
        <v>0</v>
      </c>
      <c r="U965" s="393">
        <v>0</v>
      </c>
      <c r="V965" s="394">
        <v>0</v>
      </c>
      <c r="W965" s="395"/>
      <c r="X965" s="396">
        <v>0</v>
      </c>
      <c r="Y965" s="397">
        <v>0</v>
      </c>
    </row>
    <row r="966" spans="1:25" x14ac:dyDescent="0.3">
      <c r="A966" s="250"/>
      <c r="B966" s="250"/>
      <c r="C966" s="250"/>
      <c r="D966" s="250"/>
      <c r="E966" s="250" t="s">
        <v>1935</v>
      </c>
      <c r="F966" s="376">
        <v>4503074</v>
      </c>
      <c r="G966" s="377"/>
      <c r="H966" s="378"/>
      <c r="I966" s="379"/>
      <c r="J966" s="391">
        <v>0</v>
      </c>
      <c r="K966" s="392">
        <v>0</v>
      </c>
      <c r="L966" s="392">
        <v>0</v>
      </c>
      <c r="M966" s="392">
        <v>0</v>
      </c>
      <c r="N966" s="392">
        <v>0</v>
      </c>
      <c r="O966" s="392">
        <v>0</v>
      </c>
      <c r="P966" s="392">
        <v>0</v>
      </c>
      <c r="Q966" s="392">
        <v>0</v>
      </c>
      <c r="R966" s="392">
        <v>0</v>
      </c>
      <c r="S966" s="392">
        <v>0</v>
      </c>
      <c r="T966" s="392">
        <v>0</v>
      </c>
      <c r="U966" s="393">
        <v>0</v>
      </c>
      <c r="V966" s="394">
        <v>0</v>
      </c>
      <c r="W966" s="395"/>
      <c r="X966" s="396">
        <v>0</v>
      </c>
      <c r="Y966" s="397">
        <v>0</v>
      </c>
    </row>
    <row r="967" spans="1:25" x14ac:dyDescent="0.3">
      <c r="A967" s="250"/>
      <c r="B967" s="250"/>
      <c r="C967" s="250"/>
      <c r="D967" s="250"/>
      <c r="E967" s="250" t="s">
        <v>1936</v>
      </c>
      <c r="F967" s="376">
        <v>4503083</v>
      </c>
      <c r="G967" s="377"/>
      <c r="H967" s="378"/>
      <c r="I967" s="379"/>
      <c r="J967" s="391">
        <v>0</v>
      </c>
      <c r="K967" s="392">
        <v>0</v>
      </c>
      <c r="L967" s="392">
        <v>0</v>
      </c>
      <c r="M967" s="392">
        <v>0</v>
      </c>
      <c r="N967" s="392">
        <v>0</v>
      </c>
      <c r="O967" s="392">
        <v>0</v>
      </c>
      <c r="P967" s="392">
        <v>0</v>
      </c>
      <c r="Q967" s="392">
        <v>0</v>
      </c>
      <c r="R967" s="392">
        <v>0</v>
      </c>
      <c r="S967" s="392">
        <v>0</v>
      </c>
      <c r="T967" s="392">
        <v>0</v>
      </c>
      <c r="U967" s="393">
        <v>0</v>
      </c>
      <c r="V967" s="394">
        <v>0</v>
      </c>
      <c r="W967" s="395"/>
      <c r="X967" s="396">
        <v>0</v>
      </c>
      <c r="Y967" s="397">
        <v>0</v>
      </c>
    </row>
    <row r="968" spans="1:25" x14ac:dyDescent="0.3">
      <c r="A968" s="250"/>
      <c r="B968" s="250"/>
      <c r="C968" s="250"/>
      <c r="D968" s="250"/>
      <c r="E968" s="250" t="s">
        <v>1937</v>
      </c>
      <c r="F968" s="376">
        <v>4503067</v>
      </c>
      <c r="G968" s="377"/>
      <c r="H968" s="378"/>
      <c r="I968" s="379"/>
      <c r="J968" s="391">
        <v>0</v>
      </c>
      <c r="K968" s="392">
        <v>0</v>
      </c>
      <c r="L968" s="392">
        <v>0</v>
      </c>
      <c r="M968" s="392">
        <v>0</v>
      </c>
      <c r="N968" s="392">
        <v>0</v>
      </c>
      <c r="O968" s="392">
        <v>0</v>
      </c>
      <c r="P968" s="392">
        <v>0</v>
      </c>
      <c r="Q968" s="392">
        <v>0</v>
      </c>
      <c r="R968" s="392">
        <v>0</v>
      </c>
      <c r="S968" s="392">
        <v>0</v>
      </c>
      <c r="T968" s="392">
        <v>0</v>
      </c>
      <c r="U968" s="393">
        <v>0</v>
      </c>
      <c r="V968" s="394">
        <v>0</v>
      </c>
      <c r="W968" s="395"/>
      <c r="X968" s="396">
        <v>0</v>
      </c>
      <c r="Y968" s="397">
        <v>0</v>
      </c>
    </row>
    <row r="969" spans="1:25" x14ac:dyDescent="0.3">
      <c r="A969" s="250"/>
      <c r="B969" s="250"/>
      <c r="C969" s="250"/>
      <c r="D969" s="250"/>
      <c r="E969" s="250" t="s">
        <v>1938</v>
      </c>
      <c r="F969" s="376">
        <v>4503084</v>
      </c>
      <c r="G969" s="377"/>
      <c r="H969" s="378"/>
      <c r="I969" s="379"/>
      <c r="J969" s="391">
        <v>0</v>
      </c>
      <c r="K969" s="392">
        <v>0</v>
      </c>
      <c r="L969" s="392">
        <v>0</v>
      </c>
      <c r="M969" s="392">
        <v>0</v>
      </c>
      <c r="N969" s="392">
        <v>0</v>
      </c>
      <c r="O969" s="392">
        <v>0</v>
      </c>
      <c r="P969" s="392">
        <v>0</v>
      </c>
      <c r="Q969" s="392">
        <v>0</v>
      </c>
      <c r="R969" s="392">
        <v>0</v>
      </c>
      <c r="S969" s="392">
        <v>0</v>
      </c>
      <c r="T969" s="392">
        <v>0</v>
      </c>
      <c r="U969" s="393">
        <v>1030.0930000000001</v>
      </c>
      <c r="V969" s="394">
        <v>1030.0930000000001</v>
      </c>
      <c r="W969" s="395"/>
      <c r="X969" s="396">
        <v>1030.0930000000001</v>
      </c>
      <c r="Y969" s="397">
        <v>1030.0930000000001</v>
      </c>
    </row>
    <row r="970" spans="1:25" x14ac:dyDescent="0.3">
      <c r="A970" s="250"/>
      <c r="B970" s="250"/>
      <c r="C970" s="250"/>
      <c r="D970" s="250"/>
      <c r="E970" s="250" t="s">
        <v>1939</v>
      </c>
      <c r="F970" s="376">
        <v>4503075</v>
      </c>
      <c r="G970" s="377"/>
      <c r="H970" s="378"/>
      <c r="I970" s="379"/>
      <c r="J970" s="391">
        <v>0</v>
      </c>
      <c r="K970" s="392">
        <v>0</v>
      </c>
      <c r="L970" s="392">
        <v>0</v>
      </c>
      <c r="M970" s="392">
        <v>0</v>
      </c>
      <c r="N970" s="392">
        <v>0</v>
      </c>
      <c r="O970" s="392">
        <v>0</v>
      </c>
      <c r="P970" s="392">
        <v>0</v>
      </c>
      <c r="Q970" s="392">
        <v>0</v>
      </c>
      <c r="R970" s="392">
        <v>0</v>
      </c>
      <c r="S970" s="392">
        <v>0</v>
      </c>
      <c r="T970" s="392">
        <v>0</v>
      </c>
      <c r="U970" s="393">
        <v>0</v>
      </c>
      <c r="V970" s="394">
        <v>0</v>
      </c>
      <c r="W970" s="395"/>
      <c r="X970" s="396">
        <v>0</v>
      </c>
      <c r="Y970" s="397">
        <v>0</v>
      </c>
    </row>
    <row r="971" spans="1:25" x14ac:dyDescent="0.3">
      <c r="A971" s="250"/>
      <c r="B971" s="250"/>
      <c r="C971" s="250"/>
      <c r="D971" s="250"/>
      <c r="E971" s="250" t="s">
        <v>1940</v>
      </c>
      <c r="F971" s="376">
        <v>4503076</v>
      </c>
      <c r="G971" s="377"/>
      <c r="H971" s="378"/>
      <c r="I971" s="379"/>
      <c r="J971" s="391">
        <v>0</v>
      </c>
      <c r="K971" s="392">
        <v>0</v>
      </c>
      <c r="L971" s="392">
        <v>0</v>
      </c>
      <c r="M971" s="392">
        <v>0</v>
      </c>
      <c r="N971" s="392">
        <v>0</v>
      </c>
      <c r="O971" s="392">
        <v>0</v>
      </c>
      <c r="P971" s="392">
        <v>0</v>
      </c>
      <c r="Q971" s="392">
        <v>0</v>
      </c>
      <c r="R971" s="392">
        <v>0</v>
      </c>
      <c r="S971" s="392">
        <v>0</v>
      </c>
      <c r="T971" s="392">
        <v>0</v>
      </c>
      <c r="U971" s="393">
        <v>0</v>
      </c>
      <c r="V971" s="394">
        <v>0</v>
      </c>
      <c r="W971" s="395"/>
      <c r="X971" s="396">
        <v>0</v>
      </c>
      <c r="Y971" s="397">
        <v>0</v>
      </c>
    </row>
    <row r="972" spans="1:25" x14ac:dyDescent="0.3">
      <c r="A972" s="350"/>
      <c r="B972" s="350"/>
      <c r="C972" s="350"/>
      <c r="D972" s="350"/>
      <c r="E972" s="350" t="s">
        <v>1941</v>
      </c>
      <c r="F972" s="306">
        <v>4503077</v>
      </c>
      <c r="G972" s="307"/>
      <c r="H972" s="308"/>
      <c r="I972" s="309"/>
      <c r="J972" s="310">
        <v>0</v>
      </c>
      <c r="K972" s="311">
        <v>0</v>
      </c>
      <c r="L972" s="311">
        <v>0</v>
      </c>
      <c r="M972" s="311">
        <v>0</v>
      </c>
      <c r="N972" s="311">
        <v>0</v>
      </c>
      <c r="O972" s="311">
        <v>0</v>
      </c>
      <c r="P972" s="311">
        <v>0</v>
      </c>
      <c r="Q972" s="311">
        <v>0</v>
      </c>
      <c r="R972" s="311">
        <v>0</v>
      </c>
      <c r="S972" s="311">
        <v>0</v>
      </c>
      <c r="T972" s="311">
        <v>0</v>
      </c>
      <c r="U972" s="312">
        <v>0</v>
      </c>
      <c r="V972" s="313">
        <v>0</v>
      </c>
      <c r="W972" s="314"/>
      <c r="X972" s="315">
        <v>0</v>
      </c>
      <c r="Y972" s="316">
        <v>0</v>
      </c>
    </row>
    <row r="973" spans="1:25" x14ac:dyDescent="0.3">
      <c r="A973" s="350"/>
      <c r="B973" s="350"/>
      <c r="C973" s="350"/>
      <c r="D973" s="350"/>
      <c r="E973" s="326" t="s">
        <v>1942</v>
      </c>
      <c r="F973" s="306"/>
      <c r="G973" s="307"/>
      <c r="H973" s="308"/>
      <c r="I973" s="309"/>
      <c r="J973" s="310">
        <v>0</v>
      </c>
      <c r="K973" s="311">
        <v>0</v>
      </c>
      <c r="L973" s="311">
        <v>0</v>
      </c>
      <c r="M973" s="311">
        <v>0</v>
      </c>
      <c r="N973" s="311">
        <v>0</v>
      </c>
      <c r="O973" s="311">
        <v>0</v>
      </c>
      <c r="P973" s="311">
        <v>0</v>
      </c>
      <c r="Q973" s="311">
        <v>0</v>
      </c>
      <c r="R973" s="311">
        <v>0</v>
      </c>
      <c r="S973" s="311">
        <v>0</v>
      </c>
      <c r="T973" s="311">
        <v>0</v>
      </c>
      <c r="U973" s="312">
        <v>0</v>
      </c>
      <c r="V973" s="313">
        <v>0</v>
      </c>
      <c r="W973" s="314"/>
      <c r="X973" s="315">
        <v>0</v>
      </c>
      <c r="Y973" s="316">
        <v>0</v>
      </c>
    </row>
    <row r="974" spans="1:25" x14ac:dyDescent="0.3">
      <c r="A974" s="350"/>
      <c r="B974" s="350"/>
      <c r="C974" s="350"/>
      <c r="D974" s="350"/>
      <c r="E974" s="326" t="s">
        <v>1942</v>
      </c>
      <c r="F974" s="306"/>
      <c r="G974" s="307"/>
      <c r="H974" s="308"/>
      <c r="I974" s="309"/>
      <c r="J974" s="310">
        <v>0</v>
      </c>
      <c r="K974" s="311">
        <v>0</v>
      </c>
      <c r="L974" s="311">
        <v>0</v>
      </c>
      <c r="M974" s="311">
        <v>0</v>
      </c>
      <c r="N974" s="311">
        <v>0</v>
      </c>
      <c r="O974" s="311">
        <v>0</v>
      </c>
      <c r="P974" s="311">
        <v>0</v>
      </c>
      <c r="Q974" s="311">
        <v>0</v>
      </c>
      <c r="R974" s="311">
        <v>0</v>
      </c>
      <c r="S974" s="311">
        <v>0</v>
      </c>
      <c r="T974" s="311">
        <v>0</v>
      </c>
      <c r="U974" s="312">
        <v>0</v>
      </c>
      <c r="V974" s="313">
        <v>0</v>
      </c>
      <c r="W974" s="314"/>
      <c r="X974" s="315">
        <v>0</v>
      </c>
      <c r="Y974" s="316">
        <v>0</v>
      </c>
    </row>
    <row r="975" spans="1:25" x14ac:dyDescent="0.3">
      <c r="A975" s="350"/>
      <c r="B975" s="350"/>
      <c r="C975" s="350"/>
      <c r="D975" s="350"/>
      <c r="E975" s="326" t="s">
        <v>1943</v>
      </c>
      <c r="F975" s="306"/>
      <c r="G975" s="307"/>
      <c r="H975" s="308"/>
      <c r="I975" s="309"/>
      <c r="J975" s="310">
        <v>0</v>
      </c>
      <c r="K975" s="311">
        <v>0</v>
      </c>
      <c r="L975" s="311">
        <v>0</v>
      </c>
      <c r="M975" s="311">
        <v>0</v>
      </c>
      <c r="N975" s="311">
        <v>0</v>
      </c>
      <c r="O975" s="311">
        <v>0</v>
      </c>
      <c r="P975" s="311">
        <v>0</v>
      </c>
      <c r="Q975" s="311">
        <v>0</v>
      </c>
      <c r="R975" s="311">
        <v>0</v>
      </c>
      <c r="S975" s="311">
        <v>0</v>
      </c>
      <c r="T975" s="311">
        <v>0</v>
      </c>
      <c r="U975" s="312">
        <v>0</v>
      </c>
      <c r="V975" s="313">
        <v>0</v>
      </c>
      <c r="W975" s="314"/>
      <c r="X975" s="315">
        <v>0</v>
      </c>
      <c r="Y975" s="316">
        <v>0</v>
      </c>
    </row>
    <row r="976" spans="1:25" x14ac:dyDescent="0.3">
      <c r="A976" s="233"/>
      <c r="B976" s="234" t="s">
        <v>74</v>
      </c>
      <c r="D976" s="293" t="s">
        <v>1944</v>
      </c>
      <c r="E976" s="294"/>
      <c r="F976" s="295" t="s">
        <v>1945</v>
      </c>
      <c r="G976" s="296"/>
      <c r="H976" s="297"/>
      <c r="I976" s="298"/>
      <c r="J976" s="299">
        <v>0</v>
      </c>
      <c r="K976" s="300">
        <v>0</v>
      </c>
      <c r="L976" s="300">
        <v>0</v>
      </c>
      <c r="M976" s="300">
        <v>0</v>
      </c>
      <c r="N976" s="300">
        <v>0</v>
      </c>
      <c r="O976" s="300">
        <v>0</v>
      </c>
      <c r="P976" s="300">
        <v>0</v>
      </c>
      <c r="Q976" s="300">
        <v>0</v>
      </c>
      <c r="R976" s="300">
        <v>0</v>
      </c>
      <c r="S976" s="300">
        <v>0</v>
      </c>
      <c r="T976" s="300">
        <v>0</v>
      </c>
      <c r="U976" s="301">
        <v>0</v>
      </c>
      <c r="V976" s="302">
        <v>0</v>
      </c>
      <c r="W976" s="303"/>
      <c r="X976" s="304">
        <v>0</v>
      </c>
      <c r="Y976" s="305">
        <v>0</v>
      </c>
    </row>
    <row r="977" spans="1:25" x14ac:dyDescent="0.3">
      <c r="E977" s="250" t="s">
        <v>1946</v>
      </c>
      <c r="F977" s="317">
        <v>4503087</v>
      </c>
      <c r="G977" s="318"/>
      <c r="H977" s="319">
        <v>7301230102</v>
      </c>
      <c r="I977" s="320"/>
      <c r="J977" s="337">
        <v>0</v>
      </c>
      <c r="K977" s="321">
        <v>0</v>
      </c>
      <c r="L977" s="321">
        <v>0</v>
      </c>
      <c r="M977" s="321">
        <v>0</v>
      </c>
      <c r="N977" s="321">
        <v>0</v>
      </c>
      <c r="O977" s="321">
        <v>0</v>
      </c>
      <c r="P977" s="321">
        <v>0</v>
      </c>
      <c r="Q977" s="321">
        <v>0</v>
      </c>
      <c r="R977" s="321">
        <v>0</v>
      </c>
      <c r="S977" s="321">
        <v>0</v>
      </c>
      <c r="T977" s="321">
        <v>0</v>
      </c>
      <c r="U977" s="322">
        <v>0</v>
      </c>
      <c r="V977" s="323">
        <v>0</v>
      </c>
      <c r="W977" s="303"/>
      <c r="X977" s="324">
        <v>0</v>
      </c>
      <c r="Y977" s="325">
        <v>0</v>
      </c>
    </row>
    <row r="978" spans="1:25" x14ac:dyDescent="0.3">
      <c r="E978" s="250" t="s">
        <v>1947</v>
      </c>
      <c r="F978" s="317">
        <v>4503065</v>
      </c>
      <c r="G978" s="318"/>
      <c r="H978" s="319"/>
      <c r="I978" s="320"/>
      <c r="J978" s="337">
        <v>0</v>
      </c>
      <c r="K978" s="321">
        <v>0</v>
      </c>
      <c r="L978" s="321">
        <v>0</v>
      </c>
      <c r="M978" s="321">
        <v>0</v>
      </c>
      <c r="N978" s="321">
        <v>0</v>
      </c>
      <c r="O978" s="321">
        <v>0</v>
      </c>
      <c r="P978" s="321">
        <v>0</v>
      </c>
      <c r="Q978" s="321">
        <v>0</v>
      </c>
      <c r="R978" s="321">
        <v>0</v>
      </c>
      <c r="S978" s="321">
        <v>0</v>
      </c>
      <c r="T978" s="321">
        <v>0</v>
      </c>
      <c r="U978" s="322">
        <v>0</v>
      </c>
      <c r="V978" s="323">
        <v>0</v>
      </c>
      <c r="W978" s="303"/>
      <c r="X978" s="324">
        <v>0</v>
      </c>
      <c r="Y978" s="325">
        <v>0</v>
      </c>
    </row>
    <row r="979" spans="1:25" x14ac:dyDescent="0.3">
      <c r="E979" s="250" t="s">
        <v>1948</v>
      </c>
      <c r="F979" s="317">
        <v>4503066</v>
      </c>
      <c r="G979" s="318"/>
      <c r="H979" s="319"/>
      <c r="I979" s="320"/>
      <c r="J979" s="337">
        <v>0</v>
      </c>
      <c r="K979" s="321">
        <v>0</v>
      </c>
      <c r="L979" s="321">
        <v>0</v>
      </c>
      <c r="M979" s="321">
        <v>0</v>
      </c>
      <c r="N979" s="321">
        <v>0</v>
      </c>
      <c r="O979" s="321">
        <v>0</v>
      </c>
      <c r="P979" s="321">
        <v>0</v>
      </c>
      <c r="Q979" s="321">
        <v>0</v>
      </c>
      <c r="R979" s="321">
        <v>0</v>
      </c>
      <c r="S979" s="321">
        <v>0</v>
      </c>
      <c r="T979" s="321">
        <v>0</v>
      </c>
      <c r="U979" s="322">
        <v>0</v>
      </c>
      <c r="V979" s="323">
        <v>0</v>
      </c>
      <c r="W979" s="303"/>
      <c r="X979" s="324">
        <v>0</v>
      </c>
      <c r="Y979" s="325">
        <v>0</v>
      </c>
    </row>
    <row r="980" spans="1:25" x14ac:dyDescent="0.3">
      <c r="E980" s="250" t="s">
        <v>1949</v>
      </c>
      <c r="F980" s="317">
        <v>4503086</v>
      </c>
      <c r="G980" s="318"/>
      <c r="H980" s="319">
        <v>7301230101</v>
      </c>
      <c r="I980" s="320"/>
      <c r="J980" s="337">
        <v>0</v>
      </c>
      <c r="K980" s="321">
        <v>0</v>
      </c>
      <c r="L980" s="321">
        <v>0</v>
      </c>
      <c r="M980" s="321">
        <v>0</v>
      </c>
      <c r="N980" s="321">
        <v>0</v>
      </c>
      <c r="O980" s="321">
        <v>0</v>
      </c>
      <c r="P980" s="321">
        <v>0</v>
      </c>
      <c r="Q980" s="321">
        <v>0</v>
      </c>
      <c r="R980" s="321">
        <v>0</v>
      </c>
      <c r="S980" s="321">
        <v>0</v>
      </c>
      <c r="T980" s="321">
        <v>0</v>
      </c>
      <c r="U980" s="322">
        <v>0</v>
      </c>
      <c r="V980" s="323">
        <v>0</v>
      </c>
      <c r="W980" s="303"/>
      <c r="X980" s="324">
        <v>0</v>
      </c>
      <c r="Y980" s="325">
        <v>0</v>
      </c>
    </row>
    <row r="981" spans="1:25" x14ac:dyDescent="0.3">
      <c r="E981" s="250" t="s">
        <v>1950</v>
      </c>
      <c r="F981" s="317">
        <v>4503078</v>
      </c>
      <c r="G981" s="318"/>
      <c r="H981" s="319"/>
      <c r="I981" s="320"/>
      <c r="J981" s="337">
        <v>0</v>
      </c>
      <c r="K981" s="321">
        <v>0</v>
      </c>
      <c r="L981" s="321">
        <v>0</v>
      </c>
      <c r="M981" s="321">
        <v>0</v>
      </c>
      <c r="N981" s="321">
        <v>0</v>
      </c>
      <c r="O981" s="321">
        <v>0</v>
      </c>
      <c r="P981" s="321">
        <v>0</v>
      </c>
      <c r="Q981" s="321">
        <v>0</v>
      </c>
      <c r="R981" s="321">
        <v>0</v>
      </c>
      <c r="S981" s="321">
        <v>0</v>
      </c>
      <c r="T981" s="321">
        <v>0</v>
      </c>
      <c r="U981" s="322">
        <v>0</v>
      </c>
      <c r="V981" s="323">
        <v>0</v>
      </c>
      <c r="W981" s="303"/>
      <c r="X981" s="324">
        <v>0</v>
      </c>
      <c r="Y981" s="325">
        <v>0</v>
      </c>
    </row>
    <row r="982" spans="1:25" x14ac:dyDescent="0.3">
      <c r="E982" s="250" t="s">
        <v>1951</v>
      </c>
      <c r="F982" s="317">
        <v>4503180</v>
      </c>
      <c r="G982" s="318"/>
      <c r="H982" s="319"/>
      <c r="I982" s="320"/>
      <c r="J982" s="337">
        <v>0</v>
      </c>
      <c r="K982" s="321">
        <v>0</v>
      </c>
      <c r="L982" s="321">
        <v>0</v>
      </c>
      <c r="M982" s="321">
        <v>0</v>
      </c>
      <c r="N982" s="321">
        <v>0</v>
      </c>
      <c r="O982" s="321">
        <v>0</v>
      </c>
      <c r="P982" s="321">
        <v>0</v>
      </c>
      <c r="Q982" s="321">
        <v>0</v>
      </c>
      <c r="R982" s="321">
        <v>0</v>
      </c>
      <c r="S982" s="321">
        <v>0</v>
      </c>
      <c r="T982" s="321">
        <v>0</v>
      </c>
      <c r="U982" s="322">
        <v>0</v>
      </c>
      <c r="V982" s="323">
        <v>0</v>
      </c>
      <c r="W982" s="303"/>
      <c r="X982" s="324">
        <v>0</v>
      </c>
      <c r="Y982" s="325">
        <v>0</v>
      </c>
    </row>
    <row r="983" spans="1:25" x14ac:dyDescent="0.3">
      <c r="E983" s="250" t="s">
        <v>1952</v>
      </c>
      <c r="F983" s="317">
        <v>4503181</v>
      </c>
      <c r="G983" s="318"/>
      <c r="H983" s="319"/>
      <c r="I983" s="320"/>
      <c r="J983" s="337">
        <v>0</v>
      </c>
      <c r="K983" s="321">
        <v>0</v>
      </c>
      <c r="L983" s="321">
        <v>0</v>
      </c>
      <c r="M983" s="321">
        <v>0</v>
      </c>
      <c r="N983" s="321">
        <v>0</v>
      </c>
      <c r="O983" s="321">
        <v>0</v>
      </c>
      <c r="P983" s="321">
        <v>0</v>
      </c>
      <c r="Q983" s="321">
        <v>0</v>
      </c>
      <c r="R983" s="321">
        <v>0</v>
      </c>
      <c r="S983" s="321">
        <v>0</v>
      </c>
      <c r="T983" s="321">
        <v>0</v>
      </c>
      <c r="U983" s="322">
        <v>0</v>
      </c>
      <c r="V983" s="323">
        <v>0</v>
      </c>
      <c r="W983" s="303"/>
      <c r="X983" s="324">
        <v>0</v>
      </c>
      <c r="Y983" s="325">
        <v>0</v>
      </c>
    </row>
    <row r="984" spans="1:25" x14ac:dyDescent="0.3">
      <c r="A984" s="250"/>
      <c r="B984" s="250"/>
      <c r="C984" s="250"/>
      <c r="D984" s="250"/>
      <c r="E984" s="250" t="s">
        <v>1953</v>
      </c>
      <c r="F984" s="306">
        <v>4505607</v>
      </c>
      <c r="G984" s="307"/>
      <c r="H984" s="308"/>
      <c r="I984" s="309"/>
      <c r="J984" s="310">
        <v>0</v>
      </c>
      <c r="K984" s="311">
        <v>0</v>
      </c>
      <c r="L984" s="311">
        <v>0</v>
      </c>
      <c r="M984" s="311">
        <v>0</v>
      </c>
      <c r="N984" s="311">
        <v>0</v>
      </c>
      <c r="O984" s="311">
        <v>0</v>
      </c>
      <c r="P984" s="311">
        <v>0</v>
      </c>
      <c r="Q984" s="311">
        <v>0</v>
      </c>
      <c r="R984" s="311">
        <v>0</v>
      </c>
      <c r="S984" s="311">
        <v>0</v>
      </c>
      <c r="T984" s="311">
        <v>0</v>
      </c>
      <c r="U984" s="312">
        <v>0</v>
      </c>
      <c r="V984" s="313">
        <v>0</v>
      </c>
      <c r="W984" s="314"/>
      <c r="X984" s="315">
        <v>0</v>
      </c>
      <c r="Y984" s="316">
        <v>0</v>
      </c>
    </row>
    <row r="985" spans="1:25" x14ac:dyDescent="0.3">
      <c r="A985" s="250"/>
      <c r="B985" s="250"/>
      <c r="C985" s="250"/>
      <c r="D985" s="250"/>
      <c r="E985" s="250" t="s">
        <v>1954</v>
      </c>
      <c r="F985" s="306">
        <v>4505609</v>
      </c>
      <c r="G985" s="307"/>
      <c r="H985" s="308"/>
      <c r="I985" s="309"/>
      <c r="J985" s="310">
        <v>0</v>
      </c>
      <c r="K985" s="311">
        <v>0</v>
      </c>
      <c r="L985" s="311">
        <v>0</v>
      </c>
      <c r="M985" s="311">
        <v>0</v>
      </c>
      <c r="N985" s="311">
        <v>0</v>
      </c>
      <c r="O985" s="311">
        <v>0</v>
      </c>
      <c r="P985" s="311">
        <v>0</v>
      </c>
      <c r="Q985" s="311">
        <v>0</v>
      </c>
      <c r="R985" s="311">
        <v>0</v>
      </c>
      <c r="S985" s="311">
        <v>0</v>
      </c>
      <c r="T985" s="311">
        <v>0</v>
      </c>
      <c r="U985" s="312">
        <v>0</v>
      </c>
      <c r="V985" s="313">
        <v>0</v>
      </c>
      <c r="W985" s="314"/>
      <c r="X985" s="315">
        <v>0</v>
      </c>
      <c r="Y985" s="316">
        <v>0</v>
      </c>
    </row>
    <row r="986" spans="1:25" x14ac:dyDescent="0.3">
      <c r="A986" s="326"/>
      <c r="B986" s="326"/>
      <c r="C986" s="326"/>
      <c r="D986" s="326"/>
      <c r="E986" s="326" t="s">
        <v>1955</v>
      </c>
      <c r="F986" s="336"/>
      <c r="G986" s="327"/>
      <c r="H986" s="328"/>
      <c r="I986" s="329"/>
      <c r="J986" s="338">
        <v>0</v>
      </c>
      <c r="K986" s="330">
        <v>0</v>
      </c>
      <c r="L986" s="330">
        <v>0</v>
      </c>
      <c r="M986" s="330">
        <v>0</v>
      </c>
      <c r="N986" s="330">
        <v>0</v>
      </c>
      <c r="O986" s="330">
        <v>0</v>
      </c>
      <c r="P986" s="330">
        <v>0</v>
      </c>
      <c r="Q986" s="330">
        <v>0</v>
      </c>
      <c r="R986" s="330">
        <v>0</v>
      </c>
      <c r="S986" s="330">
        <v>0</v>
      </c>
      <c r="T986" s="330">
        <v>0</v>
      </c>
      <c r="U986" s="331">
        <v>0</v>
      </c>
      <c r="V986" s="332">
        <v>0</v>
      </c>
      <c r="W986" s="333"/>
      <c r="X986" s="334">
        <v>0</v>
      </c>
      <c r="Y986" s="335">
        <v>0</v>
      </c>
    </row>
    <row r="987" spans="1:25" x14ac:dyDescent="0.3">
      <c r="A987" s="326"/>
      <c r="B987" s="326"/>
      <c r="C987" s="326"/>
      <c r="D987" s="326"/>
      <c r="E987" s="326" t="s">
        <v>1956</v>
      </c>
      <c r="F987" s="336"/>
      <c r="G987" s="327"/>
      <c r="H987" s="328"/>
      <c r="I987" s="329"/>
      <c r="J987" s="338">
        <v>0</v>
      </c>
      <c r="K987" s="330">
        <v>0</v>
      </c>
      <c r="L987" s="330">
        <v>0</v>
      </c>
      <c r="M987" s="330">
        <v>0</v>
      </c>
      <c r="N987" s="330">
        <v>0</v>
      </c>
      <c r="O987" s="330">
        <v>0</v>
      </c>
      <c r="P987" s="330">
        <v>0</v>
      </c>
      <c r="Q987" s="330">
        <v>0</v>
      </c>
      <c r="R987" s="330">
        <v>0</v>
      </c>
      <c r="S987" s="330">
        <v>0</v>
      </c>
      <c r="T987" s="330">
        <v>0</v>
      </c>
      <c r="U987" s="331">
        <v>0</v>
      </c>
      <c r="V987" s="332">
        <v>0</v>
      </c>
      <c r="W987" s="333"/>
      <c r="X987" s="334">
        <v>0</v>
      </c>
      <c r="Y987" s="335">
        <v>0</v>
      </c>
    </row>
    <row r="988" spans="1:25" x14ac:dyDescent="0.3">
      <c r="A988" s="326"/>
      <c r="B988" s="326"/>
      <c r="C988" s="326"/>
      <c r="D988" s="326"/>
      <c r="E988" s="326" t="s">
        <v>1957</v>
      </c>
      <c r="F988" s="336"/>
      <c r="G988" s="327"/>
      <c r="H988" s="328"/>
      <c r="I988" s="329"/>
      <c r="J988" s="338">
        <v>0</v>
      </c>
      <c r="K988" s="330">
        <v>0</v>
      </c>
      <c r="L988" s="330">
        <v>0</v>
      </c>
      <c r="M988" s="330">
        <v>0</v>
      </c>
      <c r="N988" s="330">
        <v>0</v>
      </c>
      <c r="O988" s="330">
        <v>0</v>
      </c>
      <c r="P988" s="330">
        <v>0</v>
      </c>
      <c r="Q988" s="330">
        <v>0</v>
      </c>
      <c r="R988" s="330">
        <v>0</v>
      </c>
      <c r="S988" s="330">
        <v>0</v>
      </c>
      <c r="T988" s="330">
        <v>0</v>
      </c>
      <c r="U988" s="331">
        <v>0</v>
      </c>
      <c r="V988" s="332">
        <v>0</v>
      </c>
      <c r="W988" s="333"/>
      <c r="X988" s="334">
        <v>0</v>
      </c>
      <c r="Y988" s="335">
        <v>0</v>
      </c>
    </row>
    <row r="989" spans="1:25" x14ac:dyDescent="0.3">
      <c r="A989" s="233"/>
      <c r="B989" s="234" t="s">
        <v>74</v>
      </c>
      <c r="D989" s="293" t="s">
        <v>1958</v>
      </c>
      <c r="E989" s="294"/>
      <c r="F989" s="295" t="s">
        <v>1959</v>
      </c>
      <c r="G989" s="296"/>
      <c r="H989" s="297"/>
      <c r="I989" s="298"/>
      <c r="J989" s="299">
        <v>0</v>
      </c>
      <c r="K989" s="300">
        <v>0</v>
      </c>
      <c r="L989" s="300">
        <v>0</v>
      </c>
      <c r="M989" s="300">
        <v>0</v>
      </c>
      <c r="N989" s="300">
        <v>0</v>
      </c>
      <c r="O989" s="300">
        <v>0</v>
      </c>
      <c r="P989" s="300">
        <v>0</v>
      </c>
      <c r="Q989" s="300">
        <v>0</v>
      </c>
      <c r="R989" s="300">
        <v>0</v>
      </c>
      <c r="S989" s="300">
        <v>0</v>
      </c>
      <c r="T989" s="300">
        <v>0</v>
      </c>
      <c r="U989" s="301">
        <v>0</v>
      </c>
      <c r="V989" s="302">
        <v>0</v>
      </c>
      <c r="W989" s="303"/>
      <c r="X989" s="304">
        <v>0</v>
      </c>
      <c r="Y989" s="305">
        <v>0</v>
      </c>
    </row>
    <row r="990" spans="1:25" x14ac:dyDescent="0.3">
      <c r="A990" s="250"/>
      <c r="B990" s="250"/>
      <c r="C990" s="250"/>
      <c r="D990" s="250"/>
      <c r="E990" s="250" t="s">
        <v>1960</v>
      </c>
      <c r="F990" s="376">
        <v>4503089</v>
      </c>
      <c r="G990" s="377"/>
      <c r="H990" s="378">
        <v>7301090101</v>
      </c>
      <c r="I990" s="379"/>
      <c r="J990" s="391">
        <v>0</v>
      </c>
      <c r="K990" s="392">
        <v>0</v>
      </c>
      <c r="L990" s="392">
        <v>0</v>
      </c>
      <c r="M990" s="392">
        <v>0</v>
      </c>
      <c r="N990" s="392">
        <v>0</v>
      </c>
      <c r="O990" s="392">
        <v>0</v>
      </c>
      <c r="P990" s="392">
        <v>0</v>
      </c>
      <c r="Q990" s="392">
        <v>0</v>
      </c>
      <c r="R990" s="392">
        <v>0</v>
      </c>
      <c r="S990" s="392">
        <v>0</v>
      </c>
      <c r="T990" s="392">
        <v>0</v>
      </c>
      <c r="U990" s="393">
        <v>0</v>
      </c>
      <c r="V990" s="394">
        <v>0</v>
      </c>
      <c r="W990" s="395"/>
      <c r="X990" s="396">
        <v>0</v>
      </c>
      <c r="Y990" s="397">
        <v>0</v>
      </c>
    </row>
    <row r="991" spans="1:25" x14ac:dyDescent="0.3">
      <c r="A991" s="250"/>
      <c r="B991" s="250"/>
      <c r="C991" s="250"/>
      <c r="D991" s="250"/>
      <c r="E991" s="250" t="s">
        <v>1961</v>
      </c>
      <c r="F991" s="376">
        <v>4503091</v>
      </c>
      <c r="G991" s="377"/>
      <c r="H991" s="378"/>
      <c r="I991" s="379"/>
      <c r="J991" s="391">
        <v>0</v>
      </c>
      <c r="K991" s="392">
        <v>0</v>
      </c>
      <c r="L991" s="392">
        <v>0</v>
      </c>
      <c r="M991" s="392">
        <v>0</v>
      </c>
      <c r="N991" s="392">
        <v>0</v>
      </c>
      <c r="O991" s="392">
        <v>0</v>
      </c>
      <c r="P991" s="392">
        <v>0</v>
      </c>
      <c r="Q991" s="392">
        <v>0</v>
      </c>
      <c r="R991" s="392">
        <v>0</v>
      </c>
      <c r="S991" s="392">
        <v>0</v>
      </c>
      <c r="T991" s="392">
        <v>0</v>
      </c>
      <c r="U991" s="393">
        <v>0</v>
      </c>
      <c r="V991" s="394">
        <v>0</v>
      </c>
      <c r="W991" s="395"/>
      <c r="X991" s="396">
        <v>0</v>
      </c>
      <c r="Y991" s="397">
        <v>0</v>
      </c>
    </row>
    <row r="992" spans="1:25" x14ac:dyDescent="0.3">
      <c r="A992" s="250"/>
      <c r="B992" s="250"/>
      <c r="C992" s="250"/>
      <c r="D992" s="250"/>
      <c r="E992" s="250" t="s">
        <v>1962</v>
      </c>
      <c r="F992" s="376">
        <v>4503092</v>
      </c>
      <c r="G992" s="377"/>
      <c r="H992" s="378"/>
      <c r="I992" s="379"/>
      <c r="J992" s="391">
        <v>0</v>
      </c>
      <c r="K992" s="392">
        <v>0</v>
      </c>
      <c r="L992" s="392">
        <v>0</v>
      </c>
      <c r="M992" s="392">
        <v>0</v>
      </c>
      <c r="N992" s="392">
        <v>0</v>
      </c>
      <c r="O992" s="392">
        <v>0</v>
      </c>
      <c r="P992" s="392">
        <v>0</v>
      </c>
      <c r="Q992" s="392">
        <v>0</v>
      </c>
      <c r="R992" s="392">
        <v>0</v>
      </c>
      <c r="S992" s="392">
        <v>0</v>
      </c>
      <c r="T992" s="392">
        <v>0</v>
      </c>
      <c r="U992" s="393">
        <v>0</v>
      </c>
      <c r="V992" s="394">
        <v>0</v>
      </c>
      <c r="W992" s="395"/>
      <c r="X992" s="396">
        <v>0</v>
      </c>
      <c r="Y992" s="397">
        <v>0</v>
      </c>
    </row>
    <row r="993" spans="1:25" x14ac:dyDescent="0.3">
      <c r="A993" s="350"/>
      <c r="B993" s="350"/>
      <c r="C993" s="350"/>
      <c r="D993" s="350"/>
      <c r="E993" s="350" t="s">
        <v>1963</v>
      </c>
      <c r="F993" s="306">
        <v>4503093</v>
      </c>
      <c r="G993" s="307"/>
      <c r="H993" s="308"/>
      <c r="I993" s="309"/>
      <c r="J993" s="310">
        <v>0</v>
      </c>
      <c r="K993" s="311">
        <v>0</v>
      </c>
      <c r="L993" s="311">
        <v>0</v>
      </c>
      <c r="M993" s="311">
        <v>0</v>
      </c>
      <c r="N993" s="311">
        <v>0</v>
      </c>
      <c r="O993" s="311">
        <v>0</v>
      </c>
      <c r="P993" s="311">
        <v>0</v>
      </c>
      <c r="Q993" s="311">
        <v>0</v>
      </c>
      <c r="R993" s="311">
        <v>0</v>
      </c>
      <c r="S993" s="311">
        <v>0</v>
      </c>
      <c r="T993" s="311">
        <v>0</v>
      </c>
      <c r="U993" s="312">
        <v>0</v>
      </c>
      <c r="V993" s="313">
        <v>0</v>
      </c>
      <c r="W993" s="314"/>
      <c r="X993" s="315">
        <v>0</v>
      </c>
      <c r="Y993" s="316">
        <v>0</v>
      </c>
    </row>
    <row r="994" spans="1:25" x14ac:dyDescent="0.3">
      <c r="A994" s="350"/>
      <c r="B994" s="350"/>
      <c r="C994" s="350"/>
      <c r="D994" s="350"/>
      <c r="E994" s="350" t="s">
        <v>1964</v>
      </c>
      <c r="F994" s="306">
        <v>4503094</v>
      </c>
      <c r="G994" s="307"/>
      <c r="H994" s="308"/>
      <c r="I994" s="309"/>
      <c r="J994" s="310">
        <v>0</v>
      </c>
      <c r="K994" s="311">
        <v>0</v>
      </c>
      <c r="L994" s="311">
        <v>0</v>
      </c>
      <c r="M994" s="311">
        <v>0</v>
      </c>
      <c r="N994" s="311">
        <v>0</v>
      </c>
      <c r="O994" s="311">
        <v>0</v>
      </c>
      <c r="P994" s="311">
        <v>0</v>
      </c>
      <c r="Q994" s="311">
        <v>0</v>
      </c>
      <c r="R994" s="311">
        <v>0</v>
      </c>
      <c r="S994" s="311">
        <v>0</v>
      </c>
      <c r="T994" s="311">
        <v>0</v>
      </c>
      <c r="U994" s="312">
        <v>0</v>
      </c>
      <c r="V994" s="313">
        <v>0</v>
      </c>
      <c r="W994" s="314"/>
      <c r="X994" s="315">
        <v>0</v>
      </c>
      <c r="Y994" s="316">
        <v>0</v>
      </c>
    </row>
    <row r="995" spans="1:25" x14ac:dyDescent="0.3">
      <c r="A995" s="361"/>
      <c r="B995" s="361"/>
      <c r="C995" s="361"/>
      <c r="D995" s="361"/>
      <c r="E995" s="361" t="s">
        <v>1965</v>
      </c>
      <c r="F995" s="351"/>
      <c r="G995" s="352"/>
      <c r="H995" s="353"/>
      <c r="I995" s="354"/>
      <c r="J995" s="362">
        <v>0</v>
      </c>
      <c r="K995" s="355">
        <v>0</v>
      </c>
      <c r="L995" s="355">
        <v>0</v>
      </c>
      <c r="M995" s="355">
        <v>0</v>
      </c>
      <c r="N995" s="355">
        <v>0</v>
      </c>
      <c r="O995" s="355">
        <v>0</v>
      </c>
      <c r="P995" s="355">
        <v>0</v>
      </c>
      <c r="Q995" s="355">
        <v>0</v>
      </c>
      <c r="R995" s="355">
        <v>0</v>
      </c>
      <c r="S995" s="355">
        <v>0</v>
      </c>
      <c r="T995" s="355">
        <v>0</v>
      </c>
      <c r="U995" s="356">
        <v>0</v>
      </c>
      <c r="V995" s="357">
        <v>0</v>
      </c>
      <c r="W995" s="358"/>
      <c r="X995" s="359">
        <v>0</v>
      </c>
      <c r="Y995" s="360">
        <v>0</v>
      </c>
    </row>
    <row r="996" spans="1:25" x14ac:dyDescent="0.3">
      <c r="A996" s="361"/>
      <c r="B996" s="361"/>
      <c r="C996" s="361"/>
      <c r="D996" s="361"/>
      <c r="E996" s="361" t="s">
        <v>1966</v>
      </c>
      <c r="F996" s="351"/>
      <c r="G996" s="352"/>
      <c r="H996" s="353"/>
      <c r="I996" s="354"/>
      <c r="J996" s="362">
        <v>0</v>
      </c>
      <c r="K996" s="355">
        <v>0</v>
      </c>
      <c r="L996" s="355">
        <v>0</v>
      </c>
      <c r="M996" s="355">
        <v>0</v>
      </c>
      <c r="N996" s="355">
        <v>0</v>
      </c>
      <c r="O996" s="355">
        <v>0</v>
      </c>
      <c r="P996" s="355">
        <v>0</v>
      </c>
      <c r="Q996" s="355">
        <v>0</v>
      </c>
      <c r="R996" s="355">
        <v>0</v>
      </c>
      <c r="S996" s="355">
        <v>0</v>
      </c>
      <c r="T996" s="355">
        <v>0</v>
      </c>
      <c r="U996" s="356">
        <v>0</v>
      </c>
      <c r="V996" s="357">
        <v>0</v>
      </c>
      <c r="W996" s="358"/>
      <c r="X996" s="359">
        <v>0</v>
      </c>
      <c r="Y996" s="360">
        <v>0</v>
      </c>
    </row>
    <row r="997" spans="1:25" x14ac:dyDescent="0.3">
      <c r="A997" s="361"/>
      <c r="B997" s="361"/>
      <c r="C997" s="361"/>
      <c r="D997" s="361"/>
      <c r="E997" s="361" t="s">
        <v>1967</v>
      </c>
      <c r="F997" s="351"/>
      <c r="G997" s="352"/>
      <c r="H997" s="353"/>
      <c r="I997" s="354"/>
      <c r="J997" s="362">
        <v>0</v>
      </c>
      <c r="K997" s="355">
        <v>0</v>
      </c>
      <c r="L997" s="355">
        <v>0</v>
      </c>
      <c r="M997" s="355">
        <v>0</v>
      </c>
      <c r="N997" s="355">
        <v>0</v>
      </c>
      <c r="O997" s="355">
        <v>0</v>
      </c>
      <c r="P997" s="355">
        <v>0</v>
      </c>
      <c r="Q997" s="355">
        <v>0</v>
      </c>
      <c r="R997" s="355">
        <v>0</v>
      </c>
      <c r="S997" s="355">
        <v>0</v>
      </c>
      <c r="T997" s="355">
        <v>0</v>
      </c>
      <c r="U997" s="356">
        <v>0</v>
      </c>
      <c r="V997" s="357">
        <v>0</v>
      </c>
      <c r="W997" s="358"/>
      <c r="X997" s="359">
        <v>0</v>
      </c>
      <c r="Y997" s="360">
        <v>0</v>
      </c>
    </row>
    <row r="998" spans="1:25" x14ac:dyDescent="0.3">
      <c r="A998" s="233"/>
      <c r="B998" s="234" t="s">
        <v>74</v>
      </c>
      <c r="D998" s="293" t="s">
        <v>1968</v>
      </c>
      <c r="E998" s="294"/>
      <c r="F998" s="295" t="s">
        <v>1969</v>
      </c>
      <c r="G998" s="296"/>
      <c r="H998" s="297"/>
      <c r="I998" s="298"/>
      <c r="J998" s="299">
        <v>0</v>
      </c>
      <c r="K998" s="300">
        <v>0</v>
      </c>
      <c r="L998" s="300">
        <v>0</v>
      </c>
      <c r="M998" s="300">
        <v>0</v>
      </c>
      <c r="N998" s="300">
        <v>0</v>
      </c>
      <c r="O998" s="300">
        <v>0</v>
      </c>
      <c r="P998" s="300">
        <v>0</v>
      </c>
      <c r="Q998" s="300">
        <v>0</v>
      </c>
      <c r="R998" s="300">
        <v>0</v>
      </c>
      <c r="S998" s="300">
        <v>0</v>
      </c>
      <c r="T998" s="300">
        <v>0</v>
      </c>
      <c r="U998" s="301">
        <v>0</v>
      </c>
      <c r="V998" s="302">
        <v>0</v>
      </c>
      <c r="W998" s="303"/>
      <c r="X998" s="304">
        <v>0</v>
      </c>
      <c r="Y998" s="305">
        <v>0</v>
      </c>
    </row>
    <row r="999" spans="1:25" x14ac:dyDescent="0.3">
      <c r="A999" s="250"/>
      <c r="B999" s="250"/>
      <c r="C999" s="250"/>
      <c r="D999" s="250"/>
      <c r="E999" s="250" t="s">
        <v>1970</v>
      </c>
      <c r="F999" s="376">
        <v>4507501</v>
      </c>
      <c r="G999" s="377"/>
      <c r="H999" s="378">
        <v>7301190101</v>
      </c>
      <c r="I999" s="379"/>
      <c r="J999" s="391">
        <v>0</v>
      </c>
      <c r="K999" s="392">
        <v>0</v>
      </c>
      <c r="L999" s="392">
        <v>0</v>
      </c>
      <c r="M999" s="392">
        <v>0</v>
      </c>
      <c r="N999" s="392">
        <v>0</v>
      </c>
      <c r="O999" s="392">
        <v>0</v>
      </c>
      <c r="P999" s="392">
        <v>0</v>
      </c>
      <c r="Q999" s="392">
        <v>0</v>
      </c>
      <c r="R999" s="392">
        <v>0</v>
      </c>
      <c r="S999" s="392">
        <v>0</v>
      </c>
      <c r="T999" s="392">
        <v>0</v>
      </c>
      <c r="U999" s="393">
        <v>0</v>
      </c>
      <c r="V999" s="394">
        <v>0</v>
      </c>
      <c r="W999" s="395"/>
      <c r="X999" s="396">
        <v>0</v>
      </c>
      <c r="Y999" s="397">
        <v>0</v>
      </c>
    </row>
    <row r="1000" spans="1:25" x14ac:dyDescent="0.3">
      <c r="A1000" s="350"/>
      <c r="B1000" s="350"/>
      <c r="C1000" s="350"/>
      <c r="D1000" s="350"/>
      <c r="E1000" s="350" t="s">
        <v>1971</v>
      </c>
      <c r="F1000" s="306">
        <v>4507502</v>
      </c>
      <c r="G1000" s="307"/>
      <c r="H1000" s="308"/>
      <c r="I1000" s="309"/>
      <c r="J1000" s="310">
        <v>0</v>
      </c>
      <c r="K1000" s="311">
        <v>0</v>
      </c>
      <c r="L1000" s="311">
        <v>0</v>
      </c>
      <c r="M1000" s="311">
        <v>0</v>
      </c>
      <c r="N1000" s="311">
        <v>0</v>
      </c>
      <c r="O1000" s="311">
        <v>0</v>
      </c>
      <c r="P1000" s="311">
        <v>0</v>
      </c>
      <c r="Q1000" s="311">
        <v>0</v>
      </c>
      <c r="R1000" s="311">
        <v>0</v>
      </c>
      <c r="S1000" s="311">
        <v>0</v>
      </c>
      <c r="T1000" s="311">
        <v>0</v>
      </c>
      <c r="U1000" s="312">
        <v>0</v>
      </c>
      <c r="V1000" s="313">
        <v>0</v>
      </c>
      <c r="W1000" s="314"/>
      <c r="X1000" s="315">
        <v>0</v>
      </c>
      <c r="Y1000" s="316">
        <v>0</v>
      </c>
    </row>
    <row r="1001" spans="1:25" x14ac:dyDescent="0.3">
      <c r="A1001" s="350"/>
      <c r="B1001" s="350"/>
      <c r="C1001" s="350"/>
      <c r="D1001" s="350"/>
      <c r="E1001" s="350" t="s">
        <v>1972</v>
      </c>
      <c r="F1001" s="306">
        <v>4507503</v>
      </c>
      <c r="G1001" s="307"/>
      <c r="H1001" s="308"/>
      <c r="I1001" s="309"/>
      <c r="J1001" s="310">
        <v>0</v>
      </c>
      <c r="K1001" s="311">
        <v>0</v>
      </c>
      <c r="L1001" s="311">
        <v>0</v>
      </c>
      <c r="M1001" s="311">
        <v>0</v>
      </c>
      <c r="N1001" s="311">
        <v>0</v>
      </c>
      <c r="O1001" s="311">
        <v>0</v>
      </c>
      <c r="P1001" s="311">
        <v>0</v>
      </c>
      <c r="Q1001" s="311">
        <v>0</v>
      </c>
      <c r="R1001" s="311">
        <v>0</v>
      </c>
      <c r="S1001" s="311">
        <v>0</v>
      </c>
      <c r="T1001" s="311">
        <v>0</v>
      </c>
      <c r="U1001" s="312">
        <v>0</v>
      </c>
      <c r="V1001" s="313">
        <v>0</v>
      </c>
      <c r="W1001" s="314"/>
      <c r="X1001" s="315">
        <v>0</v>
      </c>
      <c r="Y1001" s="316">
        <v>0</v>
      </c>
    </row>
    <row r="1002" spans="1:25" x14ac:dyDescent="0.3">
      <c r="A1002" s="350"/>
      <c r="B1002" s="350"/>
      <c r="C1002" s="350"/>
      <c r="D1002" s="350"/>
      <c r="E1002" s="350" t="s">
        <v>1973</v>
      </c>
      <c r="F1002" s="306">
        <v>4507504</v>
      </c>
      <c r="G1002" s="307"/>
      <c r="H1002" s="308"/>
      <c r="I1002" s="309"/>
      <c r="J1002" s="310">
        <v>0</v>
      </c>
      <c r="K1002" s="311">
        <v>0</v>
      </c>
      <c r="L1002" s="311">
        <v>0</v>
      </c>
      <c r="M1002" s="311">
        <v>0</v>
      </c>
      <c r="N1002" s="311">
        <v>0</v>
      </c>
      <c r="O1002" s="311">
        <v>0</v>
      </c>
      <c r="P1002" s="311">
        <v>0</v>
      </c>
      <c r="Q1002" s="311">
        <v>0</v>
      </c>
      <c r="R1002" s="311">
        <v>0</v>
      </c>
      <c r="S1002" s="311">
        <v>0</v>
      </c>
      <c r="T1002" s="311">
        <v>0</v>
      </c>
      <c r="U1002" s="312">
        <v>0</v>
      </c>
      <c r="V1002" s="313">
        <v>0</v>
      </c>
      <c r="W1002" s="314"/>
      <c r="X1002" s="315">
        <v>0</v>
      </c>
      <c r="Y1002" s="316">
        <v>0</v>
      </c>
    </row>
    <row r="1003" spans="1:25" x14ac:dyDescent="0.3">
      <c r="A1003" s="350"/>
      <c r="B1003" s="350"/>
      <c r="C1003" s="350"/>
      <c r="D1003" s="350"/>
      <c r="E1003" s="350" t="s">
        <v>1974</v>
      </c>
      <c r="F1003" s="306">
        <v>4507505</v>
      </c>
      <c r="G1003" s="307"/>
      <c r="H1003" s="308"/>
      <c r="I1003" s="309"/>
      <c r="J1003" s="310">
        <v>0</v>
      </c>
      <c r="K1003" s="311">
        <v>0</v>
      </c>
      <c r="L1003" s="311">
        <v>0</v>
      </c>
      <c r="M1003" s="311">
        <v>0</v>
      </c>
      <c r="N1003" s="311">
        <v>0</v>
      </c>
      <c r="O1003" s="311">
        <v>0</v>
      </c>
      <c r="P1003" s="311">
        <v>0</v>
      </c>
      <c r="Q1003" s="311">
        <v>0</v>
      </c>
      <c r="R1003" s="311">
        <v>0</v>
      </c>
      <c r="S1003" s="311">
        <v>0</v>
      </c>
      <c r="T1003" s="311">
        <v>0</v>
      </c>
      <c r="U1003" s="312">
        <v>0</v>
      </c>
      <c r="V1003" s="313">
        <v>0</v>
      </c>
      <c r="W1003" s="314"/>
      <c r="X1003" s="315">
        <v>0</v>
      </c>
      <c r="Y1003" s="316">
        <v>0</v>
      </c>
    </row>
    <row r="1004" spans="1:25" x14ac:dyDescent="0.3">
      <c r="A1004" s="350"/>
      <c r="B1004" s="350"/>
      <c r="C1004" s="350"/>
      <c r="D1004" s="350"/>
      <c r="E1004" s="350" t="s">
        <v>1975</v>
      </c>
      <c r="F1004" s="306">
        <v>4507506</v>
      </c>
      <c r="G1004" s="307"/>
      <c r="H1004" s="308"/>
      <c r="I1004" s="309"/>
      <c r="J1004" s="310">
        <v>0</v>
      </c>
      <c r="K1004" s="311">
        <v>0</v>
      </c>
      <c r="L1004" s="311">
        <v>0</v>
      </c>
      <c r="M1004" s="311">
        <v>0</v>
      </c>
      <c r="N1004" s="311">
        <v>0</v>
      </c>
      <c r="O1004" s="311">
        <v>0</v>
      </c>
      <c r="P1004" s="311">
        <v>0</v>
      </c>
      <c r="Q1004" s="311">
        <v>0</v>
      </c>
      <c r="R1004" s="311">
        <v>0</v>
      </c>
      <c r="S1004" s="311">
        <v>0</v>
      </c>
      <c r="T1004" s="311">
        <v>0</v>
      </c>
      <c r="U1004" s="312">
        <v>0</v>
      </c>
      <c r="V1004" s="313">
        <v>0</v>
      </c>
      <c r="W1004" s="314"/>
      <c r="X1004" s="315">
        <v>0</v>
      </c>
      <c r="Y1004" s="316">
        <v>0</v>
      </c>
    </row>
    <row r="1005" spans="1:25" x14ac:dyDescent="0.3">
      <c r="A1005" s="361"/>
      <c r="B1005" s="361"/>
      <c r="C1005" s="361"/>
      <c r="D1005" s="361"/>
      <c r="E1005" s="361" t="s">
        <v>1976</v>
      </c>
      <c r="F1005" s="351"/>
      <c r="G1005" s="352"/>
      <c r="H1005" s="353"/>
      <c r="I1005" s="354"/>
      <c r="J1005" s="362">
        <v>0</v>
      </c>
      <c r="K1005" s="355">
        <v>0</v>
      </c>
      <c r="L1005" s="355">
        <v>0</v>
      </c>
      <c r="M1005" s="355">
        <v>0</v>
      </c>
      <c r="N1005" s="355">
        <v>0</v>
      </c>
      <c r="O1005" s="355">
        <v>0</v>
      </c>
      <c r="P1005" s="355">
        <v>0</v>
      </c>
      <c r="Q1005" s="355">
        <v>0</v>
      </c>
      <c r="R1005" s="355">
        <v>0</v>
      </c>
      <c r="S1005" s="355">
        <v>0</v>
      </c>
      <c r="T1005" s="355">
        <v>0</v>
      </c>
      <c r="U1005" s="356">
        <v>0</v>
      </c>
      <c r="V1005" s="357">
        <v>0</v>
      </c>
      <c r="W1005" s="358"/>
      <c r="X1005" s="359">
        <v>0</v>
      </c>
      <c r="Y1005" s="360">
        <v>0</v>
      </c>
    </row>
    <row r="1006" spans="1:25" x14ac:dyDescent="0.3">
      <c r="A1006" s="361"/>
      <c r="B1006" s="361"/>
      <c r="C1006" s="361"/>
      <c r="D1006" s="361"/>
      <c r="E1006" s="361" t="s">
        <v>1977</v>
      </c>
      <c r="F1006" s="351"/>
      <c r="G1006" s="352"/>
      <c r="H1006" s="353"/>
      <c r="I1006" s="354"/>
      <c r="J1006" s="362">
        <v>0</v>
      </c>
      <c r="K1006" s="355">
        <v>0</v>
      </c>
      <c r="L1006" s="355">
        <v>0</v>
      </c>
      <c r="M1006" s="355">
        <v>0</v>
      </c>
      <c r="N1006" s="355">
        <v>0</v>
      </c>
      <c r="O1006" s="355">
        <v>0</v>
      </c>
      <c r="P1006" s="355">
        <v>0</v>
      </c>
      <c r="Q1006" s="355">
        <v>0</v>
      </c>
      <c r="R1006" s="355">
        <v>0</v>
      </c>
      <c r="S1006" s="355">
        <v>0</v>
      </c>
      <c r="T1006" s="355">
        <v>0</v>
      </c>
      <c r="U1006" s="356">
        <v>0</v>
      </c>
      <c r="V1006" s="357">
        <v>0</v>
      </c>
      <c r="W1006" s="358"/>
      <c r="X1006" s="359">
        <v>0</v>
      </c>
      <c r="Y1006" s="360">
        <v>0</v>
      </c>
    </row>
    <row r="1007" spans="1:25" x14ac:dyDescent="0.3">
      <c r="A1007" s="361"/>
      <c r="B1007" s="361"/>
      <c r="C1007" s="361"/>
      <c r="D1007" s="361"/>
      <c r="E1007" s="361" t="s">
        <v>1978</v>
      </c>
      <c r="F1007" s="351"/>
      <c r="G1007" s="352"/>
      <c r="H1007" s="353"/>
      <c r="I1007" s="354"/>
      <c r="J1007" s="362">
        <v>0</v>
      </c>
      <c r="K1007" s="355">
        <v>0</v>
      </c>
      <c r="L1007" s="355">
        <v>0</v>
      </c>
      <c r="M1007" s="355">
        <v>0</v>
      </c>
      <c r="N1007" s="355">
        <v>0</v>
      </c>
      <c r="O1007" s="355">
        <v>0</v>
      </c>
      <c r="P1007" s="355">
        <v>0</v>
      </c>
      <c r="Q1007" s="355">
        <v>0</v>
      </c>
      <c r="R1007" s="355">
        <v>0</v>
      </c>
      <c r="S1007" s="355">
        <v>0</v>
      </c>
      <c r="T1007" s="355">
        <v>0</v>
      </c>
      <c r="U1007" s="356">
        <v>0</v>
      </c>
      <c r="V1007" s="357">
        <v>0</v>
      </c>
      <c r="W1007" s="358"/>
      <c r="X1007" s="359">
        <v>0</v>
      </c>
      <c r="Y1007" s="360">
        <v>0</v>
      </c>
    </row>
    <row r="1008" spans="1:25" x14ac:dyDescent="0.3">
      <c r="B1008" s="234" t="s">
        <v>74</v>
      </c>
      <c r="D1008" s="293" t="s">
        <v>1979</v>
      </c>
      <c r="E1008" s="294"/>
      <c r="F1008" s="295" t="s">
        <v>1980</v>
      </c>
      <c r="G1008" s="296"/>
      <c r="H1008" s="297"/>
      <c r="I1008" s="298"/>
      <c r="J1008" s="299">
        <v>0</v>
      </c>
      <c r="K1008" s="300">
        <v>0</v>
      </c>
      <c r="L1008" s="300">
        <v>0</v>
      </c>
      <c r="M1008" s="300">
        <v>0</v>
      </c>
      <c r="N1008" s="300">
        <v>0</v>
      </c>
      <c r="O1008" s="300">
        <v>0</v>
      </c>
      <c r="P1008" s="300">
        <v>0</v>
      </c>
      <c r="Q1008" s="300">
        <v>0</v>
      </c>
      <c r="R1008" s="300">
        <v>0</v>
      </c>
      <c r="S1008" s="300">
        <v>0</v>
      </c>
      <c r="T1008" s="300">
        <v>0</v>
      </c>
      <c r="U1008" s="301">
        <v>0</v>
      </c>
      <c r="V1008" s="302">
        <v>0</v>
      </c>
      <c r="W1008" s="303"/>
      <c r="X1008" s="304">
        <v>0</v>
      </c>
      <c r="Y1008" s="305">
        <v>0</v>
      </c>
    </row>
    <row r="1009" spans="1:25" x14ac:dyDescent="0.3">
      <c r="A1009" s="350"/>
      <c r="B1009" s="350"/>
      <c r="C1009" s="350"/>
      <c r="D1009" s="350"/>
      <c r="E1009" s="350" t="s">
        <v>1981</v>
      </c>
      <c r="F1009" s="306">
        <v>4508700</v>
      </c>
      <c r="G1009" s="307"/>
      <c r="H1009" s="308"/>
      <c r="I1009" s="309"/>
      <c r="J1009" s="310">
        <v>0</v>
      </c>
      <c r="K1009" s="311">
        <v>0</v>
      </c>
      <c r="L1009" s="311">
        <v>0</v>
      </c>
      <c r="M1009" s="311">
        <v>0</v>
      </c>
      <c r="N1009" s="311">
        <v>0</v>
      </c>
      <c r="O1009" s="311">
        <v>0</v>
      </c>
      <c r="P1009" s="311">
        <v>0</v>
      </c>
      <c r="Q1009" s="311">
        <v>0</v>
      </c>
      <c r="R1009" s="311">
        <v>0</v>
      </c>
      <c r="S1009" s="311">
        <v>0</v>
      </c>
      <c r="T1009" s="311">
        <v>0</v>
      </c>
      <c r="U1009" s="312">
        <v>0</v>
      </c>
      <c r="V1009" s="313">
        <v>0</v>
      </c>
      <c r="W1009" s="314"/>
      <c r="X1009" s="315">
        <v>0</v>
      </c>
      <c r="Y1009" s="316">
        <v>0</v>
      </c>
    </row>
    <row r="1010" spans="1:25" x14ac:dyDescent="0.3">
      <c r="A1010" s="361"/>
      <c r="B1010" s="361"/>
      <c r="C1010" s="361"/>
      <c r="D1010" s="361"/>
      <c r="E1010" s="361" t="s">
        <v>1982</v>
      </c>
      <c r="F1010" s="351"/>
      <c r="G1010" s="352"/>
      <c r="H1010" s="353"/>
      <c r="I1010" s="354"/>
      <c r="J1010" s="362">
        <v>0</v>
      </c>
      <c r="K1010" s="355">
        <v>0</v>
      </c>
      <c r="L1010" s="355">
        <v>0</v>
      </c>
      <c r="M1010" s="355">
        <v>0</v>
      </c>
      <c r="N1010" s="355">
        <v>0</v>
      </c>
      <c r="O1010" s="355">
        <v>0</v>
      </c>
      <c r="P1010" s="355">
        <v>0</v>
      </c>
      <c r="Q1010" s="355">
        <v>0</v>
      </c>
      <c r="R1010" s="355">
        <v>0</v>
      </c>
      <c r="S1010" s="355">
        <v>0</v>
      </c>
      <c r="T1010" s="355">
        <v>0</v>
      </c>
      <c r="U1010" s="356">
        <v>0</v>
      </c>
      <c r="V1010" s="357">
        <v>0</v>
      </c>
      <c r="W1010" s="358"/>
      <c r="X1010" s="359">
        <v>0</v>
      </c>
      <c r="Y1010" s="360">
        <v>0</v>
      </c>
    </row>
    <row r="1011" spans="1:25" x14ac:dyDescent="0.3">
      <c r="A1011" s="361"/>
      <c r="B1011" s="361"/>
      <c r="C1011" s="361"/>
      <c r="D1011" s="361"/>
      <c r="E1011" s="361" t="s">
        <v>1983</v>
      </c>
      <c r="F1011" s="351"/>
      <c r="G1011" s="352"/>
      <c r="H1011" s="353"/>
      <c r="I1011" s="354"/>
      <c r="J1011" s="362">
        <v>0</v>
      </c>
      <c r="K1011" s="355">
        <v>0</v>
      </c>
      <c r="L1011" s="355">
        <v>0</v>
      </c>
      <c r="M1011" s="355">
        <v>0</v>
      </c>
      <c r="N1011" s="355">
        <v>0</v>
      </c>
      <c r="O1011" s="355">
        <v>0</v>
      </c>
      <c r="P1011" s="355">
        <v>0</v>
      </c>
      <c r="Q1011" s="355">
        <v>0</v>
      </c>
      <c r="R1011" s="355">
        <v>0</v>
      </c>
      <c r="S1011" s="355">
        <v>0</v>
      </c>
      <c r="T1011" s="355">
        <v>0</v>
      </c>
      <c r="U1011" s="356">
        <v>0</v>
      </c>
      <c r="V1011" s="357">
        <v>0</v>
      </c>
      <c r="W1011" s="358"/>
      <c r="X1011" s="359">
        <v>0</v>
      </c>
      <c r="Y1011" s="360">
        <v>0</v>
      </c>
    </row>
    <row r="1012" spans="1:25" x14ac:dyDescent="0.3">
      <c r="A1012" s="361"/>
      <c r="B1012" s="361"/>
      <c r="C1012" s="361"/>
      <c r="D1012" s="361"/>
      <c r="E1012" s="361" t="s">
        <v>1984</v>
      </c>
      <c r="F1012" s="351"/>
      <c r="G1012" s="352"/>
      <c r="H1012" s="353"/>
      <c r="I1012" s="354"/>
      <c r="J1012" s="362">
        <v>0</v>
      </c>
      <c r="K1012" s="355">
        <v>0</v>
      </c>
      <c r="L1012" s="355">
        <v>0</v>
      </c>
      <c r="M1012" s="355">
        <v>0</v>
      </c>
      <c r="N1012" s="355">
        <v>0</v>
      </c>
      <c r="O1012" s="355">
        <v>0</v>
      </c>
      <c r="P1012" s="355">
        <v>0</v>
      </c>
      <c r="Q1012" s="355">
        <v>0</v>
      </c>
      <c r="R1012" s="355">
        <v>0</v>
      </c>
      <c r="S1012" s="355">
        <v>0</v>
      </c>
      <c r="T1012" s="355">
        <v>0</v>
      </c>
      <c r="U1012" s="356">
        <v>0</v>
      </c>
      <c r="V1012" s="357">
        <v>0</v>
      </c>
      <c r="W1012" s="358"/>
      <c r="X1012" s="359">
        <v>0</v>
      </c>
      <c r="Y1012" s="360">
        <v>0</v>
      </c>
    </row>
    <row r="1013" spans="1:25" x14ac:dyDescent="0.3">
      <c r="A1013" s="233"/>
      <c r="B1013" s="234" t="s">
        <v>74</v>
      </c>
      <c r="D1013" s="293" t="s">
        <v>1985</v>
      </c>
      <c r="E1013" s="294"/>
      <c r="F1013" s="295" t="s">
        <v>1986</v>
      </c>
      <c r="G1013" s="296"/>
      <c r="H1013" s="297"/>
      <c r="I1013" s="298"/>
      <c r="J1013" s="299">
        <v>0</v>
      </c>
      <c r="K1013" s="300">
        <v>0</v>
      </c>
      <c r="L1013" s="300">
        <v>0</v>
      </c>
      <c r="M1013" s="300">
        <v>0</v>
      </c>
      <c r="N1013" s="300">
        <v>0</v>
      </c>
      <c r="O1013" s="300">
        <v>0</v>
      </c>
      <c r="P1013" s="300">
        <v>0</v>
      </c>
      <c r="Q1013" s="300">
        <v>0</v>
      </c>
      <c r="R1013" s="300">
        <v>18500000</v>
      </c>
      <c r="S1013" s="300">
        <v>0</v>
      </c>
      <c r="T1013" s="300">
        <v>-86659.03</v>
      </c>
      <c r="U1013" s="301">
        <v>0</v>
      </c>
      <c r="V1013" s="302">
        <v>18413340.969999999</v>
      </c>
      <c r="W1013" s="303"/>
      <c r="X1013" s="304">
        <v>0</v>
      </c>
      <c r="Y1013" s="305">
        <v>18413340.969999999</v>
      </c>
    </row>
    <row r="1014" spans="1:25" x14ac:dyDescent="0.3">
      <c r="E1014" s="250" t="s">
        <v>1987</v>
      </c>
      <c r="F1014" s="317">
        <v>4503088</v>
      </c>
      <c r="G1014" s="318"/>
      <c r="H1014" s="319">
        <v>7301100000</v>
      </c>
      <c r="I1014" s="320"/>
      <c r="J1014" s="337">
        <v>0</v>
      </c>
      <c r="K1014" s="321">
        <v>0</v>
      </c>
      <c r="L1014" s="321">
        <v>0</v>
      </c>
      <c r="M1014" s="321">
        <v>0</v>
      </c>
      <c r="N1014" s="321">
        <v>0</v>
      </c>
      <c r="O1014" s="321">
        <v>0</v>
      </c>
      <c r="P1014" s="321">
        <v>0</v>
      </c>
      <c r="Q1014" s="321">
        <v>0</v>
      </c>
      <c r="R1014" s="321">
        <v>0</v>
      </c>
      <c r="S1014" s="321">
        <v>0</v>
      </c>
      <c r="T1014" s="321">
        <v>0</v>
      </c>
      <c r="U1014" s="322">
        <v>0</v>
      </c>
      <c r="V1014" s="323">
        <v>0</v>
      </c>
      <c r="W1014" s="303"/>
      <c r="X1014" s="324">
        <v>0</v>
      </c>
      <c r="Y1014" s="325">
        <v>0</v>
      </c>
    </row>
    <row r="1015" spans="1:25" x14ac:dyDescent="0.3">
      <c r="E1015" s="250" t="s">
        <v>1988</v>
      </c>
      <c r="F1015" s="317">
        <v>4503501</v>
      </c>
      <c r="G1015" s="318"/>
      <c r="H1015" s="319">
        <v>7301310201</v>
      </c>
      <c r="I1015" s="320"/>
      <c r="J1015" s="337">
        <v>0</v>
      </c>
      <c r="K1015" s="321">
        <v>0</v>
      </c>
      <c r="L1015" s="321">
        <v>0</v>
      </c>
      <c r="M1015" s="321">
        <v>0</v>
      </c>
      <c r="N1015" s="321">
        <v>0</v>
      </c>
      <c r="O1015" s="321">
        <v>0</v>
      </c>
      <c r="P1015" s="321">
        <v>0</v>
      </c>
      <c r="Q1015" s="321">
        <v>0</v>
      </c>
      <c r="R1015" s="321">
        <v>0</v>
      </c>
      <c r="S1015" s="321">
        <v>0</v>
      </c>
      <c r="T1015" s="321">
        <v>0</v>
      </c>
      <c r="U1015" s="322">
        <v>0</v>
      </c>
      <c r="V1015" s="323">
        <v>0</v>
      </c>
      <c r="W1015" s="303"/>
      <c r="X1015" s="324">
        <v>0</v>
      </c>
      <c r="Y1015" s="325">
        <v>0</v>
      </c>
    </row>
    <row r="1016" spans="1:25" x14ac:dyDescent="0.3">
      <c r="E1016" s="250" t="s">
        <v>1989</v>
      </c>
      <c r="F1016" s="317">
        <v>4503502</v>
      </c>
      <c r="G1016" s="318"/>
      <c r="H1016" s="319">
        <v>7301310301</v>
      </c>
      <c r="I1016" s="320"/>
      <c r="J1016" s="337">
        <v>0</v>
      </c>
      <c r="K1016" s="321">
        <v>0</v>
      </c>
      <c r="L1016" s="321">
        <v>0</v>
      </c>
      <c r="M1016" s="321">
        <v>0</v>
      </c>
      <c r="N1016" s="321">
        <v>0</v>
      </c>
      <c r="O1016" s="321">
        <v>0</v>
      </c>
      <c r="P1016" s="321">
        <v>0</v>
      </c>
      <c r="Q1016" s="321">
        <v>0</v>
      </c>
      <c r="R1016" s="321">
        <v>0</v>
      </c>
      <c r="S1016" s="321">
        <v>0</v>
      </c>
      <c r="T1016" s="321">
        <v>0</v>
      </c>
      <c r="U1016" s="322">
        <v>0</v>
      </c>
      <c r="V1016" s="323">
        <v>0</v>
      </c>
      <c r="W1016" s="303"/>
      <c r="X1016" s="324">
        <v>0</v>
      </c>
      <c r="Y1016" s="325">
        <v>0</v>
      </c>
    </row>
    <row r="1017" spans="1:25" x14ac:dyDescent="0.3">
      <c r="E1017" s="250" t="s">
        <v>1990</v>
      </c>
      <c r="F1017" s="317">
        <v>4503505</v>
      </c>
      <c r="G1017" s="318"/>
      <c r="H1017" s="319"/>
      <c r="I1017" s="320"/>
      <c r="J1017" s="337">
        <v>0</v>
      </c>
      <c r="K1017" s="321">
        <v>0</v>
      </c>
      <c r="L1017" s="321">
        <v>0</v>
      </c>
      <c r="M1017" s="321">
        <v>0</v>
      </c>
      <c r="N1017" s="321">
        <v>0</v>
      </c>
      <c r="O1017" s="321">
        <v>0</v>
      </c>
      <c r="P1017" s="321">
        <v>0</v>
      </c>
      <c r="Q1017" s="321">
        <v>0</v>
      </c>
      <c r="R1017" s="321">
        <v>0</v>
      </c>
      <c r="S1017" s="321">
        <v>0</v>
      </c>
      <c r="T1017" s="321">
        <v>0</v>
      </c>
      <c r="U1017" s="322">
        <v>0</v>
      </c>
      <c r="V1017" s="323">
        <v>0</v>
      </c>
      <c r="W1017" s="303"/>
      <c r="X1017" s="324">
        <v>0</v>
      </c>
      <c r="Y1017" s="325">
        <v>0</v>
      </c>
    </row>
    <row r="1018" spans="1:25" x14ac:dyDescent="0.3">
      <c r="E1018" s="250" t="s">
        <v>1991</v>
      </c>
      <c r="F1018" s="317">
        <v>4503506</v>
      </c>
      <c r="G1018" s="318"/>
      <c r="H1018" s="319"/>
      <c r="I1018" s="320"/>
      <c r="J1018" s="337">
        <v>0</v>
      </c>
      <c r="K1018" s="321">
        <v>0</v>
      </c>
      <c r="L1018" s="321">
        <v>0</v>
      </c>
      <c r="M1018" s="321">
        <v>0</v>
      </c>
      <c r="N1018" s="321">
        <v>0</v>
      </c>
      <c r="O1018" s="321">
        <v>0</v>
      </c>
      <c r="P1018" s="321">
        <v>0</v>
      </c>
      <c r="Q1018" s="321">
        <v>0</v>
      </c>
      <c r="R1018" s="321">
        <v>0</v>
      </c>
      <c r="S1018" s="321">
        <v>0</v>
      </c>
      <c r="T1018" s="321">
        <v>0</v>
      </c>
      <c r="U1018" s="322">
        <v>0</v>
      </c>
      <c r="V1018" s="323">
        <v>0</v>
      </c>
      <c r="W1018" s="303"/>
      <c r="X1018" s="324">
        <v>0</v>
      </c>
      <c r="Y1018" s="325">
        <v>0</v>
      </c>
    </row>
    <row r="1019" spans="1:25" x14ac:dyDescent="0.3">
      <c r="E1019" s="250" t="s">
        <v>1992</v>
      </c>
      <c r="F1019" s="317">
        <v>4503507</v>
      </c>
      <c r="G1019" s="318"/>
      <c r="H1019" s="319"/>
      <c r="I1019" s="320"/>
      <c r="J1019" s="337">
        <v>0</v>
      </c>
      <c r="K1019" s="321">
        <v>0</v>
      </c>
      <c r="L1019" s="321">
        <v>0</v>
      </c>
      <c r="M1019" s="321">
        <v>0</v>
      </c>
      <c r="N1019" s="321">
        <v>0</v>
      </c>
      <c r="O1019" s="321">
        <v>0</v>
      </c>
      <c r="P1019" s="321">
        <v>0</v>
      </c>
      <c r="Q1019" s="321">
        <v>0</v>
      </c>
      <c r="R1019" s="321">
        <v>0</v>
      </c>
      <c r="S1019" s="321">
        <v>0</v>
      </c>
      <c r="T1019" s="321">
        <v>0</v>
      </c>
      <c r="U1019" s="322">
        <v>0</v>
      </c>
      <c r="V1019" s="323">
        <v>0</v>
      </c>
      <c r="W1019" s="303"/>
      <c r="X1019" s="324">
        <v>0</v>
      </c>
      <c r="Y1019" s="325">
        <v>0</v>
      </c>
    </row>
    <row r="1020" spans="1:25" x14ac:dyDescent="0.3">
      <c r="A1020" s="326"/>
      <c r="B1020" s="326"/>
      <c r="C1020" s="326"/>
      <c r="D1020" s="326"/>
      <c r="E1020" s="250" t="s">
        <v>1993</v>
      </c>
      <c r="F1020" s="306">
        <v>4309204</v>
      </c>
      <c r="G1020" s="307"/>
      <c r="H1020" s="308">
        <v>7301310101</v>
      </c>
      <c r="I1020" s="309"/>
      <c r="J1020" s="310">
        <v>0</v>
      </c>
      <c r="K1020" s="311">
        <v>0</v>
      </c>
      <c r="L1020" s="311">
        <v>0</v>
      </c>
      <c r="M1020" s="311">
        <v>0</v>
      </c>
      <c r="N1020" s="311">
        <v>0</v>
      </c>
      <c r="O1020" s="311">
        <v>0</v>
      </c>
      <c r="P1020" s="311">
        <v>0</v>
      </c>
      <c r="Q1020" s="311">
        <v>0</v>
      </c>
      <c r="R1020" s="311">
        <v>18500000</v>
      </c>
      <c r="S1020" s="311">
        <v>0</v>
      </c>
      <c r="T1020" s="311">
        <v>-86659.03</v>
      </c>
      <c r="U1020" s="312">
        <v>0</v>
      </c>
      <c r="V1020" s="313">
        <v>18413340.969999999</v>
      </c>
      <c r="W1020" s="314"/>
      <c r="X1020" s="315">
        <v>0</v>
      </c>
      <c r="Y1020" s="316">
        <v>18413340.969999999</v>
      </c>
    </row>
    <row r="1021" spans="1:25" x14ac:dyDescent="0.3">
      <c r="A1021" s="326"/>
      <c r="B1021" s="326"/>
      <c r="C1021" s="326"/>
      <c r="D1021" s="326"/>
      <c r="E1021" s="250" t="s">
        <v>1994</v>
      </c>
      <c r="F1021" s="306">
        <v>4309205</v>
      </c>
      <c r="G1021" s="307"/>
      <c r="H1021" s="308"/>
      <c r="I1021" s="309"/>
      <c r="J1021" s="310">
        <v>0</v>
      </c>
      <c r="K1021" s="311">
        <v>0</v>
      </c>
      <c r="L1021" s="311">
        <v>0</v>
      </c>
      <c r="M1021" s="311">
        <v>0</v>
      </c>
      <c r="N1021" s="311">
        <v>0</v>
      </c>
      <c r="O1021" s="311">
        <v>0</v>
      </c>
      <c r="P1021" s="311">
        <v>0</v>
      </c>
      <c r="Q1021" s="311">
        <v>0</v>
      </c>
      <c r="R1021" s="311">
        <v>0</v>
      </c>
      <c r="S1021" s="311">
        <v>0</v>
      </c>
      <c r="T1021" s="311">
        <v>0</v>
      </c>
      <c r="U1021" s="312">
        <v>0</v>
      </c>
      <c r="V1021" s="313">
        <v>0</v>
      </c>
      <c r="W1021" s="314"/>
      <c r="X1021" s="315">
        <v>0</v>
      </c>
      <c r="Y1021" s="316">
        <v>0</v>
      </c>
    </row>
    <row r="1022" spans="1:25" x14ac:dyDescent="0.3">
      <c r="A1022" s="326"/>
      <c r="B1022" s="326"/>
      <c r="C1022" s="326"/>
      <c r="D1022" s="326"/>
      <c r="E1022" s="326" t="s">
        <v>1995</v>
      </c>
      <c r="F1022" s="336"/>
      <c r="G1022" s="327"/>
      <c r="H1022" s="328"/>
      <c r="I1022" s="329"/>
      <c r="J1022" s="338">
        <v>0</v>
      </c>
      <c r="K1022" s="330">
        <v>0</v>
      </c>
      <c r="L1022" s="330">
        <v>0</v>
      </c>
      <c r="M1022" s="330">
        <v>0</v>
      </c>
      <c r="N1022" s="330">
        <v>0</v>
      </c>
      <c r="O1022" s="330">
        <v>0</v>
      </c>
      <c r="P1022" s="330">
        <v>0</v>
      </c>
      <c r="Q1022" s="330">
        <v>0</v>
      </c>
      <c r="R1022" s="330">
        <v>0</v>
      </c>
      <c r="S1022" s="330">
        <v>0</v>
      </c>
      <c r="T1022" s="330">
        <v>0</v>
      </c>
      <c r="U1022" s="331">
        <v>0</v>
      </c>
      <c r="V1022" s="332">
        <v>0</v>
      </c>
      <c r="W1022" s="333"/>
      <c r="X1022" s="334">
        <v>0</v>
      </c>
      <c r="Y1022" s="335">
        <v>0</v>
      </c>
    </row>
    <row r="1023" spans="1:25" x14ac:dyDescent="0.3">
      <c r="A1023" s="233"/>
      <c r="B1023" s="234" t="s">
        <v>56</v>
      </c>
      <c r="D1023" s="293" t="s">
        <v>1996</v>
      </c>
      <c r="E1023" s="294"/>
      <c r="F1023" s="295" t="s">
        <v>1997</v>
      </c>
      <c r="G1023" s="296"/>
      <c r="H1023" s="297"/>
      <c r="I1023" s="298"/>
      <c r="J1023" s="299">
        <v>0</v>
      </c>
      <c r="K1023" s="300">
        <v>111.471</v>
      </c>
      <c r="L1023" s="300">
        <v>0</v>
      </c>
      <c r="M1023" s="300">
        <v>153.334</v>
      </c>
      <c r="N1023" s="300">
        <v>521.20000000000005</v>
      </c>
      <c r="O1023" s="300">
        <v>0</v>
      </c>
      <c r="P1023" s="300">
        <v>618.81399999999996</v>
      </c>
      <c r="Q1023" s="300">
        <v>0</v>
      </c>
      <c r="R1023" s="300">
        <v>0</v>
      </c>
      <c r="S1023" s="300">
        <v>0</v>
      </c>
      <c r="T1023" s="300">
        <v>0</v>
      </c>
      <c r="U1023" s="301">
        <v>0</v>
      </c>
      <c r="V1023" s="302">
        <v>1404.819</v>
      </c>
      <c r="W1023" s="303"/>
      <c r="X1023" s="304">
        <v>0</v>
      </c>
      <c r="Y1023" s="305">
        <v>1404.819</v>
      </c>
    </row>
    <row r="1024" spans="1:25" x14ac:dyDescent="0.3">
      <c r="E1024" s="250" t="s">
        <v>1998</v>
      </c>
      <c r="F1024" s="317">
        <v>4509901</v>
      </c>
      <c r="G1024" s="318"/>
      <c r="H1024" s="319">
        <v>7301990101</v>
      </c>
      <c r="I1024" s="320"/>
      <c r="J1024" s="337">
        <v>0</v>
      </c>
      <c r="K1024" s="321">
        <v>0</v>
      </c>
      <c r="L1024" s="321">
        <v>0</v>
      </c>
      <c r="M1024" s="321">
        <v>0</v>
      </c>
      <c r="N1024" s="321">
        <v>0</v>
      </c>
      <c r="O1024" s="321">
        <v>0</v>
      </c>
      <c r="P1024" s="321">
        <v>0</v>
      </c>
      <c r="Q1024" s="321">
        <v>0</v>
      </c>
      <c r="R1024" s="321">
        <v>0</v>
      </c>
      <c r="S1024" s="321">
        <v>0</v>
      </c>
      <c r="T1024" s="321">
        <v>0</v>
      </c>
      <c r="U1024" s="322">
        <v>0</v>
      </c>
      <c r="V1024" s="323">
        <v>0</v>
      </c>
      <c r="W1024" s="303"/>
      <c r="X1024" s="324">
        <v>0</v>
      </c>
      <c r="Y1024" s="325">
        <v>0</v>
      </c>
    </row>
    <row r="1025" spans="1:25" x14ac:dyDescent="0.3">
      <c r="E1025" s="250" t="s">
        <v>1999</v>
      </c>
      <c r="F1025" s="317">
        <v>4509902</v>
      </c>
      <c r="G1025" s="318"/>
      <c r="H1025" s="319">
        <v>7301990199</v>
      </c>
      <c r="I1025" s="320"/>
      <c r="J1025" s="337">
        <v>0</v>
      </c>
      <c r="K1025" s="321">
        <v>0</v>
      </c>
      <c r="L1025" s="321">
        <v>0</v>
      </c>
      <c r="M1025" s="321">
        <v>0</v>
      </c>
      <c r="N1025" s="321">
        <v>0</v>
      </c>
      <c r="O1025" s="321">
        <v>0</v>
      </c>
      <c r="P1025" s="321">
        <v>0</v>
      </c>
      <c r="Q1025" s="321">
        <v>0</v>
      </c>
      <c r="R1025" s="321">
        <v>0</v>
      </c>
      <c r="S1025" s="321">
        <v>0</v>
      </c>
      <c r="T1025" s="321">
        <v>0</v>
      </c>
      <c r="U1025" s="322">
        <v>0</v>
      </c>
      <c r="V1025" s="323">
        <v>0</v>
      </c>
      <c r="W1025" s="303"/>
      <c r="X1025" s="324">
        <v>0</v>
      </c>
      <c r="Y1025" s="325">
        <v>0</v>
      </c>
    </row>
    <row r="1026" spans="1:25" x14ac:dyDescent="0.3">
      <c r="E1026" s="250" t="s">
        <v>2000</v>
      </c>
      <c r="F1026" s="317">
        <v>4509903</v>
      </c>
      <c r="G1026" s="318"/>
      <c r="H1026" s="319"/>
      <c r="I1026" s="320"/>
      <c r="J1026" s="337">
        <v>0</v>
      </c>
      <c r="K1026" s="321">
        <v>0</v>
      </c>
      <c r="L1026" s="321">
        <v>0</v>
      </c>
      <c r="M1026" s="321">
        <v>0</v>
      </c>
      <c r="N1026" s="321">
        <v>0</v>
      </c>
      <c r="O1026" s="321">
        <v>0</v>
      </c>
      <c r="P1026" s="321">
        <v>0</v>
      </c>
      <c r="Q1026" s="321">
        <v>0</v>
      </c>
      <c r="R1026" s="321">
        <v>0</v>
      </c>
      <c r="S1026" s="321">
        <v>0</v>
      </c>
      <c r="T1026" s="321">
        <v>0</v>
      </c>
      <c r="U1026" s="322">
        <v>0</v>
      </c>
      <c r="V1026" s="323">
        <v>0</v>
      </c>
      <c r="W1026" s="303"/>
      <c r="X1026" s="324">
        <v>0</v>
      </c>
      <c r="Y1026" s="325">
        <v>0</v>
      </c>
    </row>
    <row r="1027" spans="1:25" x14ac:dyDescent="0.3">
      <c r="E1027" s="250" t="s">
        <v>2001</v>
      </c>
      <c r="F1027" s="317">
        <v>4509904</v>
      </c>
      <c r="G1027" s="318"/>
      <c r="H1027" s="319"/>
      <c r="I1027" s="320"/>
      <c r="J1027" s="337">
        <v>0</v>
      </c>
      <c r="K1027" s="321">
        <v>0</v>
      </c>
      <c r="L1027" s="321">
        <v>0</v>
      </c>
      <c r="M1027" s="321">
        <v>0</v>
      </c>
      <c r="N1027" s="321">
        <v>0</v>
      </c>
      <c r="O1027" s="321">
        <v>0</v>
      </c>
      <c r="P1027" s="321">
        <v>0</v>
      </c>
      <c r="Q1027" s="321">
        <v>0</v>
      </c>
      <c r="R1027" s="321">
        <v>0</v>
      </c>
      <c r="S1027" s="321">
        <v>0</v>
      </c>
      <c r="T1027" s="321">
        <v>0</v>
      </c>
      <c r="U1027" s="322">
        <v>0</v>
      </c>
      <c r="V1027" s="323">
        <v>0</v>
      </c>
      <c r="W1027" s="303"/>
      <c r="X1027" s="324">
        <v>0</v>
      </c>
      <c r="Y1027" s="325">
        <v>0</v>
      </c>
    </row>
    <row r="1028" spans="1:25" x14ac:dyDescent="0.3">
      <c r="E1028" s="250" t="s">
        <v>2002</v>
      </c>
      <c r="F1028" s="317">
        <v>4509905</v>
      </c>
      <c r="G1028" s="318"/>
      <c r="H1028" s="319">
        <v>7301990105</v>
      </c>
      <c r="I1028" s="320"/>
      <c r="J1028" s="337">
        <v>0</v>
      </c>
      <c r="K1028" s="321">
        <v>0</v>
      </c>
      <c r="L1028" s="321">
        <v>0</v>
      </c>
      <c r="M1028" s="321">
        <v>0</v>
      </c>
      <c r="N1028" s="321">
        <v>0</v>
      </c>
      <c r="O1028" s="321">
        <v>0</v>
      </c>
      <c r="P1028" s="321">
        <v>0</v>
      </c>
      <c r="Q1028" s="321">
        <v>0</v>
      </c>
      <c r="R1028" s="321">
        <v>0</v>
      </c>
      <c r="S1028" s="321">
        <v>0</v>
      </c>
      <c r="T1028" s="321">
        <v>0</v>
      </c>
      <c r="U1028" s="322">
        <v>0</v>
      </c>
      <c r="V1028" s="323">
        <v>0</v>
      </c>
      <c r="W1028" s="303"/>
      <c r="X1028" s="324">
        <v>0</v>
      </c>
      <c r="Y1028" s="325">
        <v>0</v>
      </c>
    </row>
    <row r="1029" spans="1:25" x14ac:dyDescent="0.3">
      <c r="E1029" s="250" t="s">
        <v>2003</v>
      </c>
      <c r="F1029" s="317">
        <v>4509999</v>
      </c>
      <c r="G1029" s="318"/>
      <c r="H1029" s="319"/>
      <c r="I1029" s="320"/>
      <c r="J1029" s="337">
        <v>0</v>
      </c>
      <c r="K1029" s="321">
        <v>111.471</v>
      </c>
      <c r="L1029" s="321">
        <v>0</v>
      </c>
      <c r="M1029" s="321">
        <v>153.334</v>
      </c>
      <c r="N1029" s="321">
        <v>521.20000000000005</v>
      </c>
      <c r="O1029" s="321">
        <v>0</v>
      </c>
      <c r="P1029" s="321">
        <v>618.81399999999996</v>
      </c>
      <c r="Q1029" s="321">
        <v>0</v>
      </c>
      <c r="R1029" s="321">
        <v>0</v>
      </c>
      <c r="S1029" s="321">
        <v>0</v>
      </c>
      <c r="T1029" s="321">
        <v>0</v>
      </c>
      <c r="U1029" s="322">
        <v>0</v>
      </c>
      <c r="V1029" s="323">
        <v>1404.819</v>
      </c>
      <c r="W1029" s="303"/>
      <c r="X1029" s="324">
        <v>0</v>
      </c>
      <c r="Y1029" s="325">
        <v>1404.819</v>
      </c>
    </row>
    <row r="1030" spans="1:25" x14ac:dyDescent="0.3">
      <c r="A1030" s="361"/>
      <c r="B1030" s="361"/>
      <c r="C1030" s="361"/>
      <c r="D1030" s="361"/>
      <c r="E1030" s="326" t="s">
        <v>2004</v>
      </c>
      <c r="F1030" s="351"/>
      <c r="G1030" s="352"/>
      <c r="H1030" s="353"/>
      <c r="I1030" s="354"/>
      <c r="J1030" s="362">
        <v>0</v>
      </c>
      <c r="K1030" s="355">
        <v>0</v>
      </c>
      <c r="L1030" s="355">
        <v>0</v>
      </c>
      <c r="M1030" s="355">
        <v>0</v>
      </c>
      <c r="N1030" s="355">
        <v>0</v>
      </c>
      <c r="O1030" s="355">
        <v>0</v>
      </c>
      <c r="P1030" s="355">
        <v>0</v>
      </c>
      <c r="Q1030" s="355">
        <v>0</v>
      </c>
      <c r="R1030" s="355">
        <v>0</v>
      </c>
      <c r="S1030" s="355">
        <v>0</v>
      </c>
      <c r="T1030" s="355">
        <v>0</v>
      </c>
      <c r="U1030" s="356">
        <v>0</v>
      </c>
      <c r="V1030" s="357">
        <v>0</v>
      </c>
      <c r="W1030" s="358"/>
      <c r="X1030" s="359">
        <v>0</v>
      </c>
      <c r="Y1030" s="360">
        <v>0</v>
      </c>
    </row>
    <row r="1031" spans="1:25" x14ac:dyDescent="0.3">
      <c r="A1031" s="361"/>
      <c r="B1031" s="361"/>
      <c r="C1031" s="361"/>
      <c r="D1031" s="361"/>
      <c r="E1031" s="326" t="s">
        <v>2005</v>
      </c>
      <c r="F1031" s="351"/>
      <c r="G1031" s="352"/>
      <c r="H1031" s="353"/>
      <c r="I1031" s="354"/>
      <c r="J1031" s="362">
        <v>0</v>
      </c>
      <c r="K1031" s="355">
        <v>0</v>
      </c>
      <c r="L1031" s="355">
        <v>0</v>
      </c>
      <c r="M1031" s="355">
        <v>0</v>
      </c>
      <c r="N1031" s="355">
        <v>0</v>
      </c>
      <c r="O1031" s="355">
        <v>0</v>
      </c>
      <c r="P1031" s="355">
        <v>0</v>
      </c>
      <c r="Q1031" s="355">
        <v>0</v>
      </c>
      <c r="R1031" s="355">
        <v>0</v>
      </c>
      <c r="S1031" s="355">
        <v>0</v>
      </c>
      <c r="T1031" s="355">
        <v>0</v>
      </c>
      <c r="U1031" s="356">
        <v>0</v>
      </c>
      <c r="V1031" s="357">
        <v>0</v>
      </c>
      <c r="W1031" s="358"/>
      <c r="X1031" s="359">
        <v>0</v>
      </c>
      <c r="Y1031" s="360">
        <v>0</v>
      </c>
    </row>
    <row r="1032" spans="1:25" x14ac:dyDescent="0.3">
      <c r="A1032" s="361"/>
      <c r="B1032" s="361"/>
      <c r="C1032" s="361"/>
      <c r="D1032" s="361"/>
      <c r="E1032" s="326" t="s">
        <v>2006</v>
      </c>
      <c r="F1032" s="351"/>
      <c r="G1032" s="352"/>
      <c r="H1032" s="353"/>
      <c r="I1032" s="354"/>
      <c r="J1032" s="362">
        <v>0</v>
      </c>
      <c r="K1032" s="355">
        <v>0</v>
      </c>
      <c r="L1032" s="355">
        <v>0</v>
      </c>
      <c r="M1032" s="355">
        <v>0</v>
      </c>
      <c r="N1032" s="355">
        <v>0</v>
      </c>
      <c r="O1032" s="355">
        <v>0</v>
      </c>
      <c r="P1032" s="355">
        <v>0</v>
      </c>
      <c r="Q1032" s="355">
        <v>0</v>
      </c>
      <c r="R1032" s="355">
        <v>0</v>
      </c>
      <c r="S1032" s="355">
        <v>0</v>
      </c>
      <c r="T1032" s="355">
        <v>0</v>
      </c>
      <c r="U1032" s="356">
        <v>0</v>
      </c>
      <c r="V1032" s="357">
        <v>0</v>
      </c>
      <c r="W1032" s="358"/>
      <c r="X1032" s="359">
        <v>0</v>
      </c>
      <c r="Y1032" s="360">
        <v>0</v>
      </c>
    </row>
    <row r="1033" spans="1:25" x14ac:dyDescent="0.3">
      <c r="A1033" s="233"/>
      <c r="B1033" s="234" t="s">
        <v>74</v>
      </c>
      <c r="D1033" s="293" t="s">
        <v>2007</v>
      </c>
      <c r="E1033" s="294"/>
      <c r="F1033" s="295" t="s">
        <v>2008</v>
      </c>
      <c r="G1033" s="296"/>
      <c r="H1033" s="297"/>
      <c r="I1033" s="298"/>
      <c r="J1033" s="299">
        <v>0</v>
      </c>
      <c r="K1033" s="300">
        <v>0</v>
      </c>
      <c r="L1033" s="300">
        <v>0</v>
      </c>
      <c r="M1033" s="300">
        <v>0</v>
      </c>
      <c r="N1033" s="300">
        <v>0</v>
      </c>
      <c r="O1033" s="300">
        <v>0</v>
      </c>
      <c r="P1033" s="300">
        <v>0</v>
      </c>
      <c r="Q1033" s="300">
        <v>0</v>
      </c>
      <c r="R1033" s="300">
        <v>106274.37699999999</v>
      </c>
      <c r="S1033" s="300">
        <v>0</v>
      </c>
      <c r="T1033" s="300">
        <v>0</v>
      </c>
      <c r="U1033" s="301">
        <v>0</v>
      </c>
      <c r="V1033" s="302">
        <v>106274.37699999999</v>
      </c>
      <c r="W1033" s="303"/>
      <c r="X1033" s="304">
        <v>0</v>
      </c>
      <c r="Y1033" s="305">
        <v>106274.37699999999</v>
      </c>
    </row>
    <row r="1034" spans="1:25" x14ac:dyDescent="0.3">
      <c r="E1034" s="250" t="s">
        <v>2009</v>
      </c>
      <c r="F1034" s="317">
        <v>4505601</v>
      </c>
      <c r="G1034" s="318"/>
      <c r="H1034" s="319">
        <v>7301350101</v>
      </c>
      <c r="I1034" s="320"/>
      <c r="J1034" s="337">
        <v>0</v>
      </c>
      <c r="K1034" s="321">
        <v>0</v>
      </c>
      <c r="L1034" s="321">
        <v>0</v>
      </c>
      <c r="M1034" s="321">
        <v>0</v>
      </c>
      <c r="N1034" s="321">
        <v>0</v>
      </c>
      <c r="O1034" s="321">
        <v>0</v>
      </c>
      <c r="P1034" s="321">
        <v>0</v>
      </c>
      <c r="Q1034" s="321">
        <v>0</v>
      </c>
      <c r="R1034" s="321">
        <v>0</v>
      </c>
      <c r="S1034" s="321">
        <v>0</v>
      </c>
      <c r="T1034" s="321">
        <v>0</v>
      </c>
      <c r="U1034" s="322">
        <v>0</v>
      </c>
      <c r="V1034" s="323">
        <v>0</v>
      </c>
      <c r="W1034" s="303"/>
      <c r="X1034" s="324">
        <v>0</v>
      </c>
      <c r="Y1034" s="325">
        <v>0</v>
      </c>
    </row>
    <row r="1035" spans="1:25" x14ac:dyDescent="0.3">
      <c r="E1035" s="250" t="s">
        <v>2010</v>
      </c>
      <c r="F1035" s="317">
        <v>4505602</v>
      </c>
      <c r="G1035" s="318"/>
      <c r="H1035" s="319"/>
      <c r="I1035" s="320"/>
      <c r="J1035" s="337">
        <v>0</v>
      </c>
      <c r="K1035" s="321">
        <v>0</v>
      </c>
      <c r="L1035" s="321">
        <v>0</v>
      </c>
      <c r="M1035" s="321">
        <v>0</v>
      </c>
      <c r="N1035" s="321">
        <v>0</v>
      </c>
      <c r="O1035" s="321">
        <v>0</v>
      </c>
      <c r="P1035" s="321">
        <v>0</v>
      </c>
      <c r="Q1035" s="321">
        <v>0</v>
      </c>
      <c r="R1035" s="321">
        <v>0</v>
      </c>
      <c r="S1035" s="321">
        <v>0</v>
      </c>
      <c r="T1035" s="321">
        <v>0</v>
      </c>
      <c r="U1035" s="322">
        <v>0</v>
      </c>
      <c r="V1035" s="323">
        <v>0</v>
      </c>
      <c r="W1035" s="303"/>
      <c r="X1035" s="324">
        <v>0</v>
      </c>
      <c r="Y1035" s="325">
        <v>0</v>
      </c>
    </row>
    <row r="1036" spans="1:25" x14ac:dyDescent="0.3">
      <c r="E1036" s="250" t="s">
        <v>2011</v>
      </c>
      <c r="F1036" s="317">
        <v>4505604</v>
      </c>
      <c r="G1036" s="318"/>
      <c r="H1036" s="319">
        <v>7701150105</v>
      </c>
      <c r="I1036" s="320"/>
      <c r="J1036" s="337">
        <v>0</v>
      </c>
      <c r="K1036" s="321">
        <v>0</v>
      </c>
      <c r="L1036" s="321">
        <v>0</v>
      </c>
      <c r="M1036" s="321">
        <v>0</v>
      </c>
      <c r="N1036" s="321">
        <v>0</v>
      </c>
      <c r="O1036" s="321">
        <v>0</v>
      </c>
      <c r="P1036" s="321">
        <v>0</v>
      </c>
      <c r="Q1036" s="321">
        <v>0</v>
      </c>
      <c r="R1036" s="321">
        <v>106274.37699999999</v>
      </c>
      <c r="S1036" s="321">
        <v>0</v>
      </c>
      <c r="T1036" s="321">
        <v>0</v>
      </c>
      <c r="U1036" s="322">
        <v>0</v>
      </c>
      <c r="V1036" s="323">
        <v>106274.37699999999</v>
      </c>
      <c r="W1036" s="303"/>
      <c r="X1036" s="324">
        <v>0</v>
      </c>
      <c r="Y1036" s="325">
        <v>106274.37699999999</v>
      </c>
    </row>
    <row r="1037" spans="1:25" x14ac:dyDescent="0.3">
      <c r="A1037" s="233"/>
      <c r="B1037" s="234" t="s">
        <v>74</v>
      </c>
      <c r="D1037" s="293" t="s">
        <v>2012</v>
      </c>
      <c r="E1037" s="294"/>
      <c r="F1037" s="295" t="s">
        <v>2013</v>
      </c>
      <c r="G1037" s="296"/>
      <c r="H1037" s="297"/>
      <c r="I1037" s="298"/>
      <c r="J1037" s="299">
        <v>0</v>
      </c>
      <c r="K1037" s="300">
        <v>0</v>
      </c>
      <c r="L1037" s="300">
        <v>0</v>
      </c>
      <c r="M1037" s="300">
        <v>0</v>
      </c>
      <c r="N1037" s="300">
        <v>0</v>
      </c>
      <c r="O1037" s="300">
        <v>0</v>
      </c>
      <c r="P1037" s="300">
        <v>0</v>
      </c>
      <c r="Q1037" s="300">
        <v>0</v>
      </c>
      <c r="R1037" s="300">
        <v>3736903.3909999998</v>
      </c>
      <c r="S1037" s="300">
        <v>0</v>
      </c>
      <c r="T1037" s="300">
        <v>0</v>
      </c>
      <c r="U1037" s="301">
        <v>77434464.958000004</v>
      </c>
      <c r="V1037" s="302">
        <v>81171368.349000007</v>
      </c>
      <c r="W1037" s="303"/>
      <c r="X1037" s="304">
        <v>77434464.958000004</v>
      </c>
      <c r="Y1037" s="305">
        <v>81171368.349000007</v>
      </c>
    </row>
    <row r="1038" spans="1:25" x14ac:dyDescent="0.3">
      <c r="E1038" s="250" t="s">
        <v>2014</v>
      </c>
      <c r="F1038" s="317">
        <v>4505600</v>
      </c>
      <c r="G1038" s="318"/>
      <c r="H1038" s="319">
        <v>7301330101</v>
      </c>
      <c r="I1038" s="320"/>
      <c r="J1038" s="337">
        <v>0</v>
      </c>
      <c r="K1038" s="321">
        <v>0</v>
      </c>
      <c r="L1038" s="321">
        <v>0</v>
      </c>
      <c r="M1038" s="321">
        <v>0</v>
      </c>
      <c r="N1038" s="321">
        <v>0</v>
      </c>
      <c r="O1038" s="321">
        <v>0</v>
      </c>
      <c r="P1038" s="321">
        <v>0</v>
      </c>
      <c r="Q1038" s="321">
        <v>0</v>
      </c>
      <c r="R1038" s="321">
        <v>3736903.3909999998</v>
      </c>
      <c r="S1038" s="321">
        <v>0</v>
      </c>
      <c r="T1038" s="321">
        <v>0</v>
      </c>
      <c r="U1038" s="322">
        <v>22513760.556000002</v>
      </c>
      <c r="V1038" s="323">
        <v>26250663.947000001</v>
      </c>
      <c r="W1038" s="303"/>
      <c r="X1038" s="324">
        <v>22513760.556000002</v>
      </c>
      <c r="Y1038" s="325">
        <v>26250663.947000001</v>
      </c>
    </row>
    <row r="1039" spans="1:25" x14ac:dyDescent="0.3">
      <c r="E1039" s="250" t="s">
        <v>2015</v>
      </c>
      <c r="F1039" s="317">
        <v>4505603</v>
      </c>
      <c r="G1039" s="318"/>
      <c r="H1039" s="319"/>
      <c r="I1039" s="320"/>
      <c r="J1039" s="337">
        <v>0</v>
      </c>
      <c r="K1039" s="321">
        <v>0</v>
      </c>
      <c r="L1039" s="321">
        <v>0</v>
      </c>
      <c r="M1039" s="321">
        <v>0</v>
      </c>
      <c r="N1039" s="321">
        <v>0</v>
      </c>
      <c r="O1039" s="321">
        <v>0</v>
      </c>
      <c r="P1039" s="321">
        <v>0</v>
      </c>
      <c r="Q1039" s="321">
        <v>0</v>
      </c>
      <c r="R1039" s="321">
        <v>0</v>
      </c>
      <c r="S1039" s="321">
        <v>0</v>
      </c>
      <c r="T1039" s="321">
        <v>0</v>
      </c>
      <c r="U1039" s="322">
        <v>0</v>
      </c>
      <c r="V1039" s="323">
        <v>0</v>
      </c>
      <c r="W1039" s="303"/>
      <c r="X1039" s="324">
        <v>0</v>
      </c>
      <c r="Y1039" s="325">
        <v>0</v>
      </c>
    </row>
    <row r="1040" spans="1:25" x14ac:dyDescent="0.3">
      <c r="E1040" s="250" t="s">
        <v>2016</v>
      </c>
      <c r="F1040" s="317">
        <v>4505605</v>
      </c>
      <c r="G1040" s="318"/>
      <c r="H1040" s="319">
        <v>7701190105</v>
      </c>
      <c r="I1040" s="320"/>
      <c r="J1040" s="337">
        <v>0</v>
      </c>
      <c r="K1040" s="321">
        <v>0</v>
      </c>
      <c r="L1040" s="321">
        <v>0</v>
      </c>
      <c r="M1040" s="321">
        <v>0</v>
      </c>
      <c r="N1040" s="321">
        <v>0</v>
      </c>
      <c r="O1040" s="321">
        <v>0</v>
      </c>
      <c r="P1040" s="321">
        <v>0</v>
      </c>
      <c r="Q1040" s="321">
        <v>0</v>
      </c>
      <c r="R1040" s="321">
        <v>0</v>
      </c>
      <c r="S1040" s="321">
        <v>0</v>
      </c>
      <c r="T1040" s="321">
        <v>0</v>
      </c>
      <c r="U1040" s="322">
        <v>54920704.402000003</v>
      </c>
      <c r="V1040" s="323">
        <v>54920704.402000003</v>
      </c>
      <c r="W1040" s="303"/>
      <c r="X1040" s="324">
        <v>54920704.402000003</v>
      </c>
      <c r="Y1040" s="325">
        <v>54920704.402000003</v>
      </c>
    </row>
    <row r="1041" spans="1:25" x14ac:dyDescent="0.3">
      <c r="B1041" s="234" t="s">
        <v>74</v>
      </c>
      <c r="D1041" s="293" t="s">
        <v>2017</v>
      </c>
      <c r="E1041" s="294"/>
      <c r="F1041" s="295"/>
      <c r="G1041" s="296"/>
      <c r="H1041" s="297"/>
      <c r="I1041" s="298"/>
      <c r="J1041" s="299">
        <v>0</v>
      </c>
      <c r="K1041" s="300">
        <v>0</v>
      </c>
      <c r="L1041" s="300">
        <v>0</v>
      </c>
      <c r="M1041" s="300">
        <v>0</v>
      </c>
      <c r="N1041" s="300">
        <v>0</v>
      </c>
      <c r="O1041" s="300">
        <v>0</v>
      </c>
      <c r="P1041" s="300">
        <v>0</v>
      </c>
      <c r="Q1041" s="300">
        <v>0</v>
      </c>
      <c r="R1041" s="300">
        <v>0</v>
      </c>
      <c r="S1041" s="300">
        <v>0</v>
      </c>
      <c r="T1041" s="300">
        <v>0</v>
      </c>
      <c r="U1041" s="301">
        <v>0</v>
      </c>
      <c r="V1041" s="302">
        <v>0</v>
      </c>
      <c r="W1041" s="303"/>
      <c r="X1041" s="304">
        <v>0</v>
      </c>
      <c r="Y1041" s="305">
        <v>0</v>
      </c>
    </row>
    <row r="1042" spans="1:25" x14ac:dyDescent="0.3">
      <c r="A1042" s="326"/>
      <c r="B1042" s="326"/>
      <c r="C1042" s="326"/>
      <c r="D1042" s="326"/>
      <c r="E1042" s="326" t="s">
        <v>2018</v>
      </c>
      <c r="F1042" s="336"/>
      <c r="G1042" s="327"/>
      <c r="H1042" s="328">
        <v>7301310300</v>
      </c>
      <c r="I1042" s="329"/>
      <c r="J1042" s="338">
        <v>0</v>
      </c>
      <c r="K1042" s="330">
        <v>0</v>
      </c>
      <c r="L1042" s="330">
        <v>0</v>
      </c>
      <c r="M1042" s="330">
        <v>0</v>
      </c>
      <c r="N1042" s="330">
        <v>0</v>
      </c>
      <c r="O1042" s="330">
        <v>0</v>
      </c>
      <c r="P1042" s="330">
        <v>0</v>
      </c>
      <c r="Q1042" s="330">
        <v>0</v>
      </c>
      <c r="R1042" s="330">
        <v>0</v>
      </c>
      <c r="S1042" s="330">
        <v>0</v>
      </c>
      <c r="T1042" s="330">
        <v>0</v>
      </c>
      <c r="U1042" s="331">
        <v>0</v>
      </c>
      <c r="V1042" s="332">
        <v>0</v>
      </c>
      <c r="W1042" s="333"/>
      <c r="X1042" s="334">
        <v>0</v>
      </c>
      <c r="Y1042" s="335">
        <v>0</v>
      </c>
    </row>
    <row r="1043" spans="1:25" x14ac:dyDescent="0.3">
      <c r="A1043" s="326"/>
      <c r="B1043" s="326"/>
      <c r="C1043" s="326"/>
      <c r="D1043" s="326"/>
      <c r="E1043" s="326" t="s">
        <v>2019</v>
      </c>
      <c r="F1043" s="336"/>
      <c r="G1043" s="327"/>
      <c r="H1043" s="328"/>
      <c r="I1043" s="329"/>
      <c r="J1043" s="338">
        <v>0</v>
      </c>
      <c r="K1043" s="330">
        <v>0</v>
      </c>
      <c r="L1043" s="330">
        <v>0</v>
      </c>
      <c r="M1043" s="330">
        <v>0</v>
      </c>
      <c r="N1043" s="330">
        <v>0</v>
      </c>
      <c r="O1043" s="330">
        <v>0</v>
      </c>
      <c r="P1043" s="330">
        <v>0</v>
      </c>
      <c r="Q1043" s="330">
        <v>0</v>
      </c>
      <c r="R1043" s="330">
        <v>0</v>
      </c>
      <c r="S1043" s="330">
        <v>0</v>
      </c>
      <c r="T1043" s="330">
        <v>0</v>
      </c>
      <c r="U1043" s="331">
        <v>0</v>
      </c>
      <c r="V1043" s="332">
        <v>0</v>
      </c>
      <c r="W1043" s="333"/>
      <c r="X1043" s="334">
        <v>0</v>
      </c>
      <c r="Y1043" s="335">
        <v>0</v>
      </c>
    </row>
    <row r="1044" spans="1:25" x14ac:dyDescent="0.3">
      <c r="A1044" s="326"/>
      <c r="B1044" s="326"/>
      <c r="C1044" s="326"/>
      <c r="D1044" s="326"/>
      <c r="E1044" s="326" t="s">
        <v>2020</v>
      </c>
      <c r="F1044" s="336"/>
      <c r="G1044" s="327"/>
      <c r="H1044" s="328"/>
      <c r="I1044" s="329"/>
      <c r="J1044" s="338">
        <v>0</v>
      </c>
      <c r="K1044" s="330">
        <v>0</v>
      </c>
      <c r="L1044" s="330">
        <v>0</v>
      </c>
      <c r="M1044" s="330">
        <v>0</v>
      </c>
      <c r="N1044" s="330">
        <v>0</v>
      </c>
      <c r="O1044" s="330">
        <v>0</v>
      </c>
      <c r="P1044" s="330">
        <v>0</v>
      </c>
      <c r="Q1044" s="330">
        <v>0</v>
      </c>
      <c r="R1044" s="330">
        <v>0</v>
      </c>
      <c r="S1044" s="330">
        <v>0</v>
      </c>
      <c r="T1044" s="330">
        <v>0</v>
      </c>
      <c r="U1044" s="331">
        <v>0</v>
      </c>
      <c r="V1044" s="332">
        <v>0</v>
      </c>
      <c r="W1044" s="333"/>
      <c r="X1044" s="334">
        <v>0</v>
      </c>
      <c r="Y1044" s="335">
        <v>0</v>
      </c>
    </row>
    <row r="1045" spans="1:25" x14ac:dyDescent="0.3">
      <c r="B1045" s="234" t="s">
        <v>74</v>
      </c>
      <c r="D1045" s="293" t="s">
        <v>2021</v>
      </c>
      <c r="E1045" s="294"/>
      <c r="F1045" s="295"/>
      <c r="G1045" s="296"/>
      <c r="H1045" s="297"/>
      <c r="I1045" s="298"/>
      <c r="J1045" s="299">
        <v>0</v>
      </c>
      <c r="K1045" s="300">
        <v>0</v>
      </c>
      <c r="L1045" s="300">
        <v>0</v>
      </c>
      <c r="M1045" s="300">
        <v>0</v>
      </c>
      <c r="N1045" s="300">
        <v>0</v>
      </c>
      <c r="O1045" s="300">
        <v>0</v>
      </c>
      <c r="P1045" s="300">
        <v>0</v>
      </c>
      <c r="Q1045" s="300">
        <v>0</v>
      </c>
      <c r="R1045" s="300">
        <v>0</v>
      </c>
      <c r="S1045" s="300">
        <v>0</v>
      </c>
      <c r="T1045" s="300">
        <v>0</v>
      </c>
      <c r="U1045" s="301">
        <v>0</v>
      </c>
      <c r="V1045" s="302">
        <v>0</v>
      </c>
      <c r="W1045" s="303"/>
      <c r="X1045" s="304">
        <v>0</v>
      </c>
      <c r="Y1045" s="305">
        <v>0</v>
      </c>
    </row>
    <row r="1046" spans="1:25" x14ac:dyDescent="0.3">
      <c r="A1046" s="326"/>
      <c r="B1046" s="326"/>
      <c r="C1046" s="326"/>
      <c r="D1046" s="326"/>
      <c r="E1046" s="326" t="s">
        <v>2018</v>
      </c>
      <c r="F1046" s="336"/>
      <c r="G1046" s="327"/>
      <c r="H1046" s="328"/>
      <c r="I1046" s="329"/>
      <c r="J1046" s="338">
        <v>0</v>
      </c>
      <c r="K1046" s="330">
        <v>0</v>
      </c>
      <c r="L1046" s="330">
        <v>0</v>
      </c>
      <c r="M1046" s="330">
        <v>0</v>
      </c>
      <c r="N1046" s="330">
        <v>0</v>
      </c>
      <c r="O1046" s="330">
        <v>0</v>
      </c>
      <c r="P1046" s="330">
        <v>0</v>
      </c>
      <c r="Q1046" s="330">
        <v>0</v>
      </c>
      <c r="R1046" s="330">
        <v>0</v>
      </c>
      <c r="S1046" s="330">
        <v>0</v>
      </c>
      <c r="T1046" s="330">
        <v>0</v>
      </c>
      <c r="U1046" s="331">
        <v>0</v>
      </c>
      <c r="V1046" s="332">
        <v>0</v>
      </c>
      <c r="W1046" s="333"/>
      <c r="X1046" s="334">
        <v>0</v>
      </c>
      <c r="Y1046" s="335">
        <v>0</v>
      </c>
    </row>
    <row r="1047" spans="1:25" x14ac:dyDescent="0.3">
      <c r="A1047" s="326"/>
      <c r="B1047" s="326"/>
      <c r="C1047" s="326"/>
      <c r="D1047" s="326"/>
      <c r="E1047" s="326" t="s">
        <v>2019</v>
      </c>
      <c r="F1047" s="336"/>
      <c r="G1047" s="327"/>
      <c r="H1047" s="328"/>
      <c r="I1047" s="329"/>
      <c r="J1047" s="338">
        <v>0</v>
      </c>
      <c r="K1047" s="330">
        <v>0</v>
      </c>
      <c r="L1047" s="330">
        <v>0</v>
      </c>
      <c r="M1047" s="330">
        <v>0</v>
      </c>
      <c r="N1047" s="330">
        <v>0</v>
      </c>
      <c r="O1047" s="330">
        <v>0</v>
      </c>
      <c r="P1047" s="330">
        <v>0</v>
      </c>
      <c r="Q1047" s="330">
        <v>0</v>
      </c>
      <c r="R1047" s="330">
        <v>0</v>
      </c>
      <c r="S1047" s="330">
        <v>0</v>
      </c>
      <c r="T1047" s="330">
        <v>0</v>
      </c>
      <c r="U1047" s="331">
        <v>0</v>
      </c>
      <c r="V1047" s="332">
        <v>0</v>
      </c>
      <c r="W1047" s="333"/>
      <c r="X1047" s="334">
        <v>0</v>
      </c>
      <c r="Y1047" s="335">
        <v>0</v>
      </c>
    </row>
    <row r="1048" spans="1:25" x14ac:dyDescent="0.3">
      <c r="A1048" s="326"/>
      <c r="B1048" s="326"/>
      <c r="C1048" s="326"/>
      <c r="D1048" s="326"/>
      <c r="E1048" s="326" t="s">
        <v>2020</v>
      </c>
      <c r="F1048" s="336"/>
      <c r="G1048" s="327"/>
      <c r="H1048" s="328"/>
      <c r="I1048" s="329"/>
      <c r="J1048" s="338">
        <v>0</v>
      </c>
      <c r="K1048" s="330">
        <v>0</v>
      </c>
      <c r="L1048" s="330">
        <v>0</v>
      </c>
      <c r="M1048" s="330">
        <v>0</v>
      </c>
      <c r="N1048" s="330">
        <v>0</v>
      </c>
      <c r="O1048" s="330">
        <v>0</v>
      </c>
      <c r="P1048" s="330">
        <v>0</v>
      </c>
      <c r="Q1048" s="330">
        <v>0</v>
      </c>
      <c r="R1048" s="330">
        <v>0</v>
      </c>
      <c r="S1048" s="330">
        <v>0</v>
      </c>
      <c r="T1048" s="330">
        <v>0</v>
      </c>
      <c r="U1048" s="331">
        <v>0</v>
      </c>
      <c r="V1048" s="332">
        <v>0</v>
      </c>
      <c r="W1048" s="333"/>
      <c r="X1048" s="334">
        <v>0</v>
      </c>
      <c r="Y1048" s="335">
        <v>0</v>
      </c>
    </row>
    <row r="1049" spans="1:25" x14ac:dyDescent="0.3">
      <c r="B1049" s="234" t="s">
        <v>74</v>
      </c>
      <c r="D1049" s="293" t="s">
        <v>2022</v>
      </c>
      <c r="E1049" s="294"/>
      <c r="F1049" s="295"/>
      <c r="G1049" s="296"/>
      <c r="H1049" s="297"/>
      <c r="I1049" s="298"/>
      <c r="J1049" s="299">
        <v>0</v>
      </c>
      <c r="K1049" s="300">
        <v>0</v>
      </c>
      <c r="L1049" s="300">
        <v>0</v>
      </c>
      <c r="M1049" s="300">
        <v>0</v>
      </c>
      <c r="N1049" s="300">
        <v>0</v>
      </c>
      <c r="O1049" s="300">
        <v>0</v>
      </c>
      <c r="P1049" s="300">
        <v>0</v>
      </c>
      <c r="Q1049" s="300">
        <v>0</v>
      </c>
      <c r="R1049" s="300">
        <v>0</v>
      </c>
      <c r="S1049" s="300">
        <v>0</v>
      </c>
      <c r="T1049" s="300">
        <v>0</v>
      </c>
      <c r="U1049" s="301">
        <v>0</v>
      </c>
      <c r="V1049" s="302">
        <v>0</v>
      </c>
      <c r="W1049" s="303"/>
      <c r="X1049" s="304">
        <v>0</v>
      </c>
      <c r="Y1049" s="305">
        <v>0</v>
      </c>
    </row>
    <row r="1050" spans="1:25" x14ac:dyDescent="0.3">
      <c r="A1050" s="326"/>
      <c r="B1050" s="326"/>
      <c r="C1050" s="326"/>
      <c r="D1050" s="326"/>
      <c r="E1050" s="326" t="s">
        <v>2018</v>
      </c>
      <c r="F1050" s="336"/>
      <c r="G1050" s="327"/>
      <c r="H1050" s="328"/>
      <c r="I1050" s="329"/>
      <c r="J1050" s="338">
        <v>0</v>
      </c>
      <c r="K1050" s="330">
        <v>0</v>
      </c>
      <c r="L1050" s="330">
        <v>0</v>
      </c>
      <c r="M1050" s="330">
        <v>0</v>
      </c>
      <c r="N1050" s="330">
        <v>0</v>
      </c>
      <c r="O1050" s="330">
        <v>0</v>
      </c>
      <c r="P1050" s="330">
        <v>0</v>
      </c>
      <c r="Q1050" s="330">
        <v>0</v>
      </c>
      <c r="R1050" s="330">
        <v>0</v>
      </c>
      <c r="S1050" s="330">
        <v>0</v>
      </c>
      <c r="T1050" s="330">
        <v>0</v>
      </c>
      <c r="U1050" s="331">
        <v>0</v>
      </c>
      <c r="V1050" s="332">
        <v>0</v>
      </c>
      <c r="W1050" s="333"/>
      <c r="X1050" s="334">
        <v>0</v>
      </c>
      <c r="Y1050" s="335">
        <v>0</v>
      </c>
    </row>
    <row r="1051" spans="1:25" x14ac:dyDescent="0.3">
      <c r="A1051" s="326"/>
      <c r="B1051" s="326"/>
      <c r="C1051" s="326"/>
      <c r="D1051" s="326"/>
      <c r="E1051" s="326" t="s">
        <v>2019</v>
      </c>
      <c r="F1051" s="336"/>
      <c r="G1051" s="327"/>
      <c r="H1051" s="328"/>
      <c r="I1051" s="329"/>
      <c r="J1051" s="338">
        <v>0</v>
      </c>
      <c r="K1051" s="330">
        <v>0</v>
      </c>
      <c r="L1051" s="330">
        <v>0</v>
      </c>
      <c r="M1051" s="330">
        <v>0</v>
      </c>
      <c r="N1051" s="330">
        <v>0</v>
      </c>
      <c r="O1051" s="330">
        <v>0</v>
      </c>
      <c r="P1051" s="330">
        <v>0</v>
      </c>
      <c r="Q1051" s="330">
        <v>0</v>
      </c>
      <c r="R1051" s="330">
        <v>0</v>
      </c>
      <c r="S1051" s="330">
        <v>0</v>
      </c>
      <c r="T1051" s="330">
        <v>0</v>
      </c>
      <c r="U1051" s="331">
        <v>0</v>
      </c>
      <c r="V1051" s="332">
        <v>0</v>
      </c>
      <c r="W1051" s="333"/>
      <c r="X1051" s="334">
        <v>0</v>
      </c>
      <c r="Y1051" s="335">
        <v>0</v>
      </c>
    </row>
    <row r="1052" spans="1:25" x14ac:dyDescent="0.3">
      <c r="A1052" s="326"/>
      <c r="B1052" s="326"/>
      <c r="C1052" s="326"/>
      <c r="D1052" s="326"/>
      <c r="E1052" s="326" t="s">
        <v>2020</v>
      </c>
      <c r="F1052" s="336"/>
      <c r="G1052" s="327"/>
      <c r="H1052" s="328"/>
      <c r="I1052" s="329"/>
      <c r="J1052" s="338">
        <v>0</v>
      </c>
      <c r="K1052" s="330">
        <v>0</v>
      </c>
      <c r="L1052" s="330">
        <v>0</v>
      </c>
      <c r="M1052" s="330">
        <v>0</v>
      </c>
      <c r="N1052" s="330">
        <v>0</v>
      </c>
      <c r="O1052" s="330">
        <v>0</v>
      </c>
      <c r="P1052" s="330">
        <v>0</v>
      </c>
      <c r="Q1052" s="330">
        <v>0</v>
      </c>
      <c r="R1052" s="330">
        <v>0</v>
      </c>
      <c r="S1052" s="330">
        <v>0</v>
      </c>
      <c r="T1052" s="330">
        <v>0</v>
      </c>
      <c r="U1052" s="331">
        <v>0</v>
      </c>
      <c r="V1052" s="332">
        <v>0</v>
      </c>
      <c r="W1052" s="333"/>
      <c r="X1052" s="334">
        <v>0</v>
      </c>
      <c r="Y1052" s="335">
        <v>0</v>
      </c>
    </row>
    <row r="1053" spans="1:25" ht="33" x14ac:dyDescent="0.3">
      <c r="A1053" s="248" t="s">
        <v>75</v>
      </c>
      <c r="B1053" s="248"/>
      <c r="C1053" s="280" t="s">
        <v>2023</v>
      </c>
      <c r="D1053" s="281"/>
      <c r="E1053" s="282"/>
      <c r="F1053" s="283" t="s">
        <v>2024</v>
      </c>
      <c r="G1053" s="284"/>
      <c r="H1053" s="285"/>
      <c r="I1053" s="286"/>
      <c r="J1053" s="287">
        <v>0</v>
      </c>
      <c r="K1053" s="288">
        <v>1715.82</v>
      </c>
      <c r="L1053" s="288">
        <v>223042.16800000001</v>
      </c>
      <c r="M1053" s="288">
        <v>38.33</v>
      </c>
      <c r="N1053" s="288">
        <v>0</v>
      </c>
      <c r="O1053" s="288">
        <v>-100478.03599999999</v>
      </c>
      <c r="P1053" s="288">
        <v>31775.023000000001</v>
      </c>
      <c r="Q1053" s="288">
        <v>0</v>
      </c>
      <c r="R1053" s="288">
        <v>3742357.534</v>
      </c>
      <c r="S1053" s="288">
        <v>1882839.7689999999</v>
      </c>
      <c r="T1053" s="288">
        <v>435877.625</v>
      </c>
      <c r="U1053" s="289">
        <v>40054329.593999997</v>
      </c>
      <c r="V1053" s="290">
        <v>46271497.826999992</v>
      </c>
      <c r="W1053" s="277"/>
      <c r="X1053" s="291">
        <v>40054329.593999997</v>
      </c>
      <c r="Y1053" s="292">
        <v>46271497.826999992</v>
      </c>
    </row>
    <row r="1054" spans="1:25" x14ac:dyDescent="0.3">
      <c r="A1054" s="233"/>
      <c r="B1054" s="234" t="s">
        <v>76</v>
      </c>
      <c r="D1054" s="293" t="s">
        <v>2025</v>
      </c>
      <c r="E1054" s="294"/>
      <c r="F1054" s="295" t="s">
        <v>2026</v>
      </c>
      <c r="G1054" s="296"/>
      <c r="H1054" s="297"/>
      <c r="I1054" s="298"/>
      <c r="J1054" s="299">
        <v>0</v>
      </c>
      <c r="K1054" s="300">
        <v>0</v>
      </c>
      <c r="L1054" s="300">
        <v>61230.214</v>
      </c>
      <c r="M1054" s="300">
        <v>0</v>
      </c>
      <c r="N1054" s="300">
        <v>0</v>
      </c>
      <c r="O1054" s="300">
        <v>59838.432000000001</v>
      </c>
      <c r="P1054" s="300">
        <v>0</v>
      </c>
      <c r="Q1054" s="300">
        <v>0</v>
      </c>
      <c r="R1054" s="300">
        <v>68489.631999999998</v>
      </c>
      <c r="S1054" s="300">
        <v>0</v>
      </c>
      <c r="T1054" s="300">
        <v>0</v>
      </c>
      <c r="U1054" s="301">
        <v>70512.024000000005</v>
      </c>
      <c r="V1054" s="302">
        <v>260070.30200000003</v>
      </c>
      <c r="W1054" s="303"/>
      <c r="X1054" s="304">
        <v>70512.024000000005</v>
      </c>
      <c r="Y1054" s="305">
        <v>260070.30200000003</v>
      </c>
    </row>
    <row r="1055" spans="1:25" x14ac:dyDescent="0.3">
      <c r="E1055" s="339" t="s">
        <v>2027</v>
      </c>
      <c r="F1055" s="340" t="s">
        <v>2028</v>
      </c>
      <c r="G1055" s="341"/>
      <c r="H1055" s="342"/>
      <c r="I1055" s="343"/>
      <c r="J1055" s="344">
        <v>0</v>
      </c>
      <c r="K1055" s="345">
        <v>0</v>
      </c>
      <c r="L1055" s="345">
        <v>61230.214</v>
      </c>
      <c r="M1055" s="345">
        <v>0</v>
      </c>
      <c r="N1055" s="345">
        <v>0</v>
      </c>
      <c r="O1055" s="345">
        <v>59838.432000000001</v>
      </c>
      <c r="P1055" s="345">
        <v>0</v>
      </c>
      <c r="Q1055" s="345">
        <v>0</v>
      </c>
      <c r="R1055" s="345">
        <v>68489.631999999998</v>
      </c>
      <c r="S1055" s="345">
        <v>0</v>
      </c>
      <c r="T1055" s="345">
        <v>0</v>
      </c>
      <c r="U1055" s="346">
        <v>70512.024000000005</v>
      </c>
      <c r="V1055" s="347">
        <v>260070.30200000003</v>
      </c>
      <c r="W1055" s="303"/>
      <c r="X1055" s="348">
        <v>70512.024000000005</v>
      </c>
      <c r="Y1055" s="349">
        <v>260070.30200000003</v>
      </c>
    </row>
    <row r="1056" spans="1:25" x14ac:dyDescent="0.3">
      <c r="E1056" t="s">
        <v>2029</v>
      </c>
      <c r="F1056" s="317">
        <v>4400101</v>
      </c>
      <c r="G1056" s="318"/>
      <c r="H1056" s="319">
        <v>7501010101</v>
      </c>
      <c r="I1056" s="320"/>
      <c r="J1056" s="337">
        <v>0</v>
      </c>
      <c r="K1056" s="321">
        <v>0</v>
      </c>
      <c r="L1056" s="321">
        <v>0</v>
      </c>
      <c r="M1056" s="321">
        <v>0</v>
      </c>
      <c r="N1056" s="321">
        <v>0</v>
      </c>
      <c r="O1056" s="321">
        <v>8.24</v>
      </c>
      <c r="P1056" s="321">
        <v>0</v>
      </c>
      <c r="Q1056" s="321">
        <v>0</v>
      </c>
      <c r="R1056" s="321">
        <v>0</v>
      </c>
      <c r="S1056" s="321">
        <v>0</v>
      </c>
      <c r="T1056" s="321">
        <v>0</v>
      </c>
      <c r="U1056" s="322">
        <v>4.9329999999999998</v>
      </c>
      <c r="V1056" s="323">
        <v>13.173</v>
      </c>
      <c r="W1056" s="303"/>
      <c r="X1056" s="324">
        <v>4.9329999999999998</v>
      </c>
      <c r="Y1056" s="325">
        <v>13.173</v>
      </c>
    </row>
    <row r="1057" spans="1:25" x14ac:dyDescent="0.3">
      <c r="E1057" t="s">
        <v>2030</v>
      </c>
      <c r="F1057" s="317">
        <v>4400102</v>
      </c>
      <c r="G1057" s="318"/>
      <c r="H1057" s="319"/>
      <c r="I1057" s="320"/>
      <c r="J1057" s="337">
        <v>0</v>
      </c>
      <c r="K1057" s="321">
        <v>0</v>
      </c>
      <c r="L1057" s="321">
        <v>0</v>
      </c>
      <c r="M1057" s="321">
        <v>0</v>
      </c>
      <c r="N1057" s="321">
        <v>0</v>
      </c>
      <c r="O1057" s="321">
        <v>0</v>
      </c>
      <c r="P1057" s="321">
        <v>0</v>
      </c>
      <c r="Q1057" s="321">
        <v>0</v>
      </c>
      <c r="R1057" s="321">
        <v>0</v>
      </c>
      <c r="S1057" s="321">
        <v>0</v>
      </c>
      <c r="T1057" s="321">
        <v>0</v>
      </c>
      <c r="U1057" s="322">
        <v>0</v>
      </c>
      <c r="V1057" s="323">
        <v>0</v>
      </c>
      <c r="W1057" s="303"/>
      <c r="X1057" s="324">
        <v>0</v>
      </c>
      <c r="Y1057" s="325">
        <v>0</v>
      </c>
    </row>
    <row r="1058" spans="1:25" x14ac:dyDescent="0.3">
      <c r="E1058" t="s">
        <v>2031</v>
      </c>
      <c r="F1058" s="317">
        <v>4400199</v>
      </c>
      <c r="G1058" s="318"/>
      <c r="H1058" s="319">
        <v>7501010199</v>
      </c>
      <c r="I1058" s="320"/>
      <c r="J1058" s="337">
        <v>0</v>
      </c>
      <c r="K1058" s="321">
        <v>0</v>
      </c>
      <c r="L1058" s="321">
        <v>61230.214</v>
      </c>
      <c r="M1058" s="321">
        <v>0</v>
      </c>
      <c r="N1058" s="321">
        <v>0</v>
      </c>
      <c r="O1058" s="321">
        <v>59830.192000000003</v>
      </c>
      <c r="P1058" s="321">
        <v>0</v>
      </c>
      <c r="Q1058" s="321">
        <v>0</v>
      </c>
      <c r="R1058" s="321">
        <v>68489.631999999998</v>
      </c>
      <c r="S1058" s="321">
        <v>0</v>
      </c>
      <c r="T1058" s="321">
        <v>0</v>
      </c>
      <c r="U1058" s="322">
        <v>70507.091</v>
      </c>
      <c r="V1058" s="323">
        <v>260057.12900000002</v>
      </c>
      <c r="W1058" s="303"/>
      <c r="X1058" s="324">
        <v>70507.091</v>
      </c>
      <c r="Y1058" s="325">
        <v>260057.12900000002</v>
      </c>
    </row>
    <row r="1059" spans="1:25" x14ac:dyDescent="0.3">
      <c r="A1059" s="326"/>
      <c r="B1059" s="326"/>
      <c r="C1059" s="326"/>
      <c r="D1059" s="326"/>
      <c r="E1059" s="326" t="s">
        <v>2032</v>
      </c>
      <c r="F1059" s="336"/>
      <c r="G1059" s="327"/>
      <c r="H1059" s="328"/>
      <c r="I1059" s="329"/>
      <c r="J1059" s="338">
        <v>0</v>
      </c>
      <c r="K1059" s="330">
        <v>0</v>
      </c>
      <c r="L1059" s="330">
        <v>0</v>
      </c>
      <c r="M1059" s="330">
        <v>0</v>
      </c>
      <c r="N1059" s="330">
        <v>0</v>
      </c>
      <c r="O1059" s="330">
        <v>0</v>
      </c>
      <c r="P1059" s="330">
        <v>0</v>
      </c>
      <c r="Q1059" s="330">
        <v>0</v>
      </c>
      <c r="R1059" s="330">
        <v>0</v>
      </c>
      <c r="S1059" s="330">
        <v>0</v>
      </c>
      <c r="T1059" s="330">
        <v>0</v>
      </c>
      <c r="U1059" s="331">
        <v>0</v>
      </c>
      <c r="V1059" s="332">
        <v>0</v>
      </c>
      <c r="W1059" s="333"/>
      <c r="X1059" s="334">
        <v>0</v>
      </c>
      <c r="Y1059" s="335">
        <v>0</v>
      </c>
    </row>
    <row r="1060" spans="1:25" x14ac:dyDescent="0.3">
      <c r="A1060" s="326"/>
      <c r="B1060" s="326"/>
      <c r="C1060" s="326"/>
      <c r="D1060" s="326"/>
      <c r="E1060" s="326" t="s">
        <v>2033</v>
      </c>
      <c r="F1060" s="336"/>
      <c r="G1060" s="327"/>
      <c r="H1060" s="328"/>
      <c r="I1060" s="329"/>
      <c r="J1060" s="338">
        <v>0</v>
      </c>
      <c r="K1060" s="330">
        <v>0</v>
      </c>
      <c r="L1060" s="330">
        <v>0</v>
      </c>
      <c r="M1060" s="330">
        <v>0</v>
      </c>
      <c r="N1060" s="330">
        <v>0</v>
      </c>
      <c r="O1060" s="330">
        <v>0</v>
      </c>
      <c r="P1060" s="330">
        <v>0</v>
      </c>
      <c r="Q1060" s="330">
        <v>0</v>
      </c>
      <c r="R1060" s="330">
        <v>0</v>
      </c>
      <c r="S1060" s="330">
        <v>0</v>
      </c>
      <c r="T1060" s="330">
        <v>0</v>
      </c>
      <c r="U1060" s="331">
        <v>0</v>
      </c>
      <c r="V1060" s="332">
        <v>0</v>
      </c>
      <c r="W1060" s="333"/>
      <c r="X1060" s="334">
        <v>0</v>
      </c>
      <c r="Y1060" s="335">
        <v>0</v>
      </c>
    </row>
    <row r="1061" spans="1:25" x14ac:dyDescent="0.3">
      <c r="A1061" s="326"/>
      <c r="B1061" s="326"/>
      <c r="C1061" s="326"/>
      <c r="D1061" s="326"/>
      <c r="E1061" s="326" t="s">
        <v>2034</v>
      </c>
      <c r="F1061" s="336"/>
      <c r="G1061" s="327"/>
      <c r="H1061" s="328"/>
      <c r="I1061" s="329"/>
      <c r="J1061" s="338">
        <v>0</v>
      </c>
      <c r="K1061" s="330">
        <v>0</v>
      </c>
      <c r="L1061" s="330">
        <v>0</v>
      </c>
      <c r="M1061" s="330">
        <v>0</v>
      </c>
      <c r="N1061" s="330">
        <v>0</v>
      </c>
      <c r="O1061" s="330">
        <v>0</v>
      </c>
      <c r="P1061" s="330">
        <v>0</v>
      </c>
      <c r="Q1061" s="330">
        <v>0</v>
      </c>
      <c r="R1061" s="330">
        <v>0</v>
      </c>
      <c r="S1061" s="330">
        <v>0</v>
      </c>
      <c r="T1061" s="330">
        <v>0</v>
      </c>
      <c r="U1061" s="331">
        <v>0</v>
      </c>
      <c r="V1061" s="332">
        <v>0</v>
      </c>
      <c r="W1061" s="333"/>
      <c r="X1061" s="334">
        <v>0</v>
      </c>
      <c r="Y1061" s="335">
        <v>0</v>
      </c>
    </row>
    <row r="1062" spans="1:25" x14ac:dyDescent="0.3">
      <c r="E1062" s="339" t="s">
        <v>2035</v>
      </c>
      <c r="F1062" s="340" t="s">
        <v>2036</v>
      </c>
      <c r="G1062" s="341"/>
      <c r="H1062" s="342"/>
      <c r="I1062" s="343"/>
      <c r="J1062" s="344">
        <v>0</v>
      </c>
      <c r="K1062" s="345">
        <v>0</v>
      </c>
      <c r="L1062" s="345">
        <v>0</v>
      </c>
      <c r="M1062" s="345">
        <v>0</v>
      </c>
      <c r="N1062" s="345">
        <v>0</v>
      </c>
      <c r="O1062" s="345">
        <v>0</v>
      </c>
      <c r="P1062" s="345">
        <v>0</v>
      </c>
      <c r="Q1062" s="345">
        <v>0</v>
      </c>
      <c r="R1062" s="345">
        <v>0</v>
      </c>
      <c r="S1062" s="345">
        <v>0</v>
      </c>
      <c r="T1062" s="345">
        <v>0</v>
      </c>
      <c r="U1062" s="346">
        <v>0</v>
      </c>
      <c r="V1062" s="347">
        <v>0</v>
      </c>
      <c r="W1062" s="303"/>
      <c r="X1062" s="348">
        <v>0</v>
      </c>
      <c r="Y1062" s="349">
        <v>0</v>
      </c>
    </row>
    <row r="1063" spans="1:25" x14ac:dyDescent="0.3">
      <c r="E1063" t="s">
        <v>2037</v>
      </c>
      <c r="F1063" s="317">
        <v>4400182</v>
      </c>
      <c r="G1063" s="318"/>
      <c r="H1063" s="319">
        <v>7501010303</v>
      </c>
      <c r="I1063" s="320"/>
      <c r="J1063" s="337">
        <v>0</v>
      </c>
      <c r="K1063" s="321">
        <v>0</v>
      </c>
      <c r="L1063" s="321">
        <v>0</v>
      </c>
      <c r="M1063" s="321">
        <v>0</v>
      </c>
      <c r="N1063" s="321">
        <v>0</v>
      </c>
      <c r="O1063" s="321">
        <v>0</v>
      </c>
      <c r="P1063" s="321">
        <v>0</v>
      </c>
      <c r="Q1063" s="321">
        <v>0</v>
      </c>
      <c r="R1063" s="321">
        <v>0</v>
      </c>
      <c r="S1063" s="321">
        <v>0</v>
      </c>
      <c r="T1063" s="321">
        <v>0</v>
      </c>
      <c r="U1063" s="322">
        <v>0</v>
      </c>
      <c r="V1063" s="323">
        <v>0</v>
      </c>
      <c r="W1063" s="303"/>
      <c r="X1063" s="324">
        <v>0</v>
      </c>
      <c r="Y1063" s="325">
        <v>0</v>
      </c>
    </row>
    <row r="1064" spans="1:25" x14ac:dyDescent="0.3">
      <c r="E1064" t="s">
        <v>2038</v>
      </c>
      <c r="F1064" s="317">
        <v>4400181</v>
      </c>
      <c r="G1064" s="318"/>
      <c r="H1064" s="319">
        <v>7501010301</v>
      </c>
      <c r="I1064" s="320"/>
      <c r="J1064" s="337">
        <v>0</v>
      </c>
      <c r="K1064" s="321">
        <v>0</v>
      </c>
      <c r="L1064" s="321">
        <v>0</v>
      </c>
      <c r="M1064" s="321">
        <v>0</v>
      </c>
      <c r="N1064" s="321">
        <v>0</v>
      </c>
      <c r="O1064" s="321">
        <v>0</v>
      </c>
      <c r="P1064" s="321">
        <v>0</v>
      </c>
      <c r="Q1064" s="321">
        <v>0</v>
      </c>
      <c r="R1064" s="321">
        <v>0</v>
      </c>
      <c r="S1064" s="321">
        <v>0</v>
      </c>
      <c r="T1064" s="321">
        <v>0</v>
      </c>
      <c r="U1064" s="322">
        <v>0</v>
      </c>
      <c r="V1064" s="323">
        <v>0</v>
      </c>
      <c r="W1064" s="303"/>
      <c r="X1064" s="324">
        <v>0</v>
      </c>
      <c r="Y1064" s="325">
        <v>0</v>
      </c>
    </row>
    <row r="1065" spans="1:25" x14ac:dyDescent="0.3">
      <c r="A1065" s="326"/>
      <c r="B1065" s="326"/>
      <c r="C1065" s="326"/>
      <c r="D1065" s="326"/>
      <c r="E1065" s="326" t="s">
        <v>2032</v>
      </c>
      <c r="F1065" s="336"/>
      <c r="G1065" s="327"/>
      <c r="H1065" s="328"/>
      <c r="I1065" s="329"/>
      <c r="J1065" s="338">
        <v>0</v>
      </c>
      <c r="K1065" s="330">
        <v>0</v>
      </c>
      <c r="L1065" s="330">
        <v>0</v>
      </c>
      <c r="M1065" s="330">
        <v>0</v>
      </c>
      <c r="N1065" s="330">
        <v>0</v>
      </c>
      <c r="O1065" s="330">
        <v>0</v>
      </c>
      <c r="P1065" s="330">
        <v>0</v>
      </c>
      <c r="Q1065" s="330">
        <v>0</v>
      </c>
      <c r="R1065" s="330">
        <v>0</v>
      </c>
      <c r="S1065" s="330">
        <v>0</v>
      </c>
      <c r="T1065" s="330">
        <v>0</v>
      </c>
      <c r="U1065" s="331">
        <v>0</v>
      </c>
      <c r="V1065" s="332">
        <v>0</v>
      </c>
      <c r="W1065" s="333"/>
      <c r="X1065" s="334">
        <v>0</v>
      </c>
      <c r="Y1065" s="335">
        <v>0</v>
      </c>
    </row>
    <row r="1066" spans="1:25" x14ac:dyDescent="0.3">
      <c r="A1066" s="326"/>
      <c r="B1066" s="326"/>
      <c r="C1066" s="326"/>
      <c r="D1066" s="326"/>
      <c r="E1066" s="326" t="s">
        <v>2033</v>
      </c>
      <c r="F1066" s="336"/>
      <c r="G1066" s="327"/>
      <c r="H1066" s="328"/>
      <c r="I1066" s="329"/>
      <c r="J1066" s="338">
        <v>0</v>
      </c>
      <c r="K1066" s="330">
        <v>0</v>
      </c>
      <c r="L1066" s="330">
        <v>0</v>
      </c>
      <c r="M1066" s="330">
        <v>0</v>
      </c>
      <c r="N1066" s="330">
        <v>0</v>
      </c>
      <c r="O1066" s="330">
        <v>0</v>
      </c>
      <c r="P1066" s="330">
        <v>0</v>
      </c>
      <c r="Q1066" s="330">
        <v>0</v>
      </c>
      <c r="R1066" s="330">
        <v>0</v>
      </c>
      <c r="S1066" s="330">
        <v>0</v>
      </c>
      <c r="T1066" s="330">
        <v>0</v>
      </c>
      <c r="U1066" s="331">
        <v>0</v>
      </c>
      <c r="V1066" s="332">
        <v>0</v>
      </c>
      <c r="W1066" s="333"/>
      <c r="X1066" s="334">
        <v>0</v>
      </c>
      <c r="Y1066" s="335">
        <v>0</v>
      </c>
    </row>
    <row r="1067" spans="1:25" x14ac:dyDescent="0.3">
      <c r="A1067" s="326"/>
      <c r="B1067" s="326"/>
      <c r="C1067" s="326"/>
      <c r="D1067" s="326"/>
      <c r="E1067" s="326" t="s">
        <v>2034</v>
      </c>
      <c r="F1067" s="336"/>
      <c r="G1067" s="327"/>
      <c r="H1067" s="328"/>
      <c r="I1067" s="329"/>
      <c r="J1067" s="338">
        <v>0</v>
      </c>
      <c r="K1067" s="330">
        <v>0</v>
      </c>
      <c r="L1067" s="330">
        <v>0</v>
      </c>
      <c r="M1067" s="330">
        <v>0</v>
      </c>
      <c r="N1067" s="330">
        <v>0</v>
      </c>
      <c r="O1067" s="330">
        <v>0</v>
      </c>
      <c r="P1067" s="330">
        <v>0</v>
      </c>
      <c r="Q1067" s="330">
        <v>0</v>
      </c>
      <c r="R1067" s="330">
        <v>0</v>
      </c>
      <c r="S1067" s="330">
        <v>0</v>
      </c>
      <c r="T1067" s="330">
        <v>0</v>
      </c>
      <c r="U1067" s="331">
        <v>0</v>
      </c>
      <c r="V1067" s="332">
        <v>0</v>
      </c>
      <c r="W1067" s="333"/>
      <c r="X1067" s="334">
        <v>0</v>
      </c>
      <c r="Y1067" s="335">
        <v>0</v>
      </c>
    </row>
    <row r="1068" spans="1:25" x14ac:dyDescent="0.3">
      <c r="A1068" s="233"/>
      <c r="B1068" s="234" t="s">
        <v>77</v>
      </c>
      <c r="D1068" s="293" t="s">
        <v>2039</v>
      </c>
      <c r="E1068" s="294"/>
      <c r="F1068" s="295" t="s">
        <v>2040</v>
      </c>
      <c r="G1068" s="296"/>
      <c r="H1068" s="297"/>
      <c r="I1068" s="298"/>
      <c r="J1068" s="299">
        <v>0</v>
      </c>
      <c r="K1068" s="300">
        <v>0</v>
      </c>
      <c r="L1068" s="300">
        <v>0</v>
      </c>
      <c r="M1068" s="300">
        <v>0</v>
      </c>
      <c r="N1068" s="300">
        <v>0</v>
      </c>
      <c r="O1068" s="300">
        <v>0</v>
      </c>
      <c r="P1068" s="300">
        <v>0</v>
      </c>
      <c r="Q1068" s="300">
        <v>0</v>
      </c>
      <c r="R1068" s="300">
        <v>1400000</v>
      </c>
      <c r="S1068" s="300">
        <v>1670000</v>
      </c>
      <c r="T1068" s="300">
        <v>0</v>
      </c>
      <c r="U1068" s="301">
        <v>300000</v>
      </c>
      <c r="V1068" s="302">
        <v>3370000</v>
      </c>
      <c r="W1068" s="303"/>
      <c r="X1068" s="304">
        <v>300000</v>
      </c>
      <c r="Y1068" s="305">
        <v>3370000</v>
      </c>
    </row>
    <row r="1069" spans="1:25" x14ac:dyDescent="0.3">
      <c r="E1069" t="s">
        <v>2041</v>
      </c>
      <c r="F1069" s="317">
        <v>4401000</v>
      </c>
      <c r="G1069" s="318"/>
      <c r="H1069" s="319">
        <v>7501030101</v>
      </c>
      <c r="I1069" s="320"/>
      <c r="J1069" s="337">
        <v>0</v>
      </c>
      <c r="K1069" s="321">
        <v>0</v>
      </c>
      <c r="L1069" s="321">
        <v>0</v>
      </c>
      <c r="M1069" s="321">
        <v>0</v>
      </c>
      <c r="N1069" s="321">
        <v>0</v>
      </c>
      <c r="O1069" s="321">
        <v>0</v>
      </c>
      <c r="P1069" s="321">
        <v>0</v>
      </c>
      <c r="Q1069" s="321">
        <v>0</v>
      </c>
      <c r="R1069" s="321">
        <v>1400000</v>
      </c>
      <c r="S1069" s="321">
        <v>1670000</v>
      </c>
      <c r="T1069" s="321">
        <v>0</v>
      </c>
      <c r="U1069" s="322">
        <v>300000</v>
      </c>
      <c r="V1069" s="323">
        <v>3370000</v>
      </c>
      <c r="W1069" s="303"/>
      <c r="X1069" s="324">
        <v>300000</v>
      </c>
      <c r="Y1069" s="325">
        <v>3370000</v>
      </c>
    </row>
    <row r="1070" spans="1:25" x14ac:dyDescent="0.3">
      <c r="A1070" s="326"/>
      <c r="B1070" s="326"/>
      <c r="C1070" s="326"/>
      <c r="D1070" s="326"/>
      <c r="E1070" s="326" t="s">
        <v>2042</v>
      </c>
      <c r="F1070" s="336"/>
      <c r="G1070" s="327"/>
      <c r="H1070" s="328"/>
      <c r="I1070" s="329"/>
      <c r="J1070" s="338">
        <v>0</v>
      </c>
      <c r="K1070" s="330">
        <v>0</v>
      </c>
      <c r="L1070" s="330">
        <v>0</v>
      </c>
      <c r="M1070" s="330">
        <v>0</v>
      </c>
      <c r="N1070" s="330">
        <v>0</v>
      </c>
      <c r="O1070" s="330">
        <v>0</v>
      </c>
      <c r="P1070" s="330">
        <v>0</v>
      </c>
      <c r="Q1070" s="330">
        <v>0</v>
      </c>
      <c r="R1070" s="330">
        <v>0</v>
      </c>
      <c r="S1070" s="330">
        <v>0</v>
      </c>
      <c r="T1070" s="330">
        <v>0</v>
      </c>
      <c r="U1070" s="331">
        <v>0</v>
      </c>
      <c r="V1070" s="332">
        <v>0</v>
      </c>
      <c r="W1070" s="333"/>
      <c r="X1070" s="334">
        <v>0</v>
      </c>
      <c r="Y1070" s="335">
        <v>0</v>
      </c>
    </row>
    <row r="1071" spans="1:25" x14ac:dyDescent="0.3">
      <c r="A1071" s="326"/>
      <c r="B1071" s="326"/>
      <c r="C1071" s="326"/>
      <c r="D1071" s="326"/>
      <c r="E1071" s="326" t="s">
        <v>2043</v>
      </c>
      <c r="F1071" s="336"/>
      <c r="G1071" s="327"/>
      <c r="H1071" s="328"/>
      <c r="I1071" s="329"/>
      <c r="J1071" s="338">
        <v>0</v>
      </c>
      <c r="K1071" s="330">
        <v>0</v>
      </c>
      <c r="L1071" s="330">
        <v>0</v>
      </c>
      <c r="M1071" s="330">
        <v>0</v>
      </c>
      <c r="N1071" s="330">
        <v>0</v>
      </c>
      <c r="O1071" s="330">
        <v>0</v>
      </c>
      <c r="P1071" s="330">
        <v>0</v>
      </c>
      <c r="Q1071" s="330">
        <v>0</v>
      </c>
      <c r="R1071" s="330">
        <v>0</v>
      </c>
      <c r="S1071" s="330">
        <v>0</v>
      </c>
      <c r="T1071" s="330">
        <v>0</v>
      </c>
      <c r="U1071" s="331">
        <v>0</v>
      </c>
      <c r="V1071" s="332">
        <v>0</v>
      </c>
      <c r="W1071" s="333"/>
      <c r="X1071" s="334">
        <v>0</v>
      </c>
      <c r="Y1071" s="335">
        <v>0</v>
      </c>
    </row>
    <row r="1072" spans="1:25" x14ac:dyDescent="0.3">
      <c r="A1072" s="326"/>
      <c r="B1072" s="326"/>
      <c r="C1072" s="326"/>
      <c r="D1072" s="326"/>
      <c r="E1072" s="326" t="s">
        <v>2044</v>
      </c>
      <c r="F1072" s="336"/>
      <c r="G1072" s="327"/>
      <c r="H1072" s="328"/>
      <c r="I1072" s="329"/>
      <c r="J1072" s="338">
        <v>0</v>
      </c>
      <c r="K1072" s="330">
        <v>0</v>
      </c>
      <c r="L1072" s="330">
        <v>0</v>
      </c>
      <c r="M1072" s="330">
        <v>0</v>
      </c>
      <c r="N1072" s="330">
        <v>0</v>
      </c>
      <c r="O1072" s="330">
        <v>0</v>
      </c>
      <c r="P1072" s="330">
        <v>0</v>
      </c>
      <c r="Q1072" s="330">
        <v>0</v>
      </c>
      <c r="R1072" s="330">
        <v>0</v>
      </c>
      <c r="S1072" s="330">
        <v>0</v>
      </c>
      <c r="T1072" s="330">
        <v>0</v>
      </c>
      <c r="U1072" s="331">
        <v>0</v>
      </c>
      <c r="V1072" s="332">
        <v>0</v>
      </c>
      <c r="W1072" s="333"/>
      <c r="X1072" s="334">
        <v>0</v>
      </c>
      <c r="Y1072" s="335">
        <v>0</v>
      </c>
    </row>
    <row r="1073" spans="1:25" x14ac:dyDescent="0.3">
      <c r="A1073" s="233"/>
      <c r="B1073" s="234" t="s">
        <v>78</v>
      </c>
      <c r="D1073" s="293" t="s">
        <v>2045</v>
      </c>
      <c r="E1073" s="294"/>
      <c r="F1073" s="295" t="s">
        <v>2046</v>
      </c>
      <c r="G1073" s="296"/>
      <c r="H1073" s="297"/>
      <c r="I1073" s="298"/>
      <c r="J1073" s="299">
        <v>0</v>
      </c>
      <c r="K1073" s="300">
        <v>0</v>
      </c>
      <c r="L1073" s="300">
        <v>161811.954</v>
      </c>
      <c r="M1073" s="300">
        <v>0</v>
      </c>
      <c r="N1073" s="300">
        <v>0</v>
      </c>
      <c r="O1073" s="300">
        <v>-160316.46799999999</v>
      </c>
      <c r="P1073" s="300">
        <v>0</v>
      </c>
      <c r="Q1073" s="300">
        <v>0</v>
      </c>
      <c r="R1073" s="300">
        <v>2245878.3969999999</v>
      </c>
      <c r="S1073" s="300">
        <v>0</v>
      </c>
      <c r="T1073" s="300">
        <v>0</v>
      </c>
      <c r="U1073" s="301">
        <v>37324939.170000002</v>
      </c>
      <c r="V1073" s="302">
        <v>39572313.052999996</v>
      </c>
      <c r="W1073" s="303"/>
      <c r="X1073" s="304">
        <v>37324939.170000002</v>
      </c>
      <c r="Y1073" s="305">
        <v>39572313.052999996</v>
      </c>
    </row>
    <row r="1074" spans="1:25" x14ac:dyDescent="0.3">
      <c r="E1074" t="s">
        <v>2047</v>
      </c>
      <c r="F1074" s="317">
        <v>4408510</v>
      </c>
      <c r="G1074" s="318"/>
      <c r="H1074" s="319">
        <v>7501320101</v>
      </c>
      <c r="I1074" s="320"/>
      <c r="J1074" s="337">
        <v>0</v>
      </c>
      <c r="K1074" s="321">
        <v>0</v>
      </c>
      <c r="L1074" s="321">
        <v>0</v>
      </c>
      <c r="M1074" s="321">
        <v>0</v>
      </c>
      <c r="N1074" s="321">
        <v>0</v>
      </c>
      <c r="O1074" s="321">
        <v>0</v>
      </c>
      <c r="P1074" s="321">
        <v>0</v>
      </c>
      <c r="Q1074" s="321">
        <v>0</v>
      </c>
      <c r="R1074" s="321">
        <v>0</v>
      </c>
      <c r="S1074" s="321">
        <v>0</v>
      </c>
      <c r="T1074" s="321">
        <v>0</v>
      </c>
      <c r="U1074" s="322">
        <v>2412409.1039999998</v>
      </c>
      <c r="V1074" s="323">
        <v>2412409.1039999998</v>
      </c>
      <c r="W1074" s="303"/>
      <c r="X1074" s="324">
        <v>2412409.1039999998</v>
      </c>
      <c r="Y1074" s="325">
        <v>2412409.1039999998</v>
      </c>
    </row>
    <row r="1075" spans="1:25" x14ac:dyDescent="0.3">
      <c r="E1075" t="s">
        <v>2048</v>
      </c>
      <c r="F1075" s="317">
        <v>4408511</v>
      </c>
      <c r="G1075" s="318"/>
      <c r="H1075" s="319">
        <v>7501320102</v>
      </c>
      <c r="I1075" s="320"/>
      <c r="J1075" s="337">
        <v>0</v>
      </c>
      <c r="K1075" s="321">
        <v>0</v>
      </c>
      <c r="L1075" s="321">
        <v>161811.954</v>
      </c>
      <c r="M1075" s="321">
        <v>0</v>
      </c>
      <c r="N1075" s="321">
        <v>0</v>
      </c>
      <c r="O1075" s="321">
        <v>-161811.954</v>
      </c>
      <c r="P1075" s="321">
        <v>0</v>
      </c>
      <c r="Q1075" s="321">
        <v>0</v>
      </c>
      <c r="R1075" s="321">
        <v>882262.85800000001</v>
      </c>
      <c r="S1075" s="321">
        <v>0</v>
      </c>
      <c r="T1075" s="321">
        <v>0</v>
      </c>
      <c r="U1075" s="322">
        <v>4563541.8849999998</v>
      </c>
      <c r="V1075" s="323">
        <v>5445804.7429999998</v>
      </c>
      <c r="W1075" s="303"/>
      <c r="X1075" s="324">
        <v>4563541.8849999998</v>
      </c>
      <c r="Y1075" s="325">
        <v>5445804.7429999998</v>
      </c>
    </row>
    <row r="1076" spans="1:25" x14ac:dyDescent="0.3">
      <c r="E1076" t="s">
        <v>2049</v>
      </c>
      <c r="F1076" s="317">
        <v>4408512</v>
      </c>
      <c r="G1076" s="318"/>
      <c r="H1076" s="319">
        <v>7501320103</v>
      </c>
      <c r="I1076" s="320"/>
      <c r="J1076" s="337">
        <v>0</v>
      </c>
      <c r="K1076" s="321">
        <v>0</v>
      </c>
      <c r="L1076" s="321">
        <v>0</v>
      </c>
      <c r="M1076" s="321">
        <v>0</v>
      </c>
      <c r="N1076" s="321">
        <v>0</v>
      </c>
      <c r="O1076" s="321">
        <v>0</v>
      </c>
      <c r="P1076" s="321">
        <v>0</v>
      </c>
      <c r="Q1076" s="321">
        <v>0</v>
      </c>
      <c r="R1076" s="321">
        <v>208692</v>
      </c>
      <c r="S1076" s="321">
        <v>0</v>
      </c>
      <c r="T1076" s="321">
        <v>0</v>
      </c>
      <c r="U1076" s="322">
        <v>3314490.7310000001</v>
      </c>
      <c r="V1076" s="323">
        <v>3523182.7310000001</v>
      </c>
      <c r="W1076" s="303"/>
      <c r="X1076" s="324">
        <v>3314490.7310000001</v>
      </c>
      <c r="Y1076" s="325">
        <v>3523182.7310000001</v>
      </c>
    </row>
    <row r="1077" spans="1:25" x14ac:dyDescent="0.3">
      <c r="E1077" t="s">
        <v>2050</v>
      </c>
      <c r="F1077" s="317">
        <v>4408513</v>
      </c>
      <c r="G1077" s="318"/>
      <c r="H1077" s="319"/>
      <c r="I1077" s="320"/>
      <c r="J1077" s="337">
        <v>0</v>
      </c>
      <c r="K1077" s="321">
        <v>0</v>
      </c>
      <c r="L1077" s="321">
        <v>0</v>
      </c>
      <c r="M1077" s="321">
        <v>0</v>
      </c>
      <c r="N1077" s="321">
        <v>0</v>
      </c>
      <c r="O1077" s="321">
        <v>1495.4860000000001</v>
      </c>
      <c r="P1077" s="321">
        <v>0</v>
      </c>
      <c r="Q1077" s="321">
        <v>0</v>
      </c>
      <c r="R1077" s="321">
        <v>1154923.5390000001</v>
      </c>
      <c r="S1077" s="321">
        <v>0</v>
      </c>
      <c r="T1077" s="321">
        <v>0</v>
      </c>
      <c r="U1077" s="322">
        <v>27034497.449999999</v>
      </c>
      <c r="V1077" s="323">
        <v>28190916.474999998</v>
      </c>
      <c r="W1077" s="303"/>
      <c r="X1077" s="324">
        <v>27034497.449999999</v>
      </c>
      <c r="Y1077" s="325">
        <v>28190916.474999998</v>
      </c>
    </row>
    <row r="1078" spans="1:25" x14ac:dyDescent="0.3">
      <c r="E1078" t="s">
        <v>2051</v>
      </c>
      <c r="F1078" s="317">
        <v>4408514</v>
      </c>
      <c r="G1078" s="318"/>
      <c r="H1078" s="319"/>
      <c r="I1078" s="320"/>
      <c r="J1078" s="337">
        <v>0</v>
      </c>
      <c r="K1078" s="321">
        <v>0</v>
      </c>
      <c r="L1078" s="321">
        <v>0</v>
      </c>
      <c r="M1078" s="321">
        <v>0</v>
      </c>
      <c r="N1078" s="321">
        <v>0</v>
      </c>
      <c r="O1078" s="321">
        <v>0</v>
      </c>
      <c r="P1078" s="321">
        <v>0</v>
      </c>
      <c r="Q1078" s="321">
        <v>0</v>
      </c>
      <c r="R1078" s="321">
        <v>0</v>
      </c>
      <c r="S1078" s="321">
        <v>0</v>
      </c>
      <c r="T1078" s="321">
        <v>0</v>
      </c>
      <c r="U1078" s="322">
        <v>0</v>
      </c>
      <c r="V1078" s="323">
        <v>0</v>
      </c>
      <c r="W1078" s="303"/>
      <c r="X1078" s="324">
        <v>0</v>
      </c>
      <c r="Y1078" s="325">
        <v>0</v>
      </c>
    </row>
    <row r="1079" spans="1:25" x14ac:dyDescent="0.3">
      <c r="A1079" s="326"/>
      <c r="B1079" s="326"/>
      <c r="C1079" s="326"/>
      <c r="D1079" s="326"/>
      <c r="E1079" s="326" t="s">
        <v>2052</v>
      </c>
      <c r="F1079" s="336"/>
      <c r="G1079" s="327"/>
      <c r="H1079" s="328"/>
      <c r="I1079" s="329"/>
      <c r="J1079" s="338">
        <v>0</v>
      </c>
      <c r="K1079" s="330">
        <v>0</v>
      </c>
      <c r="L1079" s="330">
        <v>0</v>
      </c>
      <c r="M1079" s="330">
        <v>0</v>
      </c>
      <c r="N1079" s="330">
        <v>0</v>
      </c>
      <c r="O1079" s="330">
        <v>0</v>
      </c>
      <c r="P1079" s="330">
        <v>0</v>
      </c>
      <c r="Q1079" s="330">
        <v>0</v>
      </c>
      <c r="R1079" s="330">
        <v>0</v>
      </c>
      <c r="S1079" s="330">
        <v>0</v>
      </c>
      <c r="T1079" s="330">
        <v>0</v>
      </c>
      <c r="U1079" s="331">
        <v>0</v>
      </c>
      <c r="V1079" s="332">
        <v>0</v>
      </c>
      <c r="W1079" s="333"/>
      <c r="X1079" s="334">
        <v>0</v>
      </c>
      <c r="Y1079" s="335">
        <v>0</v>
      </c>
    </row>
    <row r="1080" spans="1:25" x14ac:dyDescent="0.3">
      <c r="A1080" s="326"/>
      <c r="B1080" s="326"/>
      <c r="C1080" s="326"/>
      <c r="D1080" s="326"/>
      <c r="E1080" s="326" t="s">
        <v>2053</v>
      </c>
      <c r="F1080" s="336"/>
      <c r="G1080" s="327"/>
      <c r="H1080" s="328"/>
      <c r="I1080" s="329"/>
      <c r="J1080" s="338">
        <v>0</v>
      </c>
      <c r="K1080" s="330">
        <v>0</v>
      </c>
      <c r="L1080" s="330">
        <v>0</v>
      </c>
      <c r="M1080" s="330">
        <v>0</v>
      </c>
      <c r="N1080" s="330">
        <v>0</v>
      </c>
      <c r="O1080" s="330">
        <v>0</v>
      </c>
      <c r="P1080" s="330">
        <v>0</v>
      </c>
      <c r="Q1080" s="330">
        <v>0</v>
      </c>
      <c r="R1080" s="330">
        <v>0</v>
      </c>
      <c r="S1080" s="330">
        <v>0</v>
      </c>
      <c r="T1080" s="330">
        <v>0</v>
      </c>
      <c r="U1080" s="331">
        <v>0</v>
      </c>
      <c r="V1080" s="332">
        <v>0</v>
      </c>
      <c r="W1080" s="333"/>
      <c r="X1080" s="334">
        <v>0</v>
      </c>
      <c r="Y1080" s="335">
        <v>0</v>
      </c>
    </row>
    <row r="1081" spans="1:25" x14ac:dyDescent="0.3">
      <c r="A1081" s="326"/>
      <c r="B1081" s="326"/>
      <c r="C1081" s="326"/>
      <c r="D1081" s="326"/>
      <c r="E1081" s="326" t="s">
        <v>2054</v>
      </c>
      <c r="F1081" s="336"/>
      <c r="G1081" s="327"/>
      <c r="H1081" s="328"/>
      <c r="I1081" s="329"/>
      <c r="J1081" s="338">
        <v>0</v>
      </c>
      <c r="K1081" s="330">
        <v>0</v>
      </c>
      <c r="L1081" s="330">
        <v>0</v>
      </c>
      <c r="M1081" s="330">
        <v>0</v>
      </c>
      <c r="N1081" s="330">
        <v>0</v>
      </c>
      <c r="O1081" s="330">
        <v>0</v>
      </c>
      <c r="P1081" s="330">
        <v>0</v>
      </c>
      <c r="Q1081" s="330">
        <v>0</v>
      </c>
      <c r="R1081" s="330">
        <v>0</v>
      </c>
      <c r="S1081" s="330">
        <v>0</v>
      </c>
      <c r="T1081" s="330">
        <v>0</v>
      </c>
      <c r="U1081" s="331">
        <v>0</v>
      </c>
      <c r="V1081" s="332">
        <v>0</v>
      </c>
      <c r="W1081" s="333"/>
      <c r="X1081" s="334">
        <v>0</v>
      </c>
      <c r="Y1081" s="335">
        <v>0</v>
      </c>
    </row>
    <row r="1082" spans="1:25" x14ac:dyDescent="0.3">
      <c r="A1082" s="233"/>
      <c r="B1082" s="234" t="s">
        <v>78</v>
      </c>
      <c r="D1082" s="293" t="s">
        <v>2055</v>
      </c>
      <c r="E1082" s="294"/>
      <c r="F1082" s="295" t="s">
        <v>2056</v>
      </c>
      <c r="G1082" s="296"/>
      <c r="H1082" s="297"/>
      <c r="I1082" s="298"/>
      <c r="J1082" s="299">
        <v>0</v>
      </c>
      <c r="K1082" s="300">
        <v>0</v>
      </c>
      <c r="L1082" s="300">
        <v>0</v>
      </c>
      <c r="M1082" s="300">
        <v>0</v>
      </c>
      <c r="N1082" s="300">
        <v>0</v>
      </c>
      <c r="O1082" s="300">
        <v>0</v>
      </c>
      <c r="P1082" s="300">
        <v>0</v>
      </c>
      <c r="Q1082" s="300">
        <v>0</v>
      </c>
      <c r="R1082" s="300">
        <v>100</v>
      </c>
      <c r="S1082" s="300">
        <v>209822.57500000001</v>
      </c>
      <c r="T1082" s="300">
        <v>435877.625</v>
      </c>
      <c r="U1082" s="301">
        <v>217112.35</v>
      </c>
      <c r="V1082" s="302">
        <v>862912.54999999993</v>
      </c>
      <c r="W1082" s="303"/>
      <c r="X1082" s="304">
        <v>217112.35</v>
      </c>
      <c r="Y1082" s="305">
        <v>862912.54999999993</v>
      </c>
    </row>
    <row r="1083" spans="1:25" x14ac:dyDescent="0.3">
      <c r="E1083" t="s">
        <v>2057</v>
      </c>
      <c r="F1083" s="317">
        <v>4402580</v>
      </c>
      <c r="G1083" s="318"/>
      <c r="H1083" s="319">
        <v>7501070101</v>
      </c>
      <c r="I1083" s="320"/>
      <c r="J1083" s="337">
        <v>0</v>
      </c>
      <c r="K1083" s="321">
        <v>0</v>
      </c>
      <c r="L1083" s="321">
        <v>0</v>
      </c>
      <c r="M1083" s="321">
        <v>0</v>
      </c>
      <c r="N1083" s="321">
        <v>0</v>
      </c>
      <c r="O1083" s="321">
        <v>0</v>
      </c>
      <c r="P1083" s="321">
        <v>0</v>
      </c>
      <c r="Q1083" s="321">
        <v>0</v>
      </c>
      <c r="R1083" s="321">
        <v>0</v>
      </c>
      <c r="S1083" s="321">
        <v>0</v>
      </c>
      <c r="T1083" s="321">
        <v>0</v>
      </c>
      <c r="U1083" s="322">
        <v>0</v>
      </c>
      <c r="V1083" s="323">
        <v>0</v>
      </c>
      <c r="W1083" s="303"/>
      <c r="X1083" s="324">
        <v>0</v>
      </c>
      <c r="Y1083" s="325">
        <v>0</v>
      </c>
    </row>
    <row r="1084" spans="1:25" x14ac:dyDescent="0.3">
      <c r="E1084" t="s">
        <v>2058</v>
      </c>
      <c r="F1084" s="317">
        <v>4402505</v>
      </c>
      <c r="G1084" s="318"/>
      <c r="H1084" s="319"/>
      <c r="I1084" s="320"/>
      <c r="J1084" s="337">
        <v>0</v>
      </c>
      <c r="K1084" s="321">
        <v>0</v>
      </c>
      <c r="L1084" s="321">
        <v>0</v>
      </c>
      <c r="M1084" s="321">
        <v>0</v>
      </c>
      <c r="N1084" s="321">
        <v>0</v>
      </c>
      <c r="O1084" s="321">
        <v>0</v>
      </c>
      <c r="P1084" s="321">
        <v>0</v>
      </c>
      <c r="Q1084" s="321">
        <v>0</v>
      </c>
      <c r="R1084" s="321">
        <v>0</v>
      </c>
      <c r="S1084" s="321">
        <v>0</v>
      </c>
      <c r="T1084" s="321">
        <v>0</v>
      </c>
      <c r="U1084" s="322">
        <v>0</v>
      </c>
      <c r="V1084" s="323">
        <v>0</v>
      </c>
      <c r="W1084" s="303"/>
      <c r="X1084" s="324">
        <v>0</v>
      </c>
      <c r="Y1084" s="325">
        <v>0</v>
      </c>
    </row>
    <row r="1085" spans="1:25" x14ac:dyDescent="0.3">
      <c r="E1085" t="s">
        <v>2059</v>
      </c>
      <c r="F1085" s="317">
        <v>4402506</v>
      </c>
      <c r="G1085" s="318"/>
      <c r="H1085" s="319"/>
      <c r="I1085" s="320"/>
      <c r="J1085" s="337">
        <v>0</v>
      </c>
      <c r="K1085" s="321">
        <v>0</v>
      </c>
      <c r="L1085" s="321">
        <v>0</v>
      </c>
      <c r="M1085" s="321">
        <v>0</v>
      </c>
      <c r="N1085" s="321">
        <v>0</v>
      </c>
      <c r="O1085" s="321">
        <v>0</v>
      </c>
      <c r="P1085" s="321">
        <v>0</v>
      </c>
      <c r="Q1085" s="321">
        <v>0</v>
      </c>
      <c r="R1085" s="321">
        <v>0</v>
      </c>
      <c r="S1085" s="321">
        <v>209822.57500000001</v>
      </c>
      <c r="T1085" s="321">
        <v>435877.625</v>
      </c>
      <c r="U1085" s="322">
        <v>217112.35</v>
      </c>
      <c r="V1085" s="323">
        <v>862812.54999999993</v>
      </c>
      <c r="W1085" s="303"/>
      <c r="X1085" s="324">
        <v>217112.35</v>
      </c>
      <c r="Y1085" s="325">
        <v>862812.54999999993</v>
      </c>
    </row>
    <row r="1086" spans="1:25" x14ac:dyDescent="0.3">
      <c r="E1086" t="s">
        <v>2060</v>
      </c>
      <c r="F1086" s="317">
        <v>4402507</v>
      </c>
      <c r="G1086" s="318"/>
      <c r="H1086" s="319"/>
      <c r="I1086" s="320"/>
      <c r="J1086" s="337">
        <v>0</v>
      </c>
      <c r="K1086" s="321">
        <v>0</v>
      </c>
      <c r="L1086" s="321">
        <v>0</v>
      </c>
      <c r="M1086" s="321">
        <v>0</v>
      </c>
      <c r="N1086" s="321">
        <v>0</v>
      </c>
      <c r="O1086" s="321">
        <v>0</v>
      </c>
      <c r="P1086" s="321">
        <v>0</v>
      </c>
      <c r="Q1086" s="321">
        <v>0</v>
      </c>
      <c r="R1086" s="321">
        <v>100</v>
      </c>
      <c r="S1086" s="321">
        <v>0</v>
      </c>
      <c r="T1086" s="321">
        <v>0</v>
      </c>
      <c r="U1086" s="322">
        <v>0</v>
      </c>
      <c r="V1086" s="323">
        <v>100</v>
      </c>
      <c r="W1086" s="303"/>
      <c r="X1086" s="324">
        <v>0</v>
      </c>
      <c r="Y1086" s="325">
        <v>100</v>
      </c>
    </row>
    <row r="1087" spans="1:25" x14ac:dyDescent="0.3">
      <c r="E1087" t="s">
        <v>2061</v>
      </c>
      <c r="F1087" s="317">
        <v>4402508</v>
      </c>
      <c r="G1087" s="318"/>
      <c r="H1087" s="319"/>
      <c r="I1087" s="320"/>
      <c r="J1087" s="337">
        <v>0</v>
      </c>
      <c r="K1087" s="321">
        <v>0</v>
      </c>
      <c r="L1087" s="321">
        <v>0</v>
      </c>
      <c r="M1087" s="321">
        <v>0</v>
      </c>
      <c r="N1087" s="321">
        <v>0</v>
      </c>
      <c r="O1087" s="321">
        <v>0</v>
      </c>
      <c r="P1087" s="321">
        <v>0</v>
      </c>
      <c r="Q1087" s="321">
        <v>0</v>
      </c>
      <c r="R1087" s="321">
        <v>0</v>
      </c>
      <c r="S1087" s="321">
        <v>0</v>
      </c>
      <c r="T1087" s="321">
        <v>0</v>
      </c>
      <c r="U1087" s="322">
        <v>0</v>
      </c>
      <c r="V1087" s="323">
        <v>0</v>
      </c>
      <c r="W1087" s="303"/>
      <c r="X1087" s="324">
        <v>0</v>
      </c>
      <c r="Y1087" s="325">
        <v>0</v>
      </c>
    </row>
    <row r="1088" spans="1:25" x14ac:dyDescent="0.3">
      <c r="A1088" s="326"/>
      <c r="B1088" s="326"/>
      <c r="C1088" s="326"/>
      <c r="D1088" s="326"/>
      <c r="E1088" s="326" t="s">
        <v>2062</v>
      </c>
      <c r="F1088" s="336"/>
      <c r="G1088" s="327"/>
      <c r="H1088" s="328"/>
      <c r="I1088" s="329"/>
      <c r="J1088" s="338">
        <v>0</v>
      </c>
      <c r="K1088" s="330">
        <v>0</v>
      </c>
      <c r="L1088" s="330">
        <v>0</v>
      </c>
      <c r="M1088" s="330">
        <v>0</v>
      </c>
      <c r="N1088" s="330">
        <v>0</v>
      </c>
      <c r="O1088" s="330">
        <v>0</v>
      </c>
      <c r="P1088" s="330">
        <v>0</v>
      </c>
      <c r="Q1088" s="330">
        <v>0</v>
      </c>
      <c r="R1088" s="330">
        <v>0</v>
      </c>
      <c r="S1088" s="330">
        <v>0</v>
      </c>
      <c r="T1088" s="330">
        <v>0</v>
      </c>
      <c r="U1088" s="331">
        <v>0</v>
      </c>
      <c r="V1088" s="332">
        <v>0</v>
      </c>
      <c r="W1088" s="333"/>
      <c r="X1088" s="334">
        <v>0</v>
      </c>
      <c r="Y1088" s="335">
        <v>0</v>
      </c>
    </row>
    <row r="1089" spans="1:25" x14ac:dyDescent="0.3">
      <c r="A1089" s="326"/>
      <c r="B1089" s="326"/>
      <c r="C1089" s="326"/>
      <c r="D1089" s="326"/>
      <c r="E1089" s="326" t="s">
        <v>2063</v>
      </c>
      <c r="F1089" s="336"/>
      <c r="G1089" s="327"/>
      <c r="H1089" s="328"/>
      <c r="I1089" s="329"/>
      <c r="J1089" s="338">
        <v>0</v>
      </c>
      <c r="K1089" s="330">
        <v>0</v>
      </c>
      <c r="L1089" s="330">
        <v>0</v>
      </c>
      <c r="M1089" s="330">
        <v>0</v>
      </c>
      <c r="N1089" s="330">
        <v>0</v>
      </c>
      <c r="O1089" s="330">
        <v>0</v>
      </c>
      <c r="P1089" s="330">
        <v>0</v>
      </c>
      <c r="Q1089" s="330">
        <v>0</v>
      </c>
      <c r="R1089" s="330">
        <v>0</v>
      </c>
      <c r="S1089" s="330">
        <v>0</v>
      </c>
      <c r="T1089" s="330">
        <v>0</v>
      </c>
      <c r="U1089" s="331">
        <v>0</v>
      </c>
      <c r="V1089" s="332">
        <v>0</v>
      </c>
      <c r="W1089" s="333"/>
      <c r="X1089" s="334">
        <v>0</v>
      </c>
      <c r="Y1089" s="335">
        <v>0</v>
      </c>
    </row>
    <row r="1090" spans="1:25" x14ac:dyDescent="0.3">
      <c r="A1090" s="326"/>
      <c r="B1090" s="326"/>
      <c r="C1090" s="326"/>
      <c r="D1090" s="326"/>
      <c r="E1090" s="326" t="s">
        <v>2062</v>
      </c>
      <c r="F1090" s="336"/>
      <c r="G1090" s="327"/>
      <c r="H1090" s="328"/>
      <c r="I1090" s="329"/>
      <c r="J1090" s="338">
        <v>0</v>
      </c>
      <c r="K1090" s="330">
        <v>0</v>
      </c>
      <c r="L1090" s="330">
        <v>0</v>
      </c>
      <c r="M1090" s="330">
        <v>0</v>
      </c>
      <c r="N1090" s="330">
        <v>0</v>
      </c>
      <c r="O1090" s="330">
        <v>0</v>
      </c>
      <c r="P1090" s="330">
        <v>0</v>
      </c>
      <c r="Q1090" s="330">
        <v>0</v>
      </c>
      <c r="R1090" s="330">
        <v>0</v>
      </c>
      <c r="S1090" s="330">
        <v>0</v>
      </c>
      <c r="T1090" s="330">
        <v>0</v>
      </c>
      <c r="U1090" s="331">
        <v>0</v>
      </c>
      <c r="V1090" s="332">
        <v>0</v>
      </c>
      <c r="W1090" s="333"/>
      <c r="X1090" s="334">
        <v>0</v>
      </c>
      <c r="Y1090" s="335">
        <v>0</v>
      </c>
    </row>
    <row r="1091" spans="1:25" x14ac:dyDescent="0.3">
      <c r="A1091" s="233"/>
      <c r="B1091" s="234" t="s">
        <v>78</v>
      </c>
      <c r="D1091" s="293" t="s">
        <v>2064</v>
      </c>
      <c r="E1091" s="294"/>
      <c r="F1091" s="295" t="s">
        <v>2065</v>
      </c>
      <c r="G1091" s="296"/>
      <c r="H1091" s="297"/>
      <c r="I1091" s="298"/>
      <c r="J1091" s="299">
        <v>0</v>
      </c>
      <c r="K1091" s="300">
        <v>0</v>
      </c>
      <c r="L1091" s="300">
        <v>0</v>
      </c>
      <c r="M1091" s="300">
        <v>0</v>
      </c>
      <c r="N1091" s="300">
        <v>0</v>
      </c>
      <c r="O1091" s="300">
        <v>0</v>
      </c>
      <c r="P1091" s="300">
        <v>0</v>
      </c>
      <c r="Q1091" s="300">
        <v>0</v>
      </c>
      <c r="R1091" s="300">
        <v>0</v>
      </c>
      <c r="S1091" s="300">
        <v>0</v>
      </c>
      <c r="T1091" s="300">
        <v>0</v>
      </c>
      <c r="U1091" s="301">
        <v>0</v>
      </c>
      <c r="V1091" s="302">
        <v>0</v>
      </c>
      <c r="W1091" s="303"/>
      <c r="X1091" s="304">
        <v>0</v>
      </c>
      <c r="Y1091" s="305">
        <v>0</v>
      </c>
    </row>
    <row r="1092" spans="1:25" x14ac:dyDescent="0.3">
      <c r="E1092" t="s">
        <v>2066</v>
      </c>
      <c r="F1092" s="317">
        <v>4402503</v>
      </c>
      <c r="G1092" s="318"/>
      <c r="H1092" s="319">
        <v>7501110102</v>
      </c>
      <c r="I1092" s="320"/>
      <c r="J1092" s="337">
        <v>0</v>
      </c>
      <c r="K1092" s="321">
        <v>0</v>
      </c>
      <c r="L1092" s="321">
        <v>0</v>
      </c>
      <c r="M1092" s="321">
        <v>0</v>
      </c>
      <c r="N1092" s="321">
        <v>0</v>
      </c>
      <c r="O1092" s="321">
        <v>0</v>
      </c>
      <c r="P1092" s="321">
        <v>0</v>
      </c>
      <c r="Q1092" s="321">
        <v>0</v>
      </c>
      <c r="R1092" s="321">
        <v>0</v>
      </c>
      <c r="S1092" s="321">
        <v>0</v>
      </c>
      <c r="T1092" s="321">
        <v>0</v>
      </c>
      <c r="U1092" s="322">
        <v>0</v>
      </c>
      <c r="V1092" s="323">
        <v>0</v>
      </c>
      <c r="W1092" s="303"/>
      <c r="X1092" s="324">
        <v>0</v>
      </c>
      <c r="Y1092" s="325">
        <v>0</v>
      </c>
    </row>
    <row r="1093" spans="1:25" x14ac:dyDescent="0.3">
      <c r="E1093" s="326" t="s">
        <v>2067</v>
      </c>
      <c r="F1093" s="317"/>
      <c r="G1093" s="318"/>
      <c r="H1093" s="319"/>
      <c r="I1093" s="320"/>
      <c r="J1093" s="337">
        <v>0</v>
      </c>
      <c r="K1093" s="321">
        <v>0</v>
      </c>
      <c r="L1093" s="321">
        <v>0</v>
      </c>
      <c r="M1093" s="321">
        <v>0</v>
      </c>
      <c r="N1093" s="321">
        <v>0</v>
      </c>
      <c r="O1093" s="321">
        <v>0</v>
      </c>
      <c r="P1093" s="321">
        <v>0</v>
      </c>
      <c r="Q1093" s="321">
        <v>0</v>
      </c>
      <c r="R1093" s="321">
        <v>0</v>
      </c>
      <c r="S1093" s="321">
        <v>0</v>
      </c>
      <c r="T1093" s="321">
        <v>0</v>
      </c>
      <c r="U1093" s="322">
        <v>0</v>
      </c>
      <c r="V1093" s="323">
        <v>0</v>
      </c>
      <c r="W1093" s="303"/>
      <c r="X1093" s="324">
        <v>0</v>
      </c>
      <c r="Y1093" s="325">
        <v>0</v>
      </c>
    </row>
    <row r="1094" spans="1:25" x14ac:dyDescent="0.3">
      <c r="E1094" s="326" t="s">
        <v>2068</v>
      </c>
      <c r="F1094" s="317"/>
      <c r="G1094" s="318"/>
      <c r="H1094" s="319"/>
      <c r="I1094" s="320"/>
      <c r="J1094" s="337">
        <v>0</v>
      </c>
      <c r="K1094" s="321">
        <v>0</v>
      </c>
      <c r="L1094" s="321">
        <v>0</v>
      </c>
      <c r="M1094" s="321">
        <v>0</v>
      </c>
      <c r="N1094" s="321">
        <v>0</v>
      </c>
      <c r="O1094" s="321">
        <v>0</v>
      </c>
      <c r="P1094" s="321">
        <v>0</v>
      </c>
      <c r="Q1094" s="321">
        <v>0</v>
      </c>
      <c r="R1094" s="321">
        <v>0</v>
      </c>
      <c r="S1094" s="321">
        <v>0</v>
      </c>
      <c r="T1094" s="321">
        <v>0</v>
      </c>
      <c r="U1094" s="322">
        <v>0</v>
      </c>
      <c r="V1094" s="323">
        <v>0</v>
      </c>
      <c r="W1094" s="303"/>
      <c r="X1094" s="324">
        <v>0</v>
      </c>
      <c r="Y1094" s="325">
        <v>0</v>
      </c>
    </row>
    <row r="1095" spans="1:25" x14ac:dyDescent="0.3">
      <c r="E1095" s="326" t="s">
        <v>2069</v>
      </c>
      <c r="F1095" s="317"/>
      <c r="G1095" s="318"/>
      <c r="H1095" s="319"/>
      <c r="I1095" s="320"/>
      <c r="J1095" s="337">
        <v>0</v>
      </c>
      <c r="K1095" s="321">
        <v>0</v>
      </c>
      <c r="L1095" s="321">
        <v>0</v>
      </c>
      <c r="M1095" s="321">
        <v>0</v>
      </c>
      <c r="N1095" s="321">
        <v>0</v>
      </c>
      <c r="O1095" s="321">
        <v>0</v>
      </c>
      <c r="P1095" s="321">
        <v>0</v>
      </c>
      <c r="Q1095" s="321">
        <v>0</v>
      </c>
      <c r="R1095" s="321">
        <v>0</v>
      </c>
      <c r="S1095" s="321">
        <v>0</v>
      </c>
      <c r="T1095" s="321">
        <v>0</v>
      </c>
      <c r="U1095" s="322">
        <v>0</v>
      </c>
      <c r="V1095" s="323">
        <v>0</v>
      </c>
      <c r="W1095" s="303"/>
      <c r="X1095" s="324">
        <v>0</v>
      </c>
      <c r="Y1095" s="325">
        <v>0</v>
      </c>
    </row>
    <row r="1096" spans="1:25" x14ac:dyDescent="0.3">
      <c r="A1096" s="233"/>
      <c r="B1096" s="234" t="s">
        <v>78</v>
      </c>
      <c r="D1096" s="293" t="s">
        <v>2070</v>
      </c>
      <c r="E1096" s="294"/>
      <c r="F1096" s="295" t="s">
        <v>2071</v>
      </c>
      <c r="G1096" s="296"/>
      <c r="H1096" s="297"/>
      <c r="I1096" s="298"/>
      <c r="J1096" s="299">
        <v>0</v>
      </c>
      <c r="K1096" s="300">
        <v>0</v>
      </c>
      <c r="L1096" s="300">
        <v>0</v>
      </c>
      <c r="M1096" s="300">
        <v>0</v>
      </c>
      <c r="N1096" s="300">
        <v>0</v>
      </c>
      <c r="O1096" s="300">
        <v>0</v>
      </c>
      <c r="P1096" s="300">
        <v>0</v>
      </c>
      <c r="Q1096" s="300">
        <v>0</v>
      </c>
      <c r="R1096" s="300">
        <v>27889.385999999999</v>
      </c>
      <c r="S1096" s="300">
        <v>0</v>
      </c>
      <c r="T1096" s="300">
        <v>0</v>
      </c>
      <c r="U1096" s="301">
        <v>105222.772</v>
      </c>
      <c r="V1096" s="302">
        <v>133112.158</v>
      </c>
      <c r="W1096" s="303"/>
      <c r="X1096" s="304">
        <v>105222.772</v>
      </c>
      <c r="Y1096" s="305">
        <v>133112.158</v>
      </c>
    </row>
    <row r="1097" spans="1:25" x14ac:dyDescent="0.3">
      <c r="E1097" t="s">
        <v>2072</v>
      </c>
      <c r="F1097" s="317">
        <v>4406500</v>
      </c>
      <c r="G1097" s="318"/>
      <c r="H1097" s="319">
        <v>7501250101</v>
      </c>
      <c r="I1097" s="320"/>
      <c r="J1097" s="337">
        <v>0</v>
      </c>
      <c r="K1097" s="321">
        <v>0</v>
      </c>
      <c r="L1097" s="321">
        <v>0</v>
      </c>
      <c r="M1097" s="321">
        <v>0</v>
      </c>
      <c r="N1097" s="321">
        <v>0</v>
      </c>
      <c r="O1097" s="321">
        <v>0</v>
      </c>
      <c r="P1097" s="321">
        <v>0</v>
      </c>
      <c r="Q1097" s="321">
        <v>0</v>
      </c>
      <c r="R1097" s="321">
        <v>27889.385999999999</v>
      </c>
      <c r="S1097" s="321">
        <v>0</v>
      </c>
      <c r="T1097" s="321">
        <v>0</v>
      </c>
      <c r="U1097" s="322">
        <v>105222.772</v>
      </c>
      <c r="V1097" s="323">
        <v>133112.158</v>
      </c>
      <c r="W1097" s="303"/>
      <c r="X1097" s="324">
        <v>105222.772</v>
      </c>
      <c r="Y1097" s="325">
        <v>133112.158</v>
      </c>
    </row>
    <row r="1098" spans="1:25" x14ac:dyDescent="0.3">
      <c r="E1098" s="326" t="s">
        <v>2073</v>
      </c>
      <c r="F1098" s="317"/>
      <c r="G1098" s="318"/>
      <c r="H1098" s="319"/>
      <c r="I1098" s="320"/>
      <c r="J1098" s="337">
        <v>0</v>
      </c>
      <c r="K1098" s="321">
        <v>0</v>
      </c>
      <c r="L1098" s="321">
        <v>0</v>
      </c>
      <c r="M1098" s="321">
        <v>0</v>
      </c>
      <c r="N1098" s="321">
        <v>0</v>
      </c>
      <c r="O1098" s="321">
        <v>0</v>
      </c>
      <c r="P1098" s="321">
        <v>0</v>
      </c>
      <c r="Q1098" s="321">
        <v>0</v>
      </c>
      <c r="R1098" s="321">
        <v>0</v>
      </c>
      <c r="S1098" s="321">
        <v>0</v>
      </c>
      <c r="T1098" s="321">
        <v>0</v>
      </c>
      <c r="U1098" s="322">
        <v>0</v>
      </c>
      <c r="V1098" s="323">
        <v>0</v>
      </c>
      <c r="W1098" s="303"/>
      <c r="X1098" s="324">
        <v>0</v>
      </c>
      <c r="Y1098" s="325">
        <v>0</v>
      </c>
    </row>
    <row r="1099" spans="1:25" x14ac:dyDescent="0.3">
      <c r="E1099" s="326" t="s">
        <v>2074</v>
      </c>
      <c r="F1099" s="317"/>
      <c r="G1099" s="318"/>
      <c r="H1099" s="319"/>
      <c r="I1099" s="320"/>
      <c r="J1099" s="337">
        <v>0</v>
      </c>
      <c r="K1099" s="321">
        <v>0</v>
      </c>
      <c r="L1099" s="321">
        <v>0</v>
      </c>
      <c r="M1099" s="321">
        <v>0</v>
      </c>
      <c r="N1099" s="321">
        <v>0</v>
      </c>
      <c r="O1099" s="321">
        <v>0</v>
      </c>
      <c r="P1099" s="321">
        <v>0</v>
      </c>
      <c r="Q1099" s="321">
        <v>0</v>
      </c>
      <c r="R1099" s="321">
        <v>0</v>
      </c>
      <c r="S1099" s="321">
        <v>0</v>
      </c>
      <c r="T1099" s="321">
        <v>0</v>
      </c>
      <c r="U1099" s="322">
        <v>0</v>
      </c>
      <c r="V1099" s="323">
        <v>0</v>
      </c>
      <c r="W1099" s="303"/>
      <c r="X1099" s="324">
        <v>0</v>
      </c>
      <c r="Y1099" s="325">
        <v>0</v>
      </c>
    </row>
    <row r="1100" spans="1:25" x14ac:dyDescent="0.3">
      <c r="E1100" s="326" t="s">
        <v>2075</v>
      </c>
      <c r="F1100" s="317"/>
      <c r="G1100" s="318"/>
      <c r="H1100" s="319"/>
      <c r="I1100" s="320"/>
      <c r="J1100" s="337">
        <v>0</v>
      </c>
      <c r="K1100" s="321">
        <v>0</v>
      </c>
      <c r="L1100" s="321">
        <v>0</v>
      </c>
      <c r="M1100" s="321">
        <v>0</v>
      </c>
      <c r="N1100" s="321">
        <v>0</v>
      </c>
      <c r="O1100" s="321">
        <v>0</v>
      </c>
      <c r="P1100" s="321">
        <v>0</v>
      </c>
      <c r="Q1100" s="321">
        <v>0</v>
      </c>
      <c r="R1100" s="321">
        <v>0</v>
      </c>
      <c r="S1100" s="321">
        <v>0</v>
      </c>
      <c r="T1100" s="321">
        <v>0</v>
      </c>
      <c r="U1100" s="322">
        <v>0</v>
      </c>
      <c r="V1100" s="323">
        <v>0</v>
      </c>
      <c r="W1100" s="303"/>
      <c r="X1100" s="324">
        <v>0</v>
      </c>
      <c r="Y1100" s="325">
        <v>0</v>
      </c>
    </row>
    <row r="1101" spans="1:25" x14ac:dyDescent="0.3">
      <c r="A1101" s="233"/>
      <c r="B1101" s="234" t="s">
        <v>78</v>
      </c>
      <c r="D1101" s="293" t="s">
        <v>2076</v>
      </c>
      <c r="E1101" s="294"/>
      <c r="F1101" s="295" t="s">
        <v>2077</v>
      </c>
      <c r="G1101" s="296"/>
      <c r="H1101" s="297"/>
      <c r="I1101" s="298"/>
      <c r="J1101" s="299">
        <v>0</v>
      </c>
      <c r="K1101" s="300">
        <v>1715.82</v>
      </c>
      <c r="L1101" s="300">
        <v>0</v>
      </c>
      <c r="M1101" s="300">
        <v>38.33</v>
      </c>
      <c r="N1101" s="300">
        <v>0</v>
      </c>
      <c r="O1101" s="300">
        <v>0</v>
      </c>
      <c r="P1101" s="300">
        <v>31775.023000000001</v>
      </c>
      <c r="Q1101" s="300">
        <v>0</v>
      </c>
      <c r="R1101" s="300">
        <v>0.11899999999999999</v>
      </c>
      <c r="S1101" s="300">
        <v>3017.194</v>
      </c>
      <c r="T1101" s="300">
        <v>0</v>
      </c>
      <c r="U1101" s="301">
        <v>0</v>
      </c>
      <c r="V1101" s="302">
        <v>36546.486000000004</v>
      </c>
      <c r="W1101" s="303"/>
      <c r="X1101" s="304">
        <v>0</v>
      </c>
      <c r="Y1101" s="305">
        <v>36546.486000000004</v>
      </c>
    </row>
    <row r="1102" spans="1:25" x14ac:dyDescent="0.3">
      <c r="E1102" t="s">
        <v>2078</v>
      </c>
      <c r="F1102" s="317">
        <v>4406501</v>
      </c>
      <c r="G1102" s="318"/>
      <c r="H1102" s="319">
        <v>7501270101</v>
      </c>
      <c r="I1102" s="320"/>
      <c r="J1102" s="337">
        <v>0</v>
      </c>
      <c r="K1102" s="321">
        <v>1715.82</v>
      </c>
      <c r="L1102" s="321">
        <v>0</v>
      </c>
      <c r="M1102" s="321">
        <v>38.33</v>
      </c>
      <c r="N1102" s="321">
        <v>0</v>
      </c>
      <c r="O1102" s="321">
        <v>0</v>
      </c>
      <c r="P1102" s="321">
        <v>31775.023000000001</v>
      </c>
      <c r="Q1102" s="321">
        <v>0</v>
      </c>
      <c r="R1102" s="321">
        <v>0.11899999999999999</v>
      </c>
      <c r="S1102" s="321">
        <v>3017.194</v>
      </c>
      <c r="T1102" s="321">
        <v>0</v>
      </c>
      <c r="U1102" s="322">
        <v>0</v>
      </c>
      <c r="V1102" s="323">
        <v>36546.486000000004</v>
      </c>
      <c r="W1102" s="303"/>
      <c r="X1102" s="324">
        <v>0</v>
      </c>
      <c r="Y1102" s="325">
        <v>36546.486000000004</v>
      </c>
    </row>
    <row r="1103" spans="1:25" x14ac:dyDescent="0.3">
      <c r="E1103" s="326" t="s">
        <v>2079</v>
      </c>
      <c r="F1103" s="317"/>
      <c r="G1103" s="318"/>
      <c r="H1103" s="319"/>
      <c r="I1103" s="320"/>
      <c r="J1103" s="337">
        <v>0</v>
      </c>
      <c r="K1103" s="321">
        <v>0</v>
      </c>
      <c r="L1103" s="321">
        <v>0</v>
      </c>
      <c r="M1103" s="321">
        <v>0</v>
      </c>
      <c r="N1103" s="321">
        <v>0</v>
      </c>
      <c r="O1103" s="321">
        <v>0</v>
      </c>
      <c r="P1103" s="321">
        <v>0</v>
      </c>
      <c r="Q1103" s="321">
        <v>0</v>
      </c>
      <c r="R1103" s="321">
        <v>0</v>
      </c>
      <c r="S1103" s="321">
        <v>0</v>
      </c>
      <c r="T1103" s="321">
        <v>0</v>
      </c>
      <c r="U1103" s="322">
        <v>0</v>
      </c>
      <c r="V1103" s="323">
        <v>0</v>
      </c>
      <c r="W1103" s="303"/>
      <c r="X1103" s="324">
        <v>0</v>
      </c>
      <c r="Y1103" s="325">
        <v>0</v>
      </c>
    </row>
    <row r="1104" spans="1:25" x14ac:dyDescent="0.3">
      <c r="E1104" s="326" t="s">
        <v>2080</v>
      </c>
      <c r="F1104" s="317"/>
      <c r="G1104" s="318"/>
      <c r="H1104" s="319"/>
      <c r="I1104" s="320"/>
      <c r="J1104" s="337">
        <v>0</v>
      </c>
      <c r="K1104" s="321">
        <v>0</v>
      </c>
      <c r="L1104" s="321">
        <v>0</v>
      </c>
      <c r="M1104" s="321">
        <v>0</v>
      </c>
      <c r="N1104" s="321">
        <v>0</v>
      </c>
      <c r="O1104" s="321">
        <v>0</v>
      </c>
      <c r="P1104" s="321">
        <v>0</v>
      </c>
      <c r="Q1104" s="321">
        <v>0</v>
      </c>
      <c r="R1104" s="321">
        <v>0</v>
      </c>
      <c r="S1104" s="321">
        <v>0</v>
      </c>
      <c r="T1104" s="321">
        <v>0</v>
      </c>
      <c r="U1104" s="322">
        <v>0</v>
      </c>
      <c r="V1104" s="323">
        <v>0</v>
      </c>
      <c r="W1104" s="303"/>
      <c r="X1104" s="324">
        <v>0</v>
      </c>
      <c r="Y1104" s="325">
        <v>0</v>
      </c>
    </row>
    <row r="1105" spans="1:25" x14ac:dyDescent="0.3">
      <c r="E1105" s="326" t="s">
        <v>2081</v>
      </c>
      <c r="F1105" s="317"/>
      <c r="G1105" s="318"/>
      <c r="H1105" s="319"/>
      <c r="I1105" s="320"/>
      <c r="J1105" s="337">
        <v>0</v>
      </c>
      <c r="K1105" s="321">
        <v>0</v>
      </c>
      <c r="L1105" s="321">
        <v>0</v>
      </c>
      <c r="M1105" s="321">
        <v>0</v>
      </c>
      <c r="N1105" s="321">
        <v>0</v>
      </c>
      <c r="O1105" s="321">
        <v>0</v>
      </c>
      <c r="P1105" s="321">
        <v>0</v>
      </c>
      <c r="Q1105" s="321">
        <v>0</v>
      </c>
      <c r="R1105" s="321">
        <v>0</v>
      </c>
      <c r="S1105" s="321">
        <v>0</v>
      </c>
      <c r="T1105" s="321">
        <v>0</v>
      </c>
      <c r="U1105" s="322">
        <v>0</v>
      </c>
      <c r="V1105" s="323">
        <v>0</v>
      </c>
      <c r="W1105" s="303"/>
      <c r="X1105" s="324">
        <v>0</v>
      </c>
      <c r="Y1105" s="325">
        <v>0</v>
      </c>
    </row>
    <row r="1106" spans="1:25" x14ac:dyDescent="0.3">
      <c r="A1106" s="233"/>
      <c r="B1106" s="234" t="s">
        <v>78</v>
      </c>
      <c r="D1106" s="293" t="s">
        <v>2082</v>
      </c>
      <c r="E1106" s="294"/>
      <c r="F1106" s="295" t="s">
        <v>2083</v>
      </c>
      <c r="G1106" s="296"/>
      <c r="H1106" s="297"/>
      <c r="I1106" s="298"/>
      <c r="J1106" s="299">
        <v>0</v>
      </c>
      <c r="K1106" s="300">
        <v>0</v>
      </c>
      <c r="L1106" s="300">
        <v>0</v>
      </c>
      <c r="M1106" s="300">
        <v>0</v>
      </c>
      <c r="N1106" s="300">
        <v>0</v>
      </c>
      <c r="O1106" s="300">
        <v>0</v>
      </c>
      <c r="P1106" s="300">
        <v>0</v>
      </c>
      <c r="Q1106" s="300">
        <v>0</v>
      </c>
      <c r="R1106" s="300">
        <v>0</v>
      </c>
      <c r="S1106" s="300">
        <v>0</v>
      </c>
      <c r="T1106" s="300">
        <v>0</v>
      </c>
      <c r="U1106" s="301">
        <v>2036543.2779999999</v>
      </c>
      <c r="V1106" s="302">
        <v>2036543.2779999999</v>
      </c>
      <c r="W1106" s="303"/>
      <c r="X1106" s="304">
        <v>2036543.2779999999</v>
      </c>
      <c r="Y1106" s="305">
        <v>2036543.2779999999</v>
      </c>
    </row>
    <row r="1107" spans="1:25" x14ac:dyDescent="0.3">
      <c r="E1107" t="s">
        <v>2084</v>
      </c>
      <c r="F1107" s="317">
        <v>4408500</v>
      </c>
      <c r="G1107" s="318"/>
      <c r="H1107" s="319">
        <v>7501290101</v>
      </c>
      <c r="I1107" s="320"/>
      <c r="J1107" s="337">
        <v>0</v>
      </c>
      <c r="K1107" s="321">
        <v>0</v>
      </c>
      <c r="L1107" s="321">
        <v>0</v>
      </c>
      <c r="M1107" s="321">
        <v>0</v>
      </c>
      <c r="N1107" s="321">
        <v>0</v>
      </c>
      <c r="O1107" s="321">
        <v>0</v>
      </c>
      <c r="P1107" s="321">
        <v>0</v>
      </c>
      <c r="Q1107" s="321">
        <v>0</v>
      </c>
      <c r="R1107" s="321">
        <v>0</v>
      </c>
      <c r="S1107" s="321">
        <v>0</v>
      </c>
      <c r="T1107" s="321">
        <v>0</v>
      </c>
      <c r="U1107" s="322">
        <v>2036543.2779999999</v>
      </c>
      <c r="V1107" s="323">
        <v>2036543.2779999999</v>
      </c>
      <c r="W1107" s="303"/>
      <c r="X1107" s="324">
        <v>2036543.2779999999</v>
      </c>
      <c r="Y1107" s="325">
        <v>2036543.2779999999</v>
      </c>
    </row>
    <row r="1108" spans="1:25" x14ac:dyDescent="0.3">
      <c r="E1108" s="326" t="s">
        <v>2085</v>
      </c>
      <c r="F1108" s="317"/>
      <c r="G1108" s="318"/>
      <c r="H1108" s="319"/>
      <c r="I1108" s="320"/>
      <c r="J1108" s="337">
        <v>0</v>
      </c>
      <c r="K1108" s="321">
        <v>0</v>
      </c>
      <c r="L1108" s="321">
        <v>0</v>
      </c>
      <c r="M1108" s="321">
        <v>0</v>
      </c>
      <c r="N1108" s="321">
        <v>0</v>
      </c>
      <c r="O1108" s="321">
        <v>0</v>
      </c>
      <c r="P1108" s="321">
        <v>0</v>
      </c>
      <c r="Q1108" s="321">
        <v>0</v>
      </c>
      <c r="R1108" s="321">
        <v>0</v>
      </c>
      <c r="S1108" s="321">
        <v>0</v>
      </c>
      <c r="T1108" s="321">
        <v>0</v>
      </c>
      <c r="U1108" s="322">
        <v>0</v>
      </c>
      <c r="V1108" s="323">
        <v>0</v>
      </c>
      <c r="W1108" s="303"/>
      <c r="X1108" s="324">
        <v>0</v>
      </c>
      <c r="Y1108" s="325">
        <v>0</v>
      </c>
    </row>
    <row r="1109" spans="1:25" x14ac:dyDescent="0.3">
      <c r="E1109" s="326" t="s">
        <v>2086</v>
      </c>
      <c r="F1109" s="317"/>
      <c r="G1109" s="318"/>
      <c r="H1109" s="319"/>
      <c r="I1109" s="320"/>
      <c r="J1109" s="337">
        <v>0</v>
      </c>
      <c r="K1109" s="321">
        <v>0</v>
      </c>
      <c r="L1109" s="321">
        <v>0</v>
      </c>
      <c r="M1109" s="321">
        <v>0</v>
      </c>
      <c r="N1109" s="321">
        <v>0</v>
      </c>
      <c r="O1109" s="321">
        <v>0</v>
      </c>
      <c r="P1109" s="321">
        <v>0</v>
      </c>
      <c r="Q1109" s="321">
        <v>0</v>
      </c>
      <c r="R1109" s="321">
        <v>0</v>
      </c>
      <c r="S1109" s="321">
        <v>0</v>
      </c>
      <c r="T1109" s="321">
        <v>0</v>
      </c>
      <c r="U1109" s="322">
        <v>0</v>
      </c>
      <c r="V1109" s="323">
        <v>0</v>
      </c>
      <c r="W1109" s="303"/>
      <c r="X1109" s="324">
        <v>0</v>
      </c>
      <c r="Y1109" s="325">
        <v>0</v>
      </c>
    </row>
    <row r="1110" spans="1:25" x14ac:dyDescent="0.3">
      <c r="E1110" s="326" t="s">
        <v>2087</v>
      </c>
      <c r="F1110" s="317"/>
      <c r="G1110" s="318"/>
      <c r="H1110" s="319"/>
      <c r="I1110" s="320"/>
      <c r="J1110" s="337">
        <v>0</v>
      </c>
      <c r="K1110" s="321">
        <v>0</v>
      </c>
      <c r="L1110" s="321">
        <v>0</v>
      </c>
      <c r="M1110" s="321">
        <v>0</v>
      </c>
      <c r="N1110" s="321">
        <v>0</v>
      </c>
      <c r="O1110" s="321">
        <v>0</v>
      </c>
      <c r="P1110" s="321">
        <v>0</v>
      </c>
      <c r="Q1110" s="321">
        <v>0</v>
      </c>
      <c r="R1110" s="321">
        <v>0</v>
      </c>
      <c r="S1110" s="321">
        <v>0</v>
      </c>
      <c r="T1110" s="321">
        <v>0</v>
      </c>
      <c r="U1110" s="322">
        <v>0</v>
      </c>
      <c r="V1110" s="323">
        <v>0</v>
      </c>
      <c r="W1110" s="303"/>
      <c r="X1110" s="324">
        <v>0</v>
      </c>
      <c r="Y1110" s="325">
        <v>0</v>
      </c>
    </row>
    <row r="1111" spans="1:25" x14ac:dyDescent="0.3">
      <c r="A1111" s="233"/>
      <c r="B1111" s="234" t="s">
        <v>78</v>
      </c>
      <c r="D1111" s="293" t="s">
        <v>2088</v>
      </c>
      <c r="E1111" s="294"/>
      <c r="F1111" s="295" t="s">
        <v>2089</v>
      </c>
      <c r="G1111" s="296"/>
      <c r="H1111" s="297"/>
      <c r="I1111" s="298"/>
      <c r="J1111" s="299">
        <v>0</v>
      </c>
      <c r="K1111" s="300">
        <v>0</v>
      </c>
      <c r="L1111" s="300">
        <v>0</v>
      </c>
      <c r="M1111" s="300">
        <v>0</v>
      </c>
      <c r="N1111" s="300">
        <v>0</v>
      </c>
      <c r="O1111" s="300">
        <v>0</v>
      </c>
      <c r="P1111" s="300">
        <v>0</v>
      </c>
      <c r="Q1111" s="300">
        <v>0</v>
      </c>
      <c r="R1111" s="300">
        <v>0</v>
      </c>
      <c r="S1111" s="300">
        <v>0</v>
      </c>
      <c r="T1111" s="300">
        <v>0</v>
      </c>
      <c r="U1111" s="301">
        <v>0</v>
      </c>
      <c r="V1111" s="302">
        <v>0</v>
      </c>
      <c r="W1111" s="303"/>
      <c r="X1111" s="304">
        <v>0</v>
      </c>
      <c r="Y1111" s="305">
        <v>0</v>
      </c>
    </row>
    <row r="1112" spans="1:25" x14ac:dyDescent="0.3">
      <c r="E1112" t="s">
        <v>2090</v>
      </c>
      <c r="F1112" s="317">
        <v>4408600</v>
      </c>
      <c r="G1112" s="318"/>
      <c r="H1112" s="319"/>
      <c r="I1112" s="320"/>
      <c r="J1112" s="337">
        <v>0</v>
      </c>
      <c r="K1112" s="321">
        <v>0</v>
      </c>
      <c r="L1112" s="321">
        <v>0</v>
      </c>
      <c r="M1112" s="321">
        <v>0</v>
      </c>
      <c r="N1112" s="321">
        <v>0</v>
      </c>
      <c r="O1112" s="321">
        <v>0</v>
      </c>
      <c r="P1112" s="321">
        <v>0</v>
      </c>
      <c r="Q1112" s="321">
        <v>0</v>
      </c>
      <c r="R1112" s="321">
        <v>0</v>
      </c>
      <c r="S1112" s="321">
        <v>0</v>
      </c>
      <c r="T1112" s="321">
        <v>0</v>
      </c>
      <c r="U1112" s="322">
        <v>0</v>
      </c>
      <c r="V1112" s="323">
        <v>0</v>
      </c>
      <c r="W1112" s="303"/>
      <c r="X1112" s="324">
        <v>0</v>
      </c>
      <c r="Y1112" s="325">
        <v>0</v>
      </c>
    </row>
    <row r="1113" spans="1:25" x14ac:dyDescent="0.3">
      <c r="A1113" s="326"/>
      <c r="B1113" s="326"/>
      <c r="C1113" s="326"/>
      <c r="D1113" s="326"/>
      <c r="E1113" s="326" t="s">
        <v>2091</v>
      </c>
      <c r="F1113" s="336"/>
      <c r="G1113" s="327"/>
      <c r="H1113" s="328"/>
      <c r="I1113" s="329"/>
      <c r="J1113" s="338">
        <v>0</v>
      </c>
      <c r="K1113" s="330">
        <v>0</v>
      </c>
      <c r="L1113" s="330">
        <v>0</v>
      </c>
      <c r="M1113" s="330">
        <v>0</v>
      </c>
      <c r="N1113" s="330">
        <v>0</v>
      </c>
      <c r="O1113" s="330">
        <v>0</v>
      </c>
      <c r="P1113" s="330">
        <v>0</v>
      </c>
      <c r="Q1113" s="330">
        <v>0</v>
      </c>
      <c r="R1113" s="330">
        <v>0</v>
      </c>
      <c r="S1113" s="330">
        <v>0</v>
      </c>
      <c r="T1113" s="330">
        <v>0</v>
      </c>
      <c r="U1113" s="331">
        <v>0</v>
      </c>
      <c r="V1113" s="332">
        <v>0</v>
      </c>
      <c r="W1113" s="333"/>
      <c r="X1113" s="334">
        <v>0</v>
      </c>
      <c r="Y1113" s="335">
        <v>0</v>
      </c>
    </row>
    <row r="1114" spans="1:25" x14ac:dyDescent="0.3">
      <c r="A1114" s="326"/>
      <c r="B1114" s="326"/>
      <c r="C1114" s="326"/>
      <c r="D1114" s="326"/>
      <c r="E1114" s="326" t="s">
        <v>2092</v>
      </c>
      <c r="F1114" s="336"/>
      <c r="G1114" s="327"/>
      <c r="H1114" s="328"/>
      <c r="I1114" s="329"/>
      <c r="J1114" s="338">
        <v>0</v>
      </c>
      <c r="K1114" s="330">
        <v>0</v>
      </c>
      <c r="L1114" s="330">
        <v>0</v>
      </c>
      <c r="M1114" s="330">
        <v>0</v>
      </c>
      <c r="N1114" s="330">
        <v>0</v>
      </c>
      <c r="O1114" s="330">
        <v>0</v>
      </c>
      <c r="P1114" s="330">
        <v>0</v>
      </c>
      <c r="Q1114" s="330">
        <v>0</v>
      </c>
      <c r="R1114" s="330">
        <v>0</v>
      </c>
      <c r="S1114" s="330">
        <v>0</v>
      </c>
      <c r="T1114" s="330">
        <v>0</v>
      </c>
      <c r="U1114" s="331">
        <v>0</v>
      </c>
      <c r="V1114" s="332">
        <v>0</v>
      </c>
      <c r="W1114" s="333"/>
      <c r="X1114" s="334">
        <v>0</v>
      </c>
      <c r="Y1114" s="335">
        <v>0</v>
      </c>
    </row>
    <row r="1115" spans="1:25" x14ac:dyDescent="0.3">
      <c r="A1115" s="326"/>
      <c r="B1115" s="326"/>
      <c r="C1115" s="326"/>
      <c r="D1115" s="326"/>
      <c r="E1115" s="326" t="s">
        <v>2093</v>
      </c>
      <c r="F1115" s="336"/>
      <c r="G1115" s="327"/>
      <c r="H1115" s="328"/>
      <c r="I1115" s="329"/>
      <c r="J1115" s="338">
        <v>0</v>
      </c>
      <c r="K1115" s="330">
        <v>0</v>
      </c>
      <c r="L1115" s="330">
        <v>0</v>
      </c>
      <c r="M1115" s="330">
        <v>0</v>
      </c>
      <c r="N1115" s="330">
        <v>0</v>
      </c>
      <c r="O1115" s="330">
        <v>0</v>
      </c>
      <c r="P1115" s="330">
        <v>0</v>
      </c>
      <c r="Q1115" s="330">
        <v>0</v>
      </c>
      <c r="R1115" s="330">
        <v>0</v>
      </c>
      <c r="S1115" s="330">
        <v>0</v>
      </c>
      <c r="T1115" s="330">
        <v>0</v>
      </c>
      <c r="U1115" s="331">
        <v>0</v>
      </c>
      <c r="V1115" s="332">
        <v>0</v>
      </c>
      <c r="W1115" s="333"/>
      <c r="X1115" s="334">
        <v>0</v>
      </c>
      <c r="Y1115" s="335">
        <v>0</v>
      </c>
    </row>
    <row r="1116" spans="1:25" x14ac:dyDescent="0.3">
      <c r="A1116" s="233"/>
      <c r="B1116" s="234" t="s">
        <v>78</v>
      </c>
      <c r="D1116" s="293" t="s">
        <v>2094</v>
      </c>
      <c r="E1116" s="294"/>
      <c r="F1116" s="295" t="s">
        <v>2095</v>
      </c>
      <c r="G1116" s="296"/>
      <c r="H1116" s="297"/>
      <c r="I1116" s="298"/>
      <c r="J1116" s="299">
        <v>0</v>
      </c>
      <c r="K1116" s="300">
        <v>0</v>
      </c>
      <c r="L1116" s="300">
        <v>0</v>
      </c>
      <c r="M1116" s="300">
        <v>0</v>
      </c>
      <c r="N1116" s="300">
        <v>0</v>
      </c>
      <c r="O1116" s="300">
        <v>0</v>
      </c>
      <c r="P1116" s="300">
        <v>0</v>
      </c>
      <c r="Q1116" s="300">
        <v>0</v>
      </c>
      <c r="R1116" s="300">
        <v>0</v>
      </c>
      <c r="S1116" s="300">
        <v>0</v>
      </c>
      <c r="T1116" s="300">
        <v>0</v>
      </c>
      <c r="U1116" s="301">
        <v>0</v>
      </c>
      <c r="V1116" s="302">
        <v>0</v>
      </c>
      <c r="W1116" s="303"/>
      <c r="X1116" s="304">
        <v>0</v>
      </c>
      <c r="Y1116" s="305">
        <v>0</v>
      </c>
    </row>
    <row r="1117" spans="1:25" x14ac:dyDescent="0.3">
      <c r="E1117" t="s">
        <v>2096</v>
      </c>
      <c r="F1117" s="317">
        <v>4408601</v>
      </c>
      <c r="G1117" s="318"/>
      <c r="H1117" s="319"/>
      <c r="I1117" s="320"/>
      <c r="J1117" s="337">
        <v>0</v>
      </c>
      <c r="K1117" s="321">
        <v>0</v>
      </c>
      <c r="L1117" s="321">
        <v>0</v>
      </c>
      <c r="M1117" s="321">
        <v>0</v>
      </c>
      <c r="N1117" s="321">
        <v>0</v>
      </c>
      <c r="O1117" s="321">
        <v>0</v>
      </c>
      <c r="P1117" s="321">
        <v>0</v>
      </c>
      <c r="Q1117" s="321">
        <v>0</v>
      </c>
      <c r="R1117" s="321">
        <v>0</v>
      </c>
      <c r="S1117" s="321">
        <v>0</v>
      </c>
      <c r="T1117" s="321">
        <v>0</v>
      </c>
      <c r="U1117" s="322">
        <v>0</v>
      </c>
      <c r="V1117" s="323">
        <v>0</v>
      </c>
      <c r="W1117" s="303"/>
      <c r="X1117" s="324">
        <v>0</v>
      </c>
      <c r="Y1117" s="325">
        <v>0</v>
      </c>
    </row>
    <row r="1118" spans="1:25" x14ac:dyDescent="0.3">
      <c r="E1118" s="326" t="s">
        <v>2067</v>
      </c>
      <c r="F1118" s="317"/>
      <c r="G1118" s="318"/>
      <c r="H1118" s="319"/>
      <c r="I1118" s="320"/>
      <c r="J1118" s="337">
        <v>0</v>
      </c>
      <c r="K1118" s="321">
        <v>0</v>
      </c>
      <c r="L1118" s="321">
        <v>0</v>
      </c>
      <c r="M1118" s="321">
        <v>0</v>
      </c>
      <c r="N1118" s="321">
        <v>0</v>
      </c>
      <c r="O1118" s="321">
        <v>0</v>
      </c>
      <c r="P1118" s="321">
        <v>0</v>
      </c>
      <c r="Q1118" s="321">
        <v>0</v>
      </c>
      <c r="R1118" s="321">
        <v>0</v>
      </c>
      <c r="S1118" s="321">
        <v>0</v>
      </c>
      <c r="T1118" s="321">
        <v>0</v>
      </c>
      <c r="U1118" s="322">
        <v>0</v>
      </c>
      <c r="V1118" s="323">
        <v>0</v>
      </c>
      <c r="W1118" s="303"/>
      <c r="X1118" s="324">
        <v>0</v>
      </c>
      <c r="Y1118" s="325">
        <v>0</v>
      </c>
    </row>
    <row r="1119" spans="1:25" x14ac:dyDescent="0.3">
      <c r="E1119" s="326" t="s">
        <v>2068</v>
      </c>
      <c r="F1119" s="317"/>
      <c r="G1119" s="318"/>
      <c r="H1119" s="319"/>
      <c r="I1119" s="320"/>
      <c r="J1119" s="337">
        <v>0</v>
      </c>
      <c r="K1119" s="321">
        <v>0</v>
      </c>
      <c r="L1119" s="321">
        <v>0</v>
      </c>
      <c r="M1119" s="321">
        <v>0</v>
      </c>
      <c r="N1119" s="321">
        <v>0</v>
      </c>
      <c r="O1119" s="321">
        <v>0</v>
      </c>
      <c r="P1119" s="321">
        <v>0</v>
      </c>
      <c r="Q1119" s="321">
        <v>0</v>
      </c>
      <c r="R1119" s="321">
        <v>0</v>
      </c>
      <c r="S1119" s="321">
        <v>0</v>
      </c>
      <c r="T1119" s="321">
        <v>0</v>
      </c>
      <c r="U1119" s="322">
        <v>0</v>
      </c>
      <c r="V1119" s="323">
        <v>0</v>
      </c>
      <c r="W1119" s="303"/>
      <c r="X1119" s="324">
        <v>0</v>
      </c>
      <c r="Y1119" s="325">
        <v>0</v>
      </c>
    </row>
    <row r="1120" spans="1:25" x14ac:dyDescent="0.3">
      <c r="E1120" s="326" t="s">
        <v>2069</v>
      </c>
      <c r="F1120" s="317"/>
      <c r="G1120" s="318"/>
      <c r="H1120" s="319"/>
      <c r="I1120" s="320"/>
      <c r="J1120" s="337">
        <v>0</v>
      </c>
      <c r="K1120" s="321">
        <v>0</v>
      </c>
      <c r="L1120" s="321">
        <v>0</v>
      </c>
      <c r="M1120" s="321">
        <v>0</v>
      </c>
      <c r="N1120" s="321">
        <v>0</v>
      </c>
      <c r="O1120" s="321">
        <v>0</v>
      </c>
      <c r="P1120" s="321">
        <v>0</v>
      </c>
      <c r="Q1120" s="321">
        <v>0</v>
      </c>
      <c r="R1120" s="321">
        <v>0</v>
      </c>
      <c r="S1120" s="321">
        <v>0</v>
      </c>
      <c r="T1120" s="321">
        <v>0</v>
      </c>
      <c r="U1120" s="322">
        <v>0</v>
      </c>
      <c r="V1120" s="323">
        <v>0</v>
      </c>
      <c r="W1120" s="303"/>
      <c r="X1120" s="324">
        <v>0</v>
      </c>
      <c r="Y1120" s="325">
        <v>0</v>
      </c>
    </row>
    <row r="1121" spans="1:25" x14ac:dyDescent="0.3">
      <c r="D1121" s="293" t="s">
        <v>2097</v>
      </c>
      <c r="E1121" s="294"/>
      <c r="F1121" s="295" t="s">
        <v>2098</v>
      </c>
      <c r="G1121" s="296"/>
      <c r="H1121" s="297"/>
      <c r="I1121" s="298"/>
      <c r="J1121" s="299">
        <v>0</v>
      </c>
      <c r="K1121" s="300">
        <v>0</v>
      </c>
      <c r="L1121" s="300">
        <v>0</v>
      </c>
      <c r="M1121" s="300">
        <v>0</v>
      </c>
      <c r="N1121" s="300">
        <v>0</v>
      </c>
      <c r="O1121" s="300">
        <v>0</v>
      </c>
      <c r="P1121" s="300">
        <v>0</v>
      </c>
      <c r="Q1121" s="300">
        <v>0</v>
      </c>
      <c r="R1121" s="300">
        <v>0</v>
      </c>
      <c r="S1121" s="300">
        <v>0</v>
      </c>
      <c r="T1121" s="300">
        <v>0</v>
      </c>
      <c r="U1121" s="301">
        <v>0</v>
      </c>
      <c r="V1121" s="302">
        <v>0</v>
      </c>
      <c r="W1121" s="303"/>
      <c r="X1121" s="304">
        <v>0</v>
      </c>
      <c r="Y1121" s="305">
        <v>0</v>
      </c>
    </row>
    <row r="1122" spans="1:25" x14ac:dyDescent="0.3">
      <c r="E1122" t="s">
        <v>2099</v>
      </c>
      <c r="F1122" s="317">
        <v>4408602</v>
      </c>
      <c r="G1122" s="318"/>
      <c r="H1122" s="319"/>
      <c r="I1122" s="320"/>
      <c r="J1122" s="337">
        <v>0</v>
      </c>
      <c r="K1122" s="321">
        <v>0</v>
      </c>
      <c r="L1122" s="321">
        <v>0</v>
      </c>
      <c r="M1122" s="321">
        <v>0</v>
      </c>
      <c r="N1122" s="321">
        <v>0</v>
      </c>
      <c r="O1122" s="321">
        <v>0</v>
      </c>
      <c r="P1122" s="321">
        <v>0</v>
      </c>
      <c r="Q1122" s="321">
        <v>0</v>
      </c>
      <c r="R1122" s="321">
        <v>0</v>
      </c>
      <c r="S1122" s="321">
        <v>0</v>
      </c>
      <c r="T1122" s="321">
        <v>0</v>
      </c>
      <c r="U1122" s="322">
        <v>0</v>
      </c>
      <c r="V1122" s="323">
        <v>0</v>
      </c>
      <c r="W1122" s="303"/>
      <c r="X1122" s="324">
        <v>0</v>
      </c>
      <c r="Y1122" s="325">
        <v>0</v>
      </c>
    </row>
    <row r="1123" spans="1:25" x14ac:dyDescent="0.3">
      <c r="E1123" s="326" t="s">
        <v>2100</v>
      </c>
      <c r="F1123" s="317"/>
      <c r="G1123" s="318"/>
      <c r="H1123" s="319"/>
      <c r="I1123" s="320"/>
      <c r="J1123" s="337">
        <v>0</v>
      </c>
      <c r="K1123" s="321">
        <v>0</v>
      </c>
      <c r="L1123" s="321">
        <v>0</v>
      </c>
      <c r="M1123" s="321">
        <v>0</v>
      </c>
      <c r="N1123" s="321">
        <v>0</v>
      </c>
      <c r="O1123" s="321">
        <v>0</v>
      </c>
      <c r="P1123" s="321">
        <v>0</v>
      </c>
      <c r="Q1123" s="321">
        <v>0</v>
      </c>
      <c r="R1123" s="321">
        <v>0</v>
      </c>
      <c r="S1123" s="321">
        <v>0</v>
      </c>
      <c r="T1123" s="321">
        <v>0</v>
      </c>
      <c r="U1123" s="322">
        <v>0</v>
      </c>
      <c r="V1123" s="323">
        <v>0</v>
      </c>
      <c r="W1123" s="303"/>
      <c r="X1123" s="324">
        <v>0</v>
      </c>
      <c r="Y1123" s="325">
        <v>0</v>
      </c>
    </row>
    <row r="1124" spans="1:25" x14ac:dyDescent="0.3">
      <c r="E1124" s="326" t="s">
        <v>2101</v>
      </c>
      <c r="F1124" s="317"/>
      <c r="G1124" s="318"/>
      <c r="H1124" s="319"/>
      <c r="I1124" s="320"/>
      <c r="J1124" s="337">
        <v>0</v>
      </c>
      <c r="K1124" s="321">
        <v>0</v>
      </c>
      <c r="L1124" s="321">
        <v>0</v>
      </c>
      <c r="M1124" s="321">
        <v>0</v>
      </c>
      <c r="N1124" s="321">
        <v>0</v>
      </c>
      <c r="O1124" s="321">
        <v>0</v>
      </c>
      <c r="P1124" s="321">
        <v>0</v>
      </c>
      <c r="Q1124" s="321">
        <v>0</v>
      </c>
      <c r="R1124" s="321">
        <v>0</v>
      </c>
      <c r="S1124" s="321">
        <v>0</v>
      </c>
      <c r="T1124" s="321">
        <v>0</v>
      </c>
      <c r="U1124" s="322">
        <v>0</v>
      </c>
      <c r="V1124" s="323">
        <v>0</v>
      </c>
      <c r="W1124" s="303"/>
      <c r="X1124" s="324">
        <v>0</v>
      </c>
      <c r="Y1124" s="325">
        <v>0</v>
      </c>
    </row>
    <row r="1125" spans="1:25" x14ac:dyDescent="0.3">
      <c r="E1125" s="326" t="s">
        <v>2102</v>
      </c>
      <c r="F1125" s="317"/>
      <c r="G1125" s="318"/>
      <c r="H1125" s="319"/>
      <c r="I1125" s="320"/>
      <c r="J1125" s="337">
        <v>0</v>
      </c>
      <c r="K1125" s="321">
        <v>0</v>
      </c>
      <c r="L1125" s="321">
        <v>0</v>
      </c>
      <c r="M1125" s="321">
        <v>0</v>
      </c>
      <c r="N1125" s="321">
        <v>0</v>
      </c>
      <c r="O1125" s="321">
        <v>0</v>
      </c>
      <c r="P1125" s="321">
        <v>0</v>
      </c>
      <c r="Q1125" s="321">
        <v>0</v>
      </c>
      <c r="R1125" s="321">
        <v>0</v>
      </c>
      <c r="S1125" s="321">
        <v>0</v>
      </c>
      <c r="T1125" s="321">
        <v>0</v>
      </c>
      <c r="U1125" s="322">
        <v>0</v>
      </c>
      <c r="V1125" s="323">
        <v>0</v>
      </c>
      <c r="W1125" s="303"/>
      <c r="X1125" s="324">
        <v>0</v>
      </c>
      <c r="Y1125" s="325">
        <v>0</v>
      </c>
    </row>
    <row r="1126" spans="1:25" x14ac:dyDescent="0.3">
      <c r="D1126" s="293" t="s">
        <v>2103</v>
      </c>
      <c r="E1126" s="294"/>
      <c r="F1126" s="295"/>
      <c r="G1126" s="296"/>
      <c r="H1126" s="297"/>
      <c r="I1126" s="298"/>
      <c r="J1126" s="299">
        <v>0</v>
      </c>
      <c r="K1126" s="300">
        <v>0</v>
      </c>
      <c r="L1126" s="300">
        <v>0</v>
      </c>
      <c r="M1126" s="300">
        <v>0</v>
      </c>
      <c r="N1126" s="300">
        <v>0</v>
      </c>
      <c r="O1126" s="300">
        <v>0</v>
      </c>
      <c r="P1126" s="300">
        <v>0</v>
      </c>
      <c r="Q1126" s="300">
        <v>0</v>
      </c>
      <c r="R1126" s="300">
        <v>0</v>
      </c>
      <c r="S1126" s="300">
        <v>0</v>
      </c>
      <c r="T1126" s="300">
        <v>0</v>
      </c>
      <c r="U1126" s="301">
        <v>0</v>
      </c>
      <c r="V1126" s="302">
        <v>0</v>
      </c>
      <c r="W1126" s="303"/>
      <c r="X1126" s="304">
        <v>0</v>
      </c>
      <c r="Y1126" s="305">
        <v>0</v>
      </c>
    </row>
    <row r="1127" spans="1:25" x14ac:dyDescent="0.3">
      <c r="A1127" s="326"/>
      <c r="B1127" s="326"/>
      <c r="C1127" s="326"/>
      <c r="D1127" s="326"/>
      <c r="E1127" s="326" t="s">
        <v>2104</v>
      </c>
      <c r="F1127" s="336"/>
      <c r="G1127" s="327"/>
      <c r="H1127" s="328"/>
      <c r="I1127" s="329"/>
      <c r="J1127" s="338">
        <v>0</v>
      </c>
      <c r="K1127" s="330">
        <v>0</v>
      </c>
      <c r="L1127" s="330">
        <v>0</v>
      </c>
      <c r="M1127" s="330">
        <v>0</v>
      </c>
      <c r="N1127" s="330">
        <v>0</v>
      </c>
      <c r="O1127" s="330">
        <v>0</v>
      </c>
      <c r="P1127" s="330">
        <v>0</v>
      </c>
      <c r="Q1127" s="330">
        <v>0</v>
      </c>
      <c r="R1127" s="330">
        <v>0</v>
      </c>
      <c r="S1127" s="330">
        <v>0</v>
      </c>
      <c r="T1127" s="330">
        <v>0</v>
      </c>
      <c r="U1127" s="331">
        <v>0</v>
      </c>
      <c r="V1127" s="332">
        <v>0</v>
      </c>
      <c r="W1127" s="333"/>
      <c r="X1127" s="334">
        <v>0</v>
      </c>
      <c r="Y1127" s="335">
        <v>0</v>
      </c>
    </row>
    <row r="1128" spans="1:25" x14ac:dyDescent="0.3">
      <c r="A1128" s="326"/>
      <c r="B1128" s="326"/>
      <c r="C1128" s="326"/>
      <c r="D1128" s="326"/>
      <c r="E1128" s="326" t="s">
        <v>2105</v>
      </c>
      <c r="F1128" s="336"/>
      <c r="G1128" s="327"/>
      <c r="H1128" s="328"/>
      <c r="I1128" s="329"/>
      <c r="J1128" s="338">
        <v>0</v>
      </c>
      <c r="K1128" s="330">
        <v>0</v>
      </c>
      <c r="L1128" s="330">
        <v>0</v>
      </c>
      <c r="M1128" s="330">
        <v>0</v>
      </c>
      <c r="N1128" s="330">
        <v>0</v>
      </c>
      <c r="O1128" s="330">
        <v>0</v>
      </c>
      <c r="P1128" s="330">
        <v>0</v>
      </c>
      <c r="Q1128" s="330">
        <v>0</v>
      </c>
      <c r="R1128" s="330">
        <v>0</v>
      </c>
      <c r="S1128" s="330">
        <v>0</v>
      </c>
      <c r="T1128" s="330">
        <v>0</v>
      </c>
      <c r="U1128" s="331">
        <v>0</v>
      </c>
      <c r="V1128" s="332">
        <v>0</v>
      </c>
      <c r="W1128" s="333"/>
      <c r="X1128" s="334">
        <v>0</v>
      </c>
      <c r="Y1128" s="335">
        <v>0</v>
      </c>
    </row>
    <row r="1129" spans="1:25" x14ac:dyDescent="0.3">
      <c r="A1129" s="326"/>
      <c r="B1129" s="326"/>
      <c r="C1129" s="326"/>
      <c r="D1129" s="326"/>
      <c r="E1129" s="326" t="s">
        <v>2106</v>
      </c>
      <c r="F1129" s="336"/>
      <c r="G1129" s="327"/>
      <c r="H1129" s="328"/>
      <c r="I1129" s="329"/>
      <c r="J1129" s="338">
        <v>0</v>
      </c>
      <c r="K1129" s="330">
        <v>0</v>
      </c>
      <c r="L1129" s="330">
        <v>0</v>
      </c>
      <c r="M1129" s="330">
        <v>0</v>
      </c>
      <c r="N1129" s="330">
        <v>0</v>
      </c>
      <c r="O1129" s="330">
        <v>0</v>
      </c>
      <c r="P1129" s="330">
        <v>0</v>
      </c>
      <c r="Q1129" s="330">
        <v>0</v>
      </c>
      <c r="R1129" s="330">
        <v>0</v>
      </c>
      <c r="S1129" s="330">
        <v>0</v>
      </c>
      <c r="T1129" s="330">
        <v>0</v>
      </c>
      <c r="U1129" s="331">
        <v>0</v>
      </c>
      <c r="V1129" s="332">
        <v>0</v>
      </c>
      <c r="W1129" s="333"/>
      <c r="X1129" s="334">
        <v>0</v>
      </c>
      <c r="Y1129" s="335">
        <v>0</v>
      </c>
    </row>
    <row r="1130" spans="1:25" x14ac:dyDescent="0.3">
      <c r="D1130" s="293" t="s">
        <v>2107</v>
      </c>
      <c r="E1130" s="294"/>
      <c r="F1130" s="295"/>
      <c r="G1130" s="296"/>
      <c r="H1130" s="297"/>
      <c r="I1130" s="298"/>
      <c r="J1130" s="299">
        <v>0</v>
      </c>
      <c r="K1130" s="300">
        <v>0</v>
      </c>
      <c r="L1130" s="300">
        <v>0</v>
      </c>
      <c r="M1130" s="300">
        <v>0</v>
      </c>
      <c r="N1130" s="300">
        <v>0</v>
      </c>
      <c r="O1130" s="300">
        <v>0</v>
      </c>
      <c r="P1130" s="300">
        <v>0</v>
      </c>
      <c r="Q1130" s="300">
        <v>0</v>
      </c>
      <c r="R1130" s="300">
        <v>0</v>
      </c>
      <c r="S1130" s="300">
        <v>0</v>
      </c>
      <c r="T1130" s="300">
        <v>0</v>
      </c>
      <c r="U1130" s="301">
        <v>0</v>
      </c>
      <c r="V1130" s="302">
        <v>0</v>
      </c>
      <c r="W1130" s="303"/>
      <c r="X1130" s="304">
        <v>0</v>
      </c>
      <c r="Y1130" s="305">
        <v>0</v>
      </c>
    </row>
    <row r="1131" spans="1:25" x14ac:dyDescent="0.3">
      <c r="A1131" s="326"/>
      <c r="B1131" s="326"/>
      <c r="C1131" s="326"/>
      <c r="D1131" s="326"/>
      <c r="E1131" s="326" t="s">
        <v>2104</v>
      </c>
      <c r="F1131" s="336"/>
      <c r="G1131" s="327"/>
      <c r="H1131" s="328"/>
      <c r="I1131" s="329"/>
      <c r="J1131" s="338">
        <v>0</v>
      </c>
      <c r="K1131" s="330">
        <v>0</v>
      </c>
      <c r="L1131" s="330">
        <v>0</v>
      </c>
      <c r="M1131" s="330">
        <v>0</v>
      </c>
      <c r="N1131" s="330">
        <v>0</v>
      </c>
      <c r="O1131" s="330">
        <v>0</v>
      </c>
      <c r="P1131" s="330">
        <v>0</v>
      </c>
      <c r="Q1131" s="330">
        <v>0</v>
      </c>
      <c r="R1131" s="330">
        <v>0</v>
      </c>
      <c r="S1131" s="330">
        <v>0</v>
      </c>
      <c r="T1131" s="330">
        <v>0</v>
      </c>
      <c r="U1131" s="331">
        <v>0</v>
      </c>
      <c r="V1131" s="332">
        <v>0</v>
      </c>
      <c r="W1131" s="333"/>
      <c r="X1131" s="334">
        <v>0</v>
      </c>
      <c r="Y1131" s="335">
        <v>0</v>
      </c>
    </row>
    <row r="1132" spans="1:25" x14ac:dyDescent="0.3">
      <c r="A1132" s="326"/>
      <c r="B1132" s="326"/>
      <c r="C1132" s="326"/>
      <c r="D1132" s="326"/>
      <c r="E1132" s="326" t="s">
        <v>2105</v>
      </c>
      <c r="F1132" s="336"/>
      <c r="G1132" s="327"/>
      <c r="H1132" s="328"/>
      <c r="I1132" s="329"/>
      <c r="J1132" s="338">
        <v>0</v>
      </c>
      <c r="K1132" s="330">
        <v>0</v>
      </c>
      <c r="L1132" s="330">
        <v>0</v>
      </c>
      <c r="M1132" s="330">
        <v>0</v>
      </c>
      <c r="N1132" s="330">
        <v>0</v>
      </c>
      <c r="O1132" s="330">
        <v>0</v>
      </c>
      <c r="P1132" s="330">
        <v>0</v>
      </c>
      <c r="Q1132" s="330">
        <v>0</v>
      </c>
      <c r="R1132" s="330">
        <v>0</v>
      </c>
      <c r="S1132" s="330">
        <v>0</v>
      </c>
      <c r="T1132" s="330">
        <v>0</v>
      </c>
      <c r="U1132" s="331">
        <v>0</v>
      </c>
      <c r="V1132" s="332">
        <v>0</v>
      </c>
      <c r="W1132" s="333"/>
      <c r="X1132" s="334">
        <v>0</v>
      </c>
      <c r="Y1132" s="335">
        <v>0</v>
      </c>
    </row>
    <row r="1133" spans="1:25" x14ac:dyDescent="0.3">
      <c r="A1133" s="326"/>
      <c r="B1133" s="326"/>
      <c r="C1133" s="326"/>
      <c r="D1133" s="326"/>
      <c r="E1133" s="326" t="s">
        <v>2106</v>
      </c>
      <c r="F1133" s="336"/>
      <c r="G1133" s="327"/>
      <c r="H1133" s="328"/>
      <c r="I1133" s="329"/>
      <c r="J1133" s="338">
        <v>0</v>
      </c>
      <c r="K1133" s="330">
        <v>0</v>
      </c>
      <c r="L1133" s="330">
        <v>0</v>
      </c>
      <c r="M1133" s="330">
        <v>0</v>
      </c>
      <c r="N1133" s="330">
        <v>0</v>
      </c>
      <c r="O1133" s="330">
        <v>0</v>
      </c>
      <c r="P1133" s="330">
        <v>0</v>
      </c>
      <c r="Q1133" s="330">
        <v>0</v>
      </c>
      <c r="R1133" s="330">
        <v>0</v>
      </c>
      <c r="S1133" s="330">
        <v>0</v>
      </c>
      <c r="T1133" s="330">
        <v>0</v>
      </c>
      <c r="U1133" s="331">
        <v>0</v>
      </c>
      <c r="V1133" s="332">
        <v>0</v>
      </c>
      <c r="W1133" s="333"/>
      <c r="X1133" s="334">
        <v>0</v>
      </c>
      <c r="Y1133" s="335">
        <v>0</v>
      </c>
    </row>
    <row r="1134" spans="1:25" x14ac:dyDescent="0.3">
      <c r="D1134" s="293" t="s">
        <v>2108</v>
      </c>
      <c r="E1134" s="294"/>
      <c r="F1134" s="295"/>
      <c r="G1134" s="296"/>
      <c r="H1134" s="297"/>
      <c r="I1134" s="298"/>
      <c r="J1134" s="299">
        <v>0</v>
      </c>
      <c r="K1134" s="300">
        <v>0</v>
      </c>
      <c r="L1134" s="300">
        <v>0</v>
      </c>
      <c r="M1134" s="300">
        <v>0</v>
      </c>
      <c r="N1134" s="300">
        <v>0</v>
      </c>
      <c r="O1134" s="300">
        <v>0</v>
      </c>
      <c r="P1134" s="300">
        <v>0</v>
      </c>
      <c r="Q1134" s="300">
        <v>0</v>
      </c>
      <c r="R1134" s="300">
        <v>0</v>
      </c>
      <c r="S1134" s="300">
        <v>0</v>
      </c>
      <c r="T1134" s="300">
        <v>0</v>
      </c>
      <c r="U1134" s="301">
        <v>0</v>
      </c>
      <c r="V1134" s="302">
        <v>0</v>
      </c>
      <c r="W1134" s="303"/>
      <c r="X1134" s="304">
        <v>0</v>
      </c>
      <c r="Y1134" s="305">
        <v>0</v>
      </c>
    </row>
    <row r="1135" spans="1:25" x14ac:dyDescent="0.3">
      <c r="A1135" s="326"/>
      <c r="B1135" s="326"/>
      <c r="C1135" s="326"/>
      <c r="D1135" s="326"/>
      <c r="E1135" s="326" t="s">
        <v>2104</v>
      </c>
      <c r="F1135" s="336"/>
      <c r="G1135" s="327"/>
      <c r="H1135" s="328"/>
      <c r="I1135" s="329"/>
      <c r="J1135" s="338">
        <v>0</v>
      </c>
      <c r="K1135" s="330">
        <v>0</v>
      </c>
      <c r="L1135" s="330">
        <v>0</v>
      </c>
      <c r="M1135" s="330">
        <v>0</v>
      </c>
      <c r="N1135" s="330">
        <v>0</v>
      </c>
      <c r="O1135" s="330">
        <v>0</v>
      </c>
      <c r="P1135" s="330">
        <v>0</v>
      </c>
      <c r="Q1135" s="330">
        <v>0</v>
      </c>
      <c r="R1135" s="330">
        <v>0</v>
      </c>
      <c r="S1135" s="330">
        <v>0</v>
      </c>
      <c r="T1135" s="330">
        <v>0</v>
      </c>
      <c r="U1135" s="331">
        <v>0</v>
      </c>
      <c r="V1135" s="332">
        <v>0</v>
      </c>
      <c r="W1135" s="333"/>
      <c r="X1135" s="334">
        <v>0</v>
      </c>
      <c r="Y1135" s="335">
        <v>0</v>
      </c>
    </row>
    <row r="1136" spans="1:25" x14ac:dyDescent="0.3">
      <c r="A1136" s="326"/>
      <c r="B1136" s="326"/>
      <c r="C1136" s="326"/>
      <c r="D1136" s="326"/>
      <c r="E1136" s="326" t="s">
        <v>2105</v>
      </c>
      <c r="F1136" s="336"/>
      <c r="G1136" s="327"/>
      <c r="H1136" s="328"/>
      <c r="I1136" s="329"/>
      <c r="J1136" s="338">
        <v>0</v>
      </c>
      <c r="K1136" s="330">
        <v>0</v>
      </c>
      <c r="L1136" s="330">
        <v>0</v>
      </c>
      <c r="M1136" s="330">
        <v>0</v>
      </c>
      <c r="N1136" s="330">
        <v>0</v>
      </c>
      <c r="O1136" s="330">
        <v>0</v>
      </c>
      <c r="P1136" s="330">
        <v>0</v>
      </c>
      <c r="Q1136" s="330">
        <v>0</v>
      </c>
      <c r="R1136" s="330">
        <v>0</v>
      </c>
      <c r="S1136" s="330">
        <v>0</v>
      </c>
      <c r="T1136" s="330">
        <v>0</v>
      </c>
      <c r="U1136" s="331">
        <v>0</v>
      </c>
      <c r="V1136" s="332">
        <v>0</v>
      </c>
      <c r="W1136" s="333"/>
      <c r="X1136" s="334">
        <v>0</v>
      </c>
      <c r="Y1136" s="335">
        <v>0</v>
      </c>
    </row>
    <row r="1137" spans="1:25" x14ac:dyDescent="0.3">
      <c r="A1137" s="326"/>
      <c r="B1137" s="326"/>
      <c r="C1137" s="326"/>
      <c r="D1137" s="326"/>
      <c r="E1137" s="326" t="s">
        <v>2106</v>
      </c>
      <c r="F1137" s="336"/>
      <c r="G1137" s="327"/>
      <c r="H1137" s="328"/>
      <c r="I1137" s="329"/>
      <c r="J1137" s="338">
        <v>0</v>
      </c>
      <c r="K1137" s="330">
        <v>0</v>
      </c>
      <c r="L1137" s="330">
        <v>0</v>
      </c>
      <c r="M1137" s="330">
        <v>0</v>
      </c>
      <c r="N1137" s="330">
        <v>0</v>
      </c>
      <c r="O1137" s="330">
        <v>0</v>
      </c>
      <c r="P1137" s="330">
        <v>0</v>
      </c>
      <c r="Q1137" s="330">
        <v>0</v>
      </c>
      <c r="R1137" s="330">
        <v>0</v>
      </c>
      <c r="S1137" s="330">
        <v>0</v>
      </c>
      <c r="T1137" s="330">
        <v>0</v>
      </c>
      <c r="U1137" s="331">
        <v>0</v>
      </c>
      <c r="V1137" s="332">
        <v>0</v>
      </c>
      <c r="W1137" s="333"/>
      <c r="X1137" s="334">
        <v>0</v>
      </c>
      <c r="Y1137" s="335">
        <v>0</v>
      </c>
    </row>
    <row r="1138" spans="1:25" ht="33" x14ac:dyDescent="0.3">
      <c r="A1138" s="248" t="s">
        <v>79</v>
      </c>
      <c r="B1138" s="248"/>
      <c r="C1138" s="280" t="s">
        <v>2109</v>
      </c>
      <c r="D1138" s="281"/>
      <c r="E1138" s="282"/>
      <c r="F1138" s="283" t="s">
        <v>2110</v>
      </c>
      <c r="G1138" s="284"/>
      <c r="H1138" s="285"/>
      <c r="I1138" s="286"/>
      <c r="J1138" s="287">
        <v>0</v>
      </c>
      <c r="K1138" s="288">
        <v>38.084000000000003</v>
      </c>
      <c r="L1138" s="288">
        <v>3924329.9980000001</v>
      </c>
      <c r="M1138" s="288">
        <v>583.28899999999999</v>
      </c>
      <c r="N1138" s="288">
        <v>0</v>
      </c>
      <c r="O1138" s="288">
        <v>16259974.439999999</v>
      </c>
      <c r="P1138" s="288">
        <v>1978.4659999999999</v>
      </c>
      <c r="Q1138" s="288">
        <v>1062.7750000000001</v>
      </c>
      <c r="R1138" s="288">
        <v>-5508437.1319999993</v>
      </c>
      <c r="S1138" s="288">
        <v>3961.6930000000002</v>
      </c>
      <c r="T1138" s="288">
        <v>0</v>
      </c>
      <c r="U1138" s="289">
        <v>37655584.811999999</v>
      </c>
      <c r="V1138" s="290">
        <v>52339076.425000004</v>
      </c>
      <c r="W1138" s="277"/>
      <c r="X1138" s="291">
        <v>37655584.811999999</v>
      </c>
      <c r="Y1138" s="292">
        <v>52339076.425000004</v>
      </c>
    </row>
    <row r="1139" spans="1:25" x14ac:dyDescent="0.3">
      <c r="A1139" s="233"/>
      <c r="B1139" s="234" t="s">
        <v>80</v>
      </c>
      <c r="D1139" s="293" t="s">
        <v>2111</v>
      </c>
      <c r="E1139" s="294"/>
      <c r="F1139" s="295" t="s">
        <v>2112</v>
      </c>
      <c r="G1139" s="296"/>
      <c r="H1139" s="297"/>
      <c r="I1139" s="298"/>
      <c r="J1139" s="299">
        <v>0</v>
      </c>
      <c r="K1139" s="300">
        <v>0</v>
      </c>
      <c r="L1139" s="300">
        <v>0</v>
      </c>
      <c r="M1139" s="300">
        <v>0</v>
      </c>
      <c r="N1139" s="300">
        <v>0</v>
      </c>
      <c r="O1139" s="300">
        <v>0</v>
      </c>
      <c r="P1139" s="300">
        <v>0</v>
      </c>
      <c r="Q1139" s="300">
        <v>0</v>
      </c>
      <c r="R1139" s="300">
        <v>0</v>
      </c>
      <c r="S1139" s="300">
        <v>0</v>
      </c>
      <c r="T1139" s="300">
        <v>0</v>
      </c>
      <c r="U1139" s="301">
        <v>0</v>
      </c>
      <c r="V1139" s="302">
        <v>0</v>
      </c>
      <c r="W1139" s="303"/>
      <c r="X1139" s="304">
        <v>0</v>
      </c>
      <c r="Y1139" s="305">
        <v>0</v>
      </c>
    </row>
    <row r="1140" spans="1:25" x14ac:dyDescent="0.3">
      <c r="E1140" s="339" t="s">
        <v>2113</v>
      </c>
      <c r="F1140" s="340" t="s">
        <v>2114</v>
      </c>
      <c r="G1140" s="341"/>
      <c r="H1140" s="342"/>
      <c r="I1140" s="343"/>
      <c r="J1140" s="344">
        <v>0</v>
      </c>
      <c r="K1140" s="345">
        <v>0</v>
      </c>
      <c r="L1140" s="345">
        <v>0</v>
      </c>
      <c r="M1140" s="345">
        <v>0</v>
      </c>
      <c r="N1140" s="345">
        <v>0</v>
      </c>
      <c r="O1140" s="345">
        <v>0</v>
      </c>
      <c r="P1140" s="345">
        <v>0</v>
      </c>
      <c r="Q1140" s="345">
        <v>0</v>
      </c>
      <c r="R1140" s="345">
        <v>0</v>
      </c>
      <c r="S1140" s="345">
        <v>0</v>
      </c>
      <c r="T1140" s="345">
        <v>0</v>
      </c>
      <c r="U1140" s="346">
        <v>0</v>
      </c>
      <c r="V1140" s="347">
        <v>0</v>
      </c>
      <c r="W1140" s="303"/>
      <c r="X1140" s="348">
        <v>0</v>
      </c>
      <c r="Y1140" s="349">
        <v>0</v>
      </c>
    </row>
    <row r="1141" spans="1:25" x14ac:dyDescent="0.3">
      <c r="E1141" t="s">
        <v>2115</v>
      </c>
      <c r="F1141" s="317">
        <v>4500101</v>
      </c>
      <c r="G1141" s="318"/>
      <c r="H1141" s="319">
        <v>7701010101</v>
      </c>
      <c r="I1141" s="320"/>
      <c r="J1141" s="337">
        <v>0</v>
      </c>
      <c r="K1141" s="321">
        <v>0</v>
      </c>
      <c r="L1141" s="321">
        <v>0</v>
      </c>
      <c r="M1141" s="321">
        <v>0</v>
      </c>
      <c r="N1141" s="321">
        <v>0</v>
      </c>
      <c r="O1141" s="321">
        <v>0</v>
      </c>
      <c r="P1141" s="321">
        <v>0</v>
      </c>
      <c r="Q1141" s="321">
        <v>0</v>
      </c>
      <c r="R1141" s="321">
        <v>0</v>
      </c>
      <c r="S1141" s="321">
        <v>0</v>
      </c>
      <c r="T1141" s="321">
        <v>0</v>
      </c>
      <c r="U1141" s="322">
        <v>0</v>
      </c>
      <c r="V1141" s="323">
        <v>0</v>
      </c>
      <c r="W1141" s="303"/>
      <c r="X1141" s="324">
        <v>0</v>
      </c>
      <c r="Y1141" s="325">
        <v>0</v>
      </c>
    </row>
    <row r="1142" spans="1:25" x14ac:dyDescent="0.3">
      <c r="E1142" t="s">
        <v>2116</v>
      </c>
      <c r="F1142" s="317">
        <v>4500102</v>
      </c>
      <c r="G1142" s="318"/>
      <c r="H1142" s="319">
        <v>7701010103</v>
      </c>
      <c r="I1142" s="320"/>
      <c r="J1142" s="337">
        <v>0</v>
      </c>
      <c r="K1142" s="321">
        <v>0</v>
      </c>
      <c r="L1142" s="321">
        <v>0</v>
      </c>
      <c r="M1142" s="321">
        <v>0</v>
      </c>
      <c r="N1142" s="321">
        <v>0</v>
      </c>
      <c r="O1142" s="321">
        <v>0</v>
      </c>
      <c r="P1142" s="321">
        <v>0</v>
      </c>
      <c r="Q1142" s="321">
        <v>0</v>
      </c>
      <c r="R1142" s="321">
        <v>0</v>
      </c>
      <c r="S1142" s="321">
        <v>0</v>
      </c>
      <c r="T1142" s="321">
        <v>0</v>
      </c>
      <c r="U1142" s="322">
        <v>0</v>
      </c>
      <c r="V1142" s="323">
        <v>0</v>
      </c>
      <c r="W1142" s="303"/>
      <c r="X1142" s="324">
        <v>0</v>
      </c>
      <c r="Y1142" s="325">
        <v>0</v>
      </c>
    </row>
    <row r="1143" spans="1:25" x14ac:dyDescent="0.3">
      <c r="E1143" t="s">
        <v>2117</v>
      </c>
      <c r="F1143" s="317">
        <v>4500199</v>
      </c>
      <c r="G1143" s="318"/>
      <c r="H1143" s="319">
        <v>7701010199</v>
      </c>
      <c r="I1143" s="320"/>
      <c r="J1143" s="337">
        <v>0</v>
      </c>
      <c r="K1143" s="321">
        <v>0</v>
      </c>
      <c r="L1143" s="321">
        <v>0</v>
      </c>
      <c r="M1143" s="321">
        <v>0</v>
      </c>
      <c r="N1143" s="321">
        <v>0</v>
      </c>
      <c r="O1143" s="321">
        <v>0</v>
      </c>
      <c r="P1143" s="321">
        <v>0</v>
      </c>
      <c r="Q1143" s="321">
        <v>0</v>
      </c>
      <c r="R1143" s="321">
        <v>0</v>
      </c>
      <c r="S1143" s="321">
        <v>0</v>
      </c>
      <c r="T1143" s="321">
        <v>0</v>
      </c>
      <c r="U1143" s="322">
        <v>0</v>
      </c>
      <c r="V1143" s="323">
        <v>0</v>
      </c>
      <c r="W1143" s="303"/>
      <c r="X1143" s="324">
        <v>0</v>
      </c>
      <c r="Y1143" s="325">
        <v>0</v>
      </c>
    </row>
    <row r="1144" spans="1:25" x14ac:dyDescent="0.3">
      <c r="A1144" s="350"/>
      <c r="B1144" s="350"/>
      <c r="C1144" s="350"/>
      <c r="D1144" s="350"/>
      <c r="E1144" s="350" t="s">
        <v>2118</v>
      </c>
      <c r="F1144" s="306"/>
      <c r="G1144" s="307"/>
      <c r="H1144" s="308">
        <v>7701010107</v>
      </c>
      <c r="I1144" s="309"/>
      <c r="J1144" s="310">
        <v>0</v>
      </c>
      <c r="K1144" s="311">
        <v>0</v>
      </c>
      <c r="L1144" s="311">
        <v>0</v>
      </c>
      <c r="M1144" s="311">
        <v>0</v>
      </c>
      <c r="N1144" s="311">
        <v>0</v>
      </c>
      <c r="O1144" s="311">
        <v>0</v>
      </c>
      <c r="P1144" s="311">
        <v>0</v>
      </c>
      <c r="Q1144" s="311">
        <v>0</v>
      </c>
      <c r="R1144" s="311">
        <v>0</v>
      </c>
      <c r="S1144" s="311">
        <v>0</v>
      </c>
      <c r="T1144" s="311">
        <v>0</v>
      </c>
      <c r="U1144" s="312">
        <v>0</v>
      </c>
      <c r="V1144" s="313">
        <v>0</v>
      </c>
      <c r="W1144" s="314"/>
      <c r="X1144" s="315">
        <v>0</v>
      </c>
      <c r="Y1144" s="316">
        <v>0</v>
      </c>
    </row>
    <row r="1145" spans="1:25" x14ac:dyDescent="0.3">
      <c r="A1145" s="326"/>
      <c r="B1145" s="326"/>
      <c r="C1145" s="326"/>
      <c r="D1145" s="326"/>
      <c r="E1145" s="326" t="s">
        <v>2119</v>
      </c>
      <c r="F1145" s="336"/>
      <c r="G1145" s="327"/>
      <c r="H1145" s="328"/>
      <c r="I1145" s="329"/>
      <c r="J1145" s="338">
        <v>0</v>
      </c>
      <c r="K1145" s="330">
        <v>0</v>
      </c>
      <c r="L1145" s="330">
        <v>0</v>
      </c>
      <c r="M1145" s="330">
        <v>0</v>
      </c>
      <c r="N1145" s="330">
        <v>0</v>
      </c>
      <c r="O1145" s="330">
        <v>0</v>
      </c>
      <c r="P1145" s="330">
        <v>0</v>
      </c>
      <c r="Q1145" s="330">
        <v>0</v>
      </c>
      <c r="R1145" s="330">
        <v>0</v>
      </c>
      <c r="S1145" s="330">
        <v>0</v>
      </c>
      <c r="T1145" s="330">
        <v>0</v>
      </c>
      <c r="U1145" s="331">
        <v>0</v>
      </c>
      <c r="V1145" s="332">
        <v>0</v>
      </c>
      <c r="W1145" s="333"/>
      <c r="X1145" s="334">
        <v>0</v>
      </c>
      <c r="Y1145" s="335">
        <v>0</v>
      </c>
    </row>
    <row r="1146" spans="1:25" x14ac:dyDescent="0.3">
      <c r="A1146" s="326"/>
      <c r="B1146" s="326"/>
      <c r="C1146" s="326"/>
      <c r="D1146" s="326"/>
      <c r="E1146" s="326" t="s">
        <v>2120</v>
      </c>
      <c r="F1146" s="336"/>
      <c r="G1146" s="327"/>
      <c r="H1146" s="328"/>
      <c r="I1146" s="329"/>
      <c r="J1146" s="338">
        <v>0</v>
      </c>
      <c r="K1146" s="330">
        <v>0</v>
      </c>
      <c r="L1146" s="330">
        <v>0</v>
      </c>
      <c r="M1146" s="330">
        <v>0</v>
      </c>
      <c r="N1146" s="330">
        <v>0</v>
      </c>
      <c r="O1146" s="330">
        <v>0</v>
      </c>
      <c r="P1146" s="330">
        <v>0</v>
      </c>
      <c r="Q1146" s="330">
        <v>0</v>
      </c>
      <c r="R1146" s="330">
        <v>0</v>
      </c>
      <c r="S1146" s="330">
        <v>0</v>
      </c>
      <c r="T1146" s="330">
        <v>0</v>
      </c>
      <c r="U1146" s="331">
        <v>0</v>
      </c>
      <c r="V1146" s="332">
        <v>0</v>
      </c>
      <c r="W1146" s="333"/>
      <c r="X1146" s="334">
        <v>0</v>
      </c>
      <c r="Y1146" s="335">
        <v>0</v>
      </c>
    </row>
    <row r="1147" spans="1:25" x14ac:dyDescent="0.3">
      <c r="E1147" s="339" t="s">
        <v>2035</v>
      </c>
      <c r="F1147" s="340" t="s">
        <v>2121</v>
      </c>
      <c r="G1147" s="341"/>
      <c r="H1147" s="342"/>
      <c r="I1147" s="343"/>
      <c r="J1147" s="344">
        <v>0</v>
      </c>
      <c r="K1147" s="345">
        <v>0</v>
      </c>
      <c r="L1147" s="345">
        <v>0</v>
      </c>
      <c r="M1147" s="345">
        <v>0</v>
      </c>
      <c r="N1147" s="345">
        <v>0</v>
      </c>
      <c r="O1147" s="345">
        <v>0</v>
      </c>
      <c r="P1147" s="345">
        <v>0</v>
      </c>
      <c r="Q1147" s="345">
        <v>0</v>
      </c>
      <c r="R1147" s="345">
        <v>0</v>
      </c>
      <c r="S1147" s="345">
        <v>0</v>
      </c>
      <c r="T1147" s="345">
        <v>0</v>
      </c>
      <c r="U1147" s="346">
        <v>0</v>
      </c>
      <c r="V1147" s="347">
        <v>0</v>
      </c>
      <c r="W1147" s="303"/>
      <c r="X1147" s="348">
        <v>0</v>
      </c>
      <c r="Y1147" s="349">
        <v>0</v>
      </c>
    </row>
    <row r="1148" spans="1:25" x14ac:dyDescent="0.3">
      <c r="E1148" t="s">
        <v>2122</v>
      </c>
      <c r="F1148" s="317">
        <v>4500104</v>
      </c>
      <c r="G1148" s="318"/>
      <c r="H1148" s="319">
        <v>7701010105</v>
      </c>
      <c r="I1148" s="320"/>
      <c r="J1148" s="337">
        <v>0</v>
      </c>
      <c r="K1148" s="321">
        <v>0</v>
      </c>
      <c r="L1148" s="321">
        <v>0</v>
      </c>
      <c r="M1148" s="321">
        <v>0</v>
      </c>
      <c r="N1148" s="321">
        <v>0</v>
      </c>
      <c r="O1148" s="321">
        <v>0</v>
      </c>
      <c r="P1148" s="321">
        <v>0</v>
      </c>
      <c r="Q1148" s="321">
        <v>0</v>
      </c>
      <c r="R1148" s="321">
        <v>0</v>
      </c>
      <c r="S1148" s="321">
        <v>0</v>
      </c>
      <c r="T1148" s="321">
        <v>0</v>
      </c>
      <c r="U1148" s="322">
        <v>0</v>
      </c>
      <c r="V1148" s="323">
        <v>0</v>
      </c>
      <c r="W1148" s="303"/>
      <c r="X1148" s="324">
        <v>0</v>
      </c>
      <c r="Y1148" s="325">
        <v>0</v>
      </c>
    </row>
    <row r="1149" spans="1:25" x14ac:dyDescent="0.3">
      <c r="E1149" t="s">
        <v>2123</v>
      </c>
      <c r="F1149" s="317">
        <v>4500106</v>
      </c>
      <c r="G1149" s="318"/>
      <c r="H1149" s="319">
        <v>7701010305</v>
      </c>
      <c r="I1149" s="320"/>
      <c r="J1149" s="337">
        <v>0</v>
      </c>
      <c r="K1149" s="321">
        <v>0</v>
      </c>
      <c r="L1149" s="321">
        <v>0</v>
      </c>
      <c r="M1149" s="321">
        <v>0</v>
      </c>
      <c r="N1149" s="321">
        <v>0</v>
      </c>
      <c r="O1149" s="321">
        <v>0</v>
      </c>
      <c r="P1149" s="321">
        <v>0</v>
      </c>
      <c r="Q1149" s="321">
        <v>0</v>
      </c>
      <c r="R1149" s="321">
        <v>0</v>
      </c>
      <c r="S1149" s="321">
        <v>0</v>
      </c>
      <c r="T1149" s="321">
        <v>0</v>
      </c>
      <c r="U1149" s="322">
        <v>0</v>
      </c>
      <c r="V1149" s="323">
        <v>0</v>
      </c>
      <c r="W1149" s="303"/>
      <c r="X1149" s="324">
        <v>0</v>
      </c>
      <c r="Y1149" s="325">
        <v>0</v>
      </c>
    </row>
    <row r="1150" spans="1:25" x14ac:dyDescent="0.3">
      <c r="E1150" t="s">
        <v>2124</v>
      </c>
      <c r="F1150" s="317">
        <v>4500181</v>
      </c>
      <c r="G1150" s="318"/>
      <c r="H1150" s="319">
        <v>7701010301</v>
      </c>
      <c r="I1150" s="320"/>
      <c r="J1150" s="337">
        <v>0</v>
      </c>
      <c r="K1150" s="321">
        <v>0</v>
      </c>
      <c r="L1150" s="321">
        <v>0</v>
      </c>
      <c r="M1150" s="321">
        <v>0</v>
      </c>
      <c r="N1150" s="321">
        <v>0</v>
      </c>
      <c r="O1150" s="321">
        <v>0</v>
      </c>
      <c r="P1150" s="321">
        <v>0</v>
      </c>
      <c r="Q1150" s="321">
        <v>0</v>
      </c>
      <c r="R1150" s="321">
        <v>0</v>
      </c>
      <c r="S1150" s="321">
        <v>0</v>
      </c>
      <c r="T1150" s="321">
        <v>0</v>
      </c>
      <c r="U1150" s="322">
        <v>0</v>
      </c>
      <c r="V1150" s="323">
        <v>0</v>
      </c>
      <c r="W1150" s="303"/>
      <c r="X1150" s="324">
        <v>0</v>
      </c>
      <c r="Y1150" s="325">
        <v>0</v>
      </c>
    </row>
    <row r="1151" spans="1:25" x14ac:dyDescent="0.3">
      <c r="E1151" t="s">
        <v>2125</v>
      </c>
      <c r="F1151" s="317">
        <v>4500182</v>
      </c>
      <c r="G1151" s="318"/>
      <c r="H1151" s="319">
        <v>7701010501</v>
      </c>
      <c r="I1151" s="320"/>
      <c r="J1151" s="337">
        <v>0</v>
      </c>
      <c r="K1151" s="321">
        <v>0</v>
      </c>
      <c r="L1151" s="321">
        <v>0</v>
      </c>
      <c r="M1151" s="321">
        <v>0</v>
      </c>
      <c r="N1151" s="321">
        <v>0</v>
      </c>
      <c r="O1151" s="321">
        <v>0</v>
      </c>
      <c r="P1151" s="321">
        <v>0</v>
      </c>
      <c r="Q1151" s="321">
        <v>0</v>
      </c>
      <c r="R1151" s="321">
        <v>0</v>
      </c>
      <c r="S1151" s="321">
        <v>0</v>
      </c>
      <c r="T1151" s="321">
        <v>0</v>
      </c>
      <c r="U1151" s="322">
        <v>0</v>
      </c>
      <c r="V1151" s="323">
        <v>0</v>
      </c>
      <c r="W1151" s="303"/>
      <c r="X1151" s="324">
        <v>0</v>
      </c>
      <c r="Y1151" s="325">
        <v>0</v>
      </c>
    </row>
    <row r="1152" spans="1:25" x14ac:dyDescent="0.3">
      <c r="E1152" t="s">
        <v>2126</v>
      </c>
      <c r="F1152" s="317">
        <v>4500813</v>
      </c>
      <c r="G1152" s="318"/>
      <c r="H1152" s="319">
        <v>7701010701</v>
      </c>
      <c r="I1152" s="320"/>
      <c r="J1152" s="337">
        <v>0</v>
      </c>
      <c r="K1152" s="321">
        <v>0</v>
      </c>
      <c r="L1152" s="321">
        <v>0</v>
      </c>
      <c r="M1152" s="321">
        <v>0</v>
      </c>
      <c r="N1152" s="321">
        <v>0</v>
      </c>
      <c r="O1152" s="321">
        <v>0</v>
      </c>
      <c r="P1152" s="321">
        <v>0</v>
      </c>
      <c r="Q1152" s="321">
        <v>0</v>
      </c>
      <c r="R1152" s="321">
        <v>0</v>
      </c>
      <c r="S1152" s="321">
        <v>0</v>
      </c>
      <c r="T1152" s="321">
        <v>0</v>
      </c>
      <c r="U1152" s="322">
        <v>0</v>
      </c>
      <c r="V1152" s="323">
        <v>0</v>
      </c>
      <c r="W1152" s="303"/>
      <c r="X1152" s="324">
        <v>0</v>
      </c>
      <c r="Y1152" s="325">
        <v>0</v>
      </c>
    </row>
    <row r="1153" spans="1:25" x14ac:dyDescent="0.3">
      <c r="A1153" s="350"/>
      <c r="B1153" s="350"/>
      <c r="C1153" s="350"/>
      <c r="D1153" s="350"/>
      <c r="E1153" s="350" t="s">
        <v>2127</v>
      </c>
      <c r="F1153" s="306"/>
      <c r="G1153" s="307"/>
      <c r="H1153" s="308"/>
      <c r="I1153" s="309"/>
      <c r="J1153" s="310">
        <v>0</v>
      </c>
      <c r="K1153" s="311">
        <v>0</v>
      </c>
      <c r="L1153" s="311">
        <v>0</v>
      </c>
      <c r="M1153" s="311">
        <v>0</v>
      </c>
      <c r="N1153" s="311">
        <v>0</v>
      </c>
      <c r="O1153" s="311">
        <v>0</v>
      </c>
      <c r="P1153" s="311">
        <v>0</v>
      </c>
      <c r="Q1153" s="311">
        <v>0</v>
      </c>
      <c r="R1153" s="311">
        <v>0</v>
      </c>
      <c r="S1153" s="311">
        <v>0</v>
      </c>
      <c r="T1153" s="311">
        <v>0</v>
      </c>
      <c r="U1153" s="312">
        <v>0</v>
      </c>
      <c r="V1153" s="313">
        <v>0</v>
      </c>
      <c r="W1153" s="314"/>
      <c r="X1153" s="315">
        <v>0</v>
      </c>
      <c r="Y1153" s="316">
        <v>0</v>
      </c>
    </row>
    <row r="1154" spans="1:25" x14ac:dyDescent="0.3">
      <c r="A1154" s="326"/>
      <c r="B1154" s="326"/>
      <c r="C1154" s="326"/>
      <c r="D1154" s="326"/>
      <c r="E1154" s="326" t="s">
        <v>2119</v>
      </c>
      <c r="F1154" s="336"/>
      <c r="G1154" s="327"/>
      <c r="H1154" s="328"/>
      <c r="I1154" s="329"/>
      <c r="J1154" s="338">
        <v>0</v>
      </c>
      <c r="K1154" s="330">
        <v>0</v>
      </c>
      <c r="L1154" s="330">
        <v>0</v>
      </c>
      <c r="M1154" s="330">
        <v>0</v>
      </c>
      <c r="N1154" s="330">
        <v>0</v>
      </c>
      <c r="O1154" s="330">
        <v>0</v>
      </c>
      <c r="P1154" s="330">
        <v>0</v>
      </c>
      <c r="Q1154" s="330">
        <v>0</v>
      </c>
      <c r="R1154" s="330">
        <v>0</v>
      </c>
      <c r="S1154" s="330">
        <v>0</v>
      </c>
      <c r="T1154" s="330">
        <v>0</v>
      </c>
      <c r="U1154" s="331">
        <v>0</v>
      </c>
      <c r="V1154" s="332">
        <v>0</v>
      </c>
      <c r="W1154" s="333"/>
      <c r="X1154" s="334">
        <v>0</v>
      </c>
      <c r="Y1154" s="335">
        <v>0</v>
      </c>
    </row>
    <row r="1155" spans="1:25" x14ac:dyDescent="0.3">
      <c r="A1155" s="326"/>
      <c r="B1155" s="326"/>
      <c r="C1155" s="326"/>
      <c r="D1155" s="326"/>
      <c r="E1155" s="326" t="s">
        <v>2120</v>
      </c>
      <c r="F1155" s="336"/>
      <c r="G1155" s="327"/>
      <c r="H1155" s="328"/>
      <c r="I1155" s="329"/>
      <c r="J1155" s="338">
        <v>0</v>
      </c>
      <c r="K1155" s="330">
        <v>0</v>
      </c>
      <c r="L1155" s="330">
        <v>0</v>
      </c>
      <c r="M1155" s="330">
        <v>0</v>
      </c>
      <c r="N1155" s="330">
        <v>0</v>
      </c>
      <c r="O1155" s="330">
        <v>0</v>
      </c>
      <c r="P1155" s="330">
        <v>0</v>
      </c>
      <c r="Q1155" s="330">
        <v>0</v>
      </c>
      <c r="R1155" s="330">
        <v>0</v>
      </c>
      <c r="S1155" s="330">
        <v>0</v>
      </c>
      <c r="T1155" s="330">
        <v>0</v>
      </c>
      <c r="U1155" s="331">
        <v>0</v>
      </c>
      <c r="V1155" s="332">
        <v>0</v>
      </c>
      <c r="W1155" s="333"/>
      <c r="X1155" s="334">
        <v>0</v>
      </c>
      <c r="Y1155" s="335">
        <v>0</v>
      </c>
    </row>
    <row r="1156" spans="1:25" x14ac:dyDescent="0.3">
      <c r="A1156" s="233"/>
      <c r="B1156" s="234" t="s">
        <v>81</v>
      </c>
      <c r="D1156" s="293" t="s">
        <v>2128</v>
      </c>
      <c r="E1156" s="294"/>
      <c r="F1156" s="295" t="s">
        <v>2129</v>
      </c>
      <c r="G1156" s="296"/>
      <c r="H1156" s="297"/>
      <c r="I1156" s="298"/>
      <c r="J1156" s="299">
        <v>0</v>
      </c>
      <c r="K1156" s="300">
        <v>0</v>
      </c>
      <c r="L1156" s="300">
        <v>3772314.71</v>
      </c>
      <c r="M1156" s="300">
        <v>0</v>
      </c>
      <c r="N1156" s="300">
        <v>0</v>
      </c>
      <c r="O1156" s="300">
        <v>15957314.776999999</v>
      </c>
      <c r="P1156" s="300">
        <v>0</v>
      </c>
      <c r="Q1156" s="300">
        <v>0</v>
      </c>
      <c r="R1156" s="300">
        <v>-5508936.2959999992</v>
      </c>
      <c r="S1156" s="300">
        <v>0</v>
      </c>
      <c r="T1156" s="300">
        <v>0</v>
      </c>
      <c r="U1156" s="301">
        <v>33706430.891000003</v>
      </c>
      <c r="V1156" s="302">
        <v>47927124.082000002</v>
      </c>
      <c r="W1156" s="303"/>
      <c r="X1156" s="304">
        <v>33706430.891000003</v>
      </c>
      <c r="Y1156" s="305">
        <v>47927124.082000002</v>
      </c>
    </row>
    <row r="1157" spans="1:25" x14ac:dyDescent="0.3">
      <c r="E1157" t="s">
        <v>2130</v>
      </c>
      <c r="F1157" s="317">
        <v>4502010</v>
      </c>
      <c r="G1157" s="318"/>
      <c r="H1157" s="319">
        <v>7701300101</v>
      </c>
      <c r="I1157" s="320"/>
      <c r="J1157" s="337">
        <v>0</v>
      </c>
      <c r="K1157" s="321">
        <v>0</v>
      </c>
      <c r="L1157" s="321">
        <v>1600141.8359999999</v>
      </c>
      <c r="M1157" s="321">
        <v>0</v>
      </c>
      <c r="N1157" s="321">
        <v>0</v>
      </c>
      <c r="O1157" s="321">
        <v>0</v>
      </c>
      <c r="P1157" s="321">
        <v>0</v>
      </c>
      <c r="Q1157" s="321">
        <v>0</v>
      </c>
      <c r="R1157" s="321">
        <v>1368088.22</v>
      </c>
      <c r="S1157" s="321">
        <v>0</v>
      </c>
      <c r="T1157" s="321">
        <v>0</v>
      </c>
      <c r="U1157" s="322">
        <v>26778950.758000001</v>
      </c>
      <c r="V1157" s="323">
        <v>29747180.814000003</v>
      </c>
      <c r="W1157" s="303"/>
      <c r="X1157" s="324">
        <v>26778950.758000001</v>
      </c>
      <c r="Y1157" s="325">
        <v>29747180.814000003</v>
      </c>
    </row>
    <row r="1158" spans="1:25" x14ac:dyDescent="0.3">
      <c r="E1158" t="s">
        <v>2131</v>
      </c>
      <c r="F1158" s="317">
        <v>4502011</v>
      </c>
      <c r="G1158" s="318"/>
      <c r="H1158" s="319">
        <v>7701300102</v>
      </c>
      <c r="I1158" s="320"/>
      <c r="J1158" s="337">
        <v>0</v>
      </c>
      <c r="K1158" s="321">
        <v>0</v>
      </c>
      <c r="L1158" s="321">
        <v>410558.07900000003</v>
      </c>
      <c r="M1158" s="321">
        <v>0</v>
      </c>
      <c r="N1158" s="321">
        <v>0</v>
      </c>
      <c r="O1158" s="321">
        <v>7130089.6720000003</v>
      </c>
      <c r="P1158" s="321">
        <v>0</v>
      </c>
      <c r="Q1158" s="321">
        <v>0</v>
      </c>
      <c r="R1158" s="321">
        <v>-1231596.4509999999</v>
      </c>
      <c r="S1158" s="321">
        <v>0</v>
      </c>
      <c r="T1158" s="321">
        <v>0</v>
      </c>
      <c r="U1158" s="322">
        <v>3395005.9070000001</v>
      </c>
      <c r="V1158" s="323">
        <v>9704057.2070000004</v>
      </c>
      <c r="W1158" s="303"/>
      <c r="X1158" s="324">
        <v>3395005.9070000001</v>
      </c>
      <c r="Y1158" s="325">
        <v>9704057.2070000004</v>
      </c>
    </row>
    <row r="1159" spans="1:25" x14ac:dyDescent="0.3">
      <c r="E1159" t="s">
        <v>2132</v>
      </c>
      <c r="F1159" s="317">
        <v>4502012</v>
      </c>
      <c r="G1159" s="318"/>
      <c r="H1159" s="319">
        <v>7701300103</v>
      </c>
      <c r="I1159" s="320"/>
      <c r="J1159" s="337">
        <v>0</v>
      </c>
      <c r="K1159" s="321">
        <v>0</v>
      </c>
      <c r="L1159" s="321">
        <v>0</v>
      </c>
      <c r="M1159" s="321">
        <v>0</v>
      </c>
      <c r="N1159" s="321">
        <v>0</v>
      </c>
      <c r="O1159" s="321">
        <v>431296.8</v>
      </c>
      <c r="P1159" s="321">
        <v>0</v>
      </c>
      <c r="Q1159" s="321">
        <v>0</v>
      </c>
      <c r="R1159" s="321">
        <v>-431296.8</v>
      </c>
      <c r="S1159" s="321">
        <v>0</v>
      </c>
      <c r="T1159" s="321">
        <v>0</v>
      </c>
      <c r="U1159" s="322">
        <v>0</v>
      </c>
      <c r="V1159" s="323">
        <v>0</v>
      </c>
      <c r="W1159" s="303"/>
      <c r="X1159" s="324">
        <v>0</v>
      </c>
      <c r="Y1159" s="325">
        <v>0</v>
      </c>
    </row>
    <row r="1160" spans="1:25" x14ac:dyDescent="0.3">
      <c r="E1160" t="s">
        <v>2133</v>
      </c>
      <c r="F1160" s="317">
        <v>4502013</v>
      </c>
      <c r="G1160" s="318"/>
      <c r="H1160" s="319">
        <v>7701030102</v>
      </c>
      <c r="I1160" s="320"/>
      <c r="J1160" s="337">
        <v>0</v>
      </c>
      <c r="K1160" s="321">
        <v>0</v>
      </c>
      <c r="L1160" s="321">
        <v>1761614.7949999999</v>
      </c>
      <c r="M1160" s="321">
        <v>0</v>
      </c>
      <c r="N1160" s="321">
        <v>0</v>
      </c>
      <c r="O1160" s="321">
        <v>8395928.3049999997</v>
      </c>
      <c r="P1160" s="321">
        <v>0</v>
      </c>
      <c r="Q1160" s="321">
        <v>0</v>
      </c>
      <c r="R1160" s="321">
        <v>-5214131.2649999997</v>
      </c>
      <c r="S1160" s="321">
        <v>0</v>
      </c>
      <c r="T1160" s="321">
        <v>0</v>
      </c>
      <c r="U1160" s="322">
        <v>3532474.2259999998</v>
      </c>
      <c r="V1160" s="323">
        <v>8475886.0610000007</v>
      </c>
      <c r="W1160" s="303"/>
      <c r="X1160" s="324">
        <v>3532474.2259999998</v>
      </c>
      <c r="Y1160" s="325">
        <v>8475886.0610000007</v>
      </c>
    </row>
    <row r="1161" spans="1:25" x14ac:dyDescent="0.3">
      <c r="E1161" t="s">
        <v>2134</v>
      </c>
      <c r="F1161" s="317">
        <v>4502014</v>
      </c>
      <c r="G1161" s="318"/>
      <c r="H1161" s="319"/>
      <c r="I1161" s="320"/>
      <c r="J1161" s="337">
        <v>0</v>
      </c>
      <c r="K1161" s="321">
        <v>0</v>
      </c>
      <c r="L1161" s="321">
        <v>0</v>
      </c>
      <c r="M1161" s="321">
        <v>0</v>
      </c>
      <c r="N1161" s="321">
        <v>0</v>
      </c>
      <c r="O1161" s="321">
        <v>0</v>
      </c>
      <c r="P1161" s="321">
        <v>0</v>
      </c>
      <c r="Q1161" s="321">
        <v>0</v>
      </c>
      <c r="R1161" s="321">
        <v>0</v>
      </c>
      <c r="S1161" s="321">
        <v>0</v>
      </c>
      <c r="T1161" s="321">
        <v>0</v>
      </c>
      <c r="U1161" s="322">
        <v>0</v>
      </c>
      <c r="V1161" s="323">
        <v>0</v>
      </c>
      <c r="W1161" s="303"/>
      <c r="X1161" s="324">
        <v>0</v>
      </c>
      <c r="Y1161" s="325">
        <v>0</v>
      </c>
    </row>
    <row r="1162" spans="1:25" x14ac:dyDescent="0.3">
      <c r="A1162" s="326"/>
      <c r="B1162" s="326"/>
      <c r="C1162" s="326"/>
      <c r="D1162" s="326"/>
      <c r="E1162" s="326" t="s">
        <v>2135</v>
      </c>
      <c r="F1162" s="336"/>
      <c r="G1162" s="327"/>
      <c r="H1162" s="328"/>
      <c r="I1162" s="329"/>
      <c r="J1162" s="338">
        <v>0</v>
      </c>
      <c r="K1162" s="330">
        <v>0</v>
      </c>
      <c r="L1162" s="330">
        <v>0</v>
      </c>
      <c r="M1162" s="330">
        <v>0</v>
      </c>
      <c r="N1162" s="330">
        <v>0</v>
      </c>
      <c r="O1162" s="330">
        <v>0</v>
      </c>
      <c r="P1162" s="330">
        <v>0</v>
      </c>
      <c r="Q1162" s="330">
        <v>0</v>
      </c>
      <c r="R1162" s="330">
        <v>0</v>
      </c>
      <c r="S1162" s="330">
        <v>0</v>
      </c>
      <c r="T1162" s="330">
        <v>0</v>
      </c>
      <c r="U1162" s="331">
        <v>0</v>
      </c>
      <c r="V1162" s="332">
        <v>0</v>
      </c>
      <c r="W1162" s="333"/>
      <c r="X1162" s="334">
        <v>0</v>
      </c>
      <c r="Y1162" s="335">
        <v>0</v>
      </c>
    </row>
    <row r="1163" spans="1:25" x14ac:dyDescent="0.3">
      <c r="A1163" s="326"/>
      <c r="B1163" s="326"/>
      <c r="C1163" s="326"/>
      <c r="D1163" s="326"/>
      <c r="E1163" s="326" t="s">
        <v>2136</v>
      </c>
      <c r="F1163" s="336"/>
      <c r="G1163" s="327"/>
      <c r="H1163" s="328"/>
      <c r="I1163" s="329"/>
      <c r="J1163" s="338">
        <v>0</v>
      </c>
      <c r="K1163" s="330">
        <v>0</v>
      </c>
      <c r="L1163" s="330">
        <v>0</v>
      </c>
      <c r="M1163" s="330">
        <v>0</v>
      </c>
      <c r="N1163" s="330">
        <v>0</v>
      </c>
      <c r="O1163" s="330">
        <v>0</v>
      </c>
      <c r="P1163" s="330">
        <v>0</v>
      </c>
      <c r="Q1163" s="330">
        <v>0</v>
      </c>
      <c r="R1163" s="330">
        <v>0</v>
      </c>
      <c r="S1163" s="330">
        <v>0</v>
      </c>
      <c r="T1163" s="330">
        <v>0</v>
      </c>
      <c r="U1163" s="331">
        <v>0</v>
      </c>
      <c r="V1163" s="332">
        <v>0</v>
      </c>
      <c r="W1163" s="333"/>
      <c r="X1163" s="334">
        <v>0</v>
      </c>
      <c r="Y1163" s="335">
        <v>0</v>
      </c>
    </row>
    <row r="1164" spans="1:25" x14ac:dyDescent="0.3">
      <c r="A1164" s="326"/>
      <c r="B1164" s="326"/>
      <c r="C1164" s="326"/>
      <c r="D1164" s="326"/>
      <c r="E1164" s="326" t="s">
        <v>2137</v>
      </c>
      <c r="F1164" s="336"/>
      <c r="G1164" s="327"/>
      <c r="H1164" s="328"/>
      <c r="I1164" s="329"/>
      <c r="J1164" s="338">
        <v>0</v>
      </c>
      <c r="K1164" s="330">
        <v>0</v>
      </c>
      <c r="L1164" s="330">
        <v>0</v>
      </c>
      <c r="M1164" s="330">
        <v>0</v>
      </c>
      <c r="N1164" s="330">
        <v>0</v>
      </c>
      <c r="O1164" s="330">
        <v>0</v>
      </c>
      <c r="P1164" s="330">
        <v>0</v>
      </c>
      <c r="Q1164" s="330">
        <v>0</v>
      </c>
      <c r="R1164" s="330">
        <v>0</v>
      </c>
      <c r="S1164" s="330">
        <v>0</v>
      </c>
      <c r="T1164" s="330">
        <v>0</v>
      </c>
      <c r="U1164" s="331">
        <v>0</v>
      </c>
      <c r="V1164" s="332">
        <v>0</v>
      </c>
      <c r="W1164" s="333"/>
      <c r="X1164" s="334">
        <v>0</v>
      </c>
      <c r="Y1164" s="335">
        <v>0</v>
      </c>
    </row>
    <row r="1165" spans="1:25" x14ac:dyDescent="0.3">
      <c r="A1165" s="233"/>
      <c r="B1165" s="234" t="s">
        <v>81</v>
      </c>
      <c r="D1165" s="293" t="s">
        <v>2138</v>
      </c>
      <c r="E1165" s="294"/>
      <c r="F1165" s="295" t="s">
        <v>2139</v>
      </c>
      <c r="G1165" s="296"/>
      <c r="H1165" s="297"/>
      <c r="I1165" s="298"/>
      <c r="J1165" s="299">
        <v>0</v>
      </c>
      <c r="K1165" s="300">
        <v>0</v>
      </c>
      <c r="L1165" s="300">
        <v>0</v>
      </c>
      <c r="M1165" s="300">
        <v>0</v>
      </c>
      <c r="N1165" s="300">
        <v>0</v>
      </c>
      <c r="O1165" s="300">
        <v>0</v>
      </c>
      <c r="P1165" s="300">
        <v>0</v>
      </c>
      <c r="Q1165" s="300">
        <v>0</v>
      </c>
      <c r="R1165" s="300">
        <v>0</v>
      </c>
      <c r="S1165" s="300">
        <v>0</v>
      </c>
      <c r="T1165" s="300">
        <v>0</v>
      </c>
      <c r="U1165" s="301">
        <v>0</v>
      </c>
      <c r="V1165" s="302">
        <v>0</v>
      </c>
      <c r="W1165" s="303"/>
      <c r="X1165" s="304">
        <v>0</v>
      </c>
      <c r="Y1165" s="305">
        <v>0</v>
      </c>
    </row>
    <row r="1166" spans="1:25" x14ac:dyDescent="0.3">
      <c r="E1166" t="s">
        <v>2140</v>
      </c>
      <c r="F1166" s="317">
        <v>4502003</v>
      </c>
      <c r="G1166" s="318"/>
      <c r="H1166" s="319"/>
      <c r="I1166" s="320"/>
      <c r="J1166" s="337">
        <v>0</v>
      </c>
      <c r="K1166" s="321">
        <v>0</v>
      </c>
      <c r="L1166" s="321">
        <v>0</v>
      </c>
      <c r="M1166" s="321">
        <v>0</v>
      </c>
      <c r="N1166" s="321">
        <v>0</v>
      </c>
      <c r="O1166" s="321">
        <v>0</v>
      </c>
      <c r="P1166" s="321">
        <v>0</v>
      </c>
      <c r="Q1166" s="321">
        <v>0</v>
      </c>
      <c r="R1166" s="321">
        <v>0</v>
      </c>
      <c r="S1166" s="321">
        <v>0</v>
      </c>
      <c r="T1166" s="321">
        <v>0</v>
      </c>
      <c r="U1166" s="322">
        <v>0</v>
      </c>
      <c r="V1166" s="323">
        <v>0</v>
      </c>
      <c r="W1166" s="303"/>
      <c r="X1166" s="324">
        <v>0</v>
      </c>
      <c r="Y1166" s="325">
        <v>0</v>
      </c>
    </row>
    <row r="1167" spans="1:25" x14ac:dyDescent="0.3">
      <c r="E1167" t="s">
        <v>2141</v>
      </c>
      <c r="F1167" s="317">
        <v>4502007</v>
      </c>
      <c r="G1167" s="318"/>
      <c r="H1167" s="319"/>
      <c r="I1167" s="320"/>
      <c r="J1167" s="337">
        <v>0</v>
      </c>
      <c r="K1167" s="321">
        <v>0</v>
      </c>
      <c r="L1167" s="321">
        <v>0</v>
      </c>
      <c r="M1167" s="321">
        <v>0</v>
      </c>
      <c r="N1167" s="321">
        <v>0</v>
      </c>
      <c r="O1167" s="321">
        <v>0</v>
      </c>
      <c r="P1167" s="321">
        <v>0</v>
      </c>
      <c r="Q1167" s="321">
        <v>0</v>
      </c>
      <c r="R1167" s="321">
        <v>0</v>
      </c>
      <c r="S1167" s="321">
        <v>0</v>
      </c>
      <c r="T1167" s="321">
        <v>0</v>
      </c>
      <c r="U1167" s="322">
        <v>0</v>
      </c>
      <c r="V1167" s="323">
        <v>0</v>
      </c>
      <c r="W1167" s="303"/>
      <c r="X1167" s="324">
        <v>0</v>
      </c>
      <c r="Y1167" s="325">
        <v>0</v>
      </c>
    </row>
    <row r="1168" spans="1:25" x14ac:dyDescent="0.3">
      <c r="E1168" t="s">
        <v>2142</v>
      </c>
      <c r="F1168" s="317">
        <v>4502008</v>
      </c>
      <c r="G1168" s="318"/>
      <c r="H1168" s="319"/>
      <c r="I1168" s="320"/>
      <c r="J1168" s="337">
        <v>0</v>
      </c>
      <c r="K1168" s="321">
        <v>0</v>
      </c>
      <c r="L1168" s="321">
        <v>0</v>
      </c>
      <c r="M1168" s="321">
        <v>0</v>
      </c>
      <c r="N1168" s="321">
        <v>0</v>
      </c>
      <c r="O1168" s="321">
        <v>0</v>
      </c>
      <c r="P1168" s="321">
        <v>0</v>
      </c>
      <c r="Q1168" s="321">
        <v>0</v>
      </c>
      <c r="R1168" s="321">
        <v>0</v>
      </c>
      <c r="S1168" s="321">
        <v>0</v>
      </c>
      <c r="T1168" s="321">
        <v>0</v>
      </c>
      <c r="U1168" s="322">
        <v>0</v>
      </c>
      <c r="V1168" s="323">
        <v>0</v>
      </c>
      <c r="W1168" s="303"/>
      <c r="X1168" s="324">
        <v>0</v>
      </c>
      <c r="Y1168" s="325">
        <v>0</v>
      </c>
    </row>
    <row r="1169" spans="1:25" x14ac:dyDescent="0.3">
      <c r="E1169" t="s">
        <v>2143</v>
      </c>
      <c r="F1169" s="317">
        <v>4502009</v>
      </c>
      <c r="G1169" s="318"/>
      <c r="H1169" s="319"/>
      <c r="I1169" s="320"/>
      <c r="J1169" s="337">
        <v>0</v>
      </c>
      <c r="K1169" s="321">
        <v>0</v>
      </c>
      <c r="L1169" s="321">
        <v>0</v>
      </c>
      <c r="M1169" s="321">
        <v>0</v>
      </c>
      <c r="N1169" s="321">
        <v>0</v>
      </c>
      <c r="O1169" s="321">
        <v>0</v>
      </c>
      <c r="P1169" s="321">
        <v>0</v>
      </c>
      <c r="Q1169" s="321">
        <v>0</v>
      </c>
      <c r="R1169" s="321">
        <v>0</v>
      </c>
      <c r="S1169" s="321">
        <v>0</v>
      </c>
      <c r="T1169" s="321">
        <v>0</v>
      </c>
      <c r="U1169" s="322">
        <v>0</v>
      </c>
      <c r="V1169" s="323">
        <v>0</v>
      </c>
      <c r="W1169" s="303"/>
      <c r="X1169" s="324">
        <v>0</v>
      </c>
      <c r="Y1169" s="325">
        <v>0</v>
      </c>
    </row>
    <row r="1170" spans="1:25" x14ac:dyDescent="0.3">
      <c r="E1170" t="s">
        <v>2144</v>
      </c>
      <c r="F1170" s="317">
        <v>4502015</v>
      </c>
      <c r="G1170" s="318"/>
      <c r="H1170" s="319"/>
      <c r="I1170" s="320"/>
      <c r="J1170" s="337">
        <v>0</v>
      </c>
      <c r="K1170" s="321">
        <v>0</v>
      </c>
      <c r="L1170" s="321">
        <v>0</v>
      </c>
      <c r="M1170" s="321">
        <v>0</v>
      </c>
      <c r="N1170" s="321">
        <v>0</v>
      </c>
      <c r="O1170" s="321">
        <v>0</v>
      </c>
      <c r="P1170" s="321">
        <v>0</v>
      </c>
      <c r="Q1170" s="321">
        <v>0</v>
      </c>
      <c r="R1170" s="321">
        <v>0</v>
      </c>
      <c r="S1170" s="321">
        <v>0</v>
      </c>
      <c r="T1170" s="321">
        <v>0</v>
      </c>
      <c r="U1170" s="322">
        <v>0</v>
      </c>
      <c r="V1170" s="323">
        <v>0</v>
      </c>
      <c r="W1170" s="303"/>
      <c r="X1170" s="324">
        <v>0</v>
      </c>
      <c r="Y1170" s="325">
        <v>0</v>
      </c>
    </row>
    <row r="1171" spans="1:25" x14ac:dyDescent="0.3">
      <c r="E1171" s="326" t="s">
        <v>2145</v>
      </c>
      <c r="F1171" s="317"/>
      <c r="G1171" s="318"/>
      <c r="H1171" s="319"/>
      <c r="I1171" s="320"/>
      <c r="J1171" s="337">
        <v>0</v>
      </c>
      <c r="K1171" s="321">
        <v>0</v>
      </c>
      <c r="L1171" s="321">
        <v>0</v>
      </c>
      <c r="M1171" s="321">
        <v>0</v>
      </c>
      <c r="N1171" s="321">
        <v>0</v>
      </c>
      <c r="O1171" s="321">
        <v>0</v>
      </c>
      <c r="P1171" s="321">
        <v>0</v>
      </c>
      <c r="Q1171" s="321">
        <v>0</v>
      </c>
      <c r="R1171" s="321">
        <v>0</v>
      </c>
      <c r="S1171" s="321">
        <v>0</v>
      </c>
      <c r="T1171" s="321">
        <v>0</v>
      </c>
      <c r="U1171" s="322">
        <v>0</v>
      </c>
      <c r="V1171" s="323">
        <v>0</v>
      </c>
      <c r="W1171" s="303"/>
      <c r="X1171" s="324">
        <v>0</v>
      </c>
      <c r="Y1171" s="325">
        <v>0</v>
      </c>
    </row>
    <row r="1172" spans="1:25" x14ac:dyDescent="0.3">
      <c r="E1172" s="326" t="s">
        <v>2146</v>
      </c>
      <c r="F1172" s="317"/>
      <c r="G1172" s="318"/>
      <c r="H1172" s="319"/>
      <c r="I1172" s="320"/>
      <c r="J1172" s="337">
        <v>0</v>
      </c>
      <c r="K1172" s="321">
        <v>0</v>
      </c>
      <c r="L1172" s="321">
        <v>0</v>
      </c>
      <c r="M1172" s="321">
        <v>0</v>
      </c>
      <c r="N1172" s="321">
        <v>0</v>
      </c>
      <c r="O1172" s="321">
        <v>0</v>
      </c>
      <c r="P1172" s="321">
        <v>0</v>
      </c>
      <c r="Q1172" s="321">
        <v>0</v>
      </c>
      <c r="R1172" s="321">
        <v>0</v>
      </c>
      <c r="S1172" s="321">
        <v>0</v>
      </c>
      <c r="T1172" s="321">
        <v>0</v>
      </c>
      <c r="U1172" s="322">
        <v>0</v>
      </c>
      <c r="V1172" s="323">
        <v>0</v>
      </c>
      <c r="W1172" s="303"/>
      <c r="X1172" s="324">
        <v>0</v>
      </c>
      <c r="Y1172" s="325">
        <v>0</v>
      </c>
    </row>
    <row r="1173" spans="1:25" x14ac:dyDescent="0.3">
      <c r="A1173" s="326"/>
      <c r="B1173" s="326"/>
      <c r="C1173" s="326"/>
      <c r="D1173" s="326"/>
      <c r="E1173" s="326" t="s">
        <v>2147</v>
      </c>
      <c r="F1173" s="336"/>
      <c r="G1173" s="327"/>
      <c r="H1173" s="328"/>
      <c r="I1173" s="329"/>
      <c r="J1173" s="338">
        <v>0</v>
      </c>
      <c r="K1173" s="330">
        <v>0</v>
      </c>
      <c r="L1173" s="330">
        <v>0</v>
      </c>
      <c r="M1173" s="330">
        <v>0</v>
      </c>
      <c r="N1173" s="330">
        <v>0</v>
      </c>
      <c r="O1173" s="330">
        <v>0</v>
      </c>
      <c r="P1173" s="330">
        <v>0</v>
      </c>
      <c r="Q1173" s="330">
        <v>0</v>
      </c>
      <c r="R1173" s="330">
        <v>0</v>
      </c>
      <c r="S1173" s="330">
        <v>0</v>
      </c>
      <c r="T1173" s="330">
        <v>0</v>
      </c>
      <c r="U1173" s="331">
        <v>0</v>
      </c>
      <c r="V1173" s="332">
        <v>0</v>
      </c>
      <c r="W1173" s="333"/>
      <c r="X1173" s="334">
        <v>0</v>
      </c>
      <c r="Y1173" s="335">
        <v>0</v>
      </c>
    </row>
    <row r="1174" spans="1:25" x14ac:dyDescent="0.3">
      <c r="A1174" s="233"/>
      <c r="B1174" s="234" t="s">
        <v>81</v>
      </c>
      <c r="D1174" s="293" t="s">
        <v>2148</v>
      </c>
      <c r="E1174" s="294"/>
      <c r="F1174" s="295" t="s">
        <v>2149</v>
      </c>
      <c r="G1174" s="296"/>
      <c r="H1174" s="297"/>
      <c r="I1174" s="298"/>
      <c r="J1174" s="299">
        <v>0</v>
      </c>
      <c r="K1174" s="300">
        <v>0</v>
      </c>
      <c r="L1174" s="300">
        <v>0</v>
      </c>
      <c r="M1174" s="300">
        <v>0</v>
      </c>
      <c r="N1174" s="300">
        <v>0</v>
      </c>
      <c r="O1174" s="300">
        <v>0</v>
      </c>
      <c r="P1174" s="300">
        <v>0</v>
      </c>
      <c r="Q1174" s="300">
        <v>0</v>
      </c>
      <c r="R1174" s="300">
        <v>0</v>
      </c>
      <c r="S1174" s="300">
        <v>0</v>
      </c>
      <c r="T1174" s="300">
        <v>0</v>
      </c>
      <c r="U1174" s="301">
        <v>0</v>
      </c>
      <c r="V1174" s="302">
        <v>0</v>
      </c>
      <c r="W1174" s="303"/>
      <c r="X1174" s="304">
        <v>0</v>
      </c>
      <c r="Y1174" s="305">
        <v>0</v>
      </c>
    </row>
    <row r="1175" spans="1:25" x14ac:dyDescent="0.3">
      <c r="E1175" t="s">
        <v>2150</v>
      </c>
      <c r="F1175" s="317">
        <v>4502005</v>
      </c>
      <c r="G1175" s="318"/>
      <c r="H1175" s="319">
        <v>7701070000</v>
      </c>
      <c r="I1175" s="320"/>
      <c r="J1175" s="337">
        <v>0</v>
      </c>
      <c r="K1175" s="321">
        <v>0</v>
      </c>
      <c r="L1175" s="321">
        <v>0</v>
      </c>
      <c r="M1175" s="321">
        <v>0</v>
      </c>
      <c r="N1175" s="321">
        <v>0</v>
      </c>
      <c r="O1175" s="321">
        <v>0</v>
      </c>
      <c r="P1175" s="321">
        <v>0</v>
      </c>
      <c r="Q1175" s="321">
        <v>0</v>
      </c>
      <c r="R1175" s="321">
        <v>0</v>
      </c>
      <c r="S1175" s="321">
        <v>0</v>
      </c>
      <c r="T1175" s="321">
        <v>0</v>
      </c>
      <c r="U1175" s="322">
        <v>0</v>
      </c>
      <c r="V1175" s="323">
        <v>0</v>
      </c>
      <c r="W1175" s="303"/>
      <c r="X1175" s="324">
        <v>0</v>
      </c>
      <c r="Y1175" s="325">
        <v>0</v>
      </c>
    </row>
    <row r="1176" spans="1:25" x14ac:dyDescent="0.3">
      <c r="A1176" s="326"/>
      <c r="B1176" s="326"/>
      <c r="C1176" s="326"/>
      <c r="D1176" s="326"/>
      <c r="E1176" s="326" t="s">
        <v>2151</v>
      </c>
      <c r="F1176" s="336"/>
      <c r="G1176" s="327"/>
      <c r="H1176" s="328"/>
      <c r="I1176" s="329"/>
      <c r="J1176" s="338">
        <v>0</v>
      </c>
      <c r="K1176" s="330">
        <v>0</v>
      </c>
      <c r="L1176" s="330">
        <v>0</v>
      </c>
      <c r="M1176" s="330">
        <v>0</v>
      </c>
      <c r="N1176" s="330">
        <v>0</v>
      </c>
      <c r="O1176" s="330">
        <v>0</v>
      </c>
      <c r="P1176" s="330">
        <v>0</v>
      </c>
      <c r="Q1176" s="330">
        <v>0</v>
      </c>
      <c r="R1176" s="330">
        <v>0</v>
      </c>
      <c r="S1176" s="330">
        <v>0</v>
      </c>
      <c r="T1176" s="330">
        <v>0</v>
      </c>
      <c r="U1176" s="331">
        <v>0</v>
      </c>
      <c r="V1176" s="332">
        <v>0</v>
      </c>
      <c r="W1176" s="333"/>
      <c r="X1176" s="334">
        <v>0</v>
      </c>
      <c r="Y1176" s="335">
        <v>0</v>
      </c>
    </row>
    <row r="1177" spans="1:25" x14ac:dyDescent="0.3">
      <c r="A1177" s="326"/>
      <c r="B1177" s="326"/>
      <c r="C1177" s="326"/>
      <c r="D1177" s="326"/>
      <c r="E1177" s="326" t="s">
        <v>2152</v>
      </c>
      <c r="F1177" s="336"/>
      <c r="G1177" s="327"/>
      <c r="H1177" s="328"/>
      <c r="I1177" s="329"/>
      <c r="J1177" s="338">
        <v>0</v>
      </c>
      <c r="K1177" s="330">
        <v>0</v>
      </c>
      <c r="L1177" s="330">
        <v>0</v>
      </c>
      <c r="M1177" s="330">
        <v>0</v>
      </c>
      <c r="N1177" s="330">
        <v>0</v>
      </c>
      <c r="O1177" s="330">
        <v>0</v>
      </c>
      <c r="P1177" s="330">
        <v>0</v>
      </c>
      <c r="Q1177" s="330">
        <v>0</v>
      </c>
      <c r="R1177" s="330">
        <v>0</v>
      </c>
      <c r="S1177" s="330">
        <v>0</v>
      </c>
      <c r="T1177" s="330">
        <v>0</v>
      </c>
      <c r="U1177" s="331">
        <v>0</v>
      </c>
      <c r="V1177" s="332">
        <v>0</v>
      </c>
      <c r="W1177" s="333"/>
      <c r="X1177" s="334">
        <v>0</v>
      </c>
      <c r="Y1177" s="335">
        <v>0</v>
      </c>
    </row>
    <row r="1178" spans="1:25" x14ac:dyDescent="0.3">
      <c r="A1178" s="326"/>
      <c r="B1178" s="326"/>
      <c r="C1178" s="326"/>
      <c r="D1178" s="326"/>
      <c r="E1178" s="326" t="s">
        <v>2153</v>
      </c>
      <c r="F1178" s="336"/>
      <c r="G1178" s="327"/>
      <c r="H1178" s="328"/>
      <c r="I1178" s="329"/>
      <c r="J1178" s="338">
        <v>0</v>
      </c>
      <c r="K1178" s="330">
        <v>0</v>
      </c>
      <c r="L1178" s="330">
        <v>0</v>
      </c>
      <c r="M1178" s="330">
        <v>0</v>
      </c>
      <c r="N1178" s="330">
        <v>0</v>
      </c>
      <c r="O1178" s="330">
        <v>0</v>
      </c>
      <c r="P1178" s="330">
        <v>0</v>
      </c>
      <c r="Q1178" s="330">
        <v>0</v>
      </c>
      <c r="R1178" s="330">
        <v>0</v>
      </c>
      <c r="S1178" s="330">
        <v>0</v>
      </c>
      <c r="T1178" s="330">
        <v>0</v>
      </c>
      <c r="U1178" s="331">
        <v>0</v>
      </c>
      <c r="V1178" s="332">
        <v>0</v>
      </c>
      <c r="W1178" s="333"/>
      <c r="X1178" s="334">
        <v>0</v>
      </c>
      <c r="Y1178" s="335">
        <v>0</v>
      </c>
    </row>
    <row r="1179" spans="1:25" x14ac:dyDescent="0.3">
      <c r="A1179" s="233"/>
      <c r="B1179" s="234" t="s">
        <v>81</v>
      </c>
      <c r="D1179" s="293" t="s">
        <v>2154</v>
      </c>
      <c r="E1179" s="294"/>
      <c r="F1179" s="295" t="s">
        <v>2149</v>
      </c>
      <c r="G1179" s="296"/>
      <c r="H1179" s="297"/>
      <c r="I1179" s="298"/>
      <c r="J1179" s="299">
        <v>0</v>
      </c>
      <c r="K1179" s="300">
        <v>0</v>
      </c>
      <c r="L1179" s="300">
        <v>152015.288</v>
      </c>
      <c r="M1179" s="300">
        <v>0</v>
      </c>
      <c r="N1179" s="300">
        <v>0</v>
      </c>
      <c r="O1179" s="300">
        <v>302206.33199999999</v>
      </c>
      <c r="P1179" s="300">
        <v>0</v>
      </c>
      <c r="Q1179" s="300">
        <v>0</v>
      </c>
      <c r="R1179" s="300">
        <v>499.16399999999999</v>
      </c>
      <c r="S1179" s="300">
        <v>0</v>
      </c>
      <c r="T1179" s="300">
        <v>0</v>
      </c>
      <c r="U1179" s="301">
        <v>1307.183</v>
      </c>
      <c r="V1179" s="302">
        <v>456027.967</v>
      </c>
      <c r="W1179" s="303"/>
      <c r="X1179" s="304">
        <v>1307.183</v>
      </c>
      <c r="Y1179" s="305">
        <v>456027.967</v>
      </c>
    </row>
    <row r="1180" spans="1:25" x14ac:dyDescent="0.3">
      <c r="E1180" t="s">
        <v>2155</v>
      </c>
      <c r="F1180" s="317">
        <v>4506300</v>
      </c>
      <c r="G1180" s="318"/>
      <c r="H1180" s="319">
        <v>7701230101</v>
      </c>
      <c r="I1180" s="320"/>
      <c r="J1180" s="337">
        <v>0</v>
      </c>
      <c r="K1180" s="321">
        <v>0</v>
      </c>
      <c r="L1180" s="321">
        <v>152015.288</v>
      </c>
      <c r="M1180" s="321">
        <v>0</v>
      </c>
      <c r="N1180" s="321">
        <v>0</v>
      </c>
      <c r="O1180" s="321">
        <v>302206.33199999999</v>
      </c>
      <c r="P1180" s="321">
        <v>0</v>
      </c>
      <c r="Q1180" s="321">
        <v>0</v>
      </c>
      <c r="R1180" s="321">
        <v>499.16399999999999</v>
      </c>
      <c r="S1180" s="321">
        <v>0</v>
      </c>
      <c r="T1180" s="321">
        <v>0</v>
      </c>
      <c r="U1180" s="322">
        <v>1307.183</v>
      </c>
      <c r="V1180" s="323">
        <v>456027.967</v>
      </c>
      <c r="W1180" s="303"/>
      <c r="X1180" s="324">
        <v>1307.183</v>
      </c>
      <c r="Y1180" s="325">
        <v>456027.967</v>
      </c>
    </row>
    <row r="1181" spans="1:25" x14ac:dyDescent="0.3">
      <c r="A1181" s="326"/>
      <c r="B1181" s="326"/>
      <c r="C1181" s="326"/>
      <c r="D1181" s="326"/>
      <c r="E1181" s="326" t="s">
        <v>2151</v>
      </c>
      <c r="F1181" s="336"/>
      <c r="G1181" s="327"/>
      <c r="H1181" s="328"/>
      <c r="I1181" s="329"/>
      <c r="J1181" s="338">
        <v>0</v>
      </c>
      <c r="K1181" s="330">
        <v>0</v>
      </c>
      <c r="L1181" s="330">
        <v>0</v>
      </c>
      <c r="M1181" s="330">
        <v>0</v>
      </c>
      <c r="N1181" s="330">
        <v>0</v>
      </c>
      <c r="O1181" s="330">
        <v>0</v>
      </c>
      <c r="P1181" s="330">
        <v>0</v>
      </c>
      <c r="Q1181" s="330">
        <v>0</v>
      </c>
      <c r="R1181" s="330">
        <v>0</v>
      </c>
      <c r="S1181" s="330">
        <v>0</v>
      </c>
      <c r="T1181" s="330">
        <v>0</v>
      </c>
      <c r="U1181" s="331">
        <v>0</v>
      </c>
      <c r="V1181" s="332">
        <v>0</v>
      </c>
      <c r="W1181" s="333"/>
      <c r="X1181" s="334">
        <v>0</v>
      </c>
      <c r="Y1181" s="335">
        <v>0</v>
      </c>
    </row>
    <row r="1182" spans="1:25" x14ac:dyDescent="0.3">
      <c r="A1182" s="326"/>
      <c r="B1182" s="326"/>
      <c r="C1182" s="326"/>
      <c r="D1182" s="326"/>
      <c r="E1182" s="326" t="s">
        <v>2152</v>
      </c>
      <c r="F1182" s="336"/>
      <c r="G1182" s="327"/>
      <c r="H1182" s="328"/>
      <c r="I1182" s="329"/>
      <c r="J1182" s="338">
        <v>0</v>
      </c>
      <c r="K1182" s="330">
        <v>0</v>
      </c>
      <c r="L1182" s="330">
        <v>0</v>
      </c>
      <c r="M1182" s="330">
        <v>0</v>
      </c>
      <c r="N1182" s="330">
        <v>0</v>
      </c>
      <c r="O1182" s="330">
        <v>0</v>
      </c>
      <c r="P1182" s="330">
        <v>0</v>
      </c>
      <c r="Q1182" s="330">
        <v>0</v>
      </c>
      <c r="R1182" s="330">
        <v>0</v>
      </c>
      <c r="S1182" s="330">
        <v>0</v>
      </c>
      <c r="T1182" s="330">
        <v>0</v>
      </c>
      <c r="U1182" s="331">
        <v>0</v>
      </c>
      <c r="V1182" s="332">
        <v>0</v>
      </c>
      <c r="W1182" s="333"/>
      <c r="X1182" s="334">
        <v>0</v>
      </c>
      <c r="Y1182" s="335">
        <v>0</v>
      </c>
    </row>
    <row r="1183" spans="1:25" x14ac:dyDescent="0.3">
      <c r="A1183" s="326"/>
      <c r="B1183" s="326"/>
      <c r="C1183" s="326"/>
      <c r="D1183" s="326"/>
      <c r="E1183" s="326" t="s">
        <v>2153</v>
      </c>
      <c r="F1183" s="336"/>
      <c r="G1183" s="327"/>
      <c r="H1183" s="328"/>
      <c r="I1183" s="329"/>
      <c r="J1183" s="338">
        <v>0</v>
      </c>
      <c r="K1183" s="330">
        <v>0</v>
      </c>
      <c r="L1183" s="330">
        <v>0</v>
      </c>
      <c r="M1183" s="330">
        <v>0</v>
      </c>
      <c r="N1183" s="330">
        <v>0</v>
      </c>
      <c r="O1183" s="330">
        <v>0</v>
      </c>
      <c r="P1183" s="330">
        <v>0</v>
      </c>
      <c r="Q1183" s="330">
        <v>0</v>
      </c>
      <c r="R1183" s="330">
        <v>0</v>
      </c>
      <c r="S1183" s="330">
        <v>0</v>
      </c>
      <c r="T1183" s="330">
        <v>0</v>
      </c>
      <c r="U1183" s="331">
        <v>0</v>
      </c>
      <c r="V1183" s="332">
        <v>0</v>
      </c>
      <c r="W1183" s="333"/>
      <c r="X1183" s="334">
        <v>0</v>
      </c>
      <c r="Y1183" s="335">
        <v>0</v>
      </c>
    </row>
    <row r="1184" spans="1:25" x14ac:dyDescent="0.3">
      <c r="A1184" s="233"/>
      <c r="B1184" s="234" t="s">
        <v>81</v>
      </c>
      <c r="D1184" s="293" t="s">
        <v>2156</v>
      </c>
      <c r="E1184" s="294"/>
      <c r="F1184" s="295" t="s">
        <v>2157</v>
      </c>
      <c r="G1184" s="296"/>
      <c r="H1184" s="297"/>
      <c r="I1184" s="298"/>
      <c r="J1184" s="299">
        <v>0</v>
      </c>
      <c r="K1184" s="300">
        <v>38.084000000000003</v>
      </c>
      <c r="L1184" s="300">
        <v>0</v>
      </c>
      <c r="M1184" s="300">
        <v>583.28899999999999</v>
      </c>
      <c r="N1184" s="300">
        <v>0</v>
      </c>
      <c r="O1184" s="300">
        <v>453.33100000000002</v>
      </c>
      <c r="P1184" s="300">
        <v>1978.4659999999999</v>
      </c>
      <c r="Q1184" s="300">
        <v>1062.7750000000001</v>
      </c>
      <c r="R1184" s="300">
        <v>0</v>
      </c>
      <c r="S1184" s="300">
        <v>3961.6930000000002</v>
      </c>
      <c r="T1184" s="300">
        <v>0</v>
      </c>
      <c r="U1184" s="301">
        <v>156.208</v>
      </c>
      <c r="V1184" s="302">
        <v>8233.8459999999995</v>
      </c>
      <c r="W1184" s="303"/>
      <c r="X1184" s="304">
        <v>156.208</v>
      </c>
      <c r="Y1184" s="305">
        <v>8233.8459999999995</v>
      </c>
    </row>
    <row r="1185" spans="1:25" x14ac:dyDescent="0.3">
      <c r="E1185" t="s">
        <v>2158</v>
      </c>
      <c r="F1185" s="317">
        <v>4506301</v>
      </c>
      <c r="G1185" s="318"/>
      <c r="H1185" s="319">
        <v>7701250101</v>
      </c>
      <c r="I1185" s="320"/>
      <c r="J1185" s="337">
        <v>0</v>
      </c>
      <c r="K1185" s="321">
        <v>38.084000000000003</v>
      </c>
      <c r="L1185" s="321">
        <v>0</v>
      </c>
      <c r="M1185" s="321">
        <v>583.28899999999999</v>
      </c>
      <c r="N1185" s="321">
        <v>0</v>
      </c>
      <c r="O1185" s="321">
        <v>453.33100000000002</v>
      </c>
      <c r="P1185" s="321">
        <v>1978.4659999999999</v>
      </c>
      <c r="Q1185" s="321">
        <v>1062.7750000000001</v>
      </c>
      <c r="R1185" s="321">
        <v>0</v>
      </c>
      <c r="S1185" s="321">
        <v>3961.6930000000002</v>
      </c>
      <c r="T1185" s="321">
        <v>0</v>
      </c>
      <c r="U1185" s="322">
        <v>156.208</v>
      </c>
      <c r="V1185" s="323">
        <v>8233.8459999999995</v>
      </c>
      <c r="W1185" s="303"/>
      <c r="X1185" s="324">
        <v>156.208</v>
      </c>
      <c r="Y1185" s="325">
        <v>8233.8459999999995</v>
      </c>
    </row>
    <row r="1186" spans="1:25" x14ac:dyDescent="0.3">
      <c r="A1186" s="326"/>
      <c r="B1186" s="326"/>
      <c r="C1186" s="326"/>
      <c r="D1186" s="326"/>
      <c r="E1186" s="326" t="s">
        <v>2159</v>
      </c>
      <c r="F1186" s="336"/>
      <c r="G1186" s="327"/>
      <c r="H1186" s="328"/>
      <c r="I1186" s="329"/>
      <c r="J1186" s="338">
        <v>0</v>
      </c>
      <c r="K1186" s="330">
        <v>0</v>
      </c>
      <c r="L1186" s="330">
        <v>0</v>
      </c>
      <c r="M1186" s="330">
        <v>0</v>
      </c>
      <c r="N1186" s="330">
        <v>0</v>
      </c>
      <c r="O1186" s="330">
        <v>0</v>
      </c>
      <c r="P1186" s="330">
        <v>0</v>
      </c>
      <c r="Q1186" s="330">
        <v>0</v>
      </c>
      <c r="R1186" s="330">
        <v>0</v>
      </c>
      <c r="S1186" s="330">
        <v>0</v>
      </c>
      <c r="T1186" s="330">
        <v>0</v>
      </c>
      <c r="U1186" s="331">
        <v>0</v>
      </c>
      <c r="V1186" s="332">
        <v>0</v>
      </c>
      <c r="W1186" s="333"/>
      <c r="X1186" s="334">
        <v>0</v>
      </c>
      <c r="Y1186" s="335">
        <v>0</v>
      </c>
    </row>
    <row r="1187" spans="1:25" x14ac:dyDescent="0.3">
      <c r="A1187" s="326"/>
      <c r="B1187" s="326"/>
      <c r="C1187" s="326"/>
      <c r="D1187" s="326"/>
      <c r="E1187" s="326" t="s">
        <v>2160</v>
      </c>
      <c r="F1187" s="336"/>
      <c r="G1187" s="327"/>
      <c r="H1187" s="328"/>
      <c r="I1187" s="329"/>
      <c r="J1187" s="338">
        <v>0</v>
      </c>
      <c r="K1187" s="330">
        <v>0</v>
      </c>
      <c r="L1187" s="330">
        <v>0</v>
      </c>
      <c r="M1187" s="330">
        <v>0</v>
      </c>
      <c r="N1187" s="330">
        <v>0</v>
      </c>
      <c r="O1187" s="330">
        <v>0</v>
      </c>
      <c r="P1187" s="330">
        <v>0</v>
      </c>
      <c r="Q1187" s="330">
        <v>0</v>
      </c>
      <c r="R1187" s="330">
        <v>0</v>
      </c>
      <c r="S1187" s="330">
        <v>0</v>
      </c>
      <c r="T1187" s="330">
        <v>0</v>
      </c>
      <c r="U1187" s="331">
        <v>0</v>
      </c>
      <c r="V1187" s="332">
        <v>0</v>
      </c>
      <c r="W1187" s="333"/>
      <c r="X1187" s="334">
        <v>0</v>
      </c>
      <c r="Y1187" s="335">
        <v>0</v>
      </c>
    </row>
    <row r="1188" spans="1:25" x14ac:dyDescent="0.3">
      <c r="A1188" s="326"/>
      <c r="B1188" s="326"/>
      <c r="C1188" s="326"/>
      <c r="D1188" s="326"/>
      <c r="E1188" s="326" t="s">
        <v>2161</v>
      </c>
      <c r="F1188" s="336"/>
      <c r="G1188" s="327"/>
      <c r="H1188" s="328"/>
      <c r="I1188" s="329"/>
      <c r="J1188" s="338">
        <v>0</v>
      </c>
      <c r="K1188" s="330">
        <v>0</v>
      </c>
      <c r="L1188" s="330">
        <v>0</v>
      </c>
      <c r="M1188" s="330">
        <v>0</v>
      </c>
      <c r="N1188" s="330">
        <v>0</v>
      </c>
      <c r="O1188" s="330">
        <v>0</v>
      </c>
      <c r="P1188" s="330">
        <v>0</v>
      </c>
      <c r="Q1188" s="330">
        <v>0</v>
      </c>
      <c r="R1188" s="330">
        <v>0</v>
      </c>
      <c r="S1188" s="330">
        <v>0</v>
      </c>
      <c r="T1188" s="330">
        <v>0</v>
      </c>
      <c r="U1188" s="331">
        <v>0</v>
      </c>
      <c r="V1188" s="332">
        <v>0</v>
      </c>
      <c r="W1188" s="333"/>
      <c r="X1188" s="334">
        <v>0</v>
      </c>
      <c r="Y1188" s="335">
        <v>0</v>
      </c>
    </row>
    <row r="1189" spans="1:25" x14ac:dyDescent="0.3">
      <c r="A1189" s="233"/>
      <c r="B1189" s="234" t="s">
        <v>81</v>
      </c>
      <c r="D1189" s="293" t="s">
        <v>2162</v>
      </c>
      <c r="E1189" s="294"/>
      <c r="F1189" s="295" t="s">
        <v>2163</v>
      </c>
      <c r="G1189" s="296"/>
      <c r="H1189" s="297"/>
      <c r="I1189" s="298"/>
      <c r="J1189" s="299">
        <v>0</v>
      </c>
      <c r="K1189" s="300">
        <v>0</v>
      </c>
      <c r="L1189" s="300">
        <v>0</v>
      </c>
      <c r="M1189" s="300">
        <v>0</v>
      </c>
      <c r="N1189" s="300">
        <v>0</v>
      </c>
      <c r="O1189" s="300">
        <v>0</v>
      </c>
      <c r="P1189" s="300">
        <v>0</v>
      </c>
      <c r="Q1189" s="300">
        <v>0</v>
      </c>
      <c r="R1189" s="300">
        <v>0</v>
      </c>
      <c r="S1189" s="300">
        <v>0</v>
      </c>
      <c r="T1189" s="300">
        <v>0</v>
      </c>
      <c r="U1189" s="301">
        <v>3947690.53</v>
      </c>
      <c r="V1189" s="302">
        <v>3947690.53</v>
      </c>
      <c r="W1189" s="303"/>
      <c r="X1189" s="304">
        <v>3947690.53</v>
      </c>
      <c r="Y1189" s="305">
        <v>3947690.53</v>
      </c>
    </row>
    <row r="1190" spans="1:25" x14ac:dyDescent="0.3">
      <c r="E1190" t="s">
        <v>2164</v>
      </c>
      <c r="F1190" s="317">
        <v>4508500</v>
      </c>
      <c r="G1190" s="318"/>
      <c r="H1190" s="319">
        <v>7701270101</v>
      </c>
      <c r="I1190" s="320"/>
      <c r="J1190" s="337">
        <v>0</v>
      </c>
      <c r="K1190" s="321">
        <v>0</v>
      </c>
      <c r="L1190" s="321">
        <v>0</v>
      </c>
      <c r="M1190" s="321">
        <v>0</v>
      </c>
      <c r="N1190" s="321">
        <v>0</v>
      </c>
      <c r="O1190" s="321">
        <v>0</v>
      </c>
      <c r="P1190" s="321">
        <v>0</v>
      </c>
      <c r="Q1190" s="321">
        <v>0</v>
      </c>
      <c r="R1190" s="321">
        <v>0</v>
      </c>
      <c r="S1190" s="321">
        <v>0</v>
      </c>
      <c r="T1190" s="321">
        <v>0</v>
      </c>
      <c r="U1190" s="322">
        <v>3947690.53</v>
      </c>
      <c r="V1190" s="323">
        <v>3947690.53</v>
      </c>
      <c r="W1190" s="303"/>
      <c r="X1190" s="324">
        <v>3947690.53</v>
      </c>
      <c r="Y1190" s="325">
        <v>3947690.53</v>
      </c>
    </row>
    <row r="1191" spans="1:25" x14ac:dyDescent="0.3">
      <c r="A1191" s="326"/>
      <c r="B1191" s="326"/>
      <c r="C1191" s="326"/>
      <c r="D1191" s="326"/>
      <c r="E1191" s="326" t="s">
        <v>2165</v>
      </c>
      <c r="F1191" s="336"/>
      <c r="G1191" s="327"/>
      <c r="H1191" s="328"/>
      <c r="I1191" s="329"/>
      <c r="J1191" s="338">
        <v>0</v>
      </c>
      <c r="K1191" s="330">
        <v>0</v>
      </c>
      <c r="L1191" s="330">
        <v>0</v>
      </c>
      <c r="M1191" s="330">
        <v>0</v>
      </c>
      <c r="N1191" s="330">
        <v>0</v>
      </c>
      <c r="O1191" s="330">
        <v>0</v>
      </c>
      <c r="P1191" s="330">
        <v>0</v>
      </c>
      <c r="Q1191" s="330">
        <v>0</v>
      </c>
      <c r="R1191" s="330">
        <v>0</v>
      </c>
      <c r="S1191" s="330">
        <v>0</v>
      </c>
      <c r="T1191" s="330">
        <v>0</v>
      </c>
      <c r="U1191" s="331">
        <v>0</v>
      </c>
      <c r="V1191" s="332">
        <v>0</v>
      </c>
      <c r="W1191" s="333"/>
      <c r="X1191" s="334">
        <v>0</v>
      </c>
      <c r="Y1191" s="335">
        <v>0</v>
      </c>
    </row>
    <row r="1192" spans="1:25" x14ac:dyDescent="0.3">
      <c r="A1192" s="326"/>
      <c r="B1192" s="326"/>
      <c r="C1192" s="326"/>
      <c r="D1192" s="326"/>
      <c r="E1192" s="326" t="s">
        <v>2166</v>
      </c>
      <c r="F1192" s="336"/>
      <c r="G1192" s="327"/>
      <c r="H1192" s="328"/>
      <c r="I1192" s="329"/>
      <c r="J1192" s="338">
        <v>0</v>
      </c>
      <c r="K1192" s="330">
        <v>0</v>
      </c>
      <c r="L1192" s="330">
        <v>0</v>
      </c>
      <c r="M1192" s="330">
        <v>0</v>
      </c>
      <c r="N1192" s="330">
        <v>0</v>
      </c>
      <c r="O1192" s="330">
        <v>0</v>
      </c>
      <c r="P1192" s="330">
        <v>0</v>
      </c>
      <c r="Q1192" s="330">
        <v>0</v>
      </c>
      <c r="R1192" s="330">
        <v>0</v>
      </c>
      <c r="S1192" s="330">
        <v>0</v>
      </c>
      <c r="T1192" s="330">
        <v>0</v>
      </c>
      <c r="U1192" s="331">
        <v>0</v>
      </c>
      <c r="V1192" s="332">
        <v>0</v>
      </c>
      <c r="W1192" s="333"/>
      <c r="X1192" s="334">
        <v>0</v>
      </c>
      <c r="Y1192" s="335">
        <v>0</v>
      </c>
    </row>
    <row r="1193" spans="1:25" x14ac:dyDescent="0.3">
      <c r="A1193" s="326"/>
      <c r="B1193" s="326"/>
      <c r="C1193" s="326"/>
      <c r="D1193" s="326"/>
      <c r="E1193" s="326" t="s">
        <v>2167</v>
      </c>
      <c r="F1193" s="336"/>
      <c r="G1193" s="327"/>
      <c r="H1193" s="328"/>
      <c r="I1193" s="329"/>
      <c r="J1193" s="338">
        <v>0</v>
      </c>
      <c r="K1193" s="330">
        <v>0</v>
      </c>
      <c r="L1193" s="330">
        <v>0</v>
      </c>
      <c r="M1193" s="330">
        <v>0</v>
      </c>
      <c r="N1193" s="330">
        <v>0</v>
      </c>
      <c r="O1193" s="330">
        <v>0</v>
      </c>
      <c r="P1193" s="330">
        <v>0</v>
      </c>
      <c r="Q1193" s="330">
        <v>0</v>
      </c>
      <c r="R1193" s="330">
        <v>0</v>
      </c>
      <c r="S1193" s="330">
        <v>0</v>
      </c>
      <c r="T1193" s="330">
        <v>0</v>
      </c>
      <c r="U1193" s="331">
        <v>0</v>
      </c>
      <c r="V1193" s="332">
        <v>0</v>
      </c>
      <c r="W1193" s="333"/>
      <c r="X1193" s="334">
        <v>0</v>
      </c>
      <c r="Y1193" s="335">
        <v>0</v>
      </c>
    </row>
    <row r="1194" spans="1:25" x14ac:dyDescent="0.3">
      <c r="A1194" s="233"/>
      <c r="B1194" s="234" t="s">
        <v>81</v>
      </c>
      <c r="D1194" s="293" t="s">
        <v>2168</v>
      </c>
      <c r="E1194" s="294"/>
      <c r="F1194" s="295" t="s">
        <v>2169</v>
      </c>
      <c r="G1194" s="296"/>
      <c r="H1194" s="297"/>
      <c r="I1194" s="298"/>
      <c r="J1194" s="299">
        <v>0</v>
      </c>
      <c r="K1194" s="300">
        <v>0</v>
      </c>
      <c r="L1194" s="300">
        <v>0</v>
      </c>
      <c r="M1194" s="300">
        <v>0</v>
      </c>
      <c r="N1194" s="300">
        <v>0</v>
      </c>
      <c r="O1194" s="300">
        <v>0</v>
      </c>
      <c r="P1194" s="300">
        <v>0</v>
      </c>
      <c r="Q1194" s="300">
        <v>0</v>
      </c>
      <c r="R1194" s="300">
        <v>0</v>
      </c>
      <c r="S1194" s="300">
        <v>0</v>
      </c>
      <c r="T1194" s="300">
        <v>0</v>
      </c>
      <c r="U1194" s="301">
        <v>0</v>
      </c>
      <c r="V1194" s="302">
        <v>0</v>
      </c>
      <c r="W1194" s="303"/>
      <c r="X1194" s="304">
        <v>0</v>
      </c>
      <c r="Y1194" s="305">
        <v>0</v>
      </c>
    </row>
    <row r="1195" spans="1:25" x14ac:dyDescent="0.3">
      <c r="E1195" t="s">
        <v>2170</v>
      </c>
      <c r="F1195" s="317">
        <v>4508600</v>
      </c>
      <c r="G1195" s="318"/>
      <c r="H1195" s="319"/>
      <c r="I1195" s="320"/>
      <c r="J1195" s="337">
        <v>0</v>
      </c>
      <c r="K1195" s="321">
        <v>0</v>
      </c>
      <c r="L1195" s="321">
        <v>0</v>
      </c>
      <c r="M1195" s="321">
        <v>0</v>
      </c>
      <c r="N1195" s="321">
        <v>0</v>
      </c>
      <c r="O1195" s="321">
        <v>0</v>
      </c>
      <c r="P1195" s="321">
        <v>0</v>
      </c>
      <c r="Q1195" s="321">
        <v>0</v>
      </c>
      <c r="R1195" s="321">
        <v>0</v>
      </c>
      <c r="S1195" s="321">
        <v>0</v>
      </c>
      <c r="T1195" s="321">
        <v>0</v>
      </c>
      <c r="U1195" s="322">
        <v>0</v>
      </c>
      <c r="V1195" s="323">
        <v>0</v>
      </c>
      <c r="W1195" s="303"/>
      <c r="X1195" s="324">
        <v>0</v>
      </c>
      <c r="Y1195" s="325">
        <v>0</v>
      </c>
    </row>
    <row r="1196" spans="1:25" x14ac:dyDescent="0.3">
      <c r="A1196" s="326"/>
      <c r="B1196" s="326"/>
      <c r="C1196" s="326"/>
      <c r="D1196" s="326"/>
      <c r="E1196" s="326" t="s">
        <v>2171</v>
      </c>
      <c r="F1196" s="336"/>
      <c r="G1196" s="327"/>
      <c r="H1196" s="328"/>
      <c r="I1196" s="329"/>
      <c r="J1196" s="338">
        <v>0</v>
      </c>
      <c r="K1196" s="330">
        <v>0</v>
      </c>
      <c r="L1196" s="330">
        <v>0</v>
      </c>
      <c r="M1196" s="330">
        <v>0</v>
      </c>
      <c r="N1196" s="330">
        <v>0</v>
      </c>
      <c r="O1196" s="330">
        <v>0</v>
      </c>
      <c r="P1196" s="330">
        <v>0</v>
      </c>
      <c r="Q1196" s="330">
        <v>0</v>
      </c>
      <c r="R1196" s="330">
        <v>0</v>
      </c>
      <c r="S1196" s="330">
        <v>0</v>
      </c>
      <c r="T1196" s="330">
        <v>0</v>
      </c>
      <c r="U1196" s="331">
        <v>0</v>
      </c>
      <c r="V1196" s="332">
        <v>0</v>
      </c>
      <c r="W1196" s="333"/>
      <c r="X1196" s="334">
        <v>0</v>
      </c>
      <c r="Y1196" s="335">
        <v>0</v>
      </c>
    </row>
    <row r="1197" spans="1:25" x14ac:dyDescent="0.3">
      <c r="A1197" s="326"/>
      <c r="B1197" s="326"/>
      <c r="C1197" s="326"/>
      <c r="D1197" s="326"/>
      <c r="E1197" s="326" t="s">
        <v>2172</v>
      </c>
      <c r="F1197" s="336"/>
      <c r="G1197" s="327"/>
      <c r="H1197" s="328"/>
      <c r="I1197" s="329"/>
      <c r="J1197" s="338">
        <v>0</v>
      </c>
      <c r="K1197" s="330">
        <v>0</v>
      </c>
      <c r="L1197" s="330">
        <v>0</v>
      </c>
      <c r="M1197" s="330">
        <v>0</v>
      </c>
      <c r="N1197" s="330">
        <v>0</v>
      </c>
      <c r="O1197" s="330">
        <v>0</v>
      </c>
      <c r="P1197" s="330">
        <v>0</v>
      </c>
      <c r="Q1197" s="330">
        <v>0</v>
      </c>
      <c r="R1197" s="330">
        <v>0</v>
      </c>
      <c r="S1197" s="330">
        <v>0</v>
      </c>
      <c r="T1197" s="330">
        <v>0</v>
      </c>
      <c r="U1197" s="331">
        <v>0</v>
      </c>
      <c r="V1197" s="332">
        <v>0</v>
      </c>
      <c r="W1197" s="333"/>
      <c r="X1197" s="334">
        <v>0</v>
      </c>
      <c r="Y1197" s="335">
        <v>0</v>
      </c>
    </row>
    <row r="1198" spans="1:25" x14ac:dyDescent="0.3">
      <c r="A1198" s="326"/>
      <c r="B1198" s="326"/>
      <c r="C1198" s="326"/>
      <c r="D1198" s="326"/>
      <c r="E1198" s="326" t="s">
        <v>2173</v>
      </c>
      <c r="F1198" s="336"/>
      <c r="G1198" s="327"/>
      <c r="H1198" s="328"/>
      <c r="I1198" s="329"/>
      <c r="J1198" s="338">
        <v>0</v>
      </c>
      <c r="K1198" s="330">
        <v>0</v>
      </c>
      <c r="L1198" s="330">
        <v>0</v>
      </c>
      <c r="M1198" s="330">
        <v>0</v>
      </c>
      <c r="N1198" s="330">
        <v>0</v>
      </c>
      <c r="O1198" s="330">
        <v>0</v>
      </c>
      <c r="P1198" s="330">
        <v>0</v>
      </c>
      <c r="Q1198" s="330">
        <v>0</v>
      </c>
      <c r="R1198" s="330">
        <v>0</v>
      </c>
      <c r="S1198" s="330">
        <v>0</v>
      </c>
      <c r="T1198" s="330">
        <v>0</v>
      </c>
      <c r="U1198" s="331">
        <v>0</v>
      </c>
      <c r="V1198" s="332">
        <v>0</v>
      </c>
      <c r="W1198" s="333"/>
      <c r="X1198" s="334">
        <v>0</v>
      </c>
      <c r="Y1198" s="335">
        <v>0</v>
      </c>
    </row>
    <row r="1199" spans="1:25" x14ac:dyDescent="0.3">
      <c r="A1199" s="233"/>
      <c r="B1199" s="234" t="s">
        <v>80</v>
      </c>
      <c r="D1199" s="293" t="s">
        <v>2174</v>
      </c>
      <c r="E1199" s="294"/>
      <c r="F1199" s="295" t="s">
        <v>2175</v>
      </c>
      <c r="G1199" s="296"/>
      <c r="H1199" s="297"/>
      <c r="I1199" s="298"/>
      <c r="J1199" s="299">
        <v>0</v>
      </c>
      <c r="K1199" s="300">
        <v>0</v>
      </c>
      <c r="L1199" s="300">
        <v>0</v>
      </c>
      <c r="M1199" s="300">
        <v>0</v>
      </c>
      <c r="N1199" s="300">
        <v>0</v>
      </c>
      <c r="O1199" s="300">
        <v>0</v>
      </c>
      <c r="P1199" s="300">
        <v>0</v>
      </c>
      <c r="Q1199" s="300">
        <v>0</v>
      </c>
      <c r="R1199" s="300">
        <v>0</v>
      </c>
      <c r="S1199" s="300">
        <v>0</v>
      </c>
      <c r="T1199" s="300">
        <v>0</v>
      </c>
      <c r="U1199" s="301">
        <v>0</v>
      </c>
      <c r="V1199" s="302">
        <v>0</v>
      </c>
      <c r="W1199" s="303"/>
      <c r="X1199" s="304">
        <v>0</v>
      </c>
      <c r="Y1199" s="305">
        <v>0</v>
      </c>
    </row>
    <row r="1200" spans="1:25" x14ac:dyDescent="0.3">
      <c r="E1200" t="s">
        <v>2176</v>
      </c>
      <c r="F1200" s="317">
        <v>9800030</v>
      </c>
      <c r="G1200" s="318"/>
      <c r="H1200" s="319"/>
      <c r="I1200" s="320"/>
      <c r="J1200" s="337">
        <v>0</v>
      </c>
      <c r="K1200" s="321">
        <v>0</v>
      </c>
      <c r="L1200" s="321">
        <v>0</v>
      </c>
      <c r="M1200" s="321">
        <v>0</v>
      </c>
      <c r="N1200" s="321">
        <v>0</v>
      </c>
      <c r="O1200" s="321">
        <v>0</v>
      </c>
      <c r="P1200" s="321">
        <v>0</v>
      </c>
      <c r="Q1200" s="321">
        <v>0</v>
      </c>
      <c r="R1200" s="321">
        <v>0</v>
      </c>
      <c r="S1200" s="321">
        <v>0</v>
      </c>
      <c r="T1200" s="321">
        <v>0</v>
      </c>
      <c r="U1200" s="322">
        <v>0</v>
      </c>
      <c r="V1200" s="323">
        <v>0</v>
      </c>
      <c r="W1200" s="303"/>
      <c r="X1200" s="324">
        <v>0</v>
      </c>
      <c r="Y1200" s="325">
        <v>0</v>
      </c>
    </row>
    <row r="1201" spans="1:25" x14ac:dyDescent="0.3">
      <c r="E1201" t="s">
        <v>2177</v>
      </c>
      <c r="F1201" s="317">
        <v>8990000</v>
      </c>
      <c r="G1201" s="318"/>
      <c r="H1201" s="319"/>
      <c r="I1201" s="320"/>
      <c r="J1201" s="337">
        <v>0</v>
      </c>
      <c r="K1201" s="321">
        <v>0</v>
      </c>
      <c r="L1201" s="321">
        <v>0</v>
      </c>
      <c r="M1201" s="321">
        <v>0</v>
      </c>
      <c r="N1201" s="321">
        <v>0</v>
      </c>
      <c r="O1201" s="321">
        <v>0</v>
      </c>
      <c r="P1201" s="321">
        <v>0</v>
      </c>
      <c r="Q1201" s="321">
        <v>0</v>
      </c>
      <c r="R1201" s="321">
        <v>0</v>
      </c>
      <c r="S1201" s="321">
        <v>0</v>
      </c>
      <c r="T1201" s="321">
        <v>0</v>
      </c>
      <c r="U1201" s="322">
        <v>0</v>
      </c>
      <c r="V1201" s="323">
        <v>0</v>
      </c>
      <c r="W1201" s="303"/>
      <c r="X1201" s="324">
        <v>0</v>
      </c>
      <c r="Y1201" s="325">
        <v>0</v>
      </c>
    </row>
    <row r="1202" spans="1:25" x14ac:dyDescent="0.3">
      <c r="D1202" s="293" t="s">
        <v>2178</v>
      </c>
      <c r="E1202" s="294"/>
      <c r="F1202" s="295"/>
      <c r="G1202" s="296"/>
      <c r="H1202" s="297"/>
      <c r="I1202" s="298"/>
      <c r="J1202" s="299">
        <v>0</v>
      </c>
      <c r="K1202" s="300">
        <v>0</v>
      </c>
      <c r="L1202" s="300">
        <v>0</v>
      </c>
      <c r="M1202" s="300">
        <v>0</v>
      </c>
      <c r="N1202" s="300">
        <v>0</v>
      </c>
      <c r="O1202" s="300">
        <v>0</v>
      </c>
      <c r="P1202" s="300">
        <v>0</v>
      </c>
      <c r="Q1202" s="300">
        <v>0</v>
      </c>
      <c r="R1202" s="300">
        <v>0</v>
      </c>
      <c r="S1202" s="300">
        <v>0</v>
      </c>
      <c r="T1202" s="300">
        <v>0</v>
      </c>
      <c r="U1202" s="301">
        <v>0</v>
      </c>
      <c r="V1202" s="302">
        <v>0</v>
      </c>
      <c r="W1202" s="303"/>
      <c r="X1202" s="304">
        <v>0</v>
      </c>
      <c r="Y1202" s="305">
        <v>0</v>
      </c>
    </row>
    <row r="1203" spans="1:25" x14ac:dyDescent="0.3">
      <c r="A1203" s="326"/>
      <c r="B1203" s="326"/>
      <c r="C1203" s="326"/>
      <c r="D1203" s="326"/>
      <c r="E1203" s="326" t="s">
        <v>2179</v>
      </c>
      <c r="F1203" s="336"/>
      <c r="G1203" s="327"/>
      <c r="H1203" s="328"/>
      <c r="I1203" s="329"/>
      <c r="J1203" s="338">
        <v>0</v>
      </c>
      <c r="K1203" s="330">
        <v>0</v>
      </c>
      <c r="L1203" s="330">
        <v>0</v>
      </c>
      <c r="M1203" s="330">
        <v>0</v>
      </c>
      <c r="N1203" s="330">
        <v>0</v>
      </c>
      <c r="O1203" s="330">
        <v>0</v>
      </c>
      <c r="P1203" s="330">
        <v>0</v>
      </c>
      <c r="Q1203" s="330">
        <v>0</v>
      </c>
      <c r="R1203" s="330">
        <v>0</v>
      </c>
      <c r="S1203" s="330">
        <v>0</v>
      </c>
      <c r="T1203" s="330">
        <v>0</v>
      </c>
      <c r="U1203" s="331">
        <v>0</v>
      </c>
      <c r="V1203" s="332">
        <v>0</v>
      </c>
      <c r="W1203" s="333"/>
      <c r="X1203" s="334">
        <v>0</v>
      </c>
      <c r="Y1203" s="335">
        <v>0</v>
      </c>
    </row>
    <row r="1204" spans="1:25" x14ac:dyDescent="0.3">
      <c r="A1204" s="326"/>
      <c r="B1204" s="326"/>
      <c r="C1204" s="326"/>
      <c r="D1204" s="326"/>
      <c r="E1204" s="326" t="s">
        <v>2180</v>
      </c>
      <c r="F1204" s="336"/>
      <c r="G1204" s="327"/>
      <c r="H1204" s="328"/>
      <c r="I1204" s="329"/>
      <c r="J1204" s="338">
        <v>0</v>
      </c>
      <c r="K1204" s="330">
        <v>0</v>
      </c>
      <c r="L1204" s="330">
        <v>0</v>
      </c>
      <c r="M1204" s="330">
        <v>0</v>
      </c>
      <c r="N1204" s="330">
        <v>0</v>
      </c>
      <c r="O1204" s="330">
        <v>0</v>
      </c>
      <c r="P1204" s="330">
        <v>0</v>
      </c>
      <c r="Q1204" s="330">
        <v>0</v>
      </c>
      <c r="R1204" s="330">
        <v>0</v>
      </c>
      <c r="S1204" s="330">
        <v>0</v>
      </c>
      <c r="T1204" s="330">
        <v>0</v>
      </c>
      <c r="U1204" s="331">
        <v>0</v>
      </c>
      <c r="V1204" s="332">
        <v>0</v>
      </c>
      <c r="W1204" s="333"/>
      <c r="X1204" s="334">
        <v>0</v>
      </c>
      <c r="Y1204" s="335">
        <v>0</v>
      </c>
    </row>
    <row r="1205" spans="1:25" x14ac:dyDescent="0.3">
      <c r="A1205" s="326"/>
      <c r="B1205" s="326"/>
      <c r="C1205" s="326"/>
      <c r="D1205" s="326"/>
      <c r="E1205" s="326" t="s">
        <v>2181</v>
      </c>
      <c r="F1205" s="336"/>
      <c r="G1205" s="327"/>
      <c r="H1205" s="328"/>
      <c r="I1205" s="329"/>
      <c r="J1205" s="338">
        <v>0</v>
      </c>
      <c r="K1205" s="330">
        <v>0</v>
      </c>
      <c r="L1205" s="330">
        <v>0</v>
      </c>
      <c r="M1205" s="330">
        <v>0</v>
      </c>
      <c r="N1205" s="330">
        <v>0</v>
      </c>
      <c r="O1205" s="330">
        <v>0</v>
      </c>
      <c r="P1205" s="330">
        <v>0</v>
      </c>
      <c r="Q1205" s="330">
        <v>0</v>
      </c>
      <c r="R1205" s="330">
        <v>0</v>
      </c>
      <c r="S1205" s="330">
        <v>0</v>
      </c>
      <c r="T1205" s="330">
        <v>0</v>
      </c>
      <c r="U1205" s="331">
        <v>0</v>
      </c>
      <c r="V1205" s="332">
        <v>0</v>
      </c>
      <c r="W1205" s="333"/>
      <c r="X1205" s="334">
        <v>0</v>
      </c>
      <c r="Y1205" s="335">
        <v>0</v>
      </c>
    </row>
    <row r="1206" spans="1:25" x14ac:dyDescent="0.3">
      <c r="D1206" s="293" t="s">
        <v>2182</v>
      </c>
      <c r="E1206" s="294"/>
      <c r="F1206" s="295"/>
      <c r="G1206" s="296"/>
      <c r="H1206" s="297"/>
      <c r="I1206" s="298"/>
      <c r="J1206" s="299">
        <v>0</v>
      </c>
      <c r="K1206" s="300">
        <v>0</v>
      </c>
      <c r="L1206" s="300">
        <v>0</v>
      </c>
      <c r="M1206" s="300">
        <v>0</v>
      </c>
      <c r="N1206" s="300">
        <v>0</v>
      </c>
      <c r="O1206" s="300">
        <v>0</v>
      </c>
      <c r="P1206" s="300">
        <v>0</v>
      </c>
      <c r="Q1206" s="300">
        <v>0</v>
      </c>
      <c r="R1206" s="300">
        <v>0</v>
      </c>
      <c r="S1206" s="300">
        <v>0</v>
      </c>
      <c r="T1206" s="300">
        <v>0</v>
      </c>
      <c r="U1206" s="301">
        <v>0</v>
      </c>
      <c r="V1206" s="302">
        <v>0</v>
      </c>
      <c r="W1206" s="303"/>
      <c r="X1206" s="304">
        <v>0</v>
      </c>
      <c r="Y1206" s="305">
        <v>0</v>
      </c>
    </row>
    <row r="1207" spans="1:25" x14ac:dyDescent="0.3">
      <c r="A1207" s="326"/>
      <c r="B1207" s="326"/>
      <c r="C1207" s="326"/>
      <c r="D1207" s="326"/>
      <c r="E1207" s="326" t="s">
        <v>2179</v>
      </c>
      <c r="F1207" s="336"/>
      <c r="G1207" s="327"/>
      <c r="H1207" s="328"/>
      <c r="I1207" s="329"/>
      <c r="J1207" s="338">
        <v>0</v>
      </c>
      <c r="K1207" s="330">
        <v>0</v>
      </c>
      <c r="L1207" s="330">
        <v>0</v>
      </c>
      <c r="M1207" s="330">
        <v>0</v>
      </c>
      <c r="N1207" s="330">
        <v>0</v>
      </c>
      <c r="O1207" s="330">
        <v>0</v>
      </c>
      <c r="P1207" s="330">
        <v>0</v>
      </c>
      <c r="Q1207" s="330">
        <v>0</v>
      </c>
      <c r="R1207" s="330">
        <v>0</v>
      </c>
      <c r="S1207" s="330">
        <v>0</v>
      </c>
      <c r="T1207" s="330">
        <v>0</v>
      </c>
      <c r="U1207" s="331">
        <v>0</v>
      </c>
      <c r="V1207" s="332">
        <v>0</v>
      </c>
      <c r="W1207" s="333"/>
      <c r="X1207" s="334">
        <v>0</v>
      </c>
      <c r="Y1207" s="335">
        <v>0</v>
      </c>
    </row>
    <row r="1208" spans="1:25" x14ac:dyDescent="0.3">
      <c r="A1208" s="326"/>
      <c r="B1208" s="326"/>
      <c r="C1208" s="326"/>
      <c r="D1208" s="326"/>
      <c r="E1208" s="326" t="s">
        <v>2180</v>
      </c>
      <c r="F1208" s="336"/>
      <c r="G1208" s="327"/>
      <c r="H1208" s="328"/>
      <c r="I1208" s="329"/>
      <c r="J1208" s="338">
        <v>0</v>
      </c>
      <c r="K1208" s="330">
        <v>0</v>
      </c>
      <c r="L1208" s="330">
        <v>0</v>
      </c>
      <c r="M1208" s="330">
        <v>0</v>
      </c>
      <c r="N1208" s="330">
        <v>0</v>
      </c>
      <c r="O1208" s="330">
        <v>0</v>
      </c>
      <c r="P1208" s="330">
        <v>0</v>
      </c>
      <c r="Q1208" s="330">
        <v>0</v>
      </c>
      <c r="R1208" s="330">
        <v>0</v>
      </c>
      <c r="S1208" s="330">
        <v>0</v>
      </c>
      <c r="T1208" s="330">
        <v>0</v>
      </c>
      <c r="U1208" s="331">
        <v>0</v>
      </c>
      <c r="V1208" s="332">
        <v>0</v>
      </c>
      <c r="W1208" s="333"/>
      <c r="X1208" s="334">
        <v>0</v>
      </c>
      <c r="Y1208" s="335">
        <v>0</v>
      </c>
    </row>
    <row r="1209" spans="1:25" x14ac:dyDescent="0.3">
      <c r="A1209" s="326"/>
      <c r="B1209" s="326"/>
      <c r="C1209" s="326"/>
      <c r="D1209" s="326"/>
      <c r="E1209" s="326" t="s">
        <v>2181</v>
      </c>
      <c r="F1209" s="336"/>
      <c r="G1209" s="327"/>
      <c r="H1209" s="328"/>
      <c r="I1209" s="329"/>
      <c r="J1209" s="338">
        <v>0</v>
      </c>
      <c r="K1209" s="330">
        <v>0</v>
      </c>
      <c r="L1209" s="330">
        <v>0</v>
      </c>
      <c r="M1209" s="330">
        <v>0</v>
      </c>
      <c r="N1209" s="330">
        <v>0</v>
      </c>
      <c r="O1209" s="330">
        <v>0</v>
      </c>
      <c r="P1209" s="330">
        <v>0</v>
      </c>
      <c r="Q1209" s="330">
        <v>0</v>
      </c>
      <c r="R1209" s="330">
        <v>0</v>
      </c>
      <c r="S1209" s="330">
        <v>0</v>
      </c>
      <c r="T1209" s="330">
        <v>0</v>
      </c>
      <c r="U1209" s="331">
        <v>0</v>
      </c>
      <c r="V1209" s="332">
        <v>0</v>
      </c>
      <c r="W1209" s="333"/>
      <c r="X1209" s="334">
        <v>0</v>
      </c>
      <c r="Y1209" s="335">
        <v>0</v>
      </c>
    </row>
    <row r="1210" spans="1:25" x14ac:dyDescent="0.3">
      <c r="D1210" s="293" t="s">
        <v>2183</v>
      </c>
      <c r="E1210" s="294"/>
      <c r="F1210" s="295"/>
      <c r="G1210" s="296"/>
      <c r="H1210" s="297"/>
      <c r="I1210" s="298"/>
      <c r="J1210" s="299">
        <v>0</v>
      </c>
      <c r="K1210" s="300">
        <v>0</v>
      </c>
      <c r="L1210" s="300">
        <v>0</v>
      </c>
      <c r="M1210" s="300">
        <v>0</v>
      </c>
      <c r="N1210" s="300">
        <v>0</v>
      </c>
      <c r="O1210" s="300">
        <v>0</v>
      </c>
      <c r="P1210" s="300">
        <v>0</v>
      </c>
      <c r="Q1210" s="300">
        <v>0</v>
      </c>
      <c r="R1210" s="300">
        <v>0</v>
      </c>
      <c r="S1210" s="300">
        <v>0</v>
      </c>
      <c r="T1210" s="300">
        <v>0</v>
      </c>
      <c r="U1210" s="301">
        <v>0</v>
      </c>
      <c r="V1210" s="302">
        <v>0</v>
      </c>
      <c r="W1210" s="303"/>
      <c r="X1210" s="304">
        <v>0</v>
      </c>
      <c r="Y1210" s="305">
        <v>0</v>
      </c>
    </row>
    <row r="1211" spans="1:25" x14ac:dyDescent="0.3">
      <c r="A1211" s="326"/>
      <c r="B1211" s="326"/>
      <c r="C1211" s="326"/>
      <c r="D1211" s="326"/>
      <c r="E1211" s="326" t="s">
        <v>2179</v>
      </c>
      <c r="F1211" s="336"/>
      <c r="G1211" s="327"/>
      <c r="H1211" s="328"/>
      <c r="I1211" s="329"/>
      <c r="J1211" s="338">
        <v>0</v>
      </c>
      <c r="K1211" s="330">
        <v>0</v>
      </c>
      <c r="L1211" s="330">
        <v>0</v>
      </c>
      <c r="M1211" s="330">
        <v>0</v>
      </c>
      <c r="N1211" s="330">
        <v>0</v>
      </c>
      <c r="O1211" s="330">
        <v>0</v>
      </c>
      <c r="P1211" s="330">
        <v>0</v>
      </c>
      <c r="Q1211" s="330">
        <v>0</v>
      </c>
      <c r="R1211" s="330">
        <v>0</v>
      </c>
      <c r="S1211" s="330">
        <v>0</v>
      </c>
      <c r="T1211" s="330">
        <v>0</v>
      </c>
      <c r="U1211" s="331">
        <v>0</v>
      </c>
      <c r="V1211" s="332">
        <v>0</v>
      </c>
      <c r="W1211" s="333"/>
      <c r="X1211" s="334">
        <v>0</v>
      </c>
      <c r="Y1211" s="335">
        <v>0</v>
      </c>
    </row>
    <row r="1212" spans="1:25" x14ac:dyDescent="0.3">
      <c r="A1212" s="326"/>
      <c r="B1212" s="326"/>
      <c r="C1212" s="326"/>
      <c r="D1212" s="326"/>
      <c r="E1212" s="326" t="s">
        <v>2180</v>
      </c>
      <c r="F1212" s="336"/>
      <c r="G1212" s="327"/>
      <c r="H1212" s="328"/>
      <c r="I1212" s="329"/>
      <c r="J1212" s="338">
        <v>0</v>
      </c>
      <c r="K1212" s="330">
        <v>0</v>
      </c>
      <c r="L1212" s="330">
        <v>0</v>
      </c>
      <c r="M1212" s="330">
        <v>0</v>
      </c>
      <c r="N1212" s="330">
        <v>0</v>
      </c>
      <c r="O1212" s="330">
        <v>0</v>
      </c>
      <c r="P1212" s="330">
        <v>0</v>
      </c>
      <c r="Q1212" s="330">
        <v>0</v>
      </c>
      <c r="R1212" s="330">
        <v>0</v>
      </c>
      <c r="S1212" s="330">
        <v>0</v>
      </c>
      <c r="T1212" s="330">
        <v>0</v>
      </c>
      <c r="U1212" s="331">
        <v>0</v>
      </c>
      <c r="V1212" s="332">
        <v>0</v>
      </c>
      <c r="W1212" s="333"/>
      <c r="X1212" s="334">
        <v>0</v>
      </c>
      <c r="Y1212" s="335">
        <v>0</v>
      </c>
    </row>
    <row r="1213" spans="1:25" x14ac:dyDescent="0.3">
      <c r="A1213" s="326"/>
      <c r="B1213" s="326"/>
      <c r="C1213" s="326"/>
      <c r="D1213" s="326"/>
      <c r="E1213" s="326" t="s">
        <v>2181</v>
      </c>
      <c r="F1213" s="336"/>
      <c r="G1213" s="327"/>
      <c r="H1213" s="328"/>
      <c r="I1213" s="329"/>
      <c r="J1213" s="338">
        <v>0</v>
      </c>
      <c r="K1213" s="330">
        <v>0</v>
      </c>
      <c r="L1213" s="330">
        <v>0</v>
      </c>
      <c r="M1213" s="330">
        <v>0</v>
      </c>
      <c r="N1213" s="330">
        <v>0</v>
      </c>
      <c r="O1213" s="330">
        <v>0</v>
      </c>
      <c r="P1213" s="330">
        <v>0</v>
      </c>
      <c r="Q1213" s="330">
        <v>0</v>
      </c>
      <c r="R1213" s="330">
        <v>0</v>
      </c>
      <c r="S1213" s="330">
        <v>0</v>
      </c>
      <c r="T1213" s="330">
        <v>0</v>
      </c>
      <c r="U1213" s="331">
        <v>0</v>
      </c>
      <c r="V1213" s="332">
        <v>0</v>
      </c>
      <c r="W1213" s="333"/>
      <c r="X1213" s="334">
        <v>0</v>
      </c>
      <c r="Y1213" s="335">
        <v>0</v>
      </c>
    </row>
    <row r="1214" spans="1:25" ht="49.5" x14ac:dyDescent="0.3">
      <c r="A1214" s="248" t="s">
        <v>82</v>
      </c>
      <c r="B1214" s="248"/>
      <c r="C1214" s="280" t="s">
        <v>2184</v>
      </c>
      <c r="D1214" s="281"/>
      <c r="E1214" s="282"/>
      <c r="F1214" s="283" t="s">
        <v>2185</v>
      </c>
      <c r="G1214" s="284"/>
      <c r="H1214" s="285"/>
      <c r="I1214" s="286"/>
      <c r="J1214" s="287">
        <v>0</v>
      </c>
      <c r="K1214" s="288">
        <v>0</v>
      </c>
      <c r="L1214" s="288">
        <v>82491.032000000007</v>
      </c>
      <c r="M1214" s="288">
        <v>0</v>
      </c>
      <c r="N1214" s="288">
        <v>0</v>
      </c>
      <c r="O1214" s="288">
        <v>57733.896999999997</v>
      </c>
      <c r="P1214" s="288">
        <v>0</v>
      </c>
      <c r="Q1214" s="288">
        <v>0</v>
      </c>
      <c r="R1214" s="288">
        <v>292343.21899999998</v>
      </c>
      <c r="S1214" s="288">
        <v>0</v>
      </c>
      <c r="T1214" s="288">
        <v>0</v>
      </c>
      <c r="U1214" s="289">
        <v>8747413.1940000001</v>
      </c>
      <c r="V1214" s="290">
        <v>9179981.3420000002</v>
      </c>
      <c r="W1214" s="277"/>
      <c r="X1214" s="291">
        <v>8747413.1940000001</v>
      </c>
      <c r="Y1214" s="292">
        <v>9179981.3420000002</v>
      </c>
    </row>
    <row r="1215" spans="1:25" x14ac:dyDescent="0.3">
      <c r="A1215" s="233"/>
      <c r="B1215" s="234" t="s">
        <v>83</v>
      </c>
      <c r="D1215" s="293" t="s">
        <v>2186</v>
      </c>
      <c r="E1215" s="294"/>
      <c r="F1215" s="295" t="s">
        <v>2187</v>
      </c>
      <c r="G1215" s="296"/>
      <c r="H1215" s="297"/>
      <c r="I1215" s="298"/>
      <c r="J1215" s="299">
        <v>0</v>
      </c>
      <c r="K1215" s="300">
        <v>0</v>
      </c>
      <c r="L1215" s="300">
        <v>82491.032000000007</v>
      </c>
      <c r="M1215" s="300">
        <v>0</v>
      </c>
      <c r="N1215" s="300">
        <v>0</v>
      </c>
      <c r="O1215" s="300">
        <v>57733.896999999997</v>
      </c>
      <c r="P1215" s="300">
        <v>0</v>
      </c>
      <c r="Q1215" s="300">
        <v>0</v>
      </c>
      <c r="R1215" s="300">
        <v>292343.21899999998</v>
      </c>
      <c r="S1215" s="300">
        <v>0</v>
      </c>
      <c r="T1215" s="300">
        <v>0</v>
      </c>
      <c r="U1215" s="301">
        <v>8747413.1940000001</v>
      </c>
      <c r="V1215" s="302">
        <v>9179981.3420000002</v>
      </c>
      <c r="W1215" s="303"/>
      <c r="X1215" s="304">
        <v>8747413.1940000001</v>
      </c>
      <c r="Y1215" s="305">
        <v>9179981.3420000002</v>
      </c>
    </row>
    <row r="1216" spans="1:25" x14ac:dyDescent="0.3">
      <c r="E1216" t="s">
        <v>494</v>
      </c>
      <c r="F1216" s="317">
        <v>4402000</v>
      </c>
      <c r="G1216" s="318"/>
      <c r="H1216" s="319">
        <v>7901010101</v>
      </c>
      <c r="I1216" s="320"/>
      <c r="J1216" s="337">
        <v>0</v>
      </c>
      <c r="K1216" s="321">
        <v>0</v>
      </c>
      <c r="L1216" s="321">
        <v>82491.032000000007</v>
      </c>
      <c r="M1216" s="321">
        <v>0</v>
      </c>
      <c r="N1216" s="321">
        <v>0</v>
      </c>
      <c r="O1216" s="321">
        <v>57733.896999999997</v>
      </c>
      <c r="P1216" s="321">
        <v>0</v>
      </c>
      <c r="Q1216" s="321">
        <v>0</v>
      </c>
      <c r="R1216" s="321">
        <v>292343.21899999998</v>
      </c>
      <c r="S1216" s="321">
        <v>0</v>
      </c>
      <c r="T1216" s="321">
        <v>0</v>
      </c>
      <c r="U1216" s="322">
        <v>8747413.1940000001</v>
      </c>
      <c r="V1216" s="323">
        <v>9179981.3420000002</v>
      </c>
      <c r="W1216" s="303"/>
      <c r="X1216" s="324">
        <v>8747413.1940000001</v>
      </c>
      <c r="Y1216" s="325">
        <v>9179981.3420000002</v>
      </c>
    </row>
    <row r="1217" spans="1:25" x14ac:dyDescent="0.3">
      <c r="A1217" s="326"/>
      <c r="B1217" s="326"/>
      <c r="C1217" s="326"/>
      <c r="D1217" s="326"/>
      <c r="E1217" s="326" t="s">
        <v>2188</v>
      </c>
      <c r="F1217" s="336"/>
      <c r="G1217" s="327"/>
      <c r="H1217" s="328"/>
      <c r="I1217" s="329"/>
      <c r="J1217" s="338">
        <v>0</v>
      </c>
      <c r="K1217" s="330">
        <v>0</v>
      </c>
      <c r="L1217" s="330">
        <v>0</v>
      </c>
      <c r="M1217" s="330">
        <v>0</v>
      </c>
      <c r="N1217" s="330">
        <v>0</v>
      </c>
      <c r="O1217" s="330">
        <v>0</v>
      </c>
      <c r="P1217" s="330">
        <v>0</v>
      </c>
      <c r="Q1217" s="330">
        <v>0</v>
      </c>
      <c r="R1217" s="330">
        <v>0</v>
      </c>
      <c r="S1217" s="330">
        <v>0</v>
      </c>
      <c r="T1217" s="330">
        <v>0</v>
      </c>
      <c r="U1217" s="331">
        <v>0</v>
      </c>
      <c r="V1217" s="332">
        <v>0</v>
      </c>
      <c r="W1217" s="333"/>
      <c r="X1217" s="334">
        <v>0</v>
      </c>
      <c r="Y1217" s="335">
        <v>0</v>
      </c>
    </row>
    <row r="1218" spans="1:25" x14ac:dyDescent="0.3">
      <c r="A1218" s="326"/>
      <c r="B1218" s="326"/>
      <c r="C1218" s="326"/>
      <c r="D1218" s="326"/>
      <c r="E1218" s="326" t="s">
        <v>2189</v>
      </c>
      <c r="F1218" s="336"/>
      <c r="G1218" s="327"/>
      <c r="H1218" s="328"/>
      <c r="I1218" s="329"/>
      <c r="J1218" s="338">
        <v>0</v>
      </c>
      <c r="K1218" s="330">
        <v>0</v>
      </c>
      <c r="L1218" s="330">
        <v>0</v>
      </c>
      <c r="M1218" s="330">
        <v>0</v>
      </c>
      <c r="N1218" s="330">
        <v>0</v>
      </c>
      <c r="O1218" s="330">
        <v>0</v>
      </c>
      <c r="P1218" s="330">
        <v>0</v>
      </c>
      <c r="Q1218" s="330">
        <v>0</v>
      </c>
      <c r="R1218" s="330">
        <v>0</v>
      </c>
      <c r="S1218" s="330">
        <v>0</v>
      </c>
      <c r="T1218" s="330">
        <v>0</v>
      </c>
      <c r="U1218" s="331">
        <v>0</v>
      </c>
      <c r="V1218" s="332">
        <v>0</v>
      </c>
      <c r="W1218" s="333"/>
      <c r="X1218" s="334">
        <v>0</v>
      </c>
      <c r="Y1218" s="335">
        <v>0</v>
      </c>
    </row>
    <row r="1219" spans="1:25" x14ac:dyDescent="0.3">
      <c r="A1219" s="326"/>
      <c r="B1219" s="326"/>
      <c r="C1219" s="326"/>
      <c r="D1219" s="326"/>
      <c r="E1219" s="326" t="s">
        <v>2190</v>
      </c>
      <c r="F1219" s="336"/>
      <c r="G1219" s="327"/>
      <c r="H1219" s="328"/>
      <c r="I1219" s="329"/>
      <c r="J1219" s="338">
        <v>0</v>
      </c>
      <c r="K1219" s="330">
        <v>0</v>
      </c>
      <c r="L1219" s="330">
        <v>0</v>
      </c>
      <c r="M1219" s="330">
        <v>0</v>
      </c>
      <c r="N1219" s="330">
        <v>0</v>
      </c>
      <c r="O1219" s="330">
        <v>0</v>
      </c>
      <c r="P1219" s="330">
        <v>0</v>
      </c>
      <c r="Q1219" s="330">
        <v>0</v>
      </c>
      <c r="R1219" s="330">
        <v>0</v>
      </c>
      <c r="S1219" s="330">
        <v>0</v>
      </c>
      <c r="T1219" s="330">
        <v>0</v>
      </c>
      <c r="U1219" s="331">
        <v>0</v>
      </c>
      <c r="V1219" s="332">
        <v>0</v>
      </c>
      <c r="W1219" s="333"/>
      <c r="X1219" s="334">
        <v>0</v>
      </c>
      <c r="Y1219" s="335">
        <v>0</v>
      </c>
    </row>
    <row r="1220" spans="1:25" x14ac:dyDescent="0.3">
      <c r="A1220" s="233"/>
      <c r="B1220" s="234" t="s">
        <v>84</v>
      </c>
      <c r="D1220" s="293" t="s">
        <v>2191</v>
      </c>
      <c r="E1220" s="294"/>
      <c r="F1220" s="295" t="s">
        <v>2192</v>
      </c>
      <c r="G1220" s="296"/>
      <c r="H1220" s="297"/>
      <c r="I1220" s="298"/>
      <c r="J1220" s="299">
        <v>0</v>
      </c>
      <c r="K1220" s="300">
        <v>0</v>
      </c>
      <c r="L1220" s="300">
        <v>0</v>
      </c>
      <c r="M1220" s="300">
        <v>0</v>
      </c>
      <c r="N1220" s="300">
        <v>0</v>
      </c>
      <c r="O1220" s="300">
        <v>0</v>
      </c>
      <c r="P1220" s="300">
        <v>0</v>
      </c>
      <c r="Q1220" s="300">
        <v>0</v>
      </c>
      <c r="R1220" s="300">
        <v>0</v>
      </c>
      <c r="S1220" s="300">
        <v>0</v>
      </c>
      <c r="T1220" s="300">
        <v>0</v>
      </c>
      <c r="U1220" s="301">
        <v>0</v>
      </c>
      <c r="V1220" s="302">
        <v>0</v>
      </c>
      <c r="W1220" s="303"/>
      <c r="X1220" s="304">
        <v>0</v>
      </c>
      <c r="Y1220" s="305">
        <v>0</v>
      </c>
    </row>
    <row r="1221" spans="1:25" x14ac:dyDescent="0.3">
      <c r="E1221" t="s">
        <v>491</v>
      </c>
      <c r="F1221" s="317">
        <v>4501500</v>
      </c>
      <c r="G1221" s="318"/>
      <c r="H1221" s="319">
        <v>7901030101</v>
      </c>
      <c r="I1221" s="320"/>
      <c r="J1221" s="337">
        <v>0</v>
      </c>
      <c r="K1221" s="321">
        <v>0</v>
      </c>
      <c r="L1221" s="321">
        <v>0</v>
      </c>
      <c r="M1221" s="321">
        <v>0</v>
      </c>
      <c r="N1221" s="321">
        <v>0</v>
      </c>
      <c r="O1221" s="321">
        <v>0</v>
      </c>
      <c r="P1221" s="321">
        <v>0</v>
      </c>
      <c r="Q1221" s="321">
        <v>0</v>
      </c>
      <c r="R1221" s="321">
        <v>0</v>
      </c>
      <c r="S1221" s="321">
        <v>0</v>
      </c>
      <c r="T1221" s="321">
        <v>0</v>
      </c>
      <c r="U1221" s="322">
        <v>0</v>
      </c>
      <c r="V1221" s="323">
        <v>0</v>
      </c>
      <c r="W1221" s="303"/>
      <c r="X1221" s="324">
        <v>0</v>
      </c>
      <c r="Y1221" s="325">
        <v>0</v>
      </c>
    </row>
    <row r="1222" spans="1:25" x14ac:dyDescent="0.3">
      <c r="A1222" s="326"/>
      <c r="B1222" s="326"/>
      <c r="C1222" s="326"/>
      <c r="D1222" s="326"/>
      <c r="E1222" s="326" t="s">
        <v>2193</v>
      </c>
      <c r="F1222" s="336"/>
      <c r="G1222" s="327"/>
      <c r="H1222" s="328"/>
      <c r="I1222" s="329"/>
      <c r="J1222" s="338">
        <v>0</v>
      </c>
      <c r="K1222" s="330">
        <v>0</v>
      </c>
      <c r="L1222" s="330">
        <v>0</v>
      </c>
      <c r="M1222" s="330">
        <v>0</v>
      </c>
      <c r="N1222" s="330">
        <v>0</v>
      </c>
      <c r="O1222" s="330">
        <v>0</v>
      </c>
      <c r="P1222" s="330">
        <v>0</v>
      </c>
      <c r="Q1222" s="330">
        <v>0</v>
      </c>
      <c r="R1222" s="330">
        <v>0</v>
      </c>
      <c r="S1222" s="330">
        <v>0</v>
      </c>
      <c r="T1222" s="330">
        <v>0</v>
      </c>
      <c r="U1222" s="331">
        <v>0</v>
      </c>
      <c r="V1222" s="332">
        <v>0</v>
      </c>
      <c r="W1222" s="333"/>
      <c r="X1222" s="334">
        <v>0</v>
      </c>
      <c r="Y1222" s="335">
        <v>0</v>
      </c>
    </row>
    <row r="1223" spans="1:25" x14ac:dyDescent="0.3">
      <c r="A1223" s="326"/>
      <c r="B1223" s="326"/>
      <c r="C1223" s="326"/>
      <c r="D1223" s="326"/>
      <c r="E1223" s="326" t="s">
        <v>2194</v>
      </c>
      <c r="F1223" s="336"/>
      <c r="G1223" s="327"/>
      <c r="H1223" s="328"/>
      <c r="I1223" s="329"/>
      <c r="J1223" s="338">
        <v>0</v>
      </c>
      <c r="K1223" s="330">
        <v>0</v>
      </c>
      <c r="L1223" s="330">
        <v>0</v>
      </c>
      <c r="M1223" s="330">
        <v>0</v>
      </c>
      <c r="N1223" s="330">
        <v>0</v>
      </c>
      <c r="O1223" s="330">
        <v>0</v>
      </c>
      <c r="P1223" s="330">
        <v>0</v>
      </c>
      <c r="Q1223" s="330">
        <v>0</v>
      </c>
      <c r="R1223" s="330">
        <v>0</v>
      </c>
      <c r="S1223" s="330">
        <v>0</v>
      </c>
      <c r="T1223" s="330">
        <v>0</v>
      </c>
      <c r="U1223" s="331">
        <v>0</v>
      </c>
      <c r="V1223" s="332">
        <v>0</v>
      </c>
      <c r="W1223" s="333"/>
      <c r="X1223" s="334">
        <v>0</v>
      </c>
      <c r="Y1223" s="335">
        <v>0</v>
      </c>
    </row>
    <row r="1224" spans="1:25" x14ac:dyDescent="0.3">
      <c r="A1224" s="326"/>
      <c r="B1224" s="326"/>
      <c r="C1224" s="326"/>
      <c r="D1224" s="326"/>
      <c r="E1224" s="326" t="s">
        <v>2195</v>
      </c>
      <c r="F1224" s="336"/>
      <c r="G1224" s="327"/>
      <c r="H1224" s="328"/>
      <c r="I1224" s="329"/>
      <c r="J1224" s="338">
        <v>0</v>
      </c>
      <c r="K1224" s="330">
        <v>0</v>
      </c>
      <c r="L1224" s="330">
        <v>0</v>
      </c>
      <c r="M1224" s="330">
        <v>0</v>
      </c>
      <c r="N1224" s="330">
        <v>0</v>
      </c>
      <c r="O1224" s="330">
        <v>0</v>
      </c>
      <c r="P1224" s="330">
        <v>0</v>
      </c>
      <c r="Q1224" s="330">
        <v>0</v>
      </c>
      <c r="R1224" s="330">
        <v>0</v>
      </c>
      <c r="S1224" s="330">
        <v>0</v>
      </c>
      <c r="T1224" s="330">
        <v>0</v>
      </c>
      <c r="U1224" s="331">
        <v>0</v>
      </c>
      <c r="V1224" s="332">
        <v>0</v>
      </c>
      <c r="W1224" s="333"/>
      <c r="X1224" s="334">
        <v>0</v>
      </c>
      <c r="Y1224" s="335">
        <v>0</v>
      </c>
    </row>
    <row r="1225" spans="1:25" ht="66" x14ac:dyDescent="0.3">
      <c r="A1225" s="248" t="s">
        <v>57</v>
      </c>
      <c r="B1225" s="248"/>
      <c r="C1225" s="267" t="s">
        <v>2196</v>
      </c>
      <c r="D1225" s="267"/>
      <c r="E1225" s="268"/>
      <c r="F1225" s="269" t="s">
        <v>2197</v>
      </c>
      <c r="G1225" s="270"/>
      <c r="H1225" s="271"/>
      <c r="I1225" s="272"/>
      <c r="J1225" s="273">
        <v>-138946.18399999995</v>
      </c>
      <c r="K1225" s="274">
        <v>1543320.6480000003</v>
      </c>
      <c r="L1225" s="274">
        <v>-2965129.7909999997</v>
      </c>
      <c r="M1225" s="274">
        <v>-466903.04599999974</v>
      </c>
      <c r="N1225" s="274">
        <v>2441364.4069999997</v>
      </c>
      <c r="O1225" s="274">
        <v>-17128768.736000001</v>
      </c>
      <c r="P1225" s="274">
        <v>-233289.76600000056</v>
      </c>
      <c r="Q1225" s="274">
        <v>-704406.09300000069</v>
      </c>
      <c r="R1225" s="274">
        <v>-15254391.481000002</v>
      </c>
      <c r="S1225" s="274">
        <v>1257299.6949999998</v>
      </c>
      <c r="T1225" s="274">
        <v>-62368.7429999999</v>
      </c>
      <c r="U1225" s="275">
        <v>-67399519.314999998</v>
      </c>
      <c r="V1225" s="276">
        <v>-99111738.405000001</v>
      </c>
      <c r="W1225" s="277"/>
      <c r="X1225" s="278">
        <v>-67399519.314999998</v>
      </c>
      <c r="Y1225" s="279">
        <v>-99111738.405000001</v>
      </c>
    </row>
    <row r="1226" spans="1:25" x14ac:dyDescent="0.3">
      <c r="B1226" s="233" t="s">
        <v>85</v>
      </c>
      <c r="C1226" s="280" t="s">
        <v>2198</v>
      </c>
      <c r="D1226" s="281"/>
      <c r="E1226" s="282"/>
      <c r="F1226" s="283" t="s">
        <v>2199</v>
      </c>
      <c r="G1226" s="284"/>
      <c r="H1226" s="285"/>
      <c r="I1226" s="286"/>
      <c r="J1226" s="287">
        <v>-96420.687999999995</v>
      </c>
      <c r="K1226" s="288">
        <v>-91251.975999999995</v>
      </c>
      <c r="L1226" s="288">
        <v>-945417.495</v>
      </c>
      <c r="M1226" s="288">
        <v>-103065.83100000001</v>
      </c>
      <c r="N1226" s="288">
        <v>809253.54</v>
      </c>
      <c r="O1226" s="288">
        <v>-3891788.7960000001</v>
      </c>
      <c r="P1226" s="288">
        <v>-118105.53599999999</v>
      </c>
      <c r="Q1226" s="288">
        <v>-105193.622</v>
      </c>
      <c r="R1226" s="288">
        <v>-3059561.2560000001</v>
      </c>
      <c r="S1226" s="288">
        <v>290436.23</v>
      </c>
      <c r="T1226" s="288">
        <v>-14407.18</v>
      </c>
      <c r="U1226" s="289">
        <v>-15555639.155000001</v>
      </c>
      <c r="V1226" s="290">
        <v>-22881161.765000001</v>
      </c>
      <c r="W1226" s="277"/>
      <c r="X1226" s="291">
        <v>-15555639.155000001</v>
      </c>
      <c r="Y1226" s="292">
        <v>-22881161.765000001</v>
      </c>
    </row>
    <row r="1227" spans="1:25" x14ac:dyDescent="0.3">
      <c r="D1227" s="293" t="s">
        <v>2200</v>
      </c>
      <c r="E1227" s="294"/>
      <c r="F1227" s="295" t="s">
        <v>2201</v>
      </c>
      <c r="G1227" s="296"/>
      <c r="H1227" s="297"/>
      <c r="I1227" s="298"/>
      <c r="J1227" s="299">
        <v>0</v>
      </c>
      <c r="K1227" s="300">
        <v>0</v>
      </c>
      <c r="L1227" s="300">
        <v>-1133090.159</v>
      </c>
      <c r="M1227" s="300">
        <v>0</v>
      </c>
      <c r="N1227" s="300">
        <v>0</v>
      </c>
      <c r="O1227" s="300">
        <v>-3185601.0869999998</v>
      </c>
      <c r="P1227" s="300">
        <v>0</v>
      </c>
      <c r="Q1227" s="300">
        <v>0</v>
      </c>
      <c r="R1227" s="300">
        <v>-3282860.4139999999</v>
      </c>
      <c r="S1227" s="300">
        <v>0</v>
      </c>
      <c r="T1227" s="300">
        <v>0</v>
      </c>
      <c r="U1227" s="301">
        <v>-15279610.105</v>
      </c>
      <c r="V1227" s="302">
        <v>-22881161.765000001</v>
      </c>
      <c r="W1227" s="303"/>
      <c r="X1227" s="304">
        <v>-15279610.105</v>
      </c>
      <c r="Y1227" s="305">
        <v>-22881161.765000001</v>
      </c>
    </row>
    <row r="1228" spans="1:25" x14ac:dyDescent="0.3">
      <c r="E1228" t="s">
        <v>322</v>
      </c>
      <c r="F1228" s="317">
        <v>4800100</v>
      </c>
      <c r="G1228" s="318"/>
      <c r="H1228" s="319">
        <v>8101010101</v>
      </c>
      <c r="I1228" s="320"/>
      <c r="J1228" s="337">
        <v>0</v>
      </c>
      <c r="K1228" s="321">
        <v>0</v>
      </c>
      <c r="L1228" s="321">
        <v>-1133090.159</v>
      </c>
      <c r="M1228" s="321">
        <v>0</v>
      </c>
      <c r="N1228" s="321">
        <v>0</v>
      </c>
      <c r="O1228" s="321">
        <v>-3185601.0869999998</v>
      </c>
      <c r="P1228" s="321">
        <v>0</v>
      </c>
      <c r="Q1228" s="321">
        <v>0</v>
      </c>
      <c r="R1228" s="321">
        <v>-3282860.4139999999</v>
      </c>
      <c r="S1228" s="321">
        <v>0</v>
      </c>
      <c r="T1228" s="321">
        <v>0</v>
      </c>
      <c r="U1228" s="322">
        <v>-15279610.105</v>
      </c>
      <c r="V1228" s="323">
        <v>-22881161.765000001</v>
      </c>
      <c r="W1228" s="303"/>
      <c r="X1228" s="324">
        <v>-15279610.105</v>
      </c>
      <c r="Y1228" s="325">
        <v>-22881161.765000001</v>
      </c>
    </row>
    <row r="1229" spans="1:25" x14ac:dyDescent="0.3">
      <c r="D1229" s="293" t="s">
        <v>2202</v>
      </c>
      <c r="E1229" s="294"/>
      <c r="F1229" s="295" t="s">
        <v>2203</v>
      </c>
      <c r="G1229" s="296"/>
      <c r="H1229" s="297"/>
      <c r="I1229" s="298"/>
      <c r="J1229" s="299">
        <v>-96420.687999999995</v>
      </c>
      <c r="K1229" s="300">
        <v>-91251.975999999995</v>
      </c>
      <c r="L1229" s="300">
        <v>187672.66399999999</v>
      </c>
      <c r="M1229" s="300">
        <v>-103065.83100000001</v>
      </c>
      <c r="N1229" s="300">
        <v>809253.54</v>
      </c>
      <c r="O1229" s="300">
        <v>-706187.70900000003</v>
      </c>
      <c r="P1229" s="300">
        <v>-118105.53599999999</v>
      </c>
      <c r="Q1229" s="300">
        <v>-105193.622</v>
      </c>
      <c r="R1229" s="300">
        <v>223299.158</v>
      </c>
      <c r="S1229" s="300">
        <v>290436.23</v>
      </c>
      <c r="T1229" s="300">
        <v>-14407.18</v>
      </c>
      <c r="U1229" s="301">
        <v>-276029.05</v>
      </c>
      <c r="V1229" s="302">
        <v>0</v>
      </c>
      <c r="W1229" s="303"/>
      <c r="X1229" s="304">
        <v>-276029.05</v>
      </c>
      <c r="Y1229" s="305">
        <v>0</v>
      </c>
    </row>
    <row r="1230" spans="1:25" x14ac:dyDescent="0.3">
      <c r="E1230" t="s">
        <v>2204</v>
      </c>
      <c r="F1230" s="317">
        <v>4800200</v>
      </c>
      <c r="G1230" s="318"/>
      <c r="H1230" s="319"/>
      <c r="I1230" s="320"/>
      <c r="J1230" s="337">
        <v>-96420.687999999995</v>
      </c>
      <c r="K1230" s="321">
        <v>-91251.975999999995</v>
      </c>
      <c r="L1230" s="321">
        <v>187672.66399999999</v>
      </c>
      <c r="M1230" s="321">
        <v>-103065.83100000001</v>
      </c>
      <c r="N1230" s="321">
        <v>809253.54</v>
      </c>
      <c r="O1230" s="321">
        <v>-706187.70900000003</v>
      </c>
      <c r="P1230" s="321">
        <v>-118105.53599999999</v>
      </c>
      <c r="Q1230" s="321">
        <v>-105193.622</v>
      </c>
      <c r="R1230" s="321">
        <v>223299.158</v>
      </c>
      <c r="S1230" s="321">
        <v>290436.23</v>
      </c>
      <c r="T1230" s="321">
        <v>-14407.18</v>
      </c>
      <c r="U1230" s="322">
        <v>-276029.05</v>
      </c>
      <c r="V1230" s="323">
        <v>0</v>
      </c>
      <c r="W1230" s="303"/>
      <c r="X1230" s="324">
        <v>-276029.05</v>
      </c>
      <c r="Y1230" s="325">
        <v>0</v>
      </c>
    </row>
    <row r="1231" spans="1:25" x14ac:dyDescent="0.3">
      <c r="D1231" s="293" t="s">
        <v>2205</v>
      </c>
      <c r="E1231" s="294"/>
      <c r="F1231" s="295" t="s">
        <v>2206</v>
      </c>
      <c r="G1231" s="296"/>
      <c r="H1231" s="297"/>
      <c r="I1231" s="298"/>
      <c r="J1231" s="299">
        <v>0</v>
      </c>
      <c r="K1231" s="300">
        <v>0</v>
      </c>
      <c r="L1231" s="300">
        <v>0</v>
      </c>
      <c r="M1231" s="300">
        <v>0</v>
      </c>
      <c r="N1231" s="300">
        <v>0</v>
      </c>
      <c r="O1231" s="300">
        <v>0</v>
      </c>
      <c r="P1231" s="300">
        <v>0</v>
      </c>
      <c r="Q1231" s="300">
        <v>0</v>
      </c>
      <c r="R1231" s="300">
        <v>0</v>
      </c>
      <c r="S1231" s="300">
        <v>0</v>
      </c>
      <c r="T1231" s="300">
        <v>0</v>
      </c>
      <c r="U1231" s="301">
        <v>0</v>
      </c>
      <c r="V1231" s="302">
        <v>0</v>
      </c>
      <c r="W1231" s="303"/>
      <c r="X1231" s="304">
        <v>0</v>
      </c>
      <c r="Y1231" s="305">
        <v>0</v>
      </c>
    </row>
    <row r="1232" spans="1:25" x14ac:dyDescent="0.3">
      <c r="E1232" t="s">
        <v>2207</v>
      </c>
      <c r="F1232" s="317">
        <v>4506500</v>
      </c>
      <c r="G1232" s="318"/>
      <c r="H1232" s="319"/>
      <c r="I1232" s="320"/>
      <c r="J1232" s="337">
        <v>0</v>
      </c>
      <c r="K1232" s="321">
        <v>0</v>
      </c>
      <c r="L1232" s="321">
        <v>0</v>
      </c>
      <c r="M1232" s="321">
        <v>0</v>
      </c>
      <c r="N1232" s="321">
        <v>0</v>
      </c>
      <c r="O1232" s="321">
        <v>0</v>
      </c>
      <c r="P1232" s="321">
        <v>0</v>
      </c>
      <c r="Q1232" s="321">
        <v>0</v>
      </c>
      <c r="R1232" s="321">
        <v>0</v>
      </c>
      <c r="S1232" s="321">
        <v>0</v>
      </c>
      <c r="T1232" s="321">
        <v>0</v>
      </c>
      <c r="U1232" s="322">
        <v>0</v>
      </c>
      <c r="V1232" s="323">
        <v>0</v>
      </c>
      <c r="W1232" s="303"/>
      <c r="X1232" s="324">
        <v>0</v>
      </c>
      <c r="Y1232" s="325">
        <v>0</v>
      </c>
    </row>
    <row r="1233" spans="1:25" x14ac:dyDescent="0.3">
      <c r="D1233" s="293" t="s">
        <v>2208</v>
      </c>
      <c r="E1233" s="294"/>
      <c r="F1233" s="295" t="s">
        <v>2209</v>
      </c>
      <c r="G1233" s="296"/>
      <c r="H1233" s="297"/>
      <c r="I1233" s="298"/>
      <c r="J1233" s="299">
        <v>0</v>
      </c>
      <c r="K1233" s="300">
        <v>0</v>
      </c>
      <c r="L1233" s="300">
        <v>0</v>
      </c>
      <c r="M1233" s="300">
        <v>0</v>
      </c>
      <c r="N1233" s="300">
        <v>0</v>
      </c>
      <c r="O1233" s="300">
        <v>0</v>
      </c>
      <c r="P1233" s="300">
        <v>0</v>
      </c>
      <c r="Q1233" s="300">
        <v>0</v>
      </c>
      <c r="R1233" s="300">
        <v>0</v>
      </c>
      <c r="S1233" s="300">
        <v>0</v>
      </c>
      <c r="T1233" s="300">
        <v>0</v>
      </c>
      <c r="U1233" s="301">
        <v>0</v>
      </c>
      <c r="V1233" s="302">
        <v>0</v>
      </c>
      <c r="W1233" s="303"/>
      <c r="X1233" s="304">
        <v>0</v>
      </c>
      <c r="Y1233" s="305">
        <v>0</v>
      </c>
    </row>
    <row r="1234" spans="1:25" x14ac:dyDescent="0.3">
      <c r="E1234" t="s">
        <v>2210</v>
      </c>
      <c r="F1234" s="317">
        <v>4407000</v>
      </c>
      <c r="G1234" s="318"/>
      <c r="H1234" s="319"/>
      <c r="I1234" s="320"/>
      <c r="J1234" s="337">
        <v>0</v>
      </c>
      <c r="K1234" s="321">
        <v>0</v>
      </c>
      <c r="L1234" s="321">
        <v>0</v>
      </c>
      <c r="M1234" s="321">
        <v>0</v>
      </c>
      <c r="N1234" s="321">
        <v>0</v>
      </c>
      <c r="O1234" s="321">
        <v>0</v>
      </c>
      <c r="P1234" s="321">
        <v>0</v>
      </c>
      <c r="Q1234" s="321">
        <v>0</v>
      </c>
      <c r="R1234" s="321">
        <v>0</v>
      </c>
      <c r="S1234" s="321">
        <v>0</v>
      </c>
      <c r="T1234" s="321">
        <v>0</v>
      </c>
      <c r="U1234" s="322">
        <v>0</v>
      </c>
      <c r="V1234" s="323">
        <v>0</v>
      </c>
      <c r="W1234" s="303"/>
      <c r="X1234" s="324">
        <v>0</v>
      </c>
      <c r="Y1234" s="325">
        <v>0</v>
      </c>
    </row>
    <row r="1235" spans="1:25" x14ac:dyDescent="0.3">
      <c r="B1235" s="233" t="s">
        <v>418</v>
      </c>
      <c r="C1235" s="280" t="s">
        <v>2211</v>
      </c>
      <c r="D1235" s="281"/>
      <c r="E1235" s="282"/>
      <c r="F1235" s="283" t="s">
        <v>2212</v>
      </c>
      <c r="G1235" s="284"/>
      <c r="H1235" s="285"/>
      <c r="I1235" s="286"/>
      <c r="J1235" s="287">
        <v>-42525.495999999956</v>
      </c>
      <c r="K1235" s="288">
        <v>1634572.6240000003</v>
      </c>
      <c r="L1235" s="288">
        <v>-2019712.2959999996</v>
      </c>
      <c r="M1235" s="288">
        <v>-363837.21499999973</v>
      </c>
      <c r="N1235" s="288">
        <v>1632110.8669999996</v>
      </c>
      <c r="O1235" s="288">
        <v>-13236979.940000001</v>
      </c>
      <c r="P1235" s="288">
        <v>-115184.23000000056</v>
      </c>
      <c r="Q1235" s="288">
        <v>-599212.47100000072</v>
      </c>
      <c r="R1235" s="288">
        <v>-12194830.225000001</v>
      </c>
      <c r="S1235" s="288">
        <v>966863.46499999985</v>
      </c>
      <c r="T1235" s="288">
        <v>-47961.5629999999</v>
      </c>
      <c r="U1235" s="289">
        <v>-51843880.159999996</v>
      </c>
      <c r="V1235" s="290">
        <v>-76230576.640000001</v>
      </c>
      <c r="W1235" s="277"/>
      <c r="X1235" s="291">
        <v>-51843880.159999996</v>
      </c>
      <c r="Y1235" s="292">
        <v>-76230576.640000001</v>
      </c>
    </row>
    <row r="1236" spans="1:25" x14ac:dyDescent="0.3">
      <c r="B1236" s="233" t="s">
        <v>419</v>
      </c>
      <c r="C1236" s="280" t="s">
        <v>2213</v>
      </c>
      <c r="D1236" s="281"/>
      <c r="E1236" s="282"/>
      <c r="F1236" s="283" t="s">
        <v>2214</v>
      </c>
      <c r="G1236" s="284"/>
      <c r="H1236" s="285"/>
      <c r="I1236" s="286"/>
      <c r="J1236" s="287">
        <v>0</v>
      </c>
      <c r="K1236" s="288">
        <v>0</v>
      </c>
      <c r="L1236" s="288">
        <v>0</v>
      </c>
      <c r="M1236" s="288">
        <v>0</v>
      </c>
      <c r="N1236" s="288">
        <v>0</v>
      </c>
      <c r="O1236" s="288">
        <v>0</v>
      </c>
      <c r="P1236" s="288">
        <v>0</v>
      </c>
      <c r="Q1236" s="288">
        <v>0</v>
      </c>
      <c r="R1236" s="288">
        <v>0</v>
      </c>
      <c r="S1236" s="288">
        <v>0</v>
      </c>
      <c r="T1236" s="288">
        <v>0</v>
      </c>
      <c r="U1236" s="289">
        <v>0</v>
      </c>
      <c r="V1236" s="290">
        <v>0</v>
      </c>
      <c r="W1236" s="277"/>
      <c r="X1236" s="291">
        <v>0</v>
      </c>
      <c r="Y1236" s="292">
        <v>0</v>
      </c>
    </row>
    <row r="1237" spans="1:25" x14ac:dyDescent="0.3">
      <c r="D1237" s="293" t="s">
        <v>2215</v>
      </c>
      <c r="E1237" s="294"/>
      <c r="F1237" s="295" t="s">
        <v>2216</v>
      </c>
      <c r="G1237" s="296"/>
      <c r="H1237" s="297"/>
      <c r="I1237" s="298"/>
      <c r="J1237" s="299">
        <v>0</v>
      </c>
      <c r="K1237" s="300">
        <v>0</v>
      </c>
      <c r="L1237" s="300">
        <v>0</v>
      </c>
      <c r="M1237" s="300">
        <v>0</v>
      </c>
      <c r="N1237" s="300">
        <v>0</v>
      </c>
      <c r="O1237" s="300">
        <v>0</v>
      </c>
      <c r="P1237" s="300">
        <v>0</v>
      </c>
      <c r="Q1237" s="300">
        <v>0</v>
      </c>
      <c r="R1237" s="300">
        <v>0</v>
      </c>
      <c r="S1237" s="300">
        <v>0</v>
      </c>
      <c r="T1237" s="300">
        <v>0</v>
      </c>
      <c r="U1237" s="301">
        <v>0</v>
      </c>
      <c r="V1237" s="302">
        <v>0</v>
      </c>
      <c r="W1237" s="303"/>
      <c r="X1237" s="304">
        <v>0</v>
      </c>
      <c r="Y1237" s="305">
        <v>0</v>
      </c>
    </row>
    <row r="1238" spans="1:25" x14ac:dyDescent="0.3">
      <c r="E1238" t="s">
        <v>2217</v>
      </c>
      <c r="F1238" s="317">
        <v>4408900</v>
      </c>
      <c r="G1238" s="318"/>
      <c r="H1238" s="319">
        <v>8501010101</v>
      </c>
      <c r="I1238" s="320"/>
      <c r="J1238" s="337">
        <v>0</v>
      </c>
      <c r="K1238" s="321">
        <v>0</v>
      </c>
      <c r="L1238" s="321">
        <v>0</v>
      </c>
      <c r="M1238" s="321">
        <v>0</v>
      </c>
      <c r="N1238" s="321">
        <v>0</v>
      </c>
      <c r="O1238" s="321">
        <v>0</v>
      </c>
      <c r="P1238" s="321">
        <v>0</v>
      </c>
      <c r="Q1238" s="321">
        <v>0</v>
      </c>
      <c r="R1238" s="321">
        <v>0</v>
      </c>
      <c r="S1238" s="321">
        <v>0</v>
      </c>
      <c r="T1238" s="321">
        <v>0</v>
      </c>
      <c r="U1238" s="322">
        <v>0</v>
      </c>
      <c r="V1238" s="323">
        <v>0</v>
      </c>
      <c r="W1238" s="303"/>
      <c r="X1238" s="324">
        <v>0</v>
      </c>
      <c r="Y1238" s="325">
        <v>0</v>
      </c>
    </row>
    <row r="1239" spans="1:25" ht="33" x14ac:dyDescent="0.3">
      <c r="A1239" s="248" t="s">
        <v>211</v>
      </c>
      <c r="B1239" s="248"/>
      <c r="C1239" s="398" t="s">
        <v>2218</v>
      </c>
      <c r="D1239" s="398"/>
      <c r="E1239" s="399"/>
      <c r="F1239" s="400" t="s">
        <v>2219</v>
      </c>
      <c r="G1239" s="401"/>
      <c r="H1239" s="402"/>
      <c r="I1239" s="403"/>
      <c r="J1239" s="404">
        <v>-42525.495999999956</v>
      </c>
      <c r="K1239" s="405">
        <v>1634572.6240000003</v>
      </c>
      <c r="L1239" s="405">
        <v>-2019712.2959999996</v>
      </c>
      <c r="M1239" s="405">
        <v>-363837.21499999973</v>
      </c>
      <c r="N1239" s="405">
        <v>1632110.8669999996</v>
      </c>
      <c r="O1239" s="405">
        <v>-13236979.940000001</v>
      </c>
      <c r="P1239" s="405">
        <v>-115184.23000000056</v>
      </c>
      <c r="Q1239" s="405">
        <v>-599212.47100000072</v>
      </c>
      <c r="R1239" s="405">
        <v>-12194830.225000001</v>
      </c>
      <c r="S1239" s="405">
        <v>966863.46499999985</v>
      </c>
      <c r="T1239" s="405">
        <v>-47961.5629999999</v>
      </c>
      <c r="U1239" s="406">
        <v>-51843880.159999996</v>
      </c>
      <c r="V1239" s="407">
        <v>-76230576.640000001</v>
      </c>
      <c r="W1239" s="277"/>
      <c r="X1239" s="408">
        <v>-51843880.159999996</v>
      </c>
      <c r="Y1239" s="409">
        <v>-76230576.640000001</v>
      </c>
    </row>
    <row r="1240" spans="1:25" x14ac:dyDescent="0.3">
      <c r="B1240" s="249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45c25c-9775-4d77-a736-700fab766116}" enabled="0" method="" siteId="{4645c25c-9775-4d77-a736-700fab7661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25</vt:i4>
      </vt:variant>
      <vt:variant>
        <vt:lpstr>이름 지정된 범위</vt:lpstr>
      </vt:variant>
      <vt:variant>
        <vt:i4>8</vt:i4>
      </vt:variant>
    </vt:vector>
  </HeadingPairs>
  <TitlesOfParts>
    <vt:vector size="33" baseType="lpstr">
      <vt:lpstr>▶ REPORT</vt:lpstr>
      <vt:lpstr>1. 요약재무제표</vt:lpstr>
      <vt:lpstr>2. 추정_요약재무제표</vt:lpstr>
      <vt:lpstr>3. 자금조달운영계획</vt:lpstr>
      <vt:lpstr>4. 자금조달운영계획_근거</vt:lpstr>
      <vt:lpstr>5. 첨부_추정재무상태표</vt:lpstr>
      <vt:lpstr>6. 첨부_추정손익계산서</vt:lpstr>
      <vt:lpstr>7. 첨부_추정현금흐름표</vt:lpstr>
      <vt:lpstr>▶ 합산</vt:lpstr>
      <vt:lpstr>7-1. FS</vt:lpstr>
      <vt:lpstr>▶ 홈쇼핑</vt:lpstr>
      <vt:lpstr>8. 추정 BS</vt:lpstr>
      <vt:lpstr>9. 추정 IS</vt:lpstr>
      <vt:lpstr>9-1. 추정 투자_삭제</vt:lpstr>
      <vt:lpstr>10. 추정 CF</vt:lpstr>
      <vt:lpstr>▶ 리테일</vt:lpstr>
      <vt:lpstr>11. 추정 BS</vt:lpstr>
      <vt:lpstr>12. 추정 IS</vt:lpstr>
      <vt:lpstr>12-1. 추정 투자_삭제</vt:lpstr>
      <vt:lpstr>13. 추정 CF</vt:lpstr>
      <vt:lpstr>전사합(개별)</vt:lpstr>
      <vt:lpstr>홈쇼핑</vt:lpstr>
      <vt:lpstr>SAP BS</vt:lpstr>
      <vt:lpstr>SI본사부담</vt:lpstr>
      <vt:lpstr>기타조정</vt:lpstr>
      <vt:lpstr>'1. 요약재무제표'!Print_Area</vt:lpstr>
      <vt:lpstr>'2. 추정_요약재무제표'!Print_Area</vt:lpstr>
      <vt:lpstr>'6. 첨부_추정손익계산서'!Print_Area</vt:lpstr>
      <vt:lpstr>'9. 추정 IS'!Print_Area</vt:lpstr>
      <vt:lpstr>rCOPY</vt:lpstr>
      <vt:lpstr>rCOPY_RT</vt:lpstr>
      <vt:lpstr>rPASTE</vt:lpstr>
      <vt:lpstr>rPASTE_RT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KJKIM</dc:creator>
  <cp:lastModifiedBy>김정상/방송사업지원팀</cp:lastModifiedBy>
  <cp:lastPrinted>2026-04-07T08:38:10Z</cp:lastPrinted>
  <dcterms:created xsi:type="dcterms:W3CDTF">2021-08-28T03:41:03Z</dcterms:created>
  <dcterms:modified xsi:type="dcterms:W3CDTF">2026-04-14T08:43:12Z</dcterms:modified>
</cp:coreProperties>
</file>